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Coins" sheetId="2" r:id="rId5"/>
    <sheet state="visible" name="Coin playground" sheetId="3" r:id="rId6"/>
    <sheet state="visible" name="Categories playground" sheetId="4" r:id="rId7"/>
    <sheet state="visible" name="Pivot_Data" sheetId="5" r:id="rId8"/>
    <sheet state="visible" name="Liqudity tiers" sheetId="6" r:id="rId9"/>
    <sheet state="visible" name="P&amp;L" sheetId="7" r:id="rId10"/>
    <sheet state="visible" name="Inst. loans" sheetId="8" r:id="rId11"/>
    <sheet state="visible" name="Summary" sheetId="9" r:id="rId12"/>
    <sheet state="visible" name="Pivot - Coin" sheetId="10" r:id="rId13"/>
    <sheet state="visible" name="Data" sheetId="11" r:id="rId14"/>
    <sheet state="visible" name="Price" sheetId="12" r:id="rId15"/>
    <sheet state="visible" name="APY" sheetId="13" r:id="rId16"/>
    <sheet state="visible" name="COFA" sheetId="14" r:id="rId17"/>
    <sheet state="visible" name="Collateral" sheetId="15" r:id="rId18"/>
    <sheet state="visible" name="Coin_Total_Asset_Liability" sheetId="16" r:id="rId19"/>
    <sheet state="visible" name="net position calcs" sheetId="17" r:id="rId20"/>
    <sheet state="visible" name="Transfer Pricing Playground" sheetId="18" r:id="rId21"/>
    <sheet state="visible" name="Defi" sheetId="19" r:id="rId22"/>
    <sheet state="visible" name="Inst Lending" sheetId="20" r:id="rId23"/>
    <sheet state="visible" name="Retail lending" sheetId="21" r:id="rId24"/>
    <sheet state="visible" name="CEFI  Exchange" sheetId="22" r:id="rId25"/>
    <sheet state="visible" name="EAM" sheetId="23" r:id="rId26"/>
    <sheet state="visible" name="Summary P&amp;L (Including Treasury" sheetId="24" r:id="rId27"/>
  </sheets>
  <definedNames>
    <definedName name="APY">Pivot_Data!$F$2:$F$466</definedName>
    <definedName name="Cat">Pivot_Data!$B$2:$B$466</definedName>
    <definedName name="Acc">Pivot_Data!$C$2:$C$466</definedName>
    <definedName name="Coin">Pivot_Data!$A$2:$A$466</definedName>
    <definedName name="USD">Pivot_Data!$H$2:$H$466</definedName>
    <definedName name="NCoins">Pivot_Data!$E$2:$E$466</definedName>
    <definedName name="Tier">Pivot_Data!$D$2:$D$466</definedName>
    <definedName name="COFA">Pivot_Data!$G$2:$G$466</definedName>
    <definedName hidden="1" localSheetId="1" name="_xlnm._FilterDatabase">Coins!$A$1:$R$67</definedName>
    <definedName hidden="1" localSheetId="4" name="_xlnm._FilterDatabase">Pivot_Data!$A$1:$J$625</definedName>
    <definedName hidden="1" localSheetId="9" name="_xlnm._FilterDatabase">'Pivot - Coin'!$A$3:$I$573</definedName>
    <definedName hidden="1" localSheetId="14" name="_xlnm._FilterDatabase">Collateral!$A$1:$G$999</definedName>
    <definedName hidden="1" localSheetId="4" name="Z_AEF5271B_6EEC_4294_916B_88148BFA65EF_.wvu.FilterData">Pivot_Data!$A$1:$J$595</definedName>
    <definedName hidden="1" localSheetId="2" name="Z_5DBABF29_6CA3_4159_8573_02A74A978F79_.wvu.FilterData">'Coin playground'!$A$6:$E$21</definedName>
    <definedName hidden="1" localSheetId="4" name="Z_5DBABF29_6CA3_4159_8573_02A74A978F79_.wvu.FilterData">Pivot_Data!$A$1:$J$565</definedName>
    <definedName hidden="1" localSheetId="4" name="Z_D327C7C1_70E0_4D13_A20C_D81CB931FBA4_.wvu.FilterData">Pivot_Data!$A$1:$J$565</definedName>
    <definedName hidden="1" localSheetId="4" name="Z_66937053_3964_455D_9F79_A20A916CD03E_.wvu.FilterData">Pivot_Data!$H$25:$H$418</definedName>
    <definedName hidden="1" localSheetId="4" name="Z_E910889E_BF02_4CCD_9E69_8EB7EE93785B_.wvu.FilterData">Pivot_Data!$A$1:$K$626</definedName>
  </definedNames>
  <calcPr/>
  <customWorkbookViews>
    <customWorkbookView activeSheetId="0" maximized="1" windowHeight="0" windowWidth="0" guid="{E910889E-BF02-4CCD-9E69-8EB7EE93785B}" name="Filter 4"/>
    <customWorkbookView activeSheetId="0" maximized="1" windowHeight="0" windowWidth="0" guid="{66937053-3964-455D-9F79-A20A916CD03E}" name="Filter 5"/>
    <customWorkbookView activeSheetId="0" maximized="1" windowHeight="0" windowWidth="0" guid="{D327C7C1-70E0-4D13-A20C-D81CB931FBA4}" name="Filter 2"/>
    <customWorkbookView activeSheetId="0" maximized="1" windowHeight="0" windowWidth="0" guid="{AEF5271B-6EEC-4294-916B-88148BFA65EF}" name="Filter 3"/>
    <customWorkbookView activeSheetId="0" maximized="1" windowHeight="0" windowWidth="0" guid="{5DBABF29-6CA3-4159-8573-02A74A978F79}" name="Filter 1"/>
  </customWorkbookViews>
  <pivotCaches>
    <pivotCache cacheId="0" r:id="rId28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">
      <text>
        <t xml:space="preserve">can we change this to accurately reflect weekly pay out - for some categories example Stable Coins, PAXG, we have a far larger liability then asset and comparing COFA x Assets is not an accurate predictor of Weekly Cost
	-Dean Tappen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9">
      <text>
        <t xml:space="preserve">need to add the coins that you own to the waterfall input sheet @brad.coleman@celsius.network
_Assigned to Brad Coleman_
	-Dean Tappen</t>
      </text>
    </comment>
    <comment authorId="0" ref="E518">
      <text>
        <t xml:space="preserve">@ron.sabo@celsius.network we still have coins here????
_Assigned to Ron Sabo_
	-Dean Tappen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8">
      <text>
        <t xml:space="preserve">this is another different number?? think we need to align so we are consistent across the board and everything ties out @ron.sabo@celsius.network
_Assigned to Ron Sabo_
	-Dean Tappen
this fits the numbers in the category tab if you include minimg
	-Ron Sabo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78">
      <text>
        <t xml:space="preserve">where are the other staking categories?? @fan.bai@celsius.network @ron.sabo@celsius.network @stevan.maglic@celsius.network
	-Dean Tappen
Indeed, it seems that we are not pulling correctly all the assets from the "coin recon" live. 
Not sure what is the reasin. @fan.bai@celsius.network do we have any way to check?
	-Ron Sabo
We will take a look.
	-Steve Maglic
you mean in the pivot_data tab? In that tab, any account with 0 balance will not be shown
	-Fan Bai
For MATIC, there is 0 MATIC in staking category, so it won't be shown in pivot_data tab
	-Fan Bai
That is incorrect there should be a lot of MATIC staked. Will need to re check but that is not being pulled correctly
	-Dean Tappen</t>
      </text>
    </comment>
    <comment authorId="0" ref="D16">
      <text>
        <t xml:space="preserve">@ron.sabo@celsius.network this doesn't seem accurate
_Assigned to Ron Sabo_
	-Dean Tappen
Indeed, there is a problem with CnC holdings as currently they are taken as BTC/ETH balance and not as stablecoins.
Starting next week, we would break the FTX activity into seperate subaccount and that would allow us to add a manual correction to the CnC activity.
	-Ron Sabo</t>
      </text>
    </comment>
  </commentList>
</comments>
</file>

<file path=xl/sharedStrings.xml><?xml version="1.0" encoding="utf-8"?>
<sst xmlns="http://schemas.openxmlformats.org/spreadsheetml/2006/main" count="20498" uniqueCount="553">
  <si>
    <t>Updated at - 12/20/2021, 11:43:28</t>
  </si>
  <si>
    <t>USD amount [Millions]</t>
  </si>
  <si>
    <t>% of AUM</t>
  </si>
  <si>
    <t>APY %</t>
  </si>
  <si>
    <t>COFA %</t>
  </si>
  <si>
    <t>"Transfer Pricing"</t>
  </si>
  <si>
    <t>NIM (with collateral)</t>
  </si>
  <si>
    <t>Posted Collateral</t>
  </si>
  <si>
    <t>Institutional Loans</t>
  </si>
  <si>
    <t>Defi</t>
  </si>
  <si>
    <t>Exchange</t>
  </si>
  <si>
    <t>Staking</t>
  </si>
  <si>
    <t>Retail Loans</t>
  </si>
  <si>
    <t xml:space="preserve">EAM  </t>
  </si>
  <si>
    <t>Undeployed</t>
  </si>
  <si>
    <t>Underdeployed</t>
  </si>
  <si>
    <t>CEL Users</t>
  </si>
  <si>
    <t>CEL Treasury</t>
  </si>
  <si>
    <t>Trust</t>
  </si>
  <si>
    <t xml:space="preserve">Other  </t>
  </si>
  <si>
    <t>Total</t>
  </si>
  <si>
    <t>-</t>
  </si>
  <si>
    <t>Mining</t>
  </si>
  <si>
    <t xml:space="preserve"> </t>
  </si>
  <si>
    <t>Assets-liabilities</t>
  </si>
  <si>
    <t>Total (Mining included)</t>
  </si>
  <si>
    <t>Total (In Pivot Data)</t>
  </si>
  <si>
    <t>Missing Assets - Pivot (M$)</t>
  </si>
  <si>
    <t>Total (In Live Recon)</t>
  </si>
  <si>
    <t>Missing Assets - Live Recon (M$)</t>
  </si>
  <si>
    <t>Collateral value [M USD]</t>
  </si>
  <si>
    <t>Collateralization Ratio</t>
  </si>
  <si>
    <t>TP Annual Income</t>
  </si>
  <si>
    <t xml:space="preserve">TP income / Collateral </t>
  </si>
  <si>
    <t>TP income / loan</t>
  </si>
  <si>
    <t>profit from deployemnt</t>
  </si>
  <si>
    <t>cost of carry for incoming coll.</t>
  </si>
  <si>
    <t>cost of carry of allocated funds</t>
  </si>
  <si>
    <t>Coin</t>
  </si>
  <si>
    <t>number of coins</t>
  </si>
  <si>
    <t>USD amount</t>
  </si>
  <si>
    <t>weighted CoF</t>
  </si>
  <si>
    <t>Nim</t>
  </si>
  <si>
    <t>coin CoF %</t>
  </si>
  <si>
    <t>undeployed coins</t>
  </si>
  <si>
    <t>undeployed USD value</t>
  </si>
  <si>
    <t>undeployed percentege</t>
  </si>
  <si>
    <t>precentege of total undeployed</t>
  </si>
  <si>
    <t>Weekly income</t>
  </si>
  <si>
    <t>Weekly cost</t>
  </si>
  <si>
    <t>Net (Full COFA)</t>
  </si>
  <si>
    <t>weighted average</t>
  </si>
  <si>
    <t>WA net (expected)</t>
  </si>
  <si>
    <t>BTC</t>
  </si>
  <si>
    <t>ETH</t>
  </si>
  <si>
    <t>Stable Coins</t>
  </si>
  <si>
    <t>CEL</t>
  </si>
  <si>
    <t>MATIC</t>
  </si>
  <si>
    <t>SRM</t>
  </si>
  <si>
    <t>FTT</t>
  </si>
  <si>
    <t>ADA</t>
  </si>
  <si>
    <t>LINK</t>
  </si>
  <si>
    <t>XRP</t>
  </si>
  <si>
    <t>LUNA</t>
  </si>
  <si>
    <t>LTC</t>
  </si>
  <si>
    <t>BNB</t>
  </si>
  <si>
    <t>BCH</t>
  </si>
  <si>
    <t>SNX</t>
  </si>
  <si>
    <t>XLM</t>
  </si>
  <si>
    <t>UNI</t>
  </si>
  <si>
    <t>AAVE</t>
  </si>
  <si>
    <t>MANA</t>
  </si>
  <si>
    <t>DOT</t>
  </si>
  <si>
    <t>EOS</t>
  </si>
  <si>
    <t>BAT</t>
  </si>
  <si>
    <t>ZEC</t>
  </si>
  <si>
    <t>DASH</t>
  </si>
  <si>
    <t>1INCH</t>
  </si>
  <si>
    <t>PAXG</t>
  </si>
  <si>
    <t>BNT</t>
  </si>
  <si>
    <t>ZRX</t>
  </si>
  <si>
    <t>COMP</t>
  </si>
  <si>
    <t>ETC</t>
  </si>
  <si>
    <t>CVX</t>
  </si>
  <si>
    <t>TGBP</t>
  </si>
  <si>
    <t>TAUD</t>
  </si>
  <si>
    <t>OMG</t>
  </si>
  <si>
    <t>SUSHI</t>
  </si>
  <si>
    <t>CRV</t>
  </si>
  <si>
    <t>BSV</t>
  </si>
  <si>
    <t>BADGER</t>
  </si>
  <si>
    <t>TCAD</t>
  </si>
  <si>
    <t>THKD</t>
  </si>
  <si>
    <t>KNC</t>
  </si>
  <si>
    <t>LDO</t>
  </si>
  <si>
    <t>DIGG</t>
  </si>
  <si>
    <t>YFI</t>
  </si>
  <si>
    <t>UMA</t>
  </si>
  <si>
    <t>XAUT</t>
  </si>
  <si>
    <t>REN</t>
  </si>
  <si>
    <t>LPT</t>
  </si>
  <si>
    <t>ALPHA</t>
  </si>
  <si>
    <t>WDGLD</t>
  </si>
  <si>
    <t>BAL</t>
  </si>
  <si>
    <t>BTG</t>
  </si>
  <si>
    <t>VSP</t>
  </si>
  <si>
    <t>PNT</t>
  </si>
  <si>
    <t>FARM</t>
  </si>
  <si>
    <t>FIS</t>
  </si>
  <si>
    <t>MKR</t>
  </si>
  <si>
    <t>ORBS</t>
  </si>
  <si>
    <t>ANKR</t>
  </si>
  <si>
    <t>AMPL</t>
  </si>
  <si>
    <t>BOND</t>
  </si>
  <si>
    <t>ONX</t>
  </si>
  <si>
    <t>SGR</t>
  </si>
  <si>
    <t>ROOK</t>
  </si>
  <si>
    <t>LQTY</t>
  </si>
  <si>
    <t>SUM</t>
  </si>
  <si>
    <t>Stable coins</t>
  </si>
  <si>
    <t>Category</t>
  </si>
  <si>
    <t>Account</t>
  </si>
  <si>
    <t>Tier</t>
  </si>
  <si>
    <t># of Coins</t>
  </si>
  <si>
    <t>APY</t>
  </si>
  <si>
    <t>COFA</t>
  </si>
  <si>
    <t>USD Value</t>
  </si>
  <si>
    <t>USD Value * COFA</t>
  </si>
  <si>
    <t>USD Value * APY</t>
  </si>
  <si>
    <t># of coins</t>
  </si>
  <si>
    <t>USD value</t>
  </si>
  <si>
    <t>% of assests</t>
  </si>
  <si>
    <t>undeployed</t>
  </si>
  <si>
    <t>underdeployed</t>
  </si>
  <si>
    <t>N/A</t>
  </si>
  <si>
    <t>sum</t>
  </si>
  <si>
    <t>5</t>
  </si>
  <si>
    <t>Loans Out</t>
  </si>
  <si>
    <t>4</t>
  </si>
  <si>
    <t>1</t>
  </si>
  <si>
    <t>Celsius Borrows Account</t>
  </si>
  <si>
    <t>Loans</t>
  </si>
  <si>
    <t>FTX - Jacob</t>
  </si>
  <si>
    <t>2</t>
  </si>
  <si>
    <t>Celsius Network</t>
  </si>
  <si>
    <t>Overcollaterized - Compound</t>
  </si>
  <si>
    <t>WBTC</t>
  </si>
  <si>
    <t>Maker Borrows Vault</t>
  </si>
  <si>
    <t>YD - Curve - stETH</t>
  </si>
  <si>
    <t>Direct Staking</t>
  </si>
  <si>
    <t>staking</t>
  </si>
  <si>
    <t>FTX - cel_staking</t>
  </si>
  <si>
    <t>BITFINEX</t>
  </si>
  <si>
    <t>Grayscale</t>
  </si>
  <si>
    <t>YD - Curve - sETH</t>
  </si>
  <si>
    <t>MATIC Staking 9</t>
  </si>
  <si>
    <t>nan</t>
  </si>
  <si>
    <t>Bank - Balances</t>
  </si>
  <si>
    <t>Celsius Network System</t>
  </si>
  <si>
    <t>FTX - CnC</t>
  </si>
  <si>
    <t>Yield Desk - Badger</t>
  </si>
  <si>
    <t>EAM - Balances</t>
  </si>
  <si>
    <t>Other</t>
  </si>
  <si>
    <t>Others - Asset</t>
  </si>
  <si>
    <t>Stakehound</t>
  </si>
  <si>
    <t>YD - Convex/Badger - hBTC</t>
  </si>
  <si>
    <t>Celsius OTC</t>
  </si>
  <si>
    <t>Network Deposits</t>
  </si>
  <si>
    <t>YieldDesk_Main</t>
  </si>
  <si>
    <t>FTX - Main Account</t>
  </si>
  <si>
    <t>YD - Badger - SBTC</t>
  </si>
  <si>
    <t>Deployment - Alpha</t>
  </si>
  <si>
    <t>AAVE Avalanche</t>
  </si>
  <si>
    <t>MATIC Staking 8</t>
  </si>
  <si>
    <t>Yield Desk - Bancor</t>
  </si>
  <si>
    <t>MATIC Staking 7</t>
  </si>
  <si>
    <t>3</t>
  </si>
  <si>
    <t>YD - Keeper - ETH</t>
  </si>
  <si>
    <t>YD - Convex - renBTC</t>
  </si>
  <si>
    <t>DD-Anchor-Tera</t>
  </si>
  <si>
    <t>YD - Badger - bBTC</t>
  </si>
  <si>
    <t>DD-ABRA-FTT</t>
  </si>
  <si>
    <t>FTX - TEAM Directional</t>
  </si>
  <si>
    <t>Osprey</t>
  </si>
  <si>
    <t>FTX - Management</t>
  </si>
  <si>
    <t>Benqi - LINK</t>
  </si>
  <si>
    <t>DD - Badger - tBTC</t>
  </si>
  <si>
    <t>OmniMan1</t>
  </si>
  <si>
    <t>YD - Convex - LUSD</t>
  </si>
  <si>
    <t>PrimeTrust</t>
  </si>
  <si>
    <t>defi</t>
  </si>
  <si>
    <t>AAVE Deployment / Staking</t>
  </si>
  <si>
    <t>DD - Convex - tBTC</t>
  </si>
  <si>
    <t>MATIC Staking 10</t>
  </si>
  <si>
    <t>DD-Yearn-WBTC</t>
  </si>
  <si>
    <t>FTX - CEL</t>
  </si>
  <si>
    <t>3CRV</t>
  </si>
  <si>
    <t>DD-CONVEX-ALUSD</t>
  </si>
  <si>
    <t>YD - Badger - PBTC</t>
  </si>
  <si>
    <t>YD - Curve/Convex - AnkrETH</t>
  </si>
  <si>
    <t>Overcollaterized - Aave V2</t>
  </si>
  <si>
    <t>YD - Vesper - vWBTC</t>
  </si>
  <si>
    <t>YD - Curve - SLINK</t>
  </si>
  <si>
    <t>YD - Vesper - vETH</t>
  </si>
  <si>
    <t>Defi Banker Joe</t>
  </si>
  <si>
    <t>Defi Benqi Deployment</t>
  </si>
  <si>
    <t>YD - Badger - renBTC</t>
  </si>
  <si>
    <t>YD - AlphaHv2</t>
  </si>
  <si>
    <t>DD - Convex - tricrypto2 II</t>
  </si>
  <si>
    <t>SOL</t>
  </si>
  <si>
    <t>YD - Badger - OBTC</t>
  </si>
  <si>
    <t>AVAX</t>
  </si>
  <si>
    <t>YD - Harvest - renBTC</t>
  </si>
  <si>
    <t>FTX - Grayscale</t>
  </si>
  <si>
    <t>DD-DEFROST-H2O3CRV</t>
  </si>
  <si>
    <t>YD - Convex - tricrypto2</t>
  </si>
  <si>
    <t>DERIBIT</t>
  </si>
  <si>
    <t>BlockDemon ETH Staking</t>
  </si>
  <si>
    <t>YD - Harvest - HBTC</t>
  </si>
  <si>
    <t>DD-CONVEX-ALETH</t>
  </si>
  <si>
    <t>YD - Curve - BUSDv2</t>
  </si>
  <si>
    <t>FTX - Brad</t>
  </si>
  <si>
    <t>LIQUID</t>
  </si>
  <si>
    <t>DD - Curve - rETH</t>
  </si>
  <si>
    <t>Synthetix + Hedge</t>
  </si>
  <si>
    <t>DD - FRAX - Convex</t>
  </si>
  <si>
    <t>FTX - Directional Trading 2</t>
  </si>
  <si>
    <t>Operational</t>
  </si>
  <si>
    <t>FTX - Kairon2</t>
  </si>
  <si>
    <t>Deribit - API</t>
  </si>
  <si>
    <t>Sushi Staking</t>
  </si>
  <si>
    <t>YD - Yearn - crvPBTC</t>
  </si>
  <si>
    <t>SRM_LOCKED</t>
  </si>
  <si>
    <t>POLIS</t>
  </si>
  <si>
    <t>FTX - Kairon</t>
  </si>
  <si>
    <t>BOBA</t>
  </si>
  <si>
    <t>Reward Desk</t>
  </si>
  <si>
    <t>RAY</t>
  </si>
  <si>
    <t>KNC Migration</t>
  </si>
  <si>
    <t>Celsius Network Finance</t>
  </si>
  <si>
    <t>Deployment - Curve</t>
  </si>
  <si>
    <t>XTZ</t>
  </si>
  <si>
    <t>ATLAS</t>
  </si>
  <si>
    <t>FTM</t>
  </si>
  <si>
    <t>QI</t>
  </si>
  <si>
    <t>FTX - DeFi</t>
  </si>
  <si>
    <t>TRU</t>
  </si>
  <si>
    <t>Deployment - TrueFi</t>
  </si>
  <si>
    <t>YFL</t>
  </si>
  <si>
    <t>COINBASEPRO</t>
  </si>
  <si>
    <t>YD - Vesper - vLINK</t>
  </si>
  <si>
    <t>Maple Finance</t>
  </si>
  <si>
    <t>YD - Curve - pBTC</t>
  </si>
  <si>
    <t>BOR</t>
  </si>
  <si>
    <t>YD - Curve - oBTC</t>
  </si>
  <si>
    <t>OmniMan2</t>
  </si>
  <si>
    <t>DD - Vesper - vUNI</t>
  </si>
  <si>
    <t>yveCRV-DAO</t>
  </si>
  <si>
    <t xml:space="preserve">defi </t>
  </si>
  <si>
    <t>TEST-MATIC</t>
  </si>
  <si>
    <t>YD - Harvest - oBTC</t>
  </si>
  <si>
    <t>Governance Sales</t>
  </si>
  <si>
    <t>Truefi Borrows Account</t>
  </si>
  <si>
    <t>DD - Liquity - LUSD</t>
  </si>
  <si>
    <t>TEST-ARBITRUM</t>
  </si>
  <si>
    <t>TEST-FANTOM</t>
  </si>
  <si>
    <t>DD-Yearn-LINK</t>
  </si>
  <si>
    <t>DD-SHIBASWAP-WBTC</t>
  </si>
  <si>
    <t>DD-NOTIONAL-ETH</t>
  </si>
  <si>
    <t>DD-NOTIONAL-WBTC</t>
  </si>
  <si>
    <t>YD - Curve - BBTC</t>
  </si>
  <si>
    <t>Bufords</t>
  </si>
  <si>
    <t>TEST-AVALANCHE</t>
  </si>
  <si>
    <t>Test Avalanche 2</t>
  </si>
  <si>
    <t>TEST-SYNTHETIX</t>
  </si>
  <si>
    <t>DD-Elrond-EGLD</t>
  </si>
  <si>
    <t>FTX - Borrow</t>
  </si>
  <si>
    <t>YD - BADGER - byvWBTC</t>
  </si>
  <si>
    <t>Banker Joe LINK</t>
  </si>
  <si>
    <t>CREAM</t>
  </si>
  <si>
    <t>Deployment - 1INCH</t>
  </si>
  <si>
    <t>DD - MATIC-HEZ Arb</t>
  </si>
  <si>
    <t>MATIC Test Account</t>
  </si>
  <si>
    <t>Deployment Team - Misc (OLD DO NOT USE)</t>
  </si>
  <si>
    <t>ALCX</t>
  </si>
  <si>
    <t>ALICE</t>
  </si>
  <si>
    <t>KIN</t>
  </si>
  <si>
    <t>LRC</t>
  </si>
  <si>
    <t>Liquidty Tier</t>
  </si>
  <si>
    <t>Cumulative %</t>
  </si>
  <si>
    <t>Definition</t>
  </si>
  <si>
    <t>Instant</t>
  </si>
  <si>
    <t>Up to 24 hours</t>
  </si>
  <si>
    <t>Up to 3 Days</t>
  </si>
  <si>
    <t>Up to 7 Days</t>
  </si>
  <si>
    <t>Over 7 Days</t>
  </si>
  <si>
    <t xml:space="preserve">Estimated weekly P&amp;L </t>
  </si>
  <si>
    <t>Total deployement revenue</t>
  </si>
  <si>
    <t>Cost</t>
  </si>
  <si>
    <t>return on posted collteral</t>
  </si>
  <si>
    <t>adjutment for net position</t>
  </si>
  <si>
    <t>Total costs</t>
  </si>
  <si>
    <t>Mining proceeds</t>
  </si>
  <si>
    <t>BTC/week</t>
  </si>
  <si>
    <t>price</t>
  </si>
  <si>
    <t>Loan amount</t>
  </si>
  <si>
    <t>loan amount $</t>
  </si>
  <si>
    <t>Weekly Revenue</t>
  </si>
  <si>
    <t>Weekly income$</t>
  </si>
  <si>
    <t xml:space="preserve">Recived Coll. </t>
  </si>
  <si>
    <t>Recived Coll. $</t>
  </si>
  <si>
    <t>weekly TP $</t>
  </si>
  <si>
    <t>Tiers</t>
  </si>
  <si>
    <t>ALL Tiers</t>
  </si>
  <si>
    <t>Total USD Value</t>
  </si>
  <si>
    <t>Averaged APY</t>
  </si>
  <si>
    <t xml:space="preserve">Sum </t>
  </si>
  <si>
    <t>Liqudity Tier</t>
  </si>
  <si>
    <t>Total in $ terms</t>
  </si>
  <si>
    <t>Cummulative %</t>
  </si>
  <si>
    <t>Averaged APY %</t>
  </si>
  <si>
    <t>Overall</t>
  </si>
  <si>
    <t>Formulas using Pivot Data</t>
  </si>
  <si>
    <t>USD</t>
  </si>
  <si>
    <t>ALL</t>
  </si>
  <si>
    <t>NIM</t>
  </si>
  <si>
    <t>Total Percent</t>
  </si>
  <si>
    <t>Treasury</t>
  </si>
  <si>
    <t>SUM of USD Value</t>
  </si>
  <si>
    <t>AVERAGE of APY</t>
  </si>
  <si>
    <t>COUNTA of Coin</t>
  </si>
  <si>
    <t>SUM of APY</t>
  </si>
  <si>
    <t>CEL Treasury Total</t>
  </si>
  <si>
    <t>CEL Users Total</t>
  </si>
  <si>
    <t>AAVE Deployment / Staking Total</t>
  </si>
  <si>
    <t>Benqi - LINK Total</t>
  </si>
  <si>
    <t>DD - Badger - tBTC Total</t>
  </si>
  <si>
    <t>DD - Convex - tBTC Total</t>
  </si>
  <si>
    <t>DD - Convex - tricrypto2 II Total</t>
  </si>
  <si>
    <t>DD - Curve - rETH Total</t>
  </si>
  <si>
    <t>DD - FRAX - Convex Total</t>
  </si>
  <si>
    <t>DD - Liquity - LUSD Total</t>
  </si>
  <si>
    <t>DD - Vesper - vUNI Total</t>
  </si>
  <si>
    <t>DD-ABRA-FTT Total</t>
  </si>
  <si>
    <t>DD-CONVEX-ALETH Total</t>
  </si>
  <si>
    <t>DD-CONVEX-ALUSD Total</t>
  </si>
  <si>
    <t>DD-DEFROST-H2O3CRV Total</t>
  </si>
  <si>
    <t>DD-NOTIONAL-ETH Total</t>
  </si>
  <si>
    <t>DD-NOTIONAL-WBTC Total</t>
  </si>
  <si>
    <t>DD-SHIBASWAP-WBTC Total</t>
  </si>
  <si>
    <t>DD-Yearn-LINK Total</t>
  </si>
  <si>
    <t>DD-Yearn-WBTC Total</t>
  </si>
  <si>
    <t>Deployment - Alpha Total</t>
  </si>
  <si>
    <t>Deployment - Curve Total</t>
  </si>
  <si>
    <t>Deployment - TrueFi Total</t>
  </si>
  <si>
    <t>Governance Sales Total</t>
  </si>
  <si>
    <t>KNC Migration Total</t>
  </si>
  <si>
    <t>Maple Finance Total</t>
  </si>
  <si>
    <t>OmniMan1 Total</t>
  </si>
  <si>
    <t>OmniMan2 Total</t>
  </si>
  <si>
    <t>Reward Desk Total</t>
  </si>
  <si>
    <t>Sushi Staking Total</t>
  </si>
  <si>
    <t>TEST-FANTOM Total</t>
  </si>
  <si>
    <t>Truefi Borrows Account Total</t>
  </si>
  <si>
    <t>YD - AlphaHv2 Total</t>
  </si>
  <si>
    <t>YD - Badger - bBTC Total</t>
  </si>
  <si>
    <t>YD - Badger - OBTC Total</t>
  </si>
  <si>
    <t>YD - Badger - PBTC Total</t>
  </si>
  <si>
    <t>YD - Badger - renBTC Total</t>
  </si>
  <si>
    <t>YD - Badger - SBTC Total</t>
  </si>
  <si>
    <t>YD - Convex - LUSD Total</t>
  </si>
  <si>
    <t>YD - Convex - renBTC Total</t>
  </si>
  <si>
    <t>YD - Convex - tricrypto2 Total</t>
  </si>
  <si>
    <t>YD - Convex/Badger - hBTC Total</t>
  </si>
  <si>
    <t>YD - Curve - BBTC Total</t>
  </si>
  <si>
    <t>YD - Curve - BUSDv2 Total</t>
  </si>
  <si>
    <t>YD - Curve - pBTC Total</t>
  </si>
  <si>
    <t>YD - Curve - sETH Total</t>
  </si>
  <si>
    <t>YD - Curve - SLINK Total</t>
  </si>
  <si>
    <t>YD - Curve - stETH Total</t>
  </si>
  <si>
    <t>YD - Curve/Convex - AnkrETH Total</t>
  </si>
  <si>
    <t>YD - Harvest - HBTC Total</t>
  </si>
  <si>
    <t>YD - Harvest - oBTC Total</t>
  </si>
  <si>
    <t>YD - Harvest - renBTC Total</t>
  </si>
  <si>
    <t>YD - Keeper - ETH Total</t>
  </si>
  <si>
    <t>YD - Vesper - vETH Total</t>
  </si>
  <si>
    <t>YD - Vesper - vLINK Total</t>
  </si>
  <si>
    <t>YD - Vesper - vWBTC Total</t>
  </si>
  <si>
    <t>YD - Yearn - crvPBTC Total</t>
  </si>
  <si>
    <t>Yield Desk - Badger Total</t>
  </si>
  <si>
    <t>Yield Desk - Bancor Total</t>
  </si>
  <si>
    <t>YieldDesk_Main Total</t>
  </si>
  <si>
    <t>Defi Total</t>
  </si>
  <si>
    <t>TEST-ARBITRUM Total</t>
  </si>
  <si>
    <t>TEST-MATIC Total</t>
  </si>
  <si>
    <t>defi  Total</t>
  </si>
  <si>
    <t>EAM - Balances Total</t>
  </si>
  <si>
    <t>EAM   Total</t>
  </si>
  <si>
    <t>BITFINEX Total</t>
  </si>
  <si>
    <t>COINBASEPRO Total</t>
  </si>
  <si>
    <t>DERIBIT Total</t>
  </si>
  <si>
    <t>Deribit - API Total</t>
  </si>
  <si>
    <t>FTX - Brad Total</t>
  </si>
  <si>
    <t>FTX - CnC Total</t>
  </si>
  <si>
    <t>FTX - Directional Trading 2 Total</t>
  </si>
  <si>
    <t>FTX - TEAM Directional Total</t>
  </si>
  <si>
    <t>LIQUID Total</t>
  </si>
  <si>
    <t>Synthetix + Hedge Total</t>
  </si>
  <si>
    <t>Exchange Total</t>
  </si>
  <si>
    <t>Loans Out Total</t>
  </si>
  <si>
    <t>Institutional Loans Total</t>
  </si>
  <si>
    <t>Mining Total</t>
  </si>
  <si>
    <t>DD-Anchor-Tera Total</t>
  </si>
  <si>
    <t>MATIC Staking 10 Total</t>
  </si>
  <si>
    <t>MATIC Staking 8 Total</t>
  </si>
  <si>
    <t>MATIC Staking 9 Total</t>
  </si>
  <si>
    <t>N/A Total</t>
  </si>
  <si>
    <t>FTX - Kairon2 Total</t>
  </si>
  <si>
    <t>Operational Total</t>
  </si>
  <si>
    <t>Others - Asset Total</t>
  </si>
  <si>
    <t>Other Total</t>
  </si>
  <si>
    <t>Celsius Borrows Account Total</t>
  </si>
  <si>
    <t>Maker Borrows Vault Total</t>
  </si>
  <si>
    <t>Posted Collateral Total</t>
  </si>
  <si>
    <t>Loans Total</t>
  </si>
  <si>
    <t>Retail Loans Total</t>
  </si>
  <si>
    <t>BlockDemon ETH Staking Total</t>
  </si>
  <si>
    <t>Direct Staking Total</t>
  </si>
  <si>
    <t>FTX - cel_staking Total</t>
  </si>
  <si>
    <t>MATIC Staking 7 Total</t>
  </si>
  <si>
    <t>Stakehound Total</t>
  </si>
  <si>
    <t>Staking Total</t>
  </si>
  <si>
    <t>Grayscale Total</t>
  </si>
  <si>
    <t>Osprey Total</t>
  </si>
  <si>
    <t>Trust Total</t>
  </si>
  <si>
    <t>Bank - Balances Total</t>
  </si>
  <si>
    <t>Celsius Network Total</t>
  </si>
  <si>
    <t>Celsius Network Finance Total</t>
  </si>
  <si>
    <t>Celsius Network System Total</t>
  </si>
  <si>
    <t>Celsius OTC Total</t>
  </si>
  <si>
    <t>FTX - CEL Total</t>
  </si>
  <si>
    <t>FTX - DeFi Total</t>
  </si>
  <si>
    <t>FTX - Grayscale Total</t>
  </si>
  <si>
    <t>FTX - Kairon Total</t>
  </si>
  <si>
    <t>FTX - Main Account Total</t>
  </si>
  <si>
    <t>FTX - Management Total</t>
  </si>
  <si>
    <t>Network Deposits Total</t>
  </si>
  <si>
    <t>PrimeTrust Total</t>
  </si>
  <si>
    <t>undeployed Total</t>
  </si>
  <si>
    <t>FTX - Jacob Total</t>
  </si>
  <si>
    <t>Overcollaterized - Aave V2 Total</t>
  </si>
  <si>
    <t>Overcollaterized - Compound Total</t>
  </si>
  <si>
    <t>Underdeployed Total</t>
  </si>
  <si>
    <t>Grand Total</t>
  </si>
  <si>
    <t>Coin_Tier_1</t>
  </si>
  <si>
    <t>Coin_Tier_2</t>
  </si>
  <si>
    <t>Coin_Tier_3</t>
  </si>
  <si>
    <t>Coin_Tier_4</t>
  </si>
  <si>
    <t>Coin_Tier_5</t>
  </si>
  <si>
    <t>APY_Tier_1</t>
  </si>
  <si>
    <t>APY_Tier_2</t>
  </si>
  <si>
    <t>APY_Tier_3</t>
  </si>
  <si>
    <t>APY_Tier_4</t>
  </si>
  <si>
    <t>APY_Tier_5</t>
  </si>
  <si>
    <t>SGA</t>
  </si>
  <si>
    <t>SGB</t>
  </si>
  <si>
    <t>SPARK</t>
  </si>
  <si>
    <t>TRX</t>
  </si>
  <si>
    <t>Price</t>
  </si>
  <si>
    <t>alUSD</t>
  </si>
  <si>
    <t>BUSD</t>
  </si>
  <si>
    <t>GUSD</t>
  </si>
  <si>
    <t>LUSD</t>
  </si>
  <si>
    <t>LUSD Curve</t>
  </si>
  <si>
    <t>MCDAI</t>
  </si>
  <si>
    <t>PAX</t>
  </si>
  <si>
    <t>SUSD</t>
  </si>
  <si>
    <t>TUSD</t>
  </si>
  <si>
    <t>USDC</t>
  </si>
  <si>
    <t>USDT ERC20</t>
  </si>
  <si>
    <t>ZUSD</t>
  </si>
  <si>
    <t>SLRS</t>
  </si>
  <si>
    <t>BVOL</t>
  </si>
  <si>
    <t>Impermanent_loss_hedge__RonSabo</t>
  </si>
  <si>
    <t>Hedge_Options</t>
  </si>
  <si>
    <t>FTX - Johannes</t>
  </si>
  <si>
    <t>Kraken Staking</t>
  </si>
  <si>
    <t>OKEX</t>
  </si>
  <si>
    <t>Deployment Team - Misc</t>
  </si>
  <si>
    <t>YD - Curve - renBTC</t>
  </si>
  <si>
    <t>Deployment - Vesper</t>
  </si>
  <si>
    <t>Yield Desk - Compound</t>
  </si>
  <si>
    <t>Deployment - Stable Coin Swaps</t>
  </si>
  <si>
    <t>Deployment Team - COMP supply</t>
  </si>
  <si>
    <t>Deployment- 1INCH Staking</t>
  </si>
  <si>
    <t>Convex: cvxBUSD3CRV-f</t>
  </si>
  <si>
    <t>FTX - LONG1</t>
  </si>
  <si>
    <t>YD - Curve - SBTC</t>
  </si>
  <si>
    <t>YD - Keeper - renBTC</t>
  </si>
  <si>
    <t>Deployment - 1INCH Staking (testing)</t>
  </si>
  <si>
    <t>TEST AVALANCHE 2</t>
  </si>
  <si>
    <t>1.0</t>
  </si>
  <si>
    <t>4.0</t>
  </si>
  <si>
    <t>5.0</t>
  </si>
  <si>
    <t>2.0</t>
  </si>
  <si>
    <t>Default</t>
  </si>
  <si>
    <t>wBTC (Y/N)</t>
  </si>
  <si>
    <t>N</t>
  </si>
  <si>
    <t>Y</t>
  </si>
  <si>
    <t xml:space="preserve">Y  </t>
  </si>
  <si>
    <t>n</t>
  </si>
  <si>
    <t>EGLD</t>
  </si>
  <si>
    <t>FRAX</t>
  </si>
  <si>
    <t>RENBTC</t>
  </si>
  <si>
    <t>SBTC</t>
  </si>
  <si>
    <t>check</t>
  </si>
  <si>
    <t>Collateral</t>
  </si>
  <si>
    <t>User Collateral</t>
  </si>
  <si>
    <t>Inst Collateral</t>
  </si>
  <si>
    <t>User Collateral USD Value</t>
  </si>
  <si>
    <t>Inst Collateral USD Value</t>
  </si>
  <si>
    <t>Net Assets Total</t>
  </si>
  <si>
    <t>Net Liabilities Total</t>
  </si>
  <si>
    <t>Net position</t>
  </si>
  <si>
    <t>net position [USD]</t>
  </si>
  <si>
    <t>Cof</t>
  </si>
  <si>
    <t>Annual Cost of net position</t>
  </si>
  <si>
    <t>weekly cost of net position</t>
  </si>
  <si>
    <t>Earnings</t>
  </si>
  <si>
    <t>NET</t>
  </si>
  <si>
    <t>Transfer Pricing</t>
  </si>
  <si>
    <t>Weekly Loss</t>
  </si>
  <si>
    <t>Coin  Deployed</t>
  </si>
  <si>
    <t>Coin Price</t>
  </si>
  <si>
    <t>Amount Deployed</t>
  </si>
  <si>
    <t>Amount Taken In</t>
  </si>
  <si>
    <t>Net</t>
  </si>
  <si>
    <t>Rate</t>
  </si>
  <si>
    <t>Net amount charged Weekly</t>
  </si>
  <si>
    <t>Earnings Rate</t>
  </si>
  <si>
    <t>Weekly Earnings</t>
  </si>
  <si>
    <t>NET PROFIT - Weekly</t>
  </si>
  <si>
    <t>Net Profit $$$</t>
  </si>
  <si>
    <t>Desk</t>
  </si>
  <si>
    <t xml:space="preserve">Weekly Gain / Loss </t>
  </si>
  <si>
    <t>Amount of Assets</t>
  </si>
  <si>
    <t>Net Earning %</t>
  </si>
  <si>
    <t>Inst Lending</t>
  </si>
  <si>
    <t>Retail lending</t>
  </si>
  <si>
    <t>EAM</t>
  </si>
  <si>
    <t>Cefi</t>
  </si>
  <si>
    <t>Treasury P&amp;L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</si>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</sst>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&quot;$&quot;#,##0"/>
    <numFmt numFmtId="165" formatCode="_(&quot;$&quot;* #,##0_);_(&quot;$&quot;* \(#,##0\);_(&quot;$&quot;* &quot;-&quot;??_);_(@_)"/>
    <numFmt numFmtId="166" formatCode="&quot;$&quot;#,##0.0"/>
    <numFmt numFmtId="167" formatCode="_(&quot;$&quot;* #,##0.00_);_(&quot;$&quot;* \(#,##0.00\);_(&quot;$&quot;* &quot;-&quot;??_);_(@_)"/>
    <numFmt numFmtId="168" formatCode="&quot;$&quot;#,##0.000"/>
    <numFmt numFmtId="169" formatCode="&quot;$&quot;#,##0.00"/>
    <numFmt numFmtId="170" formatCode="#,##0;(#,##0)"/>
    <numFmt numFmtId="171" formatCode="0.000%"/>
    <numFmt numFmtId="172" formatCode="&quot;$&quot;#,##0.0000"/>
  </numFmts>
  <fonts count="23">
    <font>
      <sz val="11.0"/>
      <color theme="1"/>
      <name val="Arial"/>
    </font>
    <font>
      <b/>
      <sz val="9.0"/>
      <color rgb="FF666666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rgb="FF000000"/>
      <name val="Inconsolata"/>
    </font>
    <font>
      <b/>
      <color theme="1"/>
      <name val="Calibri"/>
    </font>
    <font>
      <b/>
      <sz val="11.0"/>
      <color rgb="FF000000"/>
      <name val="Inconsolata"/>
    </font>
    <font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i/>
      <color theme="1"/>
      <name val="Calibri"/>
    </font>
    <font>
      <i/>
      <sz val="11.0"/>
      <color theme="1"/>
      <name val="Calibri"/>
    </font>
    <font>
      <b/>
      <sz val="11.0"/>
      <color rgb="FFFF0000"/>
      <name val="Calibri"/>
    </font>
    <font>
      <sz val="11.0"/>
      <color theme="1"/>
      <name val="Calibri"/>
    </font>
    <font>
      <b/>
      <sz val="11.0"/>
      <color theme="1"/>
      <name val="Arial"/>
    </font>
    <font>
      <sz val="11.0"/>
      <color rgb="FFF7981D"/>
      <name val="Inconsolata"/>
    </font>
    <font>
      <sz val="11.0"/>
      <color rgb="FF000000"/>
      <name val="Calibri"/>
    </font>
    <font>
      <b/>
      <color rgb="FF000000"/>
      <name val="Arial"/>
    </font>
    <font>
      <b/>
      <i/>
      <sz val="11.0"/>
      <color theme="1"/>
      <name val="Arial"/>
    </font>
    <font>
      <i/>
      <sz val="11.0"/>
      <color theme="1"/>
      <name val="Arial"/>
    </font>
    <font/>
    <font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</border>
    <border>
      <left style="thin">
        <color rgb="FFFFFFFF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FFFFFF"/>
      </top>
    </border>
    <border>
      <left style="thin">
        <color rgb="FF999999"/>
      </lef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FFFFFF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readingOrder="0" shrinkToFit="0" wrapText="1"/>
    </xf>
    <xf borderId="1" fillId="0" fontId="2" numFmtId="10" xfId="0" applyAlignment="1" applyBorder="1" applyFont="1" applyNumberForma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165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164" xfId="0" applyBorder="1" applyFont="1" applyNumberFormat="1"/>
    <xf borderId="1" fillId="0" fontId="3" numFmtId="10" xfId="0" applyBorder="1" applyFont="1" applyNumberFormat="1"/>
    <xf borderId="1" fillId="0" fontId="3" numFmtId="49" xfId="0" applyAlignment="1" applyBorder="1" applyFont="1" applyNumberFormat="1">
      <alignment readingOrder="0"/>
    </xf>
    <xf borderId="0" fillId="2" fontId="4" numFmtId="165" xfId="0" applyFill="1" applyFont="1" applyNumberFormat="1"/>
    <xf borderId="0" fillId="2" fontId="4" numFmtId="164" xfId="0" applyAlignment="1" applyFont="1" applyNumberFormat="1">
      <alignment readingOrder="0"/>
    </xf>
    <xf borderId="0" fillId="0" fontId="3" numFmtId="0" xfId="0" applyFont="1"/>
    <xf borderId="0" fillId="0" fontId="3" numFmtId="166" xfId="0" applyFont="1" applyNumberFormat="1"/>
    <xf borderId="0" fillId="2" fontId="4" numFmtId="164" xfId="0" applyFont="1" applyNumberFormat="1"/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2" fontId="4" numFmtId="165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0" fillId="0" fontId="5" numFmtId="0" xfId="0" applyFont="1"/>
    <xf borderId="0" fillId="2" fontId="6" numFmtId="165" xfId="0" applyFont="1" applyNumberFormat="1"/>
    <xf borderId="0" fillId="2" fontId="6" numFmtId="164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6" xfId="0" applyFont="1" applyNumberFormat="1"/>
    <xf borderId="0" fillId="2" fontId="6" numFmtId="167" xfId="0" applyFont="1" applyNumberFormat="1"/>
    <xf borderId="0" fillId="2" fontId="4" numFmtId="167" xfId="0" applyFont="1" applyNumberFormat="1"/>
    <xf borderId="1" fillId="0" fontId="7" numFmtId="0" xfId="0" applyBorder="1" applyFont="1"/>
    <xf borderId="1" fillId="0" fontId="7" numFmtId="164" xfId="0" applyBorder="1" applyFont="1" applyNumberFormat="1"/>
    <xf borderId="1" fillId="0" fontId="7" numFmtId="10" xfId="0" applyBorder="1" applyFont="1" applyNumberFormat="1"/>
    <xf borderId="1" fillId="0" fontId="2" numFmtId="164" xfId="0" applyAlignment="1" applyBorder="1" applyFont="1" applyNumberFormat="1">
      <alignment readingOrder="0"/>
    </xf>
    <xf borderId="1" fillId="0" fontId="2" numFmtId="164" xfId="0" applyBorder="1" applyFont="1" applyNumberFormat="1"/>
    <xf borderId="1" fillId="0" fontId="2" numFmtId="10" xfId="0" applyBorder="1" applyFont="1" applyNumberFormat="1"/>
    <xf borderId="1" fillId="0" fontId="2" numFmtId="0" xfId="0" applyAlignment="1" applyBorder="1" applyFont="1">
      <alignment horizontal="center" readingOrder="0"/>
    </xf>
    <xf borderId="0" fillId="0" fontId="7" numFmtId="164" xfId="0" applyFont="1" applyNumberFormat="1"/>
    <xf borderId="0" fillId="0" fontId="7" numFmtId="10" xfId="0" applyFont="1" applyNumberFormat="1"/>
    <xf borderId="0" fillId="0" fontId="5" numFmtId="10" xfId="0" applyFont="1" applyNumberFormat="1"/>
    <xf borderId="0" fillId="0" fontId="8" numFmtId="0" xfId="0" applyAlignment="1" applyFont="1">
      <alignment readingOrder="0"/>
    </xf>
    <xf borderId="0" fillId="0" fontId="9" numFmtId="164" xfId="0" applyAlignment="1" applyFont="1" applyNumberFormat="1">
      <alignment readingOrder="0" shrinkToFit="0" wrapText="1"/>
    </xf>
    <xf borderId="0" fillId="0" fontId="2" numFmtId="10" xfId="0" applyAlignment="1" applyFont="1" applyNumberFormat="1">
      <alignment readingOrder="0" shrinkToFit="0" wrapText="1"/>
    </xf>
    <xf borderId="0" fillId="0" fontId="7" numFmtId="165" xfId="0" applyFont="1" applyNumberFormat="1"/>
    <xf borderId="2" fillId="3" fontId="2" numFmtId="164" xfId="0" applyAlignment="1" applyBorder="1" applyFill="1" applyFont="1" applyNumberFormat="1">
      <alignment readingOrder="0"/>
    </xf>
    <xf borderId="3" fillId="3" fontId="2" numFmtId="165" xfId="0" applyAlignment="1" applyBorder="1" applyFont="1" applyNumberFormat="1">
      <alignment readingOrder="0" shrinkToFit="0" wrapText="1"/>
    </xf>
    <xf borderId="4" fillId="3" fontId="10" numFmtId="0" xfId="0" applyAlignment="1" applyBorder="1" applyFont="1">
      <alignment readingOrder="0"/>
    </xf>
    <xf borderId="5" fillId="3" fontId="11" numFmtId="165" xfId="0" applyAlignment="1" applyBorder="1" applyFont="1" applyNumberFormat="1">
      <alignment readingOrder="0" shrinkToFit="0" wrapText="1"/>
    </xf>
    <xf borderId="4" fillId="3" fontId="7" numFmtId="0" xfId="0" applyAlignment="1" applyBorder="1" applyFont="1">
      <alignment readingOrder="0"/>
    </xf>
    <xf borderId="5" fillId="3" fontId="12" numFmtId="165" xfId="0" applyAlignment="1" applyBorder="1" applyFont="1" applyNumberFormat="1">
      <alignment readingOrder="0" shrinkToFit="0" wrapText="1"/>
    </xf>
    <xf borderId="0" fillId="0" fontId="7" numFmtId="168" xfId="0" applyAlignment="1" applyFont="1" applyNumberFormat="1">
      <alignment readingOrder="0"/>
    </xf>
    <xf borderId="5" fillId="3" fontId="7" numFmtId="165" xfId="0" applyBorder="1" applyFont="1" applyNumberFormat="1"/>
    <xf borderId="6" fillId="3" fontId="7" numFmtId="0" xfId="0" applyAlignment="1" applyBorder="1" applyFont="1">
      <alignment readingOrder="0"/>
    </xf>
    <xf borderId="7" fillId="3" fontId="12" numFmtId="165" xfId="0" applyBorder="1" applyFont="1" applyNumberFormat="1"/>
    <xf borderId="8" fillId="0" fontId="7" numFmtId="168" xfId="0" applyAlignment="1" applyBorder="1" applyFont="1" applyNumberFormat="1">
      <alignment readingOrder="0"/>
    </xf>
    <xf borderId="1" fillId="0" fontId="3" numFmtId="169" xfId="0" applyBorder="1" applyFont="1" applyNumberFormat="1"/>
    <xf borderId="0" fillId="0" fontId="7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0" xfId="0" applyAlignment="1" applyFont="1" applyNumberFormat="1">
      <alignment readingOrder="0"/>
    </xf>
    <xf borderId="0" fillId="0" fontId="13" numFmtId="0" xfId="0" applyAlignment="1" applyFont="1">
      <alignment readingOrder="0" shrinkToFit="0" wrapText="1"/>
    </xf>
    <xf borderId="0" fillId="0" fontId="13" numFmtId="4" xfId="0" applyAlignment="1" applyFont="1" applyNumberFormat="1">
      <alignment readingOrder="0" shrinkToFit="0" wrapText="1"/>
    </xf>
    <xf borderId="0" fillId="0" fontId="13" numFmtId="164" xfId="0" applyAlignment="1" applyFont="1" applyNumberFormat="1">
      <alignment readingOrder="0" shrinkToFit="0" wrapText="1"/>
    </xf>
    <xf borderId="0" fillId="0" fontId="13" numFmtId="10" xfId="0" applyAlignment="1" applyFont="1" applyNumberFormat="1">
      <alignment readingOrder="0" shrinkToFit="0" wrapText="1"/>
    </xf>
    <xf borderId="0" fillId="0" fontId="13" numFmtId="170" xfId="0" applyAlignment="1" applyFont="1" applyNumberForma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7" numFmtId="0" xfId="0" applyFont="1"/>
    <xf borderId="0" fillId="0" fontId="3" numFmtId="4" xfId="0" applyFont="1" applyNumberFormat="1"/>
    <xf borderId="0" fillId="0" fontId="3" numFmtId="10" xfId="0" applyFont="1" applyNumberFormat="1"/>
    <xf borderId="0" fillId="0" fontId="3" numFmtId="170" xfId="0" applyFont="1" applyNumberFormat="1"/>
    <xf borderId="0" fillId="0" fontId="7" numFmtId="171" xfId="0" applyFont="1" applyNumberFormat="1"/>
    <xf borderId="0" fillId="4" fontId="7" numFmtId="164" xfId="0" applyFill="1" applyFont="1" applyNumberFormat="1"/>
    <xf borderId="0" fillId="0" fontId="7" numFmtId="4" xfId="0" applyFont="1" applyNumberFormat="1"/>
    <xf borderId="0" fillId="0" fontId="7" numFmtId="170" xfId="0" applyFont="1" applyNumberFormat="1"/>
    <xf borderId="0" fillId="5" fontId="7" numFmtId="0" xfId="0" applyAlignment="1" applyFill="1" applyFont="1">
      <alignment readingOrder="0"/>
    </xf>
    <xf borderId="0" fillId="0" fontId="7" numFmtId="3" xfId="0" applyFont="1" applyNumberFormat="1"/>
    <xf borderId="0" fillId="0" fontId="7" numFmtId="3" xfId="0" applyAlignment="1" applyFont="1" applyNumberFormat="1">
      <alignment readingOrder="0"/>
    </xf>
    <xf borderId="0" fillId="0" fontId="14" numFmtId="0" xfId="0" applyAlignment="1" applyFont="1">
      <alignment horizontal="center" readingOrder="0" vertical="top"/>
    </xf>
    <xf borderId="1" fillId="0" fontId="14" numFmtId="0" xfId="0" applyAlignment="1" applyBorder="1" applyFont="1">
      <alignment horizontal="center" readingOrder="0" vertical="top"/>
    </xf>
    <xf borderId="1" fillId="0" fontId="14" numFmtId="4" xfId="0" applyAlignment="1" applyBorder="1" applyFont="1" applyNumberFormat="1">
      <alignment horizontal="center" readingOrder="0" vertical="top"/>
    </xf>
    <xf borderId="1" fillId="0" fontId="14" numFmtId="10" xfId="0" applyAlignment="1" applyBorder="1" applyFont="1" applyNumberFormat="1">
      <alignment horizontal="center" readingOrder="0" vertical="top"/>
    </xf>
    <xf borderId="0" fillId="0" fontId="7" numFmtId="169" xfId="0" applyFont="1" applyNumberFormat="1"/>
    <xf borderId="1" fillId="0" fontId="5" numFmtId="0" xfId="0" applyAlignment="1" applyBorder="1" applyFont="1">
      <alignment readingOrder="0"/>
    </xf>
    <xf borderId="1" fillId="0" fontId="5" numFmtId="3" xfId="0" applyAlignment="1" applyBorder="1" applyFont="1" applyNumberFormat="1">
      <alignment readingOrder="0"/>
    </xf>
    <xf borderId="1" fillId="0" fontId="5" numFmtId="164" xfId="0" applyAlignment="1" applyBorder="1" applyFont="1" applyNumberFormat="1">
      <alignment readingOrder="0"/>
    </xf>
    <xf borderId="1" fillId="0" fontId="7" numFmtId="3" xfId="0" applyBorder="1" applyFont="1" applyNumberFormat="1"/>
    <xf borderId="1" fillId="2" fontId="4" numFmtId="10" xfId="0" applyBorder="1" applyFont="1" applyNumberFormat="1"/>
    <xf borderId="1" fillId="0" fontId="7" numFmtId="0" xfId="0" applyAlignment="1" applyBorder="1" applyFont="1">
      <alignment readingOrder="0"/>
    </xf>
    <xf borderId="1" fillId="0" fontId="5" numFmtId="3" xfId="0" applyBorder="1" applyFont="1" applyNumberFormat="1"/>
    <xf borderId="1" fillId="0" fontId="5" numFmtId="10" xfId="0" applyBorder="1" applyFont="1" applyNumberFormat="1"/>
    <xf borderId="0" fillId="0" fontId="7" numFmtId="4" xfId="0" applyAlignment="1" applyFont="1" applyNumberFormat="1">
      <alignment readingOrder="0"/>
    </xf>
    <xf borderId="0" fillId="0" fontId="7" numFmtId="172" xfId="0" applyFont="1" applyNumberFormat="1"/>
    <xf borderId="1" fillId="0" fontId="14" numFmtId="172" xfId="0" applyAlignment="1" applyBorder="1" applyFont="1" applyNumberFormat="1">
      <alignment horizontal="center" readingOrder="0" vertical="top"/>
    </xf>
    <xf borderId="1" fillId="0" fontId="14" numFmtId="169" xfId="0" applyAlignment="1" applyBorder="1" applyFont="1" applyNumberFormat="1">
      <alignment horizontal="center" readingOrder="0" vertical="top"/>
    </xf>
    <xf borderId="0" fillId="0" fontId="7" numFmtId="169" xfId="0" applyAlignment="1" applyFont="1" applyNumberFormat="1">
      <alignment readingOrder="0"/>
    </xf>
    <xf borderId="0" fillId="0" fontId="13" numFmtId="0" xfId="0" applyAlignment="1" applyFont="1">
      <alignment readingOrder="0" vertical="bottom"/>
    </xf>
    <xf quotePrefix="1" borderId="0" fillId="0" fontId="13" numFmtId="0" xfId="0" applyAlignment="1" applyFont="1">
      <alignment readingOrder="0" vertical="bottom"/>
    </xf>
    <xf borderId="0" fillId="0" fontId="13" numFmtId="3" xfId="0" applyAlignment="1" applyFont="1" applyNumberFormat="1">
      <alignment readingOrder="0" vertical="bottom"/>
    </xf>
    <xf borderId="0" fillId="0" fontId="13" numFmtId="3" xfId="0" applyAlignment="1" applyFont="1" applyNumberFormat="1">
      <alignment horizontal="right" readingOrder="0" vertical="bottom"/>
    </xf>
    <xf borderId="0" fillId="0" fontId="13" numFmtId="10" xfId="0" applyAlignment="1" applyFont="1" applyNumberFormat="1">
      <alignment horizontal="right" readingOrder="0" vertical="bottom"/>
    </xf>
    <xf borderId="0" fillId="0" fontId="13" numFmtId="0" xfId="0" applyAlignment="1" applyFont="1">
      <alignment horizontal="right" readingOrder="0" vertical="bottom"/>
    </xf>
    <xf borderId="0" fillId="0" fontId="13" numFmtId="164" xfId="0" applyAlignment="1" applyFont="1" applyNumberFormat="1">
      <alignment horizontal="right" readingOrder="0" vertical="bottom"/>
    </xf>
    <xf borderId="0" fillId="0" fontId="13" numFmtId="169" xfId="0" applyAlignment="1" applyFont="1" applyNumberFormat="1">
      <alignment horizontal="right" readingOrder="0" vertical="bottom"/>
    </xf>
    <xf borderId="0" fillId="0" fontId="13" numFmtId="10" xfId="0" applyAlignment="1" applyFont="1" applyNumberFormat="1">
      <alignment readingOrder="0" vertical="bottom"/>
    </xf>
    <xf borderId="0" fillId="0" fontId="13" numFmtId="164" xfId="0" applyAlignment="1" applyFont="1" applyNumberFormat="1">
      <alignment readingOrder="0" vertical="bottom"/>
    </xf>
    <xf borderId="0" fillId="0" fontId="13" numFmtId="169" xfId="0" applyAlignment="1" applyFont="1" applyNumberFormat="1">
      <alignment readingOrder="0" vertical="bottom"/>
    </xf>
    <xf borderId="0" fillId="0" fontId="13" numFmtId="165" xfId="0" applyAlignment="1" applyFont="1" applyNumberFormat="1">
      <alignment horizontal="right" readingOrder="0" vertical="bottom"/>
    </xf>
    <xf borderId="0" fillId="0" fontId="13" numFmtId="165" xfId="0" applyAlignment="1" applyFont="1" applyNumberFormat="1">
      <alignment readingOrder="0" vertical="bottom"/>
    </xf>
    <xf borderId="0" fillId="0" fontId="13" numFmtId="0" xfId="0" applyAlignment="1" applyFont="1">
      <alignment readingOrder="0" vertical="bottom"/>
    </xf>
    <xf borderId="0" fillId="0" fontId="7" numFmtId="167" xfId="0" applyFont="1" applyNumberFormat="1"/>
    <xf borderId="0" fillId="2" fontId="15" numFmtId="0" xfId="0" applyFont="1"/>
    <xf borderId="0" fillId="0" fontId="13" numFmtId="0" xfId="0" applyAlignment="1" applyFont="1">
      <alignment vertical="bottom"/>
    </xf>
    <xf borderId="0" fillId="0" fontId="13" numFmtId="3" xfId="0" applyAlignment="1" applyFont="1" applyNumberFormat="1">
      <alignment vertical="bottom"/>
    </xf>
    <xf borderId="0" fillId="0" fontId="13" numFmtId="10" xfId="0" applyAlignment="1" applyFont="1" applyNumberFormat="1">
      <alignment vertical="bottom"/>
    </xf>
    <xf borderId="0" fillId="0" fontId="13" numFmtId="164" xfId="0" applyAlignment="1" applyFont="1" applyNumberFormat="1">
      <alignment vertical="bottom"/>
    </xf>
    <xf borderId="0" fillId="0" fontId="13" numFmtId="3" xfId="0" applyAlignment="1" applyFont="1" applyNumberFormat="1">
      <alignment horizontal="right" vertical="bottom"/>
    </xf>
    <xf borderId="0" fillId="0" fontId="13" numFmtId="10" xfId="0" applyAlignment="1" applyFont="1" applyNumberFormat="1">
      <alignment horizontal="right" vertical="bottom"/>
    </xf>
    <xf borderId="0" fillId="0" fontId="13" numFmtId="164" xfId="0" applyAlignment="1" applyFont="1" applyNumberFormat="1">
      <alignment horizontal="right" vertical="bottom"/>
    </xf>
    <xf borderId="0" fillId="0" fontId="13" numFmtId="0" xfId="0" applyAlignment="1" applyFont="1">
      <alignment horizontal="right" vertical="bottom"/>
    </xf>
    <xf borderId="1" fillId="0" fontId="2" numFmtId="10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3" xfId="0" applyBorder="1" applyFont="1" applyNumberFormat="1"/>
    <xf borderId="1" fillId="0" fontId="2" numFmtId="3" xfId="0" applyAlignment="1" applyBorder="1" applyFont="1" applyNumberFormat="1">
      <alignment readingOrder="0"/>
    </xf>
    <xf borderId="0" fillId="0" fontId="16" numFmtId="3" xfId="0" applyAlignment="1" applyFont="1" applyNumberFormat="1">
      <alignment horizontal="center" readingOrder="0" shrinkToFit="0" vertical="bottom" wrapText="0"/>
    </xf>
    <xf borderId="0" fillId="0" fontId="17" numFmtId="164" xfId="0" applyAlignment="1" applyFont="1" applyNumberFormat="1">
      <alignment horizontal="right" readingOrder="0" shrinkToFit="0" vertical="bottom" wrapText="0"/>
    </xf>
    <xf borderId="0" fillId="0" fontId="16" numFmtId="3" xfId="0" applyAlignment="1" applyFont="1" applyNumberFormat="1">
      <alignment horizontal="center" readingOrder="0" shrinkToFit="0" wrapText="0"/>
    </xf>
    <xf borderId="0" fillId="0" fontId="17" numFmtId="3" xfId="0" applyAlignment="1" applyFont="1" applyNumberFormat="1">
      <alignment horizontal="right" readingOrder="0" shrinkToFit="0" vertical="bottom" wrapText="0"/>
    </xf>
    <xf borderId="0" fillId="2" fontId="13" numFmtId="3" xfId="0" applyAlignment="1" applyFont="1" applyNumberFormat="1">
      <alignment horizontal="center" readingOrder="0" shrinkToFit="0" wrapText="0"/>
    </xf>
    <xf borderId="0" fillId="0" fontId="7" numFmtId="165" xfId="0" applyAlignment="1" applyFont="1" applyNumberFormat="1">
      <alignment readingOrder="0"/>
    </xf>
    <xf borderId="0" fillId="0" fontId="7" numFmtId="170" xfId="0" applyAlignment="1" applyFont="1" applyNumberFormat="1">
      <alignment readingOrder="0"/>
    </xf>
    <xf borderId="0" fillId="2" fontId="4" numFmtId="10" xfId="0" applyFont="1" applyNumberFormat="1"/>
    <xf borderId="0" fillId="0" fontId="14" numFmtId="1" xfId="0" applyAlignment="1" applyFont="1" applyNumberFormat="1">
      <alignment horizontal="left"/>
    </xf>
    <xf borderId="0" fillId="0" fontId="14" numFmtId="1" xfId="0" applyAlignment="1" applyFont="1" applyNumberFormat="1">
      <alignment horizontal="center"/>
    </xf>
    <xf borderId="0" fillId="0" fontId="14" numFmtId="164" xfId="0" applyAlignment="1" applyFont="1" applyNumberFormat="1">
      <alignment horizont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0" xfId="0" applyAlignment="1" applyFont="1">
      <alignment horizontal="right"/>
    </xf>
    <xf borderId="0" fillId="0" fontId="0" numFmtId="10" xfId="0" applyAlignment="1" applyFont="1" applyNumberFormat="1">
      <alignment horizontal="center"/>
    </xf>
    <xf borderId="0" fillId="0" fontId="0" numFmtId="4" xfId="0" applyFont="1" applyNumberFormat="1"/>
    <xf borderId="0" fillId="0" fontId="0" numFmtId="164" xfId="0" applyFont="1" applyNumberFormat="1"/>
    <xf borderId="1" fillId="0" fontId="0" numFmtId="164" xfId="0" applyAlignment="1" applyBorder="1" applyFont="1" applyNumberFormat="1">
      <alignment horizontal="center"/>
    </xf>
    <xf borderId="1" fillId="0" fontId="0" numFmtId="0" xfId="0" applyAlignment="1" applyBorder="1" applyFont="1">
      <alignment horizontal="center"/>
    </xf>
    <xf borderId="1" fillId="0" fontId="0" numFmtId="3" xfId="0" applyAlignment="1" applyBorder="1" applyFont="1" applyNumberFormat="1">
      <alignment horizontal="center"/>
    </xf>
    <xf borderId="1" fillId="0" fontId="0" numFmtId="10" xfId="0" applyAlignment="1" applyBorder="1" applyFont="1" applyNumberFormat="1">
      <alignment horizontal="center"/>
    </xf>
    <xf borderId="9" fillId="6" fontId="18" numFmtId="164" xfId="0" applyBorder="1" applyFill="1" applyFont="1" applyNumberFormat="1"/>
    <xf borderId="10" fillId="6" fontId="18" numFmtId="164" xfId="0" applyAlignment="1" applyBorder="1" applyFont="1" applyNumberFormat="1">
      <alignment horizontal="center"/>
    </xf>
    <xf borderId="10" fillId="6" fontId="0" numFmtId="0" xfId="0" applyAlignment="1" applyBorder="1" applyFont="1">
      <alignment horizontal="center"/>
    </xf>
    <xf borderId="10" fillId="6" fontId="0" numFmtId="164" xfId="0" applyAlignment="1" applyBorder="1" applyFont="1" applyNumberFormat="1">
      <alignment horizontal="center"/>
    </xf>
    <xf borderId="11" fillId="6" fontId="18" numFmtId="10" xfId="0" applyAlignment="1" applyBorder="1" applyFont="1" applyNumberFormat="1">
      <alignment horizontal="center"/>
    </xf>
    <xf borderId="0" fillId="0" fontId="19" numFmtId="0" xfId="0" applyFont="1"/>
    <xf borderId="12" fillId="7" fontId="0" numFmtId="0" xfId="0" applyAlignment="1" applyBorder="1" applyFill="1" applyFont="1">
      <alignment horizontal="center"/>
    </xf>
    <xf borderId="13" fillId="0" fontId="20" numFmtId="0" xfId="0" applyBorder="1" applyFont="1"/>
    <xf borderId="14" fillId="0" fontId="20" numFmtId="0" xfId="0" applyBorder="1" applyFont="1"/>
    <xf borderId="15" fillId="0" fontId="0" numFmtId="10" xfId="0" applyAlignment="1" applyBorder="1" applyFont="1" applyNumberFormat="1">
      <alignment horizontal="center"/>
    </xf>
    <xf borderId="8" fillId="0" fontId="0" numFmtId="10" xfId="0" applyAlignment="1" applyBorder="1" applyFont="1" applyNumberFormat="1">
      <alignment horizontal="center"/>
    </xf>
    <xf borderId="16" fillId="0" fontId="0" numFmtId="10" xfId="0" applyAlignment="1" applyBorder="1" applyFont="1" applyNumberFormat="1">
      <alignment horizontal="center"/>
    </xf>
    <xf borderId="15" fillId="0" fontId="0" numFmtId="164" xfId="0" applyAlignment="1" applyBorder="1" applyFont="1" applyNumberFormat="1">
      <alignment horizontal="center"/>
    </xf>
    <xf borderId="8" fillId="0" fontId="0" numFmtId="164" xfId="0" applyAlignment="1" applyBorder="1" applyFont="1" applyNumberFormat="1">
      <alignment horizontal="center"/>
    </xf>
    <xf borderId="16" fillId="0" fontId="0" numFmtId="164" xfId="0" applyAlignment="1" applyBorder="1" applyFont="1" applyNumberFormat="1">
      <alignment horizontal="center"/>
    </xf>
    <xf borderId="17" fillId="0" fontId="0" numFmtId="10" xfId="0" applyAlignment="1" applyBorder="1" applyFont="1" applyNumberFormat="1">
      <alignment horizontal="center"/>
    </xf>
    <xf borderId="18" fillId="0" fontId="0" numFmtId="10" xfId="0" applyAlignment="1" applyBorder="1" applyFont="1" applyNumberFormat="1">
      <alignment horizontal="center"/>
    </xf>
    <xf borderId="17" fillId="0" fontId="0" numFmtId="164" xfId="0" applyAlignment="1" applyBorder="1" applyFont="1" applyNumberFormat="1">
      <alignment horizontal="center"/>
    </xf>
    <xf borderId="18" fillId="0" fontId="0" numFmtId="164" xfId="0" applyAlignment="1" applyBorder="1" applyFont="1" applyNumberFormat="1">
      <alignment horizontal="center"/>
    </xf>
    <xf borderId="19" fillId="0" fontId="0" numFmtId="10" xfId="0" applyAlignment="1" applyBorder="1" applyFont="1" applyNumberFormat="1">
      <alignment horizontal="center"/>
    </xf>
    <xf borderId="20" fillId="0" fontId="0" numFmtId="10" xfId="0" applyAlignment="1" applyBorder="1" applyFont="1" applyNumberFormat="1">
      <alignment horizontal="center"/>
    </xf>
    <xf borderId="21" fillId="0" fontId="0" numFmtId="10" xfId="0" applyAlignment="1" applyBorder="1" applyFont="1" applyNumberFormat="1">
      <alignment horizontal="center"/>
    </xf>
    <xf borderId="19" fillId="0" fontId="0" numFmtId="164" xfId="0" applyAlignment="1" applyBorder="1" applyFont="1" applyNumberFormat="1">
      <alignment horizontal="center"/>
    </xf>
    <xf borderId="20" fillId="0" fontId="0" numFmtId="164" xfId="0" applyAlignment="1" applyBorder="1" applyFont="1" applyNumberFormat="1">
      <alignment horizontal="center"/>
    </xf>
    <xf borderId="21" fillId="0" fontId="0" numFmtId="164" xfId="0" applyAlignment="1" applyBorder="1" applyFont="1" applyNumberFormat="1">
      <alignment horizontal="center"/>
    </xf>
    <xf borderId="22" fillId="0" fontId="0" numFmtId="0" xfId="0" applyBorder="1" applyFont="1"/>
    <xf borderId="23" fillId="0" fontId="0" numFmtId="0" xfId="0" applyBorder="1" applyFont="1"/>
    <xf borderId="24" fillId="0" fontId="0" numFmtId="0" xfId="0" applyBorder="1" applyFont="1"/>
    <xf borderId="25" fillId="0" fontId="0" numFmtId="0" xfId="0" applyBorder="1" applyFont="1"/>
    <xf borderId="26" fillId="0" fontId="0" numFmtId="4" xfId="0" applyBorder="1" applyFont="1" applyNumberFormat="1"/>
    <xf borderId="26" fillId="0" fontId="0" numFmtId="0" xfId="0" applyBorder="1" applyFont="1"/>
    <xf borderId="27" fillId="0" fontId="0" numFmtId="0" xfId="0" applyBorder="1" applyFont="1"/>
    <xf borderId="26" fillId="0" fontId="0" numFmtId="10" xfId="0" applyBorder="1" applyFont="1" applyNumberFormat="1"/>
    <xf borderId="27" fillId="0" fontId="0" numFmtId="10" xfId="0" applyBorder="1" applyFont="1" applyNumberFormat="1"/>
    <xf borderId="28" fillId="0" fontId="0" numFmtId="0" xfId="0" applyBorder="1" applyFont="1"/>
    <xf borderId="29" fillId="0" fontId="0" numFmtId="0" xfId="0" applyBorder="1" applyFont="1"/>
    <xf borderId="30" fillId="0" fontId="0" numFmtId="0" xfId="0" applyBorder="1" applyFont="1"/>
    <xf borderId="0" fillId="0" fontId="0" numFmtId="10" xfId="0" applyFont="1" applyNumberFormat="1"/>
    <xf borderId="30" fillId="0" fontId="0" numFmtId="10" xfId="0" applyBorder="1" applyFont="1" applyNumberFormat="1"/>
    <xf borderId="0" fillId="2" fontId="0" numFmtId="10" xfId="0" applyAlignment="1" applyFont="1" applyNumberFormat="1">
      <alignment horizontal="center" readingOrder="0" vertical="bottom"/>
    </xf>
    <xf borderId="0" fillId="0" fontId="0" numFmtId="164" xfId="0" applyFont="1" applyNumberFormat="1"/>
    <xf borderId="0" fillId="0" fontId="0" numFmtId="169" xfId="0" applyFont="1" applyNumberFormat="1"/>
    <xf borderId="26" fillId="0" fontId="0" numFmtId="164" xfId="0" applyBorder="1" applyFont="1" applyNumberFormat="1"/>
    <xf borderId="26" fillId="0" fontId="0" numFmtId="169" xfId="0" applyBorder="1" applyFont="1" applyNumberFormat="1"/>
    <xf borderId="26" fillId="0" fontId="0" numFmtId="165" xfId="0" applyBorder="1" applyFont="1" applyNumberFormat="1"/>
    <xf borderId="31" fillId="0" fontId="0" numFmtId="0" xfId="0" applyBorder="1" applyFont="1"/>
    <xf borderId="32" fillId="0" fontId="0" numFmtId="0" xfId="0" applyBorder="1" applyFont="1"/>
    <xf borderId="33" fillId="0" fontId="0" numFmtId="164" xfId="0" applyBorder="1" applyFont="1" applyNumberFormat="1"/>
    <xf borderId="33" fillId="0" fontId="0" numFmtId="0" xfId="0" applyBorder="1" applyFont="1"/>
    <xf borderId="0" fillId="0" fontId="0" numFmtId="165" xfId="0" applyFont="1" applyNumberFormat="1"/>
    <xf borderId="0" fillId="0" fontId="13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21" numFmtId="0" xfId="0" applyAlignment="1" applyFont="1">
      <alignment vertical="bottom"/>
    </xf>
    <xf borderId="0" fillId="0" fontId="21" numFmtId="4" xfId="0" applyAlignment="1" applyFont="1" applyNumberFormat="1">
      <alignment vertical="bottom"/>
    </xf>
    <xf borderId="0" fillId="0" fontId="21" numFmtId="164" xfId="0" applyAlignment="1" applyFont="1" applyNumberFormat="1">
      <alignment vertical="bottom"/>
    </xf>
    <xf borderId="0" fillId="0" fontId="21" numFmtId="10" xfId="0" applyAlignment="1" applyFont="1" applyNumberFormat="1">
      <alignment vertical="bottom"/>
    </xf>
    <xf borderId="0" fillId="0" fontId="21" numFmtId="170" xfId="0" applyAlignment="1" applyFont="1" applyNumberFormat="1">
      <alignment vertical="bottom"/>
    </xf>
    <xf borderId="0" fillId="0" fontId="21" numFmtId="0" xfId="0" applyAlignment="1" applyFont="1">
      <alignment readingOrder="0" vertical="bottom"/>
    </xf>
    <xf borderId="0" fillId="0" fontId="21" numFmtId="171" xfId="0" applyAlignment="1" applyFont="1" applyNumberFormat="1">
      <alignment vertical="bottom"/>
    </xf>
    <xf borderId="1" fillId="0" fontId="21" numFmtId="0" xfId="0" applyAlignment="1" applyBorder="1" applyFont="1">
      <alignment vertical="bottom"/>
    </xf>
    <xf borderId="0" fillId="0" fontId="22" numFmtId="0" xfId="0" applyAlignment="1" applyFont="1">
      <alignment vertical="bottom"/>
    </xf>
    <xf borderId="1" fillId="0" fontId="13" numFmtId="0" xfId="0" applyAlignment="1" applyBorder="1" applyFont="1">
      <alignment vertical="bottom"/>
    </xf>
    <xf borderId="1" fillId="0" fontId="21" numFmtId="169" xfId="0" applyAlignment="1" applyBorder="1" applyFont="1" applyNumberFormat="1">
      <alignment horizontal="right" vertical="bottom"/>
    </xf>
    <xf borderId="1" fillId="0" fontId="13" numFmtId="3" xfId="0" applyAlignment="1" applyBorder="1" applyFont="1" applyNumberFormat="1">
      <alignment horizontal="right" vertical="bottom"/>
    </xf>
    <xf borderId="0" fillId="0" fontId="21" numFmtId="0" xfId="0" applyAlignment="1" applyFont="1">
      <alignment horizontal="right" vertical="bottom"/>
    </xf>
    <xf borderId="0" fillId="0" fontId="21" numFmtId="3" xfId="0" applyAlignment="1" applyFont="1" applyNumberFormat="1">
      <alignment horizontal="right" vertical="bottom"/>
    </xf>
    <xf borderId="0" fillId="0" fontId="21" numFmtId="10" xfId="0" applyAlignment="1" applyFont="1" applyNumberFormat="1">
      <alignment horizontal="right" vertical="bottom"/>
    </xf>
    <xf borderId="0" fillId="0" fontId="21" numFmtId="4" xfId="0" applyAlignment="1" applyFont="1" applyNumberFormat="1">
      <alignment horizontal="right" vertical="bottom"/>
    </xf>
    <xf borderId="0" fillId="0" fontId="22" numFmtId="4" xfId="0" applyAlignment="1" applyFont="1" applyNumberFormat="1">
      <alignment horizontal="right" vertical="bottom"/>
    </xf>
    <xf borderId="0" fillId="0" fontId="22" numFmtId="169" xfId="0" applyAlignment="1" applyFont="1" applyNumberFormat="1">
      <alignment horizontal="right" vertical="bottom"/>
    </xf>
    <xf borderId="0" fillId="0" fontId="21" numFmtId="169" xfId="0" applyAlignment="1" applyFont="1" applyNumberFormat="1">
      <alignment horizontal="right" vertical="bottom"/>
    </xf>
    <xf borderId="1" fillId="0" fontId="13" numFmtId="0" xfId="0" applyAlignment="1" applyBorder="1" applyFont="1">
      <alignment readingOrder="0" vertical="bottom"/>
    </xf>
    <xf borderId="1" fillId="0" fontId="21" numFmtId="10" xfId="0" applyAlignment="1" applyBorder="1" applyFont="1" applyNumberFormat="1">
      <alignment horizontal="right" vertical="bottom"/>
    </xf>
    <xf borderId="1" fillId="0" fontId="21" numFmtId="164" xfId="0" applyAlignment="1" applyBorder="1" applyFont="1" applyNumberFormat="1">
      <alignment horizontal="right" vertical="bottom"/>
    </xf>
    <xf borderId="1" fillId="0" fontId="2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pivotCacheDefinition" Target="pivotCache/pivotCacheDefinition1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464" sheet="Pivot_Data"/>
  </cacheSource>
  <cacheFields>
    <cacheField name="Coin" numFmtId="0">
      <sharedItems>
        <s v="BTC"/>
        <s v="CEL"/>
        <s v="ETH"/>
        <s v="Stable Coins"/>
        <s v="WBTC"/>
        <s v="MATIC"/>
        <s v="SRM"/>
        <s v="FTT"/>
        <s v="ADA"/>
        <s v="LUNA"/>
        <s v="XRP"/>
        <s v="LINK"/>
        <s v="DOT"/>
        <s v="LTC"/>
        <s v="BCH"/>
        <s v="BNB"/>
        <s v="SNX"/>
        <s v="AAVE"/>
        <s v="3CRV"/>
        <s v="MANA"/>
        <s v="SOL"/>
        <s v="1INCH"/>
        <s v="ZEC"/>
        <s v="EOS"/>
        <s v="XLM"/>
        <s v="UNI"/>
        <s v="AVAX"/>
        <s v="DASH"/>
        <s v="PAXG"/>
        <s v="BAT"/>
        <s v="BNT"/>
        <s v="CVX"/>
        <s v="TGBP"/>
        <s v="TAUD"/>
        <s v="ZRX"/>
        <s v="ETC"/>
        <s v="COMP"/>
        <s v="CRV"/>
        <s v="SUSHI"/>
        <s v="BSV"/>
        <s v="BADGER"/>
        <s v="OMG"/>
        <s v="TCAD"/>
        <s v="THKD"/>
        <s v="SRM_LOCKED"/>
        <s v="YFI"/>
        <s v="DIGG"/>
        <s v="POLIS"/>
        <s v="BOBA"/>
        <s v="LDO"/>
        <s v="RAY"/>
        <s v="KNC"/>
        <s v="UMA"/>
        <s v="XTZ"/>
        <s v="ATLAS"/>
        <s v="FTM"/>
        <s v="QI"/>
        <s v="XAUT"/>
        <s v="LPT"/>
        <s v="REN"/>
        <s v="WDGLD"/>
        <s v="TRU"/>
        <s v="ALPHA"/>
        <s v="YFL"/>
        <s v="BAL"/>
        <s v="BTG"/>
        <s v="VSP"/>
        <s v="PNT"/>
        <s v="BOR"/>
        <s v="FIS"/>
        <s v="yveCRV-DAO"/>
        <s v="MKR"/>
        <s v="ORBS"/>
        <s v="FARM"/>
      </sharedItems>
    </cacheField>
    <cacheField name="Category" numFmtId="0">
      <sharedItems>
        <s v="Posted Collateral"/>
        <s v="Institutional Loans"/>
        <s v="CEL Users"/>
        <s v="CEL Treasury"/>
        <s v="Retail Loans"/>
        <s v="Underdeployed"/>
        <s v="undeployed"/>
        <s v="Defi"/>
        <s v="Staking"/>
        <s v="Exchange"/>
        <s v="Mining"/>
        <s v="Trust"/>
        <s v="N/A"/>
        <s v="EAM  "/>
        <s v="Other"/>
        <s v="Operational"/>
        <s v="defi "/>
      </sharedItems>
    </cacheField>
    <cacheField name="Account" numFmtId="0">
      <sharedItems>
        <s v="Posted Collateral"/>
        <s v="Loans Out"/>
        <s v="CEL Users"/>
        <s v="CEL Treasury"/>
        <s v="Celsius Borrows Account"/>
        <s v="Loans"/>
        <s v="FTX - Jacob"/>
        <s v="Celsius Network"/>
        <s v="Overcollaterized - Compound"/>
        <s v="Maker Borrows Vault"/>
        <s v="YD - Curve - stETH"/>
        <s v="Direct Staking"/>
        <s v="FTX - cel_staking"/>
        <s v="BITFINEX"/>
        <s v="Mining"/>
        <s v="Grayscale"/>
        <s v="YD - Curve - sETH"/>
        <s v="MATIC Staking 9"/>
        <s v="Bank - Balances"/>
        <s v="Celsius Network System"/>
        <s v="FTX - CnC"/>
        <s v="Yield Desk - Badger"/>
        <s v="EAM - Balances"/>
        <s v="Others - Asset"/>
        <s v="Stakehound"/>
        <s v="YD - Convex/Badger - hBTC"/>
        <s v="Celsius OTC"/>
        <s v="Network Deposits"/>
        <s v="YieldDesk_Main"/>
        <s v="FTX - Main Account"/>
        <s v="YD - Badger - SBTC"/>
        <s v="Deployment - Alpha"/>
        <s v="AAVE Avalanche"/>
        <s v="MATIC Staking 8"/>
        <s v="Yield Desk - Bancor"/>
        <s v="MATIC Staking 7"/>
        <s v="YD - Keeper - ETH"/>
        <s v="YD - Convex - renBTC"/>
        <s v="DD-Anchor-Tera"/>
        <s v="YD - Badger - bBTC"/>
        <s v="DD-ABRA-FTT"/>
        <s v="FTX - TEAM Directional"/>
        <s v="Osprey"/>
        <s v="FTX - Management"/>
        <s v="Benqi - LINK"/>
        <s v="DD - Badger - tBTC"/>
        <s v="OmniMan1"/>
        <s v="YD - Convex - LUSD"/>
        <s v="PrimeTrust"/>
        <s v="AAVE Deployment / Staking"/>
        <s v="DD - Convex - tBTC"/>
        <s v="MATIC Staking 10"/>
        <s v="DD-Yearn-WBTC"/>
        <s v="FTX - CEL"/>
        <s v="DD-CONVEX-ALUSD"/>
        <s v="YD - Badger - PBTC"/>
        <s v="YD - Curve/Convex - AnkrETH"/>
        <s v="Overcollaterized - Aave V2"/>
        <s v="YD - Vesper - vWBTC"/>
        <s v="YD - Curve - SLINK"/>
        <s v="YD - Vesper - vETH"/>
        <s v="Defi Banker Joe"/>
        <s v="Defi Benqi Deployment"/>
        <s v="YD - Badger - renBTC"/>
        <s v="YD - AlphaHv2"/>
        <s v="DD - Convex - tricrypto2 II"/>
        <s v="YD - Badger - OBTC"/>
        <s v="YD - Harvest - renBTC"/>
        <s v="FTX - Grayscale"/>
        <s v="DD-DEFROST-H2O3CRV"/>
        <s v="YD - Convex - tricrypto2"/>
        <s v="DERIBIT"/>
        <s v="BlockDemon ETH Staking"/>
        <s v="YD - Harvest - HBTC"/>
        <s v="DD-CONVEX-ALETH"/>
        <s v="YD - Curve - BUSDv2"/>
        <s v="FTX - Brad"/>
        <s v="LIQUID"/>
        <s v="DD - Curve - rETH"/>
        <s v="Synthetix + Hedge"/>
        <s v="DD - FRAX - Convex"/>
        <s v="FTX - Directional Trading 2"/>
        <s v="FTX - Kairon2"/>
        <s v="Deribit - API"/>
        <s v="Sushi Staking"/>
        <s v="YD - Yearn - crvPBTC"/>
        <s v="FTX - Kairon"/>
        <s v="Reward Desk"/>
        <s v="KNC Migration"/>
        <s v="Celsius Network Finance"/>
        <s v="Deployment - Curve"/>
        <s v="FTX - DeFi"/>
        <s v="Deployment - TrueFi"/>
        <s v="COINBASEPRO"/>
        <s v="YD - Vesper - vLINK"/>
        <s v="Maple Finance"/>
        <s v="YD - Curve - pBTC"/>
        <s v="YD - Curve - oBTC"/>
        <s v="OmniMan2"/>
        <s v="DD - Vesper - vUNI"/>
        <s v="TEST-MATIC"/>
        <s v="YD - Harvest - oBTC"/>
        <s v="Governance Sales"/>
        <s v="Truefi Borrows Account"/>
        <s v="DD - Liquity - LUSD"/>
        <s v="TEST-ARBITRUM"/>
        <s v="TEST-FANTOM"/>
        <s v="DD-Yearn-LINK"/>
        <s v="DD-SHIBASWAP-WBTC"/>
        <s v="DD-NOTIONAL-ETH"/>
        <s v="DD-NOTIONAL-WBTC"/>
        <s v="YD - Curve - BBTC"/>
      </sharedItems>
    </cacheField>
    <cacheField name="Tier" numFmtId="0">
      <sharedItems>
        <s v="5"/>
        <s v="4"/>
        <s v="1"/>
        <s v="2"/>
        <s v="nan"/>
        <s v="3"/>
      </sharedItems>
    </cacheField>
    <cacheField name="# of Coins" numFmtId="3">
      <sharedItems containsSemiMixedTypes="0" containsString="0" containsNumber="1">
        <n v="41770.43"/>
        <n v="27857.85"/>
        <n v="2.837327745E8"/>
        <n v="2.785874843E8"/>
        <n v="270652.6053"/>
        <n v="9.4124367304E8"/>
        <n v="9.1087498374E8"/>
        <n v="230209.5914"/>
        <n v="17691.51839"/>
        <n v="206274.0"/>
        <n v="16223.42707"/>
        <n v="187655.9834"/>
        <n v="2.860536222E8"/>
        <n v="1.604026691E8"/>
        <n v="134921.79"/>
        <n v="11004.104566"/>
        <n v="119010.8956"/>
        <n v="4.5326E8"/>
        <n v="8407.179052"/>
        <n v="7120059.184"/>
        <n v="70233.32577"/>
        <n v="61569.49"/>
        <n v="57379.52715"/>
        <n v="1.043464542E8"/>
        <n v="1.72989656E8"/>
        <n v="2.108746895E8"/>
        <n v="4252.37243"/>
        <n v="4640586.36"/>
        <n v="2283671.19"/>
        <n v="3661.125859"/>
        <n v="1.926099252E8"/>
        <n v="42391.18634"/>
        <n v="42335.06444"/>
        <n v="3319.884312"/>
        <n v="3.408784164E7"/>
        <n v="34445.88763"/>
        <n v="1.264947577E8"/>
        <n v="6649080.984"/>
        <n v="2459108.075"/>
        <n v="25000.0"/>
        <n v="4.18151986E7"/>
        <n v="1868.388924"/>
        <n v="2.050911728E7"/>
        <n v="6.3361559E7"/>
        <n v="7.493428363E7"/>
        <n v="19151.647"/>
        <n v="7.133593624E7"/>
        <n v="18414.28343"/>
        <n v="1.747356095E7"/>
        <n v="17635.10913"/>
        <n v="2.00060916E7"/>
        <n v="3.143914203E7"/>
        <n v="1351.582005"/>
        <n v="15406.34671"/>
        <n v="1252.882078"/>
        <n v="2.745402563E7"/>
        <n v="1173.094383"/>
        <n v="1160.0"/>
        <n v="2.532603001E7"/>
        <n v="13706.64712"/>
        <n v="1090.057662"/>
        <n v="2035281.774"/>
        <n v="12500.94525"/>
        <n v="312628.72"/>
        <n v="4.635566319712216E7"/>
        <n v="4.43760322948377E7"/>
        <n v="949.9168969"/>
        <n v="913.14"/>
        <n v="1050000.0"/>
        <n v="1000000.0"/>
        <n v="851.5606669"/>
        <n v="1.0E7"/>
        <n v="10055.21371"/>
        <n v="1976837.777"/>
        <n v="721.79"/>
        <n v="71979.51"/>
        <n v="58500.0"/>
        <n v="6007123.561"/>
        <n v="2.791796104E7"/>
        <n v="2.777839669E7"/>
        <n v="157800.1506"/>
        <n v="587.73"/>
        <n v="1.295637413E7"/>
        <n v="1.257011165E7"/>
        <n v="550.4159619"/>
        <n v="5779333.465"/>
        <n v="2.167103676E7"/>
        <n v="461.2321962"/>
        <n v="5576.381547"/>
        <n v="5500.0"/>
        <n v="451.9591969"/>
        <n v="271630.69"/>
        <n v="1058751.413"/>
        <n v="419.2"/>
        <n v="5009.458685"/>
        <n v="404.7513815"/>
        <n v="1.836389357E7"/>
        <n v="399.1293011"/>
        <n v="244372.4811"/>
        <n v="396.9518294"/>
        <n v="1.78646205E7"/>
        <n v="1.779836888E7"/>
        <n v="2.009704043E7"/>
        <n v="4269.387396"/>
        <n v="5100000.48"/>
        <n v="90001.57117"/>
        <n v="6666666.66"/>
        <n v="333.1071844"/>
        <n v="93748.89346"/>
        <n v="4577123.9"/>
        <n v="314.4706543"/>
        <n v="3812.224816"/>
        <n v="5.357216403E7"/>
        <n v="1.436692427E7"/>
        <n v="3647403.527"/>
        <n v="769435.3858"/>
        <n v="977708.87"/>
        <n v="1.149205632E7"/>
        <n v="577277.78"/>
        <n v="944849.0"/>
        <n v="291.9900269"/>
        <n v="1.10149051E7"/>
        <n v="125000.0498"/>
        <n v="4.65E7"/>
        <n v="268.25"/>
        <n v="252.73"/>
        <n v="251.54881"/>
        <n v="76806.06444"/>
        <n v="236.47"/>
        <n v="233.0504122"/>
        <n v="1.150043527E7"/>
        <n v="212.88"/>
        <n v="2559.568597"/>
        <n v="2498.335195"/>
        <n v="2494.203193"/>
        <n v="9466996.452"/>
        <n v="204.429853"/>
        <n v="204.28"/>
        <n v="73106.58843"/>
        <n v="500092.2799"/>
        <n v="199.57"/>
        <n v="5091.428493"/>
        <n v="485283.17"/>
        <n v="2250.900859"/>
        <n v="56714.09836"/>
        <n v="9694696.0"/>
        <n v="7764281.0"/>
        <n v="447233.0038"/>
        <n v="3.001777164E7"/>
        <n v="2557740.95"/>
        <n v="8078994.4290000005"/>
        <n v="200000.0"/>
        <n v="2000000.0"/>
        <n v="419218.0"/>
        <n v="50095.39805"/>
        <n v="17101.0"/>
        <n v="1825.40445"/>
        <n v="1797.228218"/>
        <n v="2000032.712"/>
        <n v="207479.1726"/>
        <n v="6231446.03109264"/>
        <n v="4323764.658"/>
        <n v="300011.9038"/>
        <n v="116.0559399"/>
        <n v="2946.983626"/>
        <n v="2500059.547"/>
        <n v="7171269.6"/>
        <n v="4978842.404"/>
        <n v="125000.0"/>
        <n v="6062600.284"/>
        <n v="3980000.0"/>
        <n v="8165.822522"/>
        <n v="91.41831511"/>
        <n v="119512.1601"/>
        <n v="100000.0"/>
        <n v="1229425.454"/>
        <n v="24000.0"/>
        <n v="30021.2821"/>
        <n v="20374.71191"/>
        <n v="25208.55608"/>
        <n v="946377.72"/>
        <n v="952130.7943"/>
        <n v="201331.9213"/>
        <n v="149219.182"/>
        <n v="3612221.334"/>
        <n v="76.87174454"/>
        <n v="3278572.989"/>
        <n v="19620.65"/>
        <n v="1040591.646"/>
        <n v="3330333.198"/>
        <n v="70.07313539"/>
        <n v="18071.99252"/>
        <n v="581551.654"/>
        <n v="24942.14147"/>
        <n v="209687.8748"/>
        <n v="205145.3176"/>
        <n v="490000.0"/>
        <n v="2500000.0"/>
        <n v="833608.7767"/>
        <n v="5134.872147"/>
        <n v="842690.4509"/>
        <n v="3500000.0"/>
        <n v="34627.44661"/>
        <n v="3317320.317"/>
        <n v="19628.22645"/>
        <n v="14166.48839"/>
        <n v="3238004.484"/>
        <n v="2394915.4669000003"/>
        <n v="51.26"/>
        <n v="1.731940548E7"/>
        <n v="441526.5654"/>
        <n v="1889324.636"/>
        <n v="496.1742353"/>
        <n v="55000.0"/>
        <n v="584694.2197"/>
        <n v="553246.6943"/>
        <n v="476.836941"/>
        <n v="50.86"/>
        <n v="14000.0"/>
        <n v="9413.3"/>
        <n v="37.83624189"/>
        <n v="9992.236972"/>
        <n v="70714.33604"/>
        <n v="1691244.926"/>
        <n v="500014.1404"/>
        <n v="108711.456"/>
        <n v="10404.58272"/>
        <n v="32.36911551"/>
        <n v="300616.7953"/>
        <n v="32.12128647"/>
        <n v="31.8346"/>
        <n v="37267.25"/>
        <n v="7775.277198"/>
        <n v="9606.778639"/>
        <n v="290225.0"/>
        <n v="35627.39559"/>
        <n v="75000.0"/>
        <n v="37.52896005"/>
        <n v="213558.8607"/>
        <n v="325211.9191"/>
        <n v="400000.0719"/>
        <n v="456901.4973"/>
        <n v="447117.1034"/>
        <n v="162992.6837"/>
        <n v="196023.5085"/>
        <n v="31977.32347"/>
        <n v="864174.7337"/>
        <n v="1001371.45"/>
        <n v="261.6740739"/>
        <n v="2282.600945"/>
        <n v="38903.76195"/>
        <n v="5000.024689"/>
        <n v="19.99"/>
        <n v="19.75768634"/>
        <n v="1217864.662"/>
        <n v="277742.3096"/>
        <n v="846844.760445"/>
        <n v="760017.5646"/>
        <n v="94795.65"/>
        <n v="197143.0716"/>
        <n v="4630.614564"/>
        <n v="709024.9323"/>
        <n v="7269608.577"/>
        <n v="500013.3005"/>
        <n v="646020.42283"/>
        <n v="202900.4084"/>
        <n v="43552.5023"/>
        <n v="4271973.7"/>
        <n v="160.3086691"/>
        <n v="176972.4194"/>
        <n v="17722.88765"/>
        <n v="99482.76"/>
        <n v="218413.4035"/>
        <n v="498287.9962"/>
        <n v="401321.8882"/>
        <n v="16284.72508"/>
        <n v="112516.8468"/>
        <n v="29930.50131"/>
        <n v="577432.9869"/>
        <n v="236.396921"/>
        <n v="79489.33921"/>
        <n v="1525758.443"/>
        <n v="3375.707205"/>
        <n v="12253.99809"/>
        <n v="22035.77544"/>
        <n v="330000.0"/>
        <n v="803656.0"/>
        <n v="66728.2399"/>
        <n v="94105.93058"/>
        <n v="94.5405518"/>
        <n v="275687.8975"/>
        <n v="11025.31503"/>
        <n v="3180.564097"/>
        <n v="93236.86173"/>
        <n v="20408.0"/>
        <n v="1666.471496"/>
        <n v="7934.217191"/>
        <n v="31727.1705"/>
        <n v="5.75675909"/>
        <n v="13940.0"/>
        <n v="736281.0581"/>
        <n v="362549.0082"/>
        <n v="241063.1367"/>
        <n v="70489.49316"/>
        <n v="1904.472388"/>
        <n v="4.94909041"/>
        <n v="70716.24628"/>
        <n v="7246.064741"/>
        <n v="1044.03038"/>
        <n v="52018.86432"/>
        <n v="11679.0"/>
        <n v="101.0048396"/>
        <n v="3.580941125"/>
        <n v="474800.388"/>
        <n v="77166.652"/>
        <n v="307.8015911"/>
        <n v="212857.5452"/>
        <n v="40.87861181"/>
        <n v="3867.471676"/>
        <n v="4877.510645"/>
        <n v="120099.4916"/>
        <n v="37.37072272"/>
        <n v="34187.87195"/>
        <n v="35.09009168"/>
        <n v="2.88"/>
        <n v="190095.1718"/>
        <n v="33.20358483"/>
        <n v="902267.0"/>
        <n v="55027.14299"/>
        <n v="32596.80334"/>
        <n v="3687.928963"/>
        <n v="100527.7299"/>
        <n v="55.0"/>
        <n v="231.7687075"/>
        <n v="3240.348274"/>
        <n v="523.2679416"/>
        <n v="747629.7589"/>
        <n v="23012.72695"/>
        <n v="93674.23001"/>
        <n v="2801.233369"/>
        <n v="4506.57832"/>
        <n v="20.7041482"/>
        <n v="2581.69957"/>
        <n v="1.64139145"/>
        <n v="20918.10705"/>
        <n v="17400.1265"/>
        <n v="13445.08308"/>
        <n v="33.55388962"/>
        <n v="65473.23876"/>
        <n v="788.868969"/>
        <n v="14303.59445"/>
        <n v="105118.1913"/>
        <n v="121.4808271"/>
        <n v="23533.1666"/>
        <n v="1627.614434"/>
        <n v="48622.90248"/>
        <n v="12180.79295"/>
        <n v="462.7242958"/>
        <n v="1973.9611"/>
        <n v="15096.58574"/>
        <n v="44799.914225040004"/>
        <n v="11.42094867"/>
        <n v="10894.54425"/>
        <n v="10.75053277"/>
        <n v="99.21249313"/>
        <n v="229.0329328"/>
        <n v="9829.6791"/>
        <n v="29004.0"/>
        <n v="10790.76572"/>
        <n v="0.77342024"/>
        <n v="1139.536061"/>
        <n v="8612.384668"/>
        <n v="9870.845289"/>
        <n v="214.6215"/>
        <n v="222.2742133"/>
        <n v="1098.214446"/>
        <n v="0.91077862"/>
        <n v="28064.87165"/>
        <n v="7769.095758"/>
        <n v="7679.295709"/>
        <n v="168.0616328"/>
        <n v="37638.0"/>
        <n v="30800.0"/>
        <n v="10007.23888"/>
        <n v="10000.0"/>
        <n v="5933.866349"/>
        <n v="23644.3996386"/>
        <n v="7049.410255"/>
        <n v="767.8729144"/>
        <n v="0.49208336"/>
        <n v="20926.0273"/>
        <n v="5376.478725"/>
        <n v="5181.517996"/>
        <n v="0.44"/>
        <n v="8.501148038"/>
        <n v="4.861639217"/>
        <n v="4.854503377"/>
        <n v="106.934225"/>
        <n v="4.725515096"/>
        <n v="14728.44519"/>
        <n v="4.68597365"/>
        <n v="3603.656203"/>
        <n v="580.0160529"/>
        <n v="3029.379884"/>
        <n v="3133.302755"/>
        <n v="186214.4927"/>
        <n v="4.097722973"/>
        <n v="4.052004986"/>
        <n v="7341.0"/>
        <n v="505.3300982"/>
        <n v="0.4258424739"/>
        <n v="55012.3375"/>
        <n v="3622.932406"/>
        <n v="3601.114278"/>
        <n v="3.703136902"/>
        <n v="158.5842816"/>
        <n v="4208.9712"/>
        <n v="932.5534"/>
        <n v="3.49541846"/>
        <n v="73.0479"/>
        <n v="137.4747305"/>
        <n v="394.8411609"/>
        <n v="24407.9798"/>
        <n v="2.944132861"/>
        <n v="2.936871698"/>
        <n v="0.30885492"/>
        <n v="617.4475636"/>
        <n v="2.831745528"/>
        <n v="2.768062859"/>
        <n v="2614.262526"/>
        <n v="12010.51"/>
        <n v="9668.723779"/>
        <n v="2.333698546"/>
        <n v="2018.259197"/>
        <n v="3.3725639"/>
        <n v="2.0"/>
        <n v="2283.09827"/>
        <n v="1.98304017"/>
        <n v="1.979747497"/>
        <n v="220.4994377"/>
        <n v="1.977453151"/>
        <n v="1.972525403"/>
        <n v="84.71522966"/>
        <n v="1.96540325"/>
        <n v="1862.911736"/>
        <n v="1.920730971"/>
        <n v="1.919185054"/>
        <n v="1.909283894"/>
        <n v="1.890935786"/>
        <n v="1.885905674"/>
        <n v="1.884235506"/>
        <n v="1.872737197"/>
        <n v="1.846413215"/>
        <n v="46.70824113"/>
        <n v="1.830090018"/>
        <n v="1.794768604"/>
        <n v="1.732783428"/>
        <n v="8735.95141"/>
      </sharedItems>
    </cacheField>
    <cacheField name="APY">
      <sharedItems containsMixedTypes="1" containsNumber="1">
        <n v="0.0"/>
        <n v="0.0295"/>
        <n v="0.003"/>
        <n v="0.08746432259407222"/>
        <n v="0.034"/>
        <n v="0.0103222"/>
        <n v="0.0673"/>
        <n v="0.135"/>
        <n v="0.03"/>
        <n v="0.0354"/>
        <n v="0.00876"/>
        <n v="0.131"/>
        <n v="0.3"/>
        <n v="0.025"/>
        <n v="0.0091"/>
        <s v="N/A"/>
        <n v="0.045"/>
        <n v="0.04294812889"/>
        <n v="0.12"/>
        <n v="0.0074"/>
        <n v="0.0462"/>
        <n v="0.05555748992"/>
        <n v="0.047"/>
        <n v="0.04"/>
        <n v="0.1"/>
        <n v="0.0483"/>
        <n v="0.0747"/>
        <n v="0.13158860561183902"/>
        <n v="0.0487"/>
        <n v="0.0064"/>
        <n v="0.0426"/>
        <n v="0.0186"/>
        <n v="0.0478698103"/>
        <n v="0.0549"/>
        <n v="0.0273"/>
        <n v="0.14"/>
        <n v="0.0509"/>
        <n v="0.0063"/>
        <n v="0.0427"/>
        <n v="0.029"/>
        <n v="0.041"/>
        <n v="0.0726"/>
        <n v="0.35"/>
        <n v="0.0643"/>
        <n v="0.0197"/>
        <n v="0.079"/>
        <n v="0.0151"/>
        <n v="0.0495"/>
        <n v="0.0108"/>
        <n v="0.0081"/>
        <n v="0.1682"/>
        <n v="0.1383"/>
        <n v="0.1183699524"/>
        <n v="0.0707"/>
        <n v="0.0904"/>
        <n v="0.0801"/>
        <n v="0.0503"/>
        <n v="0.0068"/>
        <n v="0.0322"/>
        <n v="0.0376"/>
        <n v="0.02"/>
        <n v="0.0555"/>
        <n v="0.01"/>
        <n v="0.0541"/>
        <n v="0.1053"/>
        <n v="0.0139"/>
        <n v="0.0413"/>
        <n v="0.0716"/>
        <n v="0.03783649775931787"/>
        <n v="-0.0295482322"/>
        <n v="0.09742215"/>
        <n v="0.0257"/>
        <n v="0.07908036597435694"/>
        <n v="0.002526818828"/>
        <n v="0.064"/>
        <n v="5.0E-4"/>
        <n v="0.0386"/>
        <n v="0.0635"/>
        <n v="0.1264"/>
        <n v="0.0659"/>
        <n v="0.0662"/>
        <n v="0.001"/>
        <n v="0.0909"/>
        <n v="0.0489"/>
        <n v="0.0694"/>
        <n v="0.022"/>
        <n v="0.4801"/>
        <n v="0.0557"/>
        <n v="0.076"/>
        <n v="0.0357"/>
        <n v="0.05"/>
        <n v="0.0831"/>
        <n v="0.0425"/>
        <n v="0.0704"/>
        <n v="0.024966"/>
        <n v="0.0537"/>
        <n v="0.031"/>
        <n v="0.1425"/>
        <n v="0.08"/>
        <n v="0.2426"/>
        <n v="1.466119984125044E-5"/>
        <n v="0.1473"/>
        <n v="0.0120012"/>
        <n v="0.0535"/>
        <n v="0.0486"/>
        <n v="0.0686"/>
        <n v="0.0943"/>
        <n v="0.55"/>
        <n v="0.0236"/>
        <n v="0.1287"/>
        <n v="0.4706"/>
        <n v="0.24966"/>
        <n v="0.1624"/>
        <n v="0.071"/>
        <n v="0.2773"/>
        <n v="0.0676"/>
        <n v="0.0982"/>
        <n v="0.4287"/>
      </sharedItems>
    </cacheField>
    <cacheField name="COFA">
      <sharedItems containsMixedTypes="1" containsNumber="1">
        <n v="0.0"/>
        <n v="0.0298"/>
        <n v="0.0415"/>
        <n v="0.0959"/>
        <n v="0.0384"/>
        <n v="0.0818"/>
        <s v="N/A"/>
        <n v="0.0205"/>
        <n v="0.0488"/>
        <n v="0.0127"/>
        <n v="0.0668"/>
        <n v="0.0285"/>
        <n v="0.0251"/>
        <n v="0.0225"/>
        <n v="0.0581"/>
        <n v="0.1339"/>
        <n v="0.0385"/>
        <n v="0.04"/>
        <n v="0.0155"/>
        <n v="0.0288"/>
        <n v="0.0091"/>
        <n v="0.0228"/>
        <n v="0.041"/>
        <n v="0.0526"/>
        <n v="0.0097"/>
        <n v="0.0595"/>
        <n v="0.0042"/>
        <n v="0.0169"/>
        <n v="0.0453"/>
        <n v="0.0396"/>
        <n v="0.0183"/>
        <n v="0.0048"/>
        <n v="0.0093"/>
        <n v="0.0554"/>
      </sharedItems>
    </cacheField>
    <cacheField name="USD Value" numFmtId="0">
      <sharedItems containsSemiMixedTypes="0" containsString="0" containsNumber="1">
        <n v="1.9345820220866203E9"/>
        <n v="1.2902260231456978E9"/>
        <n v="1.1112741220619512E9"/>
        <n v="1.0911219635394294E9"/>
        <n v="1.0338051341364635E9"/>
        <n v="9.4124367304E8"/>
        <n v="9.1087498374E8"/>
        <n v="8.793259435022976E8"/>
        <n v="8.193761333246709E8"/>
        <n v="7.87899750687768E8"/>
        <n v="7.512230858688232E8"/>
        <n v="7.167849682263782E8"/>
        <n v="6.00028250217927E8"/>
        <n v="5.3339015420758986E8"/>
        <n v="5.1535745999664235E8"/>
        <n v="5.0965103453674984E8"/>
        <n v="4.545830059647265E8"/>
        <n v="4.5326E8"/>
        <n v="3.8937538949114084E8"/>
        <n v="2.813748867121854E8"/>
        <n v="2.6826851597465405E8"/>
        <n v="2.3517547447071868E8"/>
        <n v="2.191711758925847E8"/>
        <n v="2.1887791473689318E8"/>
        <n v="2.1189970848562583E8"/>
        <n v="2.108746895E8"/>
        <n v="1.9694705690831518E8"/>
        <n v="1.833895516286361E8"/>
        <n v="1.7249687572314247E8"/>
        <n v="1.6952782255470306E8"/>
        <n v="1.6690294056091288E8"/>
        <n v="1.6192057723535064E8"/>
        <n v="1.617062097871113E8"/>
        <n v="1.5375921448265216E8"/>
        <n v="1.3350920195325488E8"/>
        <n v="1.3157211415833247E8"/>
        <n v="1.264947577E8"/>
        <n v="1.2309501419491112E8"/>
        <n v="9.718054838238339E7"/>
        <n v="9.549188830000001E7"/>
        <n v="8.771187812797816E7"/>
        <n v="8.651543764670248E7"/>
        <n v="8.032646683049157E7"/>
        <n v="7.761328735918628E7"/>
        <n v="7.493428363E7"/>
        <n v="7.315307744340122E7"/>
        <n v="7.133593624E7"/>
        <n v="7.033658785688403E7"/>
        <n v="6.843733910622738E7"/>
        <n v="6.736039484801081E7"/>
        <n v="6.652665035743579E7"/>
        <n v="6.594698307097258E7"/>
        <n v="6.258477941928895E7"/>
        <n v="5.88472455656957E7"/>
        <n v="5.801449575381878E7"/>
        <n v="5.7587772647358626E7"/>
        <n v="5.431993983825042E7"/>
        <n v="5.37136066164E7"/>
        <n v="5.31240728748479E7"/>
        <n v="5.235494463002227E7"/>
        <n v="5.0474938315397166E7"/>
        <n v="4.9360514588649675E7"/>
        <n v="4.774955469829663E7"/>
        <n v="4.696259589772693E7"/>
        <n v="4.635566319712216E7"/>
        <n v="4.43760322948377E7"/>
        <n v="4.398574355030862E7"/>
        <n v="4.22917414938792E7"/>
        <n v="4.1494547083500005E7"/>
        <n v="3.951861627E7"/>
        <n v="3.943971744846373E7"/>
        <n v="3.916622336E7"/>
        <n v="3.8407653777117945E7"/>
        <n v="3.659736959234057E7"/>
        <n v="3.34294369898012E7"/>
        <n v="3.079835508405183E7"/>
        <n v="3.0425986047599997E7"/>
        <n v="2.9796394813877355E7"/>
        <n v="2.791796104E7"/>
        <n v="2.777839669E7"/>
        <n v="2.732527933615364E7"/>
        <n v="2.7220497654464398E7"/>
        <n v="2.7177388765793145E7"/>
        <n v="2.636716165446787E7"/>
        <n v="2.548691935593449E7"/>
        <n v="2.2635466536211275E7"/>
        <n v="2.21044574952E7"/>
        <n v="2.135727995302157E7"/>
        <n v="2.1299968152172208E7"/>
        <n v="2.1008215426000003E7"/>
        <n v="2.0927895266336784E7"/>
        <n v="2.051759709571913E7"/>
        <n v="1.9600756935541816E7"/>
        <n v="1.9415093013375998E7"/>
        <n v="1.9134506767659396E7"/>
        <n v="1.874194524425469E7"/>
        <n v="1.87311714414E7"/>
        <n v="1.8481615748589717E7"/>
        <n v="1.845865100328331E7"/>
        <n v="1.838078828452752E7"/>
        <n v="1.78646205E7"/>
        <n v="1.779836888E7"/>
        <n v="1.7414757525374673E7"/>
        <n v="1.6307674573130395E7"/>
        <n v="1.613001640481905E7"/>
        <n v="1.580604152127474E7"/>
        <n v="1.5724100724275902E7"/>
        <n v="1.542447264134329E7"/>
        <n v="1.4953421620035734E7"/>
        <n v="1.4760283420129435E7"/>
        <n v="1.4561511221958721E7"/>
        <n v="1.4561461852158403E7"/>
        <n v="1.447128795293181E7"/>
        <n v="1.436692427E7"/>
        <n v="1.4285502122253379E7"/>
        <n v="1.4244624176639134E7"/>
        <n v="1.411833471805751E7"/>
        <n v="1.4076930612015286E7"/>
        <n v="1.4000384932152051E7"/>
        <n v="1.364383084713338E7"/>
        <n v="1.3520549517947115E7"/>
        <n v="1.3492455177128239E7"/>
        <n v="1.3021316625190476E7"/>
        <n v="1.25609055E7"/>
        <n v="1.242389957261E7"/>
        <n v="1.17050965106644E7"/>
        <n v="1.1647925711347885E7"/>
        <n v="1.1537686514503513E7"/>
        <n v="1.09520206223116E7"/>
        <n v="1.0793643677644601E7"/>
        <n v="1.0E7"/>
        <n v="9965511.706109297"/>
        <n v="9859458.494006399"/>
        <n v="9776721.54243647"/>
        <n v="9542829.815075949"/>
        <n v="9527046.908138374"/>
        <n v="9466996.452"/>
        <n v="9466090.262664206"/>
        <n v="9461152.6735984"/>
        <n v="9313673.15673033"/>
        <n v="9258251.845809668"/>
        <n v="9241055.5796853"/>
        <n v="9195828.849958507"/>
        <n v="8984089.507023135"/>
        <n v="8597710.936080081"/>
        <n v="8519502.888233103"/>
        <n v="8400778.24942803"/>
        <n v="8374575.995250619"/>
        <n v="8279663.47284209"/>
        <n v="8108610.599798281"/>
        <n v="8097729.849389731"/>
        <n v="8078994.4290000005"/>
        <n v="7903723.254000001"/>
        <n v="7833244.672"/>
        <n v="7761019.27242856"/>
        <n v="7525252.110420079"/>
        <n v="7317119.417628299"/>
        <n v="6972452.713668917"/>
        <n v="6864828.649714562"/>
        <n v="6325599.493813133"/>
        <n v="6288693.721506"/>
        <n v="6231446.03109264"/>
        <n v="5710395.9838205995"/>
        <n v="5554146.4520840775"/>
        <n v="5373950.94938376"/>
        <n v="5322662.801919888"/>
        <n v="5244143.891239399"/>
        <n v="5090167.162079999"/>
        <n v="5078419.25208"/>
        <n v="4939827.03375"/>
        <n v="4536460.786258767"/>
        <n v="4292839.53802"/>
        <n v="4247063.284129057"/>
        <n v="4234005.465140187"/>
        <n v="4098621.3600582494"/>
        <n v="3951861.6270000003"/>
        <n v="3888362.9166878248"/>
        <n v="3828121.1183999996"/>
        <n v="3824667.724621365"/>
        <n v="3821888.460077801"/>
        <n v="3786789.7496756767"/>
        <n v="3777688.5201915"/>
        <n v="3729136.7357488014"/>
        <n v="3727275.358797499"/>
        <n v="3618926.7275467534"/>
        <n v="3612221.334"/>
        <n v="3560286.4273487083"/>
        <n v="3536278.3305184953"/>
        <n v="3397587.01096514"/>
        <n v="3355694.089814566"/>
        <n v="3330333.198"/>
        <n v="3244724.8523415495"/>
        <n v="3129415.54169771"/>
        <n v="3045238.0173037625"/>
        <n v="3034959.7740696"/>
        <n v="3028293.074161632"/>
        <n v="2962344.2607399216"/>
        <n v="2823468.26566"/>
        <n v="2696507.2475"/>
        <n v="2688216.8965536174"/>
        <n v="2670658.9453133647"/>
        <n v="2667932.2697041"/>
        <n v="2618944.34865"/>
        <n v="2615580.728368746"/>
        <n v="2566942.4612946"/>
        <n v="2500607.533842613"/>
        <n v="2487913.2752032885"/>
        <n v="2425242.304"/>
        <n v="2422901.0126500456"/>
        <n v="2394915.4669000003"/>
        <n v="2374087.9481527996"/>
        <n v="2220347.782536"/>
        <n v="2190049.8183332845"/>
        <n v="1927111.12872"/>
        <n v="1895224.5861842209"/>
        <n v="1886202.8317"/>
        <n v="1849240.4839075375"/>
        <n v="1839722.127089694"/>
        <n v="1821362.3962914278"/>
        <n v="1798275.6444234"/>
        <n v="1783579.6608"/>
        <n v="1765746.814"/>
        <n v="1752000.8730365646"/>
        <n v="1730294.0802956498"/>
        <n v="1714993.9926347982"/>
        <n v="1691244.926"/>
        <n v="1581418.7310220597"/>
        <n v="1569817.7346957908"/>
        <n v="1562960.0945294872"/>
        <n v="1498846.4974353034"/>
        <n v="1491112.4483263067"/>
        <n v="1487685.5069760163"/>
        <n v="1474095.845853834"/>
        <n v="1472750.1521881577"/>
        <n v="1458486.4968008401"/>
        <n v="1443115.216996929"/>
        <n v="1439567.3065559499"/>
        <n v="1407945.3750207003"/>
        <n v="1388481.5189999999"/>
        <n v="1320736.1330506245"/>
        <n v="1283179.0924589848"/>
        <n v="1273732.266280485"/>
        <n v="1204000.216419"/>
        <n v="1174236.848061"/>
        <n v="1149090.9557379999"/>
        <n v="1145678.6565709196"/>
        <n v="1129522.7664756803"/>
        <n v="1096649.419623652"/>
        <n v="1067761.3668564807"/>
        <n v="1001371.45"/>
        <n v="999510.0574345898"/>
        <n v="976671.7558830599"/>
        <n v="943510.4926588553"/>
        <n v="937904.63116262"/>
        <n v="925829.4592971998"/>
        <n v="914876.3721698102"/>
        <n v="911291.3639901264"/>
        <n v="879323.6824418687"/>
        <n v="846844.760445"/>
        <n v="819757.1484684799"/>
        <n v="812346.6515245505"/>
        <n v="806691.8709999999"/>
        <n v="772134.9576162073"/>
        <n v="738606.3918174587"/>
        <n v="709024.9323"/>
        <n v="696559.354630986"/>
        <n v="681299.1917577165"/>
        <n v="646020.42283"/>
        <n v="642376.5055464458"/>
        <n v="628907.8724225643"/>
        <n v="623943.1187534999"/>
        <n v="612327.1009287545"/>
        <n v="588489.8711717029"/>
        <n v="537180.7246715"/>
        <n v="520931.6846312435"/>
        <n v="515153.1539400403"/>
        <n v="498287.9962"/>
        <n v="495867.3184752193"/>
        <n v="493590.0171748"/>
        <n v="449137.3703139437"/>
        <n v="432203.13197510294"/>
        <n v="432075.67364738416"/>
        <n v="425839.32815985964"/>
        <n v="416238.10381708015"/>
        <n v="412148.550932261"/>
        <n v="410756.05270440003"/>
        <n v="410137.74256137694"/>
        <n v="407950.2260703212"/>
        <n v="407743.06089"/>
        <n v="386224.1948518688"/>
        <n v="384500.13832856616"/>
        <n v="379572.4460588815"/>
        <n v="361114.2324922386"/>
        <n v="340635.83993023814"/>
        <n v="334177.29855929996"/>
        <n v="331320.92523174366"/>
        <n v="310042.37233105017"/>
        <n v="294730.46601496"/>
        <n v="293232.32443616"/>
        <n v="272100.78059976397"/>
        <n v="271884.42421169643"/>
        <n v="266622.16886437923"/>
        <n v="258072.43166479998"/>
        <n v="251386.2328239087"/>
        <n v="242125.074710434"/>
        <n v="241063.1367"/>
        <n v="234400.09968404728"/>
        <n v="231736.20017184"/>
        <n v="229215.2925614436"/>
        <n v="223885.4792305497"/>
        <n v="219628.22229971"/>
        <n v="217304.48329319997"/>
        <n v="207645.49124747276"/>
        <n v="206240.78061021"/>
        <n v="181947.517988859"/>
        <n v="165849.96425882226"/>
        <n v="162109.672073676"/>
        <n v="161865.3552387553"/>
        <n v="160088.32335449025"/>
        <n v="159274.87573401484"/>
        <n v="156143.03331278326"/>
        <n v="155308.02368585134"/>
        <n v="147837.34764995"/>
        <n v="147113.1155917893"/>
        <n v="142744.0351867405"/>
        <n v="136468.90524355537"/>
        <n v="134032.76460573278"/>
        <n v="133357.9198752"/>
        <n v="126953.34046749653"/>
        <n v="126826.92054983738"/>
        <n v="115670.6294"/>
        <n v="115425.35301194785"/>
        <n v="113110.9075898"/>
        <n v="111781.12686852999"/>
        <n v="100527.7299"/>
        <n v="99337.65886"/>
        <n v="99168.42933435844"/>
        <n v="98214.95618493999"/>
        <n v="98154.600485328"/>
        <n v="95846.13509098001"/>
        <n v="91860.69428738934"/>
        <n v="86412.02671320505"/>
        <n v="84905.38341439"/>
        <n v="83430.67614994757"/>
        <n v="79083.12829044185"/>
        <n v="78251.3139667"/>
        <n v="76004.35745588137"/>
        <n v="69559.39329272902"/>
        <n v="69456.68387980424"/>
        <n v="66689.98892547704"/>
        <n v="60602.99709995736"/>
        <n v="60397.35000891066"/>
        <n v="59587.13894684486"/>
        <n v="57096.150310089564"/>
        <n v="50518.11819874078"/>
        <n v="49575.110731238994"/>
        <n v="49363.34897102716"/>
        <n v="49332.99349454"/>
        <n v="48622.90248"/>
        <n v="48622.490493589125"/>
        <n v="48202.21732247739"/>
        <n v="47873.33966170374"/>
        <n v="47795.33008245786"/>
        <n v="44799.914225040004"/>
        <n v="43624.31818702694"/>
        <n v="43488.12728383263"/>
        <n v="41063.54697753319"/>
        <n v="40487.626321421696"/>
        <n v="39660.221122365045"/>
        <n v="39237.4684108543"/>
        <n v="38305.5828"/>
        <n v="35882.74574047456"/>
        <n v="35820.67246666887"/>
        <n v="34539.338008909996"/>
        <n v="34378.352326148255"/>
        <n v="34251.833152830004"/>
        <n v="34233.2123588619"/>
        <n v="33389.6836403676"/>
        <n v="33286.87985826"/>
        <n v="32202.733185362857"/>
        <n v="31432.656248000003"/>
        <n v="31012.166957253685"/>
        <n v="30653.7090106529"/>
        <n v="29102.19695284677"/>
        <n v="26715.4524"/>
        <n v="23833.04"/>
        <n v="23817.2285344"/>
        <n v="23800.0"/>
        <n v="23686.418554916898"/>
        <n v="23644.3996386"/>
        <n v="23441.542737938238"/>
        <n v="23274.228035464"/>
        <n v="22790.65888534014"/>
        <n v="22570.873710333144"/>
        <n v="21461.475190356694"/>
        <n v="20683.24373766414"/>
        <n v="20374.126647600002"/>
        <n v="19505.715127862262"/>
        <n v="18569.884362586537"/>
        <n v="18542.627769138275"/>
        <n v="18517.140557913408"/>
        <n v="18049.93438828783"/>
        <n v="18041.270873488054"/>
        <n v="17898.898894501734"/>
        <n v="17874.771828430876"/>
        <n v="17580.286563398997"/>
        <n v="17455.832585924025"/>
        <n v="16407.231590899435"/>
        <n v="15917.732370859503"/>
        <n v="15651.972176882397"/>
        <n v="15477.344300566203"/>
        <n v="15398.537347553998"/>
        <n v="15316.555276441999"/>
        <n v="15056.668288937819"/>
        <n v="14860.317691862501"/>
        <n v="14461.783989986547"/>
        <n v="14374.691817447163"/>
        <n v="14144.781416215681"/>
        <n v="14073.954457265805"/>
        <n v="13573.066662923913"/>
        <n v="13467.850752931958"/>
        <n v="13351.36436576312"/>
        <n v="12649.254546525239"/>
        <n v="12200.535113322923"/>
        <n v="11967.635586879"/>
        <n v="11730.083949122109"/>
        <n v="11245.632252118858"/>
        <n v="11217.896965473894"/>
        <n v="10920.296506023155"/>
        <n v="10903.57629101261"/>
        <n v="10816.349106152022"/>
        <n v="10573.101973560266"/>
        <n v="10435.441710564606"/>
        <n v="10407.508515227075"/>
        <n v="9668.723779"/>
        <n v="8913.971235220177"/>
        <n v="7904.759050807625"/>
        <n v="7738.280805116848"/>
        <n v="7639.351064"/>
        <n v="7592.0316360021325"/>
        <n v="7574.570016322121"/>
        <n v="7561.993073829144"/>
        <n v="7561.9393414181395"/>
        <n v="7553.229416551002"/>
        <n v="7534.40701808754"/>
        <n v="7518.262667916601"/>
        <n v="7507.202704538279"/>
        <n v="7436.248899876065"/>
        <n v="7336.569093483302"/>
        <n v="7330.664192143899"/>
        <n v="7292.844973553482"/>
        <n v="7222.761154367388"/>
        <n v="7203.547758637769"/>
        <n v="7197.168258793839"/>
        <n v="7153.248449247164"/>
        <n v="7052.699379296956"/>
        <n v="7016.438711330738"/>
        <n v="6990.35006311204"/>
        <n v="6855.433722300598"/>
        <n v="6618.670462186685"/>
        <n v="6536.848735800143"/>
      </sharedItems>
    </cacheField>
    <cacheField name="USD Value * COFA">
      <sharedItems containsMixedTypes="1" containsNumber="1">
        <n v="0.0"/>
        <n v="3.8448735489741795E7"/>
        <n v="4.611787606557097E7"/>
        <n v="9.0265268244536E7"/>
        <n v="8.7352910940666E7"/>
        <n v="3.3766116230488226E7"/>
        <n v="2.4417408773075193E7"/>
        <n v="3.0255350426410288E7"/>
        <n v="2.752454277989292E7"/>
        <n v="4.9082310867826425E7"/>
        <s v="N/A"/>
        <n v="1.9789726463871066E7"/>
        <n v="1.5187600829195146E7"/>
        <n v="1.7455987429045495E7"/>
        <n v="4.3467634E7"/>
        <n v="1.1603386606835997E7"/>
        <n v="1.0301511013426714E7"/>
        <n v="8416173.154275252"/>
        <n v="1.7904213425477862E7"/>
        <n v="4343944.023955329"/>
        <n v="2.022288272305E7"/>
        <n v="5869022.295867792"/>
        <n v="8417847.535289353"/>
        <n v="5051929.112130151"/>
        <n v="2119667.345123593"/>
        <n v="6217750.165837464"/>
        <n v="6209518.455825074"/>
        <n v="1.4745508668886341E7"/>
        <n v="5540631.881060078"/>
        <n v="5052369.183679966"/>
        <n v="1.213084726343E7"/>
        <n v="3666888.51072"/>
        <n v="7174831.630868614"/>
        <n v="2578160.041871734"/>
        <n v="3333548.3734654007"/>
        <n v="1591072.3908633187"/>
        <n v="7186197.800116999"/>
        <n v="2809078.1738266065"/>
        <n v="6841116.285416"/>
        <n v="2700924.9737043465"/>
        <n v="2840149.5729084364"/>
        <n v="2586639.1621636148"/>
        <n v="5394463.215205557"/>
        <n v="1865026.4266948106"/>
        <n v="2259734.229722715"/>
        <n v="1728831.9734637996"/>
        <n v="4710679.802553936"/>
        <n v="1618734.2071798625"/>
        <n v="1600665.4771687202"/>
        <n v="4345549.161162558"/>
        <n v="2010429.873792855"/>
        <n v="1504153.1617988355"/>
        <n v="3297282.374521798"/>
        <n v="1833582.9004145905"/>
        <n v="1338433.9830852177"/>
        <n v="4445508.1006040145"/>
        <n v="4255661.497074936"/>
        <n v="1310775.157799197"/>
        <n v="1260293.8965176002"/>
        <n v="1175303.5799642191"/>
        <n v="1625398.26944"/>
        <n v="1474853.9050413289"/>
        <n v="918593.9767677485"/>
        <n v="996197.2222960757"/>
        <n v="692962.9893911661"/>
        <n v="1767749.7893655598"/>
        <n v="3989737.2655781778"/>
        <n v="2677332.463736"/>
        <n v="2663948.242571"/>
        <n v="1052023.254441915"/>
        <n v="811170.830103039"/>
        <n v="2223110.4010418793"/>
        <n v="2156833.8233354716"/>
        <n v="759510.1968068478"/>
        <n v="636446.9426000428"/>
        <n v="817918.7770434127"/>
        <n v="806715.4723584"/>
        <n v="623651.2789368362"/>
        <n v="1001258.7382710936"/>
        <n v="491978.9990820996"/>
        <n v="578569.7717986048"/>
        <n v="734765.0598781208"/>
        <n v="558509.9682787898"/>
        <n v="550752.1493079736"/>
        <n v="900782.1689602257"/>
        <n v="547747.4908789202"/>
        <n v="1713217.10595"/>
        <n v="1706863.5755919998"/>
        <n v="221167.42057225833"/>
        <n v="626214.7036082072"/>
        <n v="628964.0289710361"/>
        <n v="459649.28471203"/>
        <n v="231778.03511055387"/>
        <n v="425096.16249972774"/>
        <n v="433933.0344143699"/>
        <n v="559160.1351228827"/>
        <n v="131688.7203716795"/>
        <n v="1377788.037493"/>
        <n v="592848.3380735152"/>
        <n v="357540.06683364225"/>
        <n v="321898.03157171124"/>
        <n v="288577.0775463134"/>
        <n v="935225.713467757"/>
        <n v="402912.37563482404"/>
        <n v="276595.3311311289"/>
        <n v="114304.24005000001"/>
        <n v="370232.207263778"/>
        <n v="348811.87601779914"/>
        <n v="347108.186198167"/>
        <n v="328824.0656633501"/>
        <n v="326370.2145448857"/>
        <n v="321650.5815938091"/>
        <n v="959000.0"/>
        <n v="126561.99866758806"/>
        <n v="293811.8631213907"/>
        <n v="375426.1072295604"/>
        <n v="366444.6648989164"/>
        <n v="365838.6012725135"/>
        <n v="907884.9597467999"/>
        <n v="282089.4898273933"/>
        <n v="281942.3496732323"/>
        <n v="381860.5994259435"/>
        <n v="232382.1213298227"/>
        <n v="275383.45627462195"/>
        <n v="483700.5975078175"/>
        <n v="225500.6466262807"/>
        <n v="330152.0999454751"/>
        <n v="242805.83231464343"/>
        <n v="81233.387153931"/>
        <n v="207819.55316833645"/>
        <n v="73788.35645816436"/>
        <n v="481814.926038689"/>
        <n v="774775.5657411"/>
        <n v="325079.653888"/>
        <n v="214469.68514697225"/>
        <n v="267742.1842048864"/>
        <n v="263609.4201490392"/>
        <n v="26567.517874015157"/>
        <n v="597595.6743817842"/>
        <n v="139409.07594731034"/>
        <n v="160143.73829163605"/>
        <n v="279972.0633809861"/>
        <n v="428970.97030338284"/>
        <n v="76666.18728777317"/>
        <n v="41640.543518794"/>
        <n v="246754.37680789822"/>
        <n v="126173.36286117758"/>
        <n v="122138.91652973583"/>
        <n v="59335.87733519999"/>
        <n v="156811.37670947597"/>
        <n v="173131.5472415244"/>
        <n v="107923.5078657568"/>
        <n v="154759.17453357528"/>
        <n v="93554.61150581723"/>
        <n v="241744.30540012312"/>
        <n v="346412.02593059995"/>
        <n v="106096.5355349915"/>
        <n v="34301.8998060294"/>
        <n v="130807.0999221579"/>
        <n v="96643.9897866595"/>
        <n v="319378.9536882"/>
        <n v="96692.80059977817"/>
        <n v="120591.425485229"/>
        <n v="55539.76386547368"/>
        <n v="67541.44914487022"/>
        <n v="11858.566715772"/>
        <n v="77420.64662074418"/>
        <n v="155165.28472270648"/>
        <n v="158741.97004739396"/>
        <n v="44260.159492185"/>
        <n v="127640.33954439482"/>
        <n v="102524.90888754714"/>
        <n v="162006.1859072"/>
        <n v="229672.39327571003"/>
        <n v="70747.82085495343"/>
        <n v="293247.6706748268"/>
        <n v="72776.62410947407"/>
        <n v="56208.84438466"/>
        <n v="7766.810032411657"/>
        <n v="69940.31601759083"/>
        <n v="73126.7660928"/>
        <n v="79988.3306742"/>
        <n v="52209.62601648962"/>
        <n v="66616.32209138252"/>
        <n v="114561.59870800452"/>
        <n v="162190.3884034"/>
        <n v="6641.95867029265"/>
        <n v="35791.84435106403"/>
        <n v="44544.362694090385"/>
        <n v="44665.62562357204"/>
        <n v="199659.95683089245"/>
        <n v="44333.028107885286"/>
        <n v="43928.05620644425"/>
        <n v="41128.783684412476"/>
        <n v="192758.06234784168"/>
        <n v="34850.8861269"/>
        <n v="52859.88905064014"/>
        <n v="4743.995619197857"/>
        <n v="32680.15270478483"/>
        <n v="5125.254560911107"/>
        <n v="38381.186205488244"/>
        <n v="21975.114507368846"/>
        <n v="63026.50090961153"/>
        <n v="42487.079791666685"/>
        <n v="27589.717887056555"/>
        <n v="27263.315890660346"/>
        <n v="15400.824051433136"/>
        <n v="52319.75910529119"/>
        <n v="81212.4125266755"/>
        <n v="7951.644340144255"/>
        <n v="7554.823859178319"/>
        <n v="32043.600741072605"/>
        <n v="11448.399073170609"/>
        <n v="67995.49100757"/>
        <n v="61953.358549397"/>
        <n v="38221.402080013526"/>
        <n v="14339.099491234467"/>
        <n v="23513.36067566417"/>
        <n v="20628.894711397246"/>
        <n v="20606.126157601615"/>
        <n v="47785.81883558"/>
        <n v="2380.1631286810525"/>
        <n v="9854.231409032347"/>
        <n v="7302.078884640791"/>
        <n v="23591.498780056223"/>
        <n v="16483.028911156376"/>
        <n v="3750.551813483575"/>
        <n v="7516.835764490521"/>
        <n v="10239.550674365062"/>
        <n v="1957.1666922719999"/>
        <n v="1614.9005809799778"/>
        <n v="13866.78652770196"/>
        <n v="1635.052031665143"/>
        <n v="8108.603261872966"/>
        <n v="2528.525145168777"/>
        <n v="7945.340632158501"/>
        <n v="6477.618034786479"/>
        <n v="23117.95480953"/>
        <n v="4240.772463144672"/>
        <n v="6830.61571833102"/>
        <n v="13321.186014217707"/>
        <n v="10079.892496582788"/>
        <n v="4942.328934912904"/>
        <n v="13240.586058530182"/>
        <n v="9301.131586895883"/>
        <n v="2691.7453999048507"/>
        <n v="5995.892479210876"/>
        <n v="3015.818869631681"/>
        <n v="5481.370951170835"/>
        <n v="5146.858160860138"/>
        <n v="3974.06601228096"/>
        <n v="4870.153749113755"/>
        <n v="9441.793876377335"/>
        <n v="9640.609297410001"/>
        <n v="5225.160856036"/>
        <n v="2231.2896600230647"/>
        <n v="4446.403401985359"/>
        <n v="2094.109971363684"/>
        <n v="3036.7921263529665"/>
        <n v="2264.9298521852647"/>
        <n v="8929.789517121375"/>
        <n v="3187.7176474577573"/>
        <n v="2907.8523806060293"/>
        <n v="4037.9219458300217"/>
        <n v="4662.936347831999"/>
        <n v="3197.93908940181"/>
        <n v="2843.8221399062427"/>
        <n v="4296.311774181337"/>
        <n v="1675.1738183818343"/>
        <n v="1576.8402039372743"/>
        <n v="1526.9185132110542"/>
        <n v="1067.4560395067322"/>
        <n v="530.6147915623594"/>
        <n v="951.6059837504766"/>
        <n v="1120.4345826846006"/>
        <n v="2267.49792534174"/>
        <n v="679.1616347831362"/>
        <n v="218.9374749902315"/>
        <n v="607.14897409848"/>
        <n v="713.083559523323"/>
        <n v="712.0369063349096"/>
        <n v="712.9099114796662"/>
        <n v="693.1174805102527"/>
        <n v="369.8460529065051"/>
        <n v="687.3177175488665"/>
        <n v="2393.431947826894"/>
        <n v="73.3144968608809"/>
        <n v="649.7263709996176"/>
        <n v="601.0357315922839"/>
        <n v="594.3300211417421"/>
        <n v="1259.600355029917"/>
        <n v="135.22889099594877"/>
        <n v="543.1596063826821"/>
        <n v="390.90431989220866"/>
        <n v="512.6923916453038"/>
        <n v="486.9963000412217"/>
        <n v="431.8322784813641"/>
        <n v="430.76724347419747"/>
        <n v="415.3478056762376"/>
        <n v="406.0071157847142"/>
        <n v="132.17535814338385"/>
        <n v="927.2306104061"/>
        <n v="342.2964954324548"/>
        <n v="328.04750060851643"/>
        <n v="293.3510808576"/>
        <n v="290.8634886267694"/>
        <n v="290.3805340350391"/>
        <n v="225.34579237426055"/>
        <n v="290.04400959555846"/>
        <n v="289.3212294945615"/>
        <n v="288.2765838542699"/>
        <n v="281.72425318975877"/>
        <n v="281.4975049783257"/>
        <n v="280.0452469844537"/>
        <n v="277.3540283277077"/>
        <n v="276.6162339316903"/>
        <n v="276.3712611376834"/>
        <n v="274.68474045109105"/>
        <n v="270.8236561650031"/>
        <n v="199.96850327292606"/>
        <n v="268.4294424235023"/>
        <n v="263.2486549363429"/>
        <n v="254.15694574796868"/>
        <n v="110.47274363502241"/>
      </sharedItems>
    </cacheField>
    <cacheField name="USD Value * APY">
      <sharedItems containsMixedTypes="1" containsNumber="1">
        <n v="0.0"/>
        <n v="3.806166768279809E7"/>
        <n v="3101415.4024093905"/>
        <n v="8.23252402584E7"/>
        <n v="3.096974944716E7"/>
        <n v="9076578.254019417"/>
        <n v="2363699.252063304"/>
        <n v="4.823962836163525E7"/>
        <n v="8.100381377942015E7"/>
        <n v="1.6001704626227695E7"/>
        <n v="1.824365408388114E7"/>
        <n v="4464543.062541929"/>
        <n v="5.955037378137918E7"/>
        <n v="1.35978E8"/>
        <n v="7034372.167804635"/>
        <n v="2441243.495369352"/>
        <s v="N/A"/>
        <n v="9535486.881853161"/>
        <n v="7876238.100425973"/>
        <n v="2.0699625086777095E7"/>
        <n v="1254505.8869048026"/>
        <n v="7710915.853914174"/>
        <n v="8995900.837593574"/>
        <n v="7600191.859994232"/>
        <n v="6603670.561626099"/>
        <n v="5733970.41348943"/>
        <n v="3819675.5320000006"/>
        <n v="8771187.812797816"/>
        <n v="4178695.63833573"/>
        <n v="5797712.565731215"/>
        <n v="9860497.895393753"/>
        <n v="3063744.9841243415"/>
        <n v="3425391.8286302523"/>
        <n v="2893002.92001366"/>
        <n v="400542.5882834493"/>
        <n v="2506892.6610986367"/>
        <n v="1079069.6210210293"/>
        <n v="2600285.2155644605"/>
        <n v="2948877.00324036"/>
        <n v="1429289.988399608"/>
        <n v="373514.54353393905"/>
        <n v="6910472.042410955"/>
        <n v="2390396.131194301"/>
        <n v="277110.1843669443"/>
        <n v="266437.97141143895"/>
        <n v="1640006.8162829364"/>
        <n v="969453.6727042348"/>
        <n v="1262732.5584461251"/>
        <n v="2208926.58705576"/>
        <n v="1.0428738184857074E7"/>
        <n v="1757015.4613146791"/>
        <n v="536243.8037929486"/>
        <n v="2083005.7707029616"/>
        <n v="384852.4822746108"/>
        <n v="1054348.4235325244"/>
        <n v="63024.64627800001"/>
        <n v="316011.21852168546"/>
        <n v="123484.76869391344"/>
        <n v="206652.67309072148"/>
        <n v="148884.38510467293"/>
        <n v="2742950.8632005323"/>
        <n v="678839.9084963992"/>
        <n v="2133204.566297777"/>
        <n v="949086.2239143227"/>
        <n v="2449246.187533457"/>
        <n v="2416516.662214"/>
        <n v="1686135.4857446635"/>
        <n v="998166.2645666659"/>
        <n v="1265634.7978665454"/>
        <n v="1082996.016387564"/>
        <n v="559241.1847361804"/>
        <n v="631813.5466499999"/>
        <n v="84482.517093748"/>
        <n v="375063.2079054019"/>
        <n v="3285606.18669348"/>
        <n v="1363563.109721085"/>
        <n v="1644444.5634378141"/>
        <n v="1592348.8032264"/>
        <n v="1592196.3821801194"/>
        <n v="355739.34052729985"/>
        <n v="186273.4631346066"/>
        <n v="513832.9774424366"/>
        <n v="92410.555796853"/>
        <n v="486039.2423299516"/>
        <n v="905338.9615692326"/>
        <n v="116406.6063339836"/>
        <n v="334885.617771669"/>
        <n v="579797.4572163047"/>
        <n v="305680.85461040004"/>
        <n v="-233541.0499537316"/>
        <n v="733126.2398891615"/>
        <n v="176426.09629766425"/>
        <n v="492785.03268826"/>
        <n v="225226.16775865585"/>
        <n v="11462.814527202336"/>
        <n v="274741.73043328"/>
        <n v="9985.638364754313"/>
        <n v="1944.1814583439125"/>
        <n v="147765.47517023998"/>
        <n v="242866.40051345667"/>
        <n v="477499.82895220566"/>
        <n v="223900.98402260273"/>
        <n v="222146.94874572425"/>
        <n v="94097.02071790495"/>
        <n v="3129.41554169771"/>
        <n v="276812.135772912"/>
        <n v="148409.5329520034"/>
        <n v="25950.135724081716"/>
        <n v="195948.69763680402"/>
        <n v="59323.159445"/>
        <n v="1280874.2826849385"/>
        <n v="145875.200219805"/>
        <n v="198784.1353560247"/>
        <n v="-73513.43914916927"/>
        <n v="48458.02025300091"/>
        <n v="84754.93974905496"/>
        <n v="4788.889167658797"/>
        <n v="94310.141585"/>
        <n v="79012.62303603314"/>
        <n v="149436.70605158454"/>
        <n v="75802.135584"/>
        <n v="124308.57570560001"/>
        <n v="171499.39926347983"/>
        <n v="67918.97548899565"/>
        <n v="53508.819958440334"/>
        <n v="37227.11338491457"/>
        <n v="79086.68317250407"/>
        <n v="45213.08140082604"/>
        <n v="3646.4907012811454"/>
        <n v="205138.34118422284"/>
        <n v="111078.52152"/>
        <n v="66036.80665253123"/>
        <n v="-37915.67377816335"/>
        <n v="51709.5564783511"/>
        <n v="-33852.77897094159"/>
        <n v="227535.66352005163"/>
        <n v="12.415760267400001"/>
        <n v="60682.294868883924"/>
        <n v="-20582.097551718518"/>
        <n v="29260.525500263233"/>
        <n v="76733.23714618216"/>
        <n v="5951.002862484802"/>
        <n v="23122.867560668008"/>
        <n v="20998.87773926287"/>
        <n v="27971.173977054"/>
        <n v="36420.94157453122"/>
        <n v="162101.75630822804"/>
        <n v="6421.578422154429"/>
        <n v="33213.92195525976"/>
        <n v="113944.06015873025"/>
        <n v="55895.24874469904"/>
        <n v="33493.5027710981"/>
        <n v="11026.869681695443"/>
        <n v="27876.339501270002"/>
        <n v="4470.1946487"/>
        <n v="175.76398463632458"/>
        <n v="122.86126545847188"/>
        <n v="2681.030947871877"/>
        <n v="-1060.2717031131033"/>
        <n v="3045.394795202312"/>
        <n v="7483.3154295856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- Coin" cacheId="0" dataCaption="" compact="0" compactData="0">
  <location ref="A3:I529" firstHeaderRow="0" firstDataRow="4" firstDataCol="0"/>
  <pivotFields>
    <pivotField name="Coin" axis="axisRow" dataField="1" compact="0" outline="0" multipleItemSelectionAllowed="1" showAll="0" sortType="ascending">
      <items>
        <item x="21"/>
        <item h="1" x="18"/>
        <item x="17"/>
        <item x="8"/>
        <item x="62"/>
        <item h="1" x="54"/>
        <item h="1" x="26"/>
        <item x="40"/>
        <item x="64"/>
        <item x="29"/>
        <item x="14"/>
        <item x="15"/>
        <item x="30"/>
        <item h="1" x="48"/>
        <item h="1" x="68"/>
        <item x="39"/>
        <item x="0"/>
        <item x="65"/>
        <item x="1"/>
        <item x="36"/>
        <item x="37"/>
        <item x="31"/>
        <item x="27"/>
        <item x="46"/>
        <item x="12"/>
        <item x="23"/>
        <item x="35"/>
        <item x="2"/>
        <item x="73"/>
        <item x="69"/>
        <item h="1" x="55"/>
        <item x="7"/>
        <item x="51"/>
        <item x="49"/>
        <item x="11"/>
        <item x="58"/>
        <item x="13"/>
        <item x="9"/>
        <item x="19"/>
        <item x="5"/>
        <item x="71"/>
        <item x="41"/>
        <item x="72"/>
        <item x="28"/>
        <item x="67"/>
        <item h="1" x="47"/>
        <item h="1" x="56"/>
        <item h="1" x="50"/>
        <item x="59"/>
        <item x="16"/>
        <item h="1" x="20"/>
        <item x="6"/>
        <item h="1" x="44"/>
        <item x="3"/>
        <item x="38"/>
        <item x="33"/>
        <item x="42"/>
        <item x="32"/>
        <item x="43"/>
        <item h="1" x="61"/>
        <item x="52"/>
        <item x="25"/>
        <item x="66"/>
        <item h="1" x="4"/>
        <item x="60"/>
        <item x="57"/>
        <item x="24"/>
        <item x="10"/>
        <item h="1" x="53"/>
        <item x="45"/>
        <item h="1" x="63"/>
        <item h="1" x="70"/>
        <item x="22"/>
        <item x="34"/>
        <item t="default"/>
      </items>
    </pivotField>
    <pivotField name="Category" axis="axisRow" compact="0" outline="0" multipleItemSelectionAllowed="1" showAll="0" sortType="ascending">
      <items>
        <item x="3"/>
        <item sd="0" x="2"/>
        <item x="7"/>
        <item x="16"/>
        <item x="13"/>
        <item x="9"/>
        <item x="1"/>
        <item x="10"/>
        <item x="12"/>
        <item x="15"/>
        <item x="14"/>
        <item x="0"/>
        <item x="4"/>
        <item x="8"/>
        <item x="11"/>
        <item x="6"/>
        <item x="5"/>
        <item t="default"/>
      </items>
    </pivotField>
    <pivotField name="Account" axis="axisRow" compact="0" outline="0" multipleItemSelectionAllowed="1" showAll="0" sortType="ascending">
      <items>
        <item x="32"/>
        <item x="49"/>
        <item x="18"/>
        <item x="44"/>
        <item x="13"/>
        <item x="72"/>
        <item x="3"/>
        <item x="2"/>
        <item x="4"/>
        <item x="7"/>
        <item x="89"/>
        <item x="19"/>
        <item x="26"/>
        <item x="93"/>
        <item x="45"/>
        <item x="50"/>
        <item x="65"/>
        <item x="78"/>
        <item x="80"/>
        <item x="104"/>
        <item x="99"/>
        <item x="40"/>
        <item x="38"/>
        <item x="74"/>
        <item x="54"/>
        <item x="69"/>
        <item x="109"/>
        <item x="110"/>
        <item x="108"/>
        <item x="107"/>
        <item x="52"/>
        <item x="61"/>
        <item x="62"/>
        <item x="31"/>
        <item x="90"/>
        <item x="92"/>
        <item x="71"/>
        <item x="83"/>
        <item x="11"/>
        <item x="22"/>
        <item x="76"/>
        <item x="53"/>
        <item x="12"/>
        <item x="20"/>
        <item x="91"/>
        <item x="81"/>
        <item x="68"/>
        <item x="6"/>
        <item x="86"/>
        <item x="82"/>
        <item x="29"/>
        <item x="43"/>
        <item x="41"/>
        <item x="102"/>
        <item x="15"/>
        <item x="88"/>
        <item x="77"/>
        <item x="5"/>
        <item x="1"/>
        <item x="9"/>
        <item x="95"/>
        <item x="51"/>
        <item x="35"/>
        <item x="33"/>
        <item x="17"/>
        <item x="14"/>
        <item x="27"/>
        <item x="46"/>
        <item x="98"/>
        <item x="42"/>
        <item x="23"/>
        <item x="57"/>
        <item x="8"/>
        <item x="0"/>
        <item x="48"/>
        <item x="87"/>
        <item x="24"/>
        <item x="84"/>
        <item x="79"/>
        <item x="105"/>
        <item x="106"/>
        <item x="100"/>
        <item x="103"/>
        <item x="64"/>
        <item x="39"/>
        <item x="66"/>
        <item x="55"/>
        <item x="63"/>
        <item x="30"/>
        <item x="47"/>
        <item x="37"/>
        <item x="70"/>
        <item x="25"/>
        <item x="111"/>
        <item x="75"/>
        <item x="97"/>
        <item x="96"/>
        <item x="16"/>
        <item x="59"/>
        <item x="10"/>
        <item x="56"/>
        <item x="73"/>
        <item x="101"/>
        <item x="67"/>
        <item x="36"/>
        <item x="60"/>
        <item x="94"/>
        <item x="58"/>
        <item x="85"/>
        <item x="21"/>
        <item x="34"/>
        <item x="28"/>
        <item t="default"/>
      </items>
    </pivotField>
    <pivotField name="Tie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# of Coin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t="default"/>
      </items>
    </pivotField>
    <pivotField name="AP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COF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USD 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USD Value * COF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t="default"/>
      </items>
    </pivotField>
    <pivotField name="USD Value * AP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</pivotFields>
  <rowFields>
    <field x="1"/>
    <field x="2"/>
    <field x="0"/>
  </rowFields>
  <colFields>
    <field x="-2"/>
  </colFields>
  <dataFields>
    <dataField name="SUM of USD Value" fld="7" baseField="0"/>
    <dataField name="AVERAGE of APY" fld="5" subtotal="average" baseField="0"/>
    <dataField name="COUNTA of Coin" fld="0" subtotal="count" baseField="0"/>
    <dataField name="COUNTA of Coin" fld="0" subtotal="count" baseField="0"/>
    <dataField name="COUNTA of Coin" fld="0" subtotal="count" baseField="0"/>
    <dataField name="SUM of APY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pivotTable" Target="../pivotTables/pivotTable1.xml"/><Relationship Id="rId3" Type="http://schemas.openxmlformats.org/officeDocument/2006/relationships/drawing" Target="../drawings/drawing10.xml"/><Relationship Id="rId4" Type="http://schemas.openxmlformats.org/officeDocument/2006/relationships/vmlDrawing" Target="../drawings/vmlDrawing4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6.88"/>
    <col customWidth="1" min="3" max="3" width="16.75"/>
    <col customWidth="1" min="4" max="4" width="14.0"/>
    <col customWidth="1" min="6" max="6" width="13.13"/>
    <col customWidth="1" min="10" max="11" width="3.13"/>
    <col customWidth="1" min="12" max="12" width="20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/>
      <c r="I1" s="5"/>
      <c r="J1" s="5"/>
      <c r="K1" s="5"/>
      <c r="L1" s="5"/>
      <c r="M1" s="6"/>
      <c r="N1" s="7"/>
      <c r="O1" s="7"/>
      <c r="P1" s="8"/>
      <c r="Q1" s="8"/>
      <c r="R1" s="8"/>
      <c r="S1" s="8"/>
      <c r="T1" s="7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9" t="s">
        <v>7</v>
      </c>
      <c r="B2" s="10">
        <f>SUMIF(Pivot_Data!B:B,$A2,Pivot_Data!H:H)/1000000</f>
        <v>4145.736196</v>
      </c>
      <c r="C2" s="11">
        <f t="shared" ref="C2:C14" si="1">B2/$B$16</f>
        <v>0.1886415623</v>
      </c>
      <c r="D2" s="11">
        <f>SUMIF(Pivot_Data!B:B,$A2,Pivot_Data!J:J)/$B2/1000000</f>
        <v>0.0007862254403</v>
      </c>
      <c r="E2" s="11">
        <f>SUMIF(Pivot_Data!B:B,$A2,Pivot_Data!I:I)/$B2/1000000</f>
        <v>0</v>
      </c>
      <c r="F2" s="12"/>
      <c r="G2" s="11">
        <f t="shared" ref="G2:G14" si="2">D2-E2+F2</f>
        <v>0.0007862254403</v>
      </c>
      <c r="M2" s="13"/>
      <c r="N2" s="14"/>
      <c r="O2" s="15"/>
      <c r="P2" s="15"/>
      <c r="Q2" s="15"/>
      <c r="R2" s="15"/>
      <c r="S2" s="15"/>
      <c r="T2" s="16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>
      <c r="A3" s="9" t="s">
        <v>8</v>
      </c>
      <c r="B3" s="10">
        <f>SUMIF(Pivot_Data!B:B,$A3,Pivot_Data!H:H)/1000000</f>
        <v>3249.912529</v>
      </c>
      <c r="C3" s="11">
        <f t="shared" si="1"/>
        <v>0.1478793025</v>
      </c>
      <c r="D3" s="11">
        <f>SUMIF(Pivot_Data!B:B,$A3,Pivot_Data!J:J)/$B3/1000000</f>
        <v>0.05159612319</v>
      </c>
      <c r="E3" s="11">
        <f>SUMIF(Pivot_Data!B:B,$A3,Pivot_Data!I:I)/$B3/1000000</f>
        <v>0.04984752735</v>
      </c>
      <c r="F3" s="11">
        <f>F28</f>
        <v>0.006503248823</v>
      </c>
      <c r="G3" s="11">
        <f t="shared" si="2"/>
        <v>0.008251844666</v>
      </c>
      <c r="M3" s="13"/>
      <c r="N3" s="17"/>
      <c r="O3" s="13"/>
      <c r="P3" s="15"/>
      <c r="Q3" s="15"/>
      <c r="R3" s="15"/>
      <c r="S3" s="15"/>
      <c r="T3" s="16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>
      <c r="A4" s="9" t="s">
        <v>9</v>
      </c>
      <c r="B4" s="10">
        <f>SUMIF(Pivot_Data!B:B,$A4,Pivot_Data!H:H)/1000000</f>
        <v>2461.683126</v>
      </c>
      <c r="C4" s="11">
        <f t="shared" si="1"/>
        <v>0.1120128558</v>
      </c>
      <c r="D4" s="11">
        <f>SUMIF(Pivot_Data!B:B,$A4,Pivot_Data!J:J)/$B4/1000000</f>
        <v>0.04382023436</v>
      </c>
      <c r="E4" s="11">
        <f>SUMIF(Pivot_Data!B:B,$A4,Pivot_Data!I:I)/$B4/1000000</f>
        <v>0.03708904766</v>
      </c>
      <c r="F4" s="11"/>
      <c r="G4" s="11">
        <f t="shared" si="2"/>
        <v>0.006731186693</v>
      </c>
      <c r="M4" s="13"/>
      <c r="N4" s="17"/>
      <c r="O4" s="13"/>
      <c r="P4" s="15"/>
      <c r="Q4" s="18"/>
      <c r="R4" s="15"/>
      <c r="S4" s="15"/>
      <c r="T4" s="16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>
      <c r="A5" s="9" t="s">
        <v>10</v>
      </c>
      <c r="B5" s="10">
        <f>SUMIF(Pivot_Data!B:B,$A5,Pivot_Data!H:H)/1000000</f>
        <v>1258.600737</v>
      </c>
      <c r="C5" s="11">
        <f t="shared" si="1"/>
        <v>0.05726954108</v>
      </c>
      <c r="D5" s="11">
        <f>SUMIF(Pivot_Data!B:B,$A5,Pivot_Data!J:J)/$B5/1000000</f>
        <v>0.07110465634</v>
      </c>
      <c r="E5" s="11">
        <f>SUMIF(Pivot_Data!B:B,$A5,Pivot_Data!I:I)/$B5/1000000</f>
        <v>0.04038024844</v>
      </c>
      <c r="F5" s="11"/>
      <c r="G5" s="11">
        <f t="shared" si="2"/>
        <v>0.0307244079</v>
      </c>
      <c r="M5" s="13"/>
      <c r="N5" s="17"/>
      <c r="O5" s="13"/>
      <c r="P5" s="15"/>
      <c r="Q5" s="18"/>
      <c r="R5" s="19"/>
      <c r="S5" s="15"/>
      <c r="T5" s="16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>
      <c r="A6" s="9" t="s">
        <v>11</v>
      </c>
      <c r="B6" s="10">
        <f>SUMIF(Pivot_Data!B:B,$A6,Pivot_Data!H:H)/1000000</f>
        <v>2267.746693</v>
      </c>
      <c r="C6" s="11">
        <f t="shared" si="1"/>
        <v>0.1031882539</v>
      </c>
      <c r="D6" s="11">
        <f>SUMIF(Pivot_Data!B:B,$A6,Pivot_Data!J:J)/$B6/1000000</f>
        <v>0.0713193864</v>
      </c>
      <c r="E6" s="11">
        <f>SUMIF(Pivot_Data!B:B,$A6,Pivot_Data!I:I)/$B6/1000000</f>
        <v>0.03854095643</v>
      </c>
      <c r="F6" s="11"/>
      <c r="G6" s="11">
        <f t="shared" si="2"/>
        <v>0.03277842998</v>
      </c>
      <c r="M6" s="13"/>
      <c r="N6" s="17"/>
      <c r="O6" s="13"/>
      <c r="P6" s="15"/>
      <c r="Q6" s="18"/>
      <c r="R6" s="20"/>
      <c r="S6" s="15"/>
      <c r="T6" s="16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>
      <c r="A7" s="9" t="s">
        <v>12</v>
      </c>
      <c r="B7" s="10">
        <f>SUMIF(Pivot_Data!B:B,$A7,Pivot_Data!H:H)/1000000</f>
        <v>910.8749837</v>
      </c>
      <c r="C7" s="11">
        <f t="shared" si="1"/>
        <v>0.04144713313</v>
      </c>
      <c r="D7" s="11">
        <f>SUMIF(Pivot_Data!B:B,$A7,Pivot_Data!J:J)/$B7/1000000</f>
        <v>0.034</v>
      </c>
      <c r="E7" s="11">
        <f>SUMIF(Pivot_Data!B:B,$A7,Pivot_Data!I:I)/$B7/1000000</f>
        <v>0.0959</v>
      </c>
      <c r="F7" s="11">
        <f>F27</f>
        <v>0.107044602</v>
      </c>
      <c r="G7" s="11">
        <f t="shared" si="2"/>
        <v>0.04514460199</v>
      </c>
      <c r="M7" s="13"/>
      <c r="N7" s="17"/>
      <c r="O7" s="13"/>
      <c r="P7" s="15"/>
      <c r="Q7" s="18"/>
      <c r="R7" s="19"/>
      <c r="S7" s="15"/>
      <c r="T7" s="16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>
      <c r="A8" s="9" t="s">
        <v>13</v>
      </c>
      <c r="B8" s="10">
        <f>SUMIF(Pivot_Data!B:B,$A8,Pivot_Data!H:H)/1000000</f>
        <v>305.4194249</v>
      </c>
      <c r="C8" s="11">
        <f t="shared" si="1"/>
        <v>0.01389736219</v>
      </c>
      <c r="D8" s="11">
        <f>SUMIF(Pivot_Data!B:B,$A8,Pivot_Data!J:J)/$B8/1000000</f>
        <v>0.07577389501</v>
      </c>
      <c r="E8" s="11">
        <f>SUMIF(Pivot_Data!B:B,$A8,Pivot_Data!I:I)/$B8/1000000</f>
        <v>0.05035770808</v>
      </c>
      <c r="F8" s="11"/>
      <c r="G8" s="11">
        <f t="shared" si="2"/>
        <v>0.02541618693</v>
      </c>
      <c r="M8" s="13"/>
      <c r="N8" s="17"/>
      <c r="O8" s="21"/>
      <c r="P8" s="15"/>
      <c r="Q8" s="15"/>
      <c r="R8" s="15"/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>
      <c r="A9" s="22" t="s">
        <v>14</v>
      </c>
      <c r="B9" s="10">
        <f>SUMIF(Pivot_Data!B:B,$A9,Pivot_Data!H:H)/1000000</f>
        <v>2521.859488</v>
      </c>
      <c r="C9" s="11">
        <f t="shared" si="1"/>
        <v>0.1147510337</v>
      </c>
      <c r="D9" s="11">
        <f>SUMIF(Pivot_Data!B:B,$A9,Pivot_Data!J:J)/$B9/1000000</f>
        <v>0</v>
      </c>
      <c r="E9" s="11">
        <f>SUMIF(Pivot_Data!B:B,$A9,Pivot_Data!I:I)/$B9/1000000</f>
        <v>0.0400946113</v>
      </c>
      <c r="F9" s="11"/>
      <c r="G9" s="11">
        <f t="shared" si="2"/>
        <v>-0.0400946113</v>
      </c>
      <c r="H9" s="23"/>
      <c r="I9" s="23"/>
      <c r="J9" s="23"/>
      <c r="K9" s="23"/>
      <c r="L9" s="23"/>
      <c r="M9" s="24"/>
      <c r="N9" s="25"/>
      <c r="O9" s="24"/>
      <c r="P9" s="26"/>
      <c r="Q9" s="27"/>
      <c r="R9" s="26"/>
      <c r="S9" s="26"/>
      <c r="T9" s="28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>
      <c r="A10" s="22" t="s">
        <v>15</v>
      </c>
      <c r="B10" s="10">
        <f>SUMIF(Pivot_Data!B:B,$A10,Pivot_Data!H:H)/1000000</f>
        <v>2213.436012</v>
      </c>
      <c r="C10" s="11">
        <f t="shared" si="1"/>
        <v>0.1007169795</v>
      </c>
      <c r="D10" s="11">
        <f>SUMIF(Pivot_Data!B:B,$A10,Pivot_Data!J:J)/$B10/1000000</f>
        <v>0.007601753501</v>
      </c>
      <c r="E10" s="11">
        <f>SUMIF(Pivot_Data!B:B,$A10,Pivot_Data!I:I)/$B10/1000000</f>
        <v>0.03644939367</v>
      </c>
      <c r="F10" s="11"/>
      <c r="G10" s="11">
        <f t="shared" si="2"/>
        <v>-0.02884764017</v>
      </c>
      <c r="H10" s="23"/>
      <c r="I10" s="23"/>
      <c r="J10" s="23"/>
      <c r="K10" s="23"/>
      <c r="L10" s="23"/>
      <c r="M10" s="24"/>
      <c r="N10" s="29"/>
      <c r="O10" s="24"/>
      <c r="P10" s="29"/>
      <c r="Q10" s="26"/>
      <c r="R10" s="26"/>
      <c r="S10" s="26"/>
      <c r="T10" s="28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>
      <c r="A11" s="9" t="s">
        <v>16</v>
      </c>
      <c r="B11" s="10">
        <f>SUMIF(Pivot_Data!B:B,$A11,Pivot_Data!H:H)/1000000</f>
        <v>1111.274122</v>
      </c>
      <c r="C11" s="11">
        <f t="shared" si="1"/>
        <v>0.05056580464</v>
      </c>
      <c r="D11" s="11">
        <f>SUMIF(Pivot_Data!B:B,$A11,Pivot_Data!J:J)/$B11/1000000</f>
        <v>0</v>
      </c>
      <c r="E11" s="11">
        <f>SUMIF(Pivot_Data!B:B,$A11,Pivot_Data!I:I)/$B11/1000000</f>
        <v>0.0415</v>
      </c>
      <c r="F11" s="11"/>
      <c r="G11" s="11">
        <f t="shared" si="2"/>
        <v>-0.0415</v>
      </c>
      <c r="M11" s="13"/>
      <c r="N11" s="30"/>
      <c r="O11" s="13"/>
      <c r="P11" s="30"/>
      <c r="Q11" s="15"/>
      <c r="R11" s="15"/>
      <c r="S11" s="15"/>
      <c r="T11" s="16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>
      <c r="A12" s="9" t="s">
        <v>17</v>
      </c>
      <c r="B12" s="10">
        <f>SUMIF(Pivot_Data!B:B,$A12,Pivot_Data!H:H)/1000000</f>
        <v>1091.121964</v>
      </c>
      <c r="C12" s="11">
        <f t="shared" si="1"/>
        <v>0.04964883007</v>
      </c>
      <c r="D12" s="11">
        <f>SUMIF(Pivot_Data!B:B,$A12,Pivot_Data!J:J)/$B12/1000000</f>
        <v>0</v>
      </c>
      <c r="E12" s="11">
        <f>SUMIF(Pivot_Data!B:B,$A12,Pivot_Data!I:I)/$B12/1000000</f>
        <v>0</v>
      </c>
      <c r="F12" s="11"/>
      <c r="G12" s="11">
        <f t="shared" si="2"/>
        <v>0</v>
      </c>
      <c r="M12" s="13"/>
      <c r="N12" s="17"/>
      <c r="O12" s="15"/>
      <c r="P12" s="15"/>
      <c r="Q12" s="15"/>
      <c r="R12" s="15"/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>
      <c r="A13" s="9" t="s">
        <v>18</v>
      </c>
      <c r="B13" s="10">
        <f>SUMIF(Pivot_Data!B:B,$A13,Pivot_Data!H:H)/1000000</f>
        <v>439.1257604</v>
      </c>
      <c r="C13" s="11">
        <f t="shared" si="1"/>
        <v>0.01998134121</v>
      </c>
      <c r="D13" s="11">
        <f>SUMIF(Pivot_Data!B:B,$A13,Pivot_Data!J:J)/$B13/1000000</f>
        <v>0</v>
      </c>
      <c r="E13" s="11">
        <f>SUMIF(Pivot_Data!B:B,$A13,Pivot_Data!I:I)/$B13/1000000</f>
        <v>0.02999313633</v>
      </c>
      <c r="F13" s="11"/>
      <c r="G13" s="11">
        <f t="shared" si="2"/>
        <v>-0.02999313633</v>
      </c>
      <c r="M13" s="13"/>
      <c r="N13" s="17"/>
      <c r="O13" s="15"/>
      <c r="P13" s="15"/>
      <c r="Q13" s="15"/>
      <c r="R13" s="15"/>
      <c r="S13" s="15"/>
      <c r="T13" s="16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>
      <c r="A14" s="9" t="s">
        <v>19</v>
      </c>
      <c r="B14" s="10">
        <f>SUMIF(Pivot_Data!B:B,$A14,Pivot_Data!H:H)/1000000</f>
        <v>0</v>
      </c>
      <c r="C14" s="11">
        <f t="shared" si="1"/>
        <v>0</v>
      </c>
      <c r="D14" s="11" t="str">
        <f>SUMIF(Pivot_Data!B:B,$A14,Pivot_Data!J:J)/$B14/1000000</f>
        <v>#DIV/0!</v>
      </c>
      <c r="E14" s="11" t="str">
        <f>SUMIF(Pivot_Data!B:B,$A14,Pivot_Data!I:I)/$B14/1000000</f>
        <v>#DIV/0!</v>
      </c>
      <c r="F14" s="11"/>
      <c r="G14" s="11" t="str">
        <f t="shared" si="2"/>
        <v>#DIV/0!</v>
      </c>
      <c r="M14" s="13"/>
      <c r="N14" s="17"/>
      <c r="O14" s="15"/>
      <c r="P14" s="15"/>
      <c r="Q14" s="15"/>
      <c r="R14" s="15"/>
      <c r="S14" s="15"/>
      <c r="T14" s="16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>
      <c r="A15" s="31"/>
      <c r="B15" s="32"/>
      <c r="C15" s="33"/>
      <c r="D15" s="33"/>
      <c r="E15" s="33"/>
      <c r="F15" s="33"/>
      <c r="G15" s="11"/>
      <c r="M15" s="30"/>
      <c r="O15" s="15"/>
      <c r="Q15" s="15"/>
      <c r="R15" s="15"/>
      <c r="S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>
      <c r="A16" s="34" t="s">
        <v>20</v>
      </c>
      <c r="B16" s="35">
        <f t="shared" ref="B16:C16" si="3">SUM(B2:B14)</f>
        <v>21976.79103</v>
      </c>
      <c r="C16" s="36">
        <f t="shared" si="3"/>
        <v>1</v>
      </c>
      <c r="D16" s="36" t="str">
        <f t="shared" ref="D16:E16" si="4">SUMPRODUCT($B2:$B14,D2:D14)/$B16</f>
        <v>#DIV/0!</v>
      </c>
      <c r="E16" s="36" t="str">
        <f t="shared" si="4"/>
        <v>#DIV/0!</v>
      </c>
      <c r="F16" s="37" t="s">
        <v>21</v>
      </c>
      <c r="G16" s="36" t="str">
        <f>D16-E16</f>
        <v>#DIV/0!</v>
      </c>
      <c r="M16" s="13"/>
      <c r="N16" s="17"/>
      <c r="P16" s="17"/>
      <c r="T16" s="26"/>
    </row>
    <row r="17">
      <c r="B17" s="38"/>
      <c r="C17" s="39"/>
      <c r="D17" s="39"/>
      <c r="E17" s="39"/>
      <c r="F17" s="39"/>
      <c r="G17" s="39"/>
      <c r="M17" s="13"/>
      <c r="O17" s="23"/>
      <c r="P17" s="23"/>
      <c r="Q17" s="23"/>
      <c r="R17" s="23"/>
      <c r="S17" s="23"/>
      <c r="T17" s="40"/>
      <c r="U17" s="23"/>
      <c r="V17" s="23"/>
      <c r="W17" s="23"/>
      <c r="X17" s="23"/>
      <c r="Y17" s="23"/>
      <c r="Z17" s="23"/>
      <c r="AA17" s="23"/>
      <c r="AB17" s="23"/>
      <c r="AC17" s="23"/>
      <c r="AD17" s="23"/>
    </row>
    <row r="18">
      <c r="A18" s="9" t="s">
        <v>22</v>
      </c>
      <c r="B18" s="10">
        <f>SUMIF(Pivot_Data!B:B,$A18,Pivot_Data!H:H)/1000000</f>
        <v>464.2120206</v>
      </c>
      <c r="C18" s="22" t="s">
        <v>23</v>
      </c>
      <c r="D18" s="11">
        <f>SUMIF(Pivot_Data!B:B,$A18,Pivot_Data!J:J)/$B18/1000000</f>
        <v>0.3</v>
      </c>
      <c r="E18" s="11">
        <f>SUMIF(Pivot_Data!B:B,$A18,Pivot_Data!I:I)/$B18/1000000</f>
        <v>0.09434052172</v>
      </c>
      <c r="F18" s="11"/>
      <c r="G18" s="11">
        <f>D18-E18+ iferror(VLOOKUP(A18,$A$26:$F$28,6,0),0)</f>
        <v>0.2056594783</v>
      </c>
      <c r="T18" s="39"/>
    </row>
    <row r="19">
      <c r="A19" s="41" t="s">
        <v>24</v>
      </c>
      <c r="B19" s="42">
        <f>'net position calcs'!F96/1000000</f>
        <v>555.6629137</v>
      </c>
      <c r="D19" s="43"/>
      <c r="E19" s="43"/>
      <c r="F19" s="43"/>
      <c r="M19" s="44"/>
      <c r="N19" s="30"/>
      <c r="O19" s="30"/>
      <c r="P19" s="30"/>
    </row>
    <row r="20">
      <c r="A20" s="45" t="s">
        <v>25</v>
      </c>
      <c r="B20" s="46">
        <f>B18+B16</f>
        <v>22441.00306</v>
      </c>
      <c r="C20" s="43"/>
      <c r="D20" s="43"/>
      <c r="E20" s="43"/>
      <c r="F20" s="43"/>
      <c r="M20" s="44"/>
    </row>
    <row r="21">
      <c r="A21" s="47" t="s">
        <v>26</v>
      </c>
      <c r="B21" s="48">
        <f>SUM(Pivot_Data!H:H)/1000000</f>
        <v>22977.3377</v>
      </c>
      <c r="C21" s="43"/>
      <c r="D21" s="43"/>
      <c r="E21" s="43"/>
      <c r="F21" s="43"/>
      <c r="M21" s="44"/>
      <c r="T21" s="38"/>
    </row>
    <row r="22">
      <c r="A22" s="49" t="s">
        <v>27</v>
      </c>
      <c r="B22" s="50">
        <f>B20-B21</f>
        <v>-536.3346403</v>
      </c>
      <c r="C22" s="43"/>
      <c r="D22" s="43"/>
      <c r="E22" s="43"/>
      <c r="F22" s="43"/>
      <c r="M22" s="44"/>
      <c r="N22" s="30"/>
      <c r="O22" s="30"/>
      <c r="P22" s="30"/>
      <c r="T22" s="51"/>
    </row>
    <row r="23">
      <c r="A23" s="47" t="s">
        <v>28</v>
      </c>
      <c r="B23" s="52">
        <f>IFERROR(__xludf.DUMMYFUNCTION("IMPORTRANGE(""https://docs.google.com/spreadsheets/d/1Sd_2S_W4XszBXexj-L0mcLPkgDuzQwB3_mczReDg-iI/edit#gid=2142175478"", ""Summary - By Business line!C51"")/1000000"),22679.578541217168)</f>
        <v>22679.57854</v>
      </c>
      <c r="C23" s="43"/>
      <c r="D23" s="43"/>
      <c r="E23" s="43"/>
      <c r="F23" s="43"/>
      <c r="M23" s="44"/>
      <c r="N23" s="30"/>
      <c r="O23" s="30"/>
      <c r="P23" s="30"/>
      <c r="T23" s="51"/>
    </row>
    <row r="24">
      <c r="A24" s="53" t="s">
        <v>29</v>
      </c>
      <c r="B24" s="54">
        <f>B20-B23</f>
        <v>-238.5754856</v>
      </c>
      <c r="C24" s="43"/>
      <c r="D24" s="43"/>
      <c r="E24" s="43"/>
      <c r="F24" s="43"/>
      <c r="M24" s="44"/>
      <c r="N24" s="30"/>
      <c r="O24" s="30"/>
      <c r="P24" s="30"/>
      <c r="T24" s="51"/>
    </row>
    <row r="25">
      <c r="C25" s="43"/>
      <c r="D25" s="43"/>
      <c r="E25" s="43"/>
      <c r="F25" s="43"/>
      <c r="M25" s="44"/>
      <c r="N25" s="30"/>
      <c r="O25" s="30"/>
      <c r="P25" s="30"/>
      <c r="T25" s="55"/>
    </row>
    <row r="26">
      <c r="A26" s="31"/>
      <c r="B26" s="2" t="s">
        <v>30</v>
      </c>
      <c r="C26" s="3" t="s">
        <v>31</v>
      </c>
      <c r="D26" s="3" t="s">
        <v>32</v>
      </c>
      <c r="E26" s="3" t="s">
        <v>33</v>
      </c>
      <c r="F26" s="3" t="s">
        <v>34</v>
      </c>
      <c r="M26" s="44"/>
    </row>
    <row r="27">
      <c r="A27" s="9" t="s">
        <v>12</v>
      </c>
      <c r="B27" s="10">
        <f>sum(Collateral!F:F)/1000000</f>
        <v>2845.128206</v>
      </c>
      <c r="C27" s="11">
        <f t="shared" ref="C27:C28" si="5">B27/VLOOKUP(A27,$A$1:$E$15,2, 0)</f>
        <v>3.123511192</v>
      </c>
      <c r="D27" s="56">
        <f>SUMPRODUCT(Collateral!D:D,Collateral!F:F)/1000000</f>
        <v>97.5042501</v>
      </c>
      <c r="E27" s="11">
        <f t="shared" ref="E27:E28" si="6">D27/B27</f>
        <v>0.03427059978</v>
      </c>
      <c r="F27" s="11">
        <f t="shared" ref="F27:F28" si="7">C27*E27</f>
        <v>0.107044602</v>
      </c>
      <c r="M27" s="44"/>
    </row>
    <row r="28">
      <c r="A28" s="9" t="s">
        <v>8</v>
      </c>
      <c r="B28" s="10">
        <f>sum(Collateral!G:G)/1000000</f>
        <v>2018.504908</v>
      </c>
      <c r="C28" s="11">
        <f t="shared" si="5"/>
        <v>0.6210951496</v>
      </c>
      <c r="D28" s="56">
        <f>SUMPRODUCT(Collateral!G:G,Collateral!D:D)/1000000</f>
        <v>21.13498983</v>
      </c>
      <c r="E28" s="11">
        <f t="shared" si="6"/>
        <v>0.01047061602</v>
      </c>
      <c r="F28" s="11">
        <f t="shared" si="7"/>
        <v>0.006503248823</v>
      </c>
      <c r="G28" s="39"/>
      <c r="M28" s="44"/>
    </row>
    <row r="29">
      <c r="B29" s="57"/>
      <c r="C29" s="39"/>
      <c r="D29" s="39"/>
      <c r="E29" s="39"/>
      <c r="F29" s="39"/>
      <c r="M29" s="44"/>
    </row>
    <row r="30">
      <c r="B30" s="57"/>
      <c r="C30" s="39"/>
      <c r="D30" s="39"/>
      <c r="E30" s="39"/>
      <c r="F30" s="39"/>
      <c r="H30" s="38"/>
      <c r="I30" s="38"/>
      <c r="J30" s="38"/>
      <c r="K30" s="38"/>
      <c r="M30" s="44"/>
    </row>
    <row r="31">
      <c r="B31" s="57"/>
      <c r="C31" s="40"/>
      <c r="D31" s="39"/>
      <c r="E31" s="39"/>
      <c r="F31" s="39"/>
      <c r="H31" s="38"/>
      <c r="I31" s="38"/>
      <c r="J31" s="38"/>
      <c r="K31" s="38"/>
      <c r="L31" s="38"/>
      <c r="M31" s="44"/>
    </row>
    <row r="32">
      <c r="B32" s="38"/>
      <c r="C32" s="39"/>
      <c r="D32" s="39"/>
      <c r="E32" s="39"/>
      <c r="F32" s="39"/>
      <c r="H32" s="38"/>
      <c r="I32" s="38"/>
      <c r="J32" s="38"/>
      <c r="K32" s="38"/>
      <c r="L32" s="38"/>
      <c r="M32" s="44"/>
    </row>
    <row r="33">
      <c r="B33" s="38"/>
      <c r="C33" s="39"/>
      <c r="D33" s="39"/>
      <c r="E33" s="39"/>
      <c r="F33" s="39"/>
      <c r="H33" s="38"/>
      <c r="I33" s="38"/>
      <c r="J33" s="38"/>
      <c r="K33" s="38"/>
      <c r="L33" s="38"/>
      <c r="M33" s="44"/>
    </row>
    <row r="34">
      <c r="B34" s="38"/>
      <c r="C34" s="39"/>
      <c r="D34" s="39"/>
      <c r="E34" s="39"/>
      <c r="F34" s="39"/>
      <c r="H34" s="38"/>
      <c r="I34" s="38"/>
      <c r="J34" s="38"/>
      <c r="K34" s="38"/>
      <c r="L34" s="38"/>
      <c r="M34" s="44"/>
    </row>
    <row r="35">
      <c r="B35" s="38"/>
      <c r="C35" s="39"/>
      <c r="D35" s="39"/>
      <c r="E35" s="39"/>
      <c r="F35" s="39"/>
      <c r="H35" s="38"/>
      <c r="I35" s="38"/>
      <c r="J35" s="38"/>
      <c r="K35" s="38"/>
      <c r="L35" s="38"/>
      <c r="M35" s="44"/>
    </row>
    <row r="36">
      <c r="B36" s="38"/>
      <c r="C36" s="39"/>
      <c r="D36" s="39"/>
      <c r="E36" s="39"/>
      <c r="F36" s="39"/>
      <c r="H36" s="38"/>
      <c r="I36" s="38"/>
      <c r="J36" s="38"/>
      <c r="K36" s="38"/>
      <c r="L36" s="38"/>
      <c r="M36" s="44"/>
    </row>
    <row r="37">
      <c r="B37" s="38"/>
      <c r="C37" s="39"/>
      <c r="D37" s="39"/>
      <c r="E37" s="39"/>
      <c r="F37" s="39"/>
      <c r="H37" s="38"/>
      <c r="I37" s="38"/>
      <c r="J37" s="38"/>
      <c r="K37" s="38"/>
      <c r="L37" s="38"/>
      <c r="M37" s="44"/>
    </row>
    <row r="38">
      <c r="B38" s="38"/>
      <c r="C38" s="39"/>
      <c r="D38" s="39"/>
      <c r="E38" s="39"/>
      <c r="F38" s="39"/>
      <c r="H38" s="38"/>
      <c r="I38" s="38"/>
      <c r="J38" s="38"/>
      <c r="K38" s="38"/>
      <c r="L38" s="38"/>
      <c r="M38" s="44"/>
    </row>
    <row r="39">
      <c r="B39" s="38"/>
      <c r="C39" s="39"/>
      <c r="D39" s="39"/>
      <c r="E39" s="39"/>
      <c r="F39" s="39"/>
      <c r="H39" s="38"/>
      <c r="I39" s="38"/>
      <c r="J39" s="38"/>
      <c r="K39" s="38"/>
      <c r="L39" s="38"/>
      <c r="M39" s="44"/>
    </row>
    <row r="40">
      <c r="B40" s="38"/>
      <c r="C40" s="58" t="s">
        <v>35</v>
      </c>
      <c r="D40" s="39"/>
      <c r="E40" s="59">
        <v>0.04</v>
      </c>
      <c r="F40" s="39"/>
      <c r="H40" s="38"/>
      <c r="I40" s="38"/>
      <c r="J40" s="38"/>
      <c r="K40" s="38"/>
      <c r="L40" s="38"/>
      <c r="M40" s="44"/>
    </row>
    <row r="41">
      <c r="B41" s="38"/>
      <c r="C41" s="58" t="s">
        <v>36</v>
      </c>
      <c r="D41" s="39"/>
      <c r="E41" s="59">
        <v>0.13</v>
      </c>
      <c r="F41" s="39"/>
      <c r="H41" s="38"/>
      <c r="I41" s="38"/>
      <c r="J41" s="38"/>
      <c r="K41" s="38"/>
      <c r="L41" s="38"/>
      <c r="M41" s="44"/>
    </row>
    <row r="42">
      <c r="B42" s="38"/>
      <c r="C42" s="39"/>
      <c r="D42" s="39"/>
      <c r="E42" s="39"/>
      <c r="F42" s="39"/>
      <c r="H42" s="38"/>
      <c r="I42" s="38"/>
      <c r="J42" s="38"/>
      <c r="K42" s="38"/>
      <c r="L42" s="38"/>
      <c r="M42" s="44"/>
    </row>
    <row r="43">
      <c r="B43" s="38"/>
      <c r="C43" s="39"/>
      <c r="D43" s="39"/>
      <c r="E43" s="39"/>
      <c r="F43" s="39"/>
      <c r="H43" s="38"/>
      <c r="I43" s="38"/>
      <c r="J43" s="38"/>
      <c r="K43" s="38"/>
      <c r="L43" s="38"/>
      <c r="M43" s="44"/>
    </row>
    <row r="44">
      <c r="B44" s="38"/>
      <c r="C44" s="58" t="s">
        <v>37</v>
      </c>
      <c r="D44" s="39"/>
      <c r="E44" s="59">
        <v>-0.12</v>
      </c>
      <c r="F44" s="39"/>
      <c r="H44" s="38"/>
      <c r="I44" s="38"/>
      <c r="J44" s="38"/>
      <c r="K44" s="38"/>
      <c r="L44" s="38"/>
      <c r="M44" s="44"/>
    </row>
    <row r="45">
      <c r="B45" s="38"/>
      <c r="C45" s="39"/>
      <c r="D45" s="39"/>
      <c r="E45" s="39"/>
      <c r="F45" s="39"/>
      <c r="H45" s="38"/>
      <c r="I45" s="38"/>
      <c r="J45" s="38"/>
      <c r="K45" s="38"/>
      <c r="L45" s="38"/>
      <c r="M45" s="44"/>
    </row>
    <row r="46">
      <c r="B46" s="38"/>
      <c r="C46" s="39"/>
      <c r="D46" s="39"/>
      <c r="E46" s="59">
        <v>0.05</v>
      </c>
      <c r="F46" s="39"/>
      <c r="H46" s="38"/>
      <c r="I46" s="38"/>
      <c r="J46" s="38"/>
      <c r="K46" s="38"/>
      <c r="L46" s="38"/>
      <c r="M46" s="44"/>
    </row>
    <row r="47">
      <c r="B47" s="38"/>
      <c r="C47" s="39"/>
      <c r="D47" s="39"/>
      <c r="E47" s="39"/>
      <c r="F47" s="39"/>
      <c r="H47" s="38"/>
      <c r="I47" s="38"/>
      <c r="J47" s="38"/>
      <c r="K47" s="38"/>
      <c r="L47" s="38"/>
      <c r="M47" s="44"/>
    </row>
    <row r="48">
      <c r="B48" s="38"/>
      <c r="C48" s="39"/>
      <c r="D48" s="39"/>
      <c r="E48" s="39"/>
      <c r="F48" s="39"/>
      <c r="H48" s="38"/>
      <c r="I48" s="38"/>
      <c r="J48" s="38"/>
      <c r="K48" s="38"/>
      <c r="L48" s="38"/>
      <c r="M48" s="44"/>
    </row>
    <row r="49">
      <c r="B49" s="38"/>
      <c r="C49" s="39"/>
      <c r="D49" s="39"/>
      <c r="E49" s="39"/>
      <c r="F49" s="39"/>
      <c r="H49" s="38"/>
      <c r="I49" s="38"/>
      <c r="J49" s="38"/>
      <c r="K49" s="38"/>
      <c r="L49" s="38"/>
      <c r="M49" s="44"/>
    </row>
    <row r="50">
      <c r="B50" s="38"/>
      <c r="C50" s="39"/>
      <c r="D50" s="39"/>
      <c r="E50" s="39"/>
      <c r="F50" s="39"/>
      <c r="H50" s="38"/>
      <c r="I50" s="38"/>
      <c r="J50" s="38"/>
      <c r="K50" s="38"/>
      <c r="L50" s="38"/>
      <c r="M50" s="44"/>
    </row>
    <row r="51">
      <c r="B51" s="38"/>
      <c r="C51" s="39"/>
      <c r="D51" s="39"/>
      <c r="E51" s="39"/>
      <c r="F51" s="39"/>
      <c r="H51" s="38"/>
      <c r="I51" s="38"/>
      <c r="J51" s="38"/>
      <c r="K51" s="38"/>
      <c r="L51" s="38"/>
      <c r="M51" s="44"/>
    </row>
    <row r="52">
      <c r="B52" s="38"/>
      <c r="C52" s="39"/>
      <c r="D52" s="39"/>
      <c r="E52" s="39"/>
      <c r="F52" s="39"/>
      <c r="H52" s="38"/>
      <c r="I52" s="38"/>
      <c r="J52" s="38"/>
      <c r="K52" s="38"/>
      <c r="L52" s="38"/>
      <c r="M52" s="44"/>
    </row>
    <row r="53">
      <c r="B53" s="38"/>
      <c r="C53" s="39"/>
      <c r="D53" s="39"/>
      <c r="E53" s="39"/>
      <c r="F53" s="39"/>
      <c r="H53" s="38"/>
      <c r="I53" s="38"/>
      <c r="J53" s="38"/>
      <c r="K53" s="38"/>
      <c r="L53" s="38"/>
      <c r="M53" s="44"/>
    </row>
    <row r="54">
      <c r="B54" s="38"/>
      <c r="C54" s="39"/>
      <c r="D54" s="39"/>
      <c r="E54" s="39"/>
      <c r="F54" s="39"/>
      <c r="H54" s="38"/>
      <c r="I54" s="38"/>
      <c r="J54" s="38"/>
      <c r="K54" s="38"/>
      <c r="L54" s="38"/>
      <c r="M54" s="44"/>
    </row>
    <row r="55">
      <c r="B55" s="38"/>
      <c r="C55" s="39"/>
      <c r="D55" s="39"/>
      <c r="E55" s="39"/>
      <c r="F55" s="39"/>
      <c r="H55" s="38"/>
      <c r="I55" s="38"/>
      <c r="J55" s="38"/>
      <c r="K55" s="38"/>
      <c r="L55" s="38"/>
      <c r="M55" s="44"/>
    </row>
    <row r="56">
      <c r="B56" s="38"/>
      <c r="C56" s="39"/>
      <c r="D56" s="39"/>
      <c r="E56" s="39"/>
      <c r="F56" s="39"/>
      <c r="H56" s="38"/>
      <c r="I56" s="38"/>
      <c r="J56" s="38"/>
      <c r="K56" s="38"/>
      <c r="L56" s="38"/>
      <c r="M56" s="44"/>
    </row>
    <row r="57">
      <c r="B57" s="38"/>
      <c r="C57" s="39"/>
      <c r="D57" s="39"/>
      <c r="E57" s="39"/>
      <c r="F57" s="39"/>
      <c r="H57" s="38"/>
      <c r="I57" s="38"/>
      <c r="J57" s="38"/>
      <c r="K57" s="38"/>
      <c r="L57" s="38"/>
      <c r="M57" s="44"/>
    </row>
    <row r="58">
      <c r="B58" s="38"/>
      <c r="C58" s="39"/>
      <c r="D58" s="39"/>
      <c r="E58" s="39"/>
      <c r="F58" s="39"/>
      <c r="H58" s="38"/>
      <c r="I58" s="38"/>
      <c r="J58" s="38"/>
      <c r="K58" s="38"/>
      <c r="L58" s="38"/>
      <c r="M58" s="44"/>
    </row>
    <row r="59">
      <c r="B59" s="38"/>
      <c r="C59" s="39"/>
      <c r="D59" s="39"/>
      <c r="E59" s="39"/>
      <c r="F59" s="39"/>
      <c r="H59" s="38"/>
      <c r="I59" s="38"/>
      <c r="J59" s="38"/>
      <c r="K59" s="38"/>
      <c r="L59" s="38"/>
      <c r="M59" s="44"/>
    </row>
    <row r="60">
      <c r="B60" s="38"/>
      <c r="C60" s="39"/>
      <c r="D60" s="39"/>
      <c r="E60" s="39"/>
      <c r="F60" s="39"/>
      <c r="H60" s="38"/>
      <c r="I60" s="38"/>
      <c r="J60" s="38"/>
      <c r="K60" s="38"/>
      <c r="L60" s="38"/>
      <c r="M60" s="44"/>
    </row>
    <row r="61">
      <c r="B61" s="38"/>
      <c r="C61" s="39"/>
      <c r="D61" s="39"/>
      <c r="E61" s="39"/>
      <c r="F61" s="39"/>
      <c r="H61" s="38"/>
      <c r="I61" s="38"/>
      <c r="J61" s="38"/>
      <c r="K61" s="38"/>
      <c r="L61" s="38"/>
      <c r="M61" s="44"/>
    </row>
    <row r="62">
      <c r="B62" s="38"/>
      <c r="C62" s="39"/>
      <c r="D62" s="39"/>
      <c r="E62" s="39"/>
      <c r="F62" s="39"/>
      <c r="H62" s="38"/>
      <c r="I62" s="38"/>
      <c r="J62" s="38"/>
      <c r="K62" s="38"/>
      <c r="L62" s="38"/>
      <c r="M62" s="44"/>
    </row>
    <row r="63">
      <c r="B63" s="38"/>
      <c r="C63" s="39"/>
      <c r="D63" s="39"/>
      <c r="E63" s="39"/>
      <c r="F63" s="39"/>
      <c r="H63" s="38"/>
      <c r="I63" s="38"/>
      <c r="J63" s="38"/>
      <c r="K63" s="38"/>
      <c r="L63" s="38"/>
      <c r="M63" s="44"/>
    </row>
    <row r="64">
      <c r="B64" s="38"/>
      <c r="C64" s="39"/>
      <c r="D64" s="39"/>
      <c r="E64" s="39"/>
      <c r="F64" s="39"/>
      <c r="H64" s="38"/>
      <c r="I64" s="38"/>
      <c r="J64" s="38"/>
      <c r="K64" s="38"/>
      <c r="L64" s="38"/>
      <c r="M64" s="44"/>
    </row>
    <row r="65">
      <c r="B65" s="38"/>
      <c r="C65" s="39"/>
      <c r="D65" s="39"/>
      <c r="E65" s="39"/>
      <c r="F65" s="39"/>
      <c r="H65" s="38"/>
      <c r="I65" s="38"/>
      <c r="J65" s="38"/>
      <c r="K65" s="38"/>
      <c r="L65" s="38"/>
      <c r="M65" s="44"/>
    </row>
    <row r="66">
      <c r="B66" s="38"/>
      <c r="C66" s="39"/>
      <c r="D66" s="39"/>
      <c r="E66" s="39"/>
      <c r="F66" s="39"/>
      <c r="H66" s="38"/>
      <c r="I66" s="38"/>
      <c r="J66" s="38"/>
      <c r="K66" s="38"/>
      <c r="L66" s="38"/>
      <c r="M66" s="44"/>
    </row>
    <row r="67">
      <c r="B67" s="38"/>
      <c r="C67" s="39"/>
      <c r="D67" s="39"/>
      <c r="E67" s="39"/>
      <c r="F67" s="39"/>
      <c r="H67" s="38"/>
      <c r="I67" s="38"/>
      <c r="J67" s="38"/>
      <c r="K67" s="38"/>
      <c r="L67" s="38"/>
      <c r="M67" s="44"/>
    </row>
    <row r="68">
      <c r="B68" s="38"/>
      <c r="C68" s="39"/>
      <c r="D68" s="39"/>
      <c r="E68" s="39"/>
      <c r="F68" s="39"/>
      <c r="H68" s="38"/>
      <c r="I68" s="38"/>
      <c r="J68" s="38"/>
      <c r="K68" s="38"/>
      <c r="L68" s="38"/>
      <c r="M68" s="44"/>
    </row>
    <row r="69">
      <c r="B69" s="38"/>
      <c r="C69" s="39"/>
      <c r="D69" s="39"/>
      <c r="E69" s="39"/>
      <c r="F69" s="39"/>
      <c r="H69" s="38"/>
      <c r="I69" s="38"/>
      <c r="J69" s="38"/>
      <c r="K69" s="38"/>
      <c r="L69" s="38"/>
      <c r="M69" s="44"/>
    </row>
    <row r="70">
      <c r="B70" s="38"/>
      <c r="C70" s="39"/>
      <c r="D70" s="39"/>
      <c r="E70" s="39"/>
      <c r="F70" s="39"/>
      <c r="H70" s="38"/>
      <c r="I70" s="38"/>
      <c r="J70" s="38"/>
      <c r="K70" s="38"/>
      <c r="L70" s="38"/>
      <c r="M70" s="44"/>
    </row>
    <row r="71">
      <c r="B71" s="38"/>
      <c r="C71" s="39"/>
      <c r="D71" s="39"/>
      <c r="E71" s="39"/>
      <c r="F71" s="39"/>
      <c r="H71" s="38"/>
      <c r="I71" s="38"/>
      <c r="J71" s="38"/>
      <c r="K71" s="38"/>
      <c r="L71" s="38"/>
      <c r="M71" s="44"/>
    </row>
    <row r="72">
      <c r="B72" s="38"/>
      <c r="C72" s="39"/>
      <c r="D72" s="39"/>
      <c r="E72" s="39"/>
      <c r="F72" s="39"/>
      <c r="H72" s="38"/>
      <c r="I72" s="38"/>
      <c r="J72" s="38"/>
      <c r="K72" s="38"/>
      <c r="L72" s="38"/>
      <c r="M72" s="44"/>
    </row>
    <row r="73">
      <c r="B73" s="38"/>
      <c r="C73" s="39"/>
      <c r="D73" s="39"/>
      <c r="E73" s="39"/>
      <c r="F73" s="39"/>
      <c r="H73" s="38"/>
      <c r="I73" s="38"/>
      <c r="J73" s="38"/>
      <c r="K73" s="38"/>
      <c r="L73" s="38"/>
      <c r="M73" s="44"/>
    </row>
    <row r="74">
      <c r="B74" s="38"/>
      <c r="C74" s="39"/>
      <c r="D74" s="39"/>
      <c r="E74" s="39"/>
      <c r="F74" s="39"/>
      <c r="H74" s="38"/>
      <c r="I74" s="38"/>
      <c r="J74" s="38"/>
      <c r="K74" s="38"/>
      <c r="L74" s="38"/>
      <c r="M74" s="44"/>
    </row>
    <row r="75">
      <c r="B75" s="38"/>
      <c r="C75" s="39"/>
      <c r="D75" s="39"/>
      <c r="E75" s="39"/>
      <c r="F75" s="39"/>
      <c r="H75" s="38"/>
      <c r="I75" s="38"/>
      <c r="J75" s="38"/>
      <c r="K75" s="38"/>
      <c r="L75" s="38"/>
      <c r="M75" s="44"/>
    </row>
    <row r="76">
      <c r="B76" s="38"/>
      <c r="C76" s="39"/>
      <c r="D76" s="39"/>
      <c r="E76" s="39"/>
      <c r="F76" s="39"/>
      <c r="H76" s="38"/>
      <c r="I76" s="38"/>
      <c r="J76" s="38"/>
      <c r="K76" s="38"/>
      <c r="L76" s="38"/>
      <c r="M76" s="44"/>
    </row>
    <row r="77">
      <c r="B77" s="38"/>
      <c r="C77" s="39"/>
      <c r="D77" s="39"/>
      <c r="E77" s="39"/>
      <c r="F77" s="39"/>
      <c r="H77" s="38"/>
      <c r="I77" s="38"/>
      <c r="J77" s="38"/>
      <c r="K77" s="38"/>
      <c r="L77" s="38"/>
      <c r="M77" s="44"/>
    </row>
    <row r="78">
      <c r="B78" s="38"/>
      <c r="C78" s="39"/>
      <c r="D78" s="39"/>
      <c r="E78" s="39"/>
      <c r="F78" s="39"/>
      <c r="H78" s="38"/>
      <c r="I78" s="38"/>
      <c r="J78" s="38"/>
      <c r="K78" s="38"/>
      <c r="L78" s="38"/>
      <c r="M78" s="44"/>
    </row>
    <row r="79">
      <c r="B79" s="38"/>
      <c r="C79" s="39"/>
      <c r="D79" s="39"/>
      <c r="E79" s="39"/>
      <c r="F79" s="39"/>
      <c r="H79" s="38"/>
      <c r="I79" s="38"/>
      <c r="J79" s="38"/>
      <c r="K79" s="38"/>
      <c r="L79" s="38"/>
      <c r="M79" s="44"/>
    </row>
    <row r="80">
      <c r="B80" s="38"/>
      <c r="C80" s="39"/>
      <c r="D80" s="39"/>
      <c r="E80" s="39"/>
      <c r="F80" s="39"/>
      <c r="H80" s="38"/>
      <c r="I80" s="38"/>
      <c r="J80" s="38"/>
      <c r="K80" s="38"/>
      <c r="L80" s="38"/>
      <c r="M80" s="44"/>
    </row>
    <row r="81">
      <c r="B81" s="38"/>
      <c r="C81" s="39"/>
      <c r="D81" s="39"/>
      <c r="E81" s="39"/>
      <c r="F81" s="39"/>
      <c r="H81" s="38"/>
      <c r="I81" s="38"/>
      <c r="J81" s="38"/>
      <c r="K81" s="38"/>
      <c r="L81" s="38"/>
      <c r="M81" s="44"/>
    </row>
    <row r="82">
      <c r="B82" s="38"/>
      <c r="C82" s="39"/>
      <c r="D82" s="39"/>
      <c r="E82" s="39"/>
      <c r="F82" s="39"/>
      <c r="H82" s="38"/>
      <c r="I82" s="38"/>
      <c r="J82" s="38"/>
      <c r="K82" s="38"/>
      <c r="L82" s="38"/>
      <c r="M82" s="44"/>
    </row>
    <row r="83">
      <c r="B83" s="38"/>
      <c r="C83" s="39"/>
      <c r="D83" s="39"/>
      <c r="E83" s="39"/>
      <c r="F83" s="39"/>
      <c r="H83" s="38"/>
      <c r="I83" s="38"/>
      <c r="J83" s="38"/>
      <c r="K83" s="38"/>
      <c r="L83" s="38"/>
      <c r="M83" s="44"/>
    </row>
    <row r="84">
      <c r="B84" s="38"/>
      <c r="C84" s="39"/>
      <c r="D84" s="39"/>
      <c r="E84" s="39"/>
      <c r="F84" s="39"/>
      <c r="H84" s="38"/>
      <c r="I84" s="38"/>
      <c r="J84" s="38"/>
      <c r="K84" s="38"/>
      <c r="L84" s="38"/>
      <c r="M84" s="44"/>
    </row>
    <row r="85">
      <c r="B85" s="38"/>
      <c r="C85" s="39"/>
      <c r="D85" s="39"/>
      <c r="E85" s="39"/>
      <c r="F85" s="39"/>
      <c r="H85" s="38"/>
      <c r="I85" s="38"/>
      <c r="J85" s="38"/>
      <c r="K85" s="38"/>
      <c r="L85" s="38"/>
      <c r="M85" s="44"/>
    </row>
    <row r="86">
      <c r="B86" s="38"/>
      <c r="C86" s="39"/>
      <c r="D86" s="39"/>
      <c r="E86" s="39"/>
      <c r="F86" s="39"/>
      <c r="H86" s="38"/>
      <c r="I86" s="38"/>
      <c r="J86" s="38"/>
      <c r="K86" s="38"/>
      <c r="L86" s="38"/>
      <c r="M86" s="44"/>
    </row>
    <row r="87">
      <c r="B87" s="38"/>
      <c r="C87" s="39"/>
      <c r="D87" s="39"/>
      <c r="E87" s="39"/>
      <c r="F87" s="39"/>
      <c r="H87" s="38"/>
      <c r="I87" s="38"/>
      <c r="J87" s="38"/>
      <c r="K87" s="38"/>
      <c r="L87" s="38"/>
      <c r="M87" s="44"/>
    </row>
    <row r="88">
      <c r="B88" s="38"/>
      <c r="C88" s="39"/>
      <c r="D88" s="39"/>
      <c r="E88" s="39"/>
      <c r="F88" s="39"/>
      <c r="H88" s="38"/>
      <c r="I88" s="38"/>
      <c r="J88" s="38"/>
      <c r="K88" s="38"/>
      <c r="L88" s="38"/>
      <c r="M88" s="44"/>
    </row>
    <row r="89">
      <c r="B89" s="38"/>
      <c r="C89" s="39"/>
      <c r="D89" s="39"/>
      <c r="E89" s="39"/>
      <c r="F89" s="39"/>
      <c r="H89" s="38"/>
      <c r="I89" s="38"/>
      <c r="J89" s="38"/>
      <c r="K89" s="38"/>
      <c r="L89" s="38"/>
      <c r="M89" s="44"/>
    </row>
    <row r="90">
      <c r="B90" s="38"/>
      <c r="C90" s="39"/>
      <c r="D90" s="39"/>
      <c r="E90" s="39"/>
      <c r="F90" s="39"/>
      <c r="H90" s="38"/>
      <c r="I90" s="38"/>
      <c r="J90" s="38"/>
      <c r="K90" s="38"/>
      <c r="L90" s="38"/>
      <c r="M90" s="44"/>
    </row>
    <row r="91">
      <c r="B91" s="38"/>
      <c r="C91" s="39"/>
      <c r="D91" s="39"/>
      <c r="E91" s="39"/>
      <c r="F91" s="39"/>
      <c r="H91" s="38"/>
      <c r="I91" s="38"/>
      <c r="J91" s="38"/>
      <c r="K91" s="38"/>
      <c r="L91" s="38"/>
      <c r="M91" s="44"/>
    </row>
    <row r="92">
      <c r="B92" s="38"/>
      <c r="C92" s="39"/>
      <c r="D92" s="39"/>
      <c r="E92" s="39"/>
      <c r="F92" s="39"/>
      <c r="H92" s="38"/>
      <c r="I92" s="38"/>
      <c r="J92" s="38"/>
      <c r="K92" s="38"/>
      <c r="L92" s="38"/>
      <c r="M92" s="44"/>
    </row>
    <row r="93">
      <c r="B93" s="38"/>
      <c r="C93" s="39"/>
      <c r="D93" s="39"/>
      <c r="E93" s="39"/>
      <c r="F93" s="39"/>
      <c r="H93" s="38"/>
      <c r="I93" s="38"/>
      <c r="J93" s="38"/>
      <c r="K93" s="38"/>
      <c r="L93" s="38"/>
      <c r="M93" s="44"/>
    </row>
    <row r="94">
      <c r="B94" s="38"/>
      <c r="C94" s="39"/>
      <c r="D94" s="39"/>
      <c r="E94" s="39"/>
      <c r="F94" s="39"/>
      <c r="H94" s="38"/>
      <c r="I94" s="38"/>
      <c r="J94" s="38"/>
      <c r="K94" s="38"/>
      <c r="L94" s="38"/>
      <c r="M94" s="44"/>
    </row>
    <row r="95">
      <c r="B95" s="38"/>
      <c r="C95" s="39"/>
      <c r="D95" s="39"/>
      <c r="E95" s="39"/>
      <c r="F95" s="39"/>
      <c r="H95" s="38"/>
      <c r="I95" s="38"/>
      <c r="J95" s="38"/>
      <c r="K95" s="38"/>
      <c r="L95" s="38"/>
      <c r="M95" s="44"/>
    </row>
    <row r="96">
      <c r="B96" s="38"/>
      <c r="C96" s="39"/>
      <c r="D96" s="39"/>
      <c r="E96" s="39"/>
      <c r="F96" s="39"/>
      <c r="H96" s="38"/>
      <c r="I96" s="38"/>
      <c r="J96" s="38"/>
      <c r="K96" s="38"/>
      <c r="L96" s="38"/>
      <c r="M96" s="44"/>
    </row>
    <row r="97">
      <c r="B97" s="38"/>
      <c r="C97" s="39"/>
      <c r="D97" s="39"/>
      <c r="E97" s="39"/>
      <c r="F97" s="39"/>
      <c r="H97" s="38"/>
      <c r="I97" s="38"/>
      <c r="J97" s="38"/>
      <c r="K97" s="38"/>
      <c r="L97" s="38"/>
      <c r="M97" s="44"/>
    </row>
    <row r="98">
      <c r="B98" s="38"/>
      <c r="C98" s="39"/>
      <c r="D98" s="39"/>
      <c r="E98" s="39"/>
      <c r="F98" s="39"/>
      <c r="H98" s="38"/>
      <c r="I98" s="38"/>
      <c r="J98" s="38"/>
      <c r="K98" s="38"/>
      <c r="L98" s="38"/>
      <c r="M98" s="44"/>
    </row>
    <row r="99">
      <c r="B99" s="38"/>
      <c r="C99" s="39"/>
      <c r="D99" s="39"/>
      <c r="E99" s="39"/>
      <c r="F99" s="39"/>
      <c r="H99" s="38"/>
      <c r="I99" s="38"/>
      <c r="J99" s="38"/>
      <c r="K99" s="38"/>
      <c r="L99" s="38"/>
      <c r="M99" s="44"/>
    </row>
    <row r="100">
      <c r="B100" s="38"/>
      <c r="C100" s="39"/>
      <c r="D100" s="39"/>
      <c r="E100" s="39"/>
      <c r="F100" s="39"/>
      <c r="H100" s="38"/>
      <c r="I100" s="38"/>
      <c r="J100" s="38"/>
      <c r="K100" s="38"/>
      <c r="L100" s="38"/>
      <c r="M100" s="44"/>
    </row>
    <row r="101">
      <c r="B101" s="38"/>
      <c r="C101" s="39"/>
      <c r="D101" s="39"/>
      <c r="E101" s="39"/>
      <c r="F101" s="39"/>
      <c r="H101" s="38"/>
      <c r="I101" s="38"/>
      <c r="J101" s="38"/>
      <c r="K101" s="38"/>
      <c r="L101" s="38"/>
      <c r="M101" s="44"/>
    </row>
    <row r="102">
      <c r="B102" s="38"/>
      <c r="C102" s="39"/>
      <c r="D102" s="39"/>
      <c r="E102" s="39"/>
      <c r="F102" s="39"/>
      <c r="H102" s="38"/>
      <c r="I102" s="38"/>
      <c r="J102" s="38"/>
      <c r="K102" s="38"/>
      <c r="L102" s="38"/>
      <c r="M102" s="44"/>
    </row>
    <row r="103">
      <c r="B103" s="38"/>
      <c r="C103" s="39"/>
      <c r="D103" s="39"/>
      <c r="E103" s="39"/>
      <c r="F103" s="39"/>
      <c r="H103" s="38"/>
      <c r="I103" s="38"/>
      <c r="J103" s="38"/>
      <c r="K103" s="38"/>
      <c r="L103" s="38"/>
      <c r="M103" s="44"/>
    </row>
    <row r="104">
      <c r="B104" s="38"/>
      <c r="C104" s="39"/>
      <c r="D104" s="39"/>
      <c r="E104" s="39"/>
      <c r="F104" s="39"/>
      <c r="H104" s="38"/>
      <c r="I104" s="38"/>
      <c r="J104" s="38"/>
      <c r="K104" s="38"/>
      <c r="L104" s="38"/>
      <c r="M104" s="44"/>
    </row>
    <row r="105">
      <c r="B105" s="38"/>
      <c r="C105" s="39"/>
      <c r="D105" s="39"/>
      <c r="E105" s="39"/>
      <c r="F105" s="39"/>
      <c r="H105" s="38"/>
      <c r="I105" s="38"/>
      <c r="J105" s="38"/>
      <c r="K105" s="38"/>
      <c r="L105" s="38"/>
      <c r="M105" s="44"/>
    </row>
    <row r="106">
      <c r="B106" s="38"/>
      <c r="C106" s="39"/>
      <c r="D106" s="39"/>
      <c r="E106" s="39"/>
      <c r="F106" s="39"/>
      <c r="H106" s="38"/>
      <c r="I106" s="38"/>
      <c r="J106" s="38"/>
      <c r="K106" s="38"/>
      <c r="L106" s="38"/>
      <c r="M106" s="44"/>
    </row>
    <row r="107">
      <c r="B107" s="38"/>
      <c r="C107" s="39"/>
      <c r="D107" s="39"/>
      <c r="E107" s="39"/>
      <c r="F107" s="39"/>
      <c r="H107" s="38"/>
      <c r="I107" s="38"/>
      <c r="J107" s="38"/>
      <c r="K107" s="38"/>
      <c r="L107" s="38"/>
      <c r="M107" s="44"/>
    </row>
    <row r="108">
      <c r="B108" s="38"/>
      <c r="C108" s="39"/>
      <c r="D108" s="39"/>
      <c r="E108" s="39"/>
      <c r="F108" s="39"/>
      <c r="H108" s="38"/>
      <c r="I108" s="38"/>
      <c r="J108" s="38"/>
      <c r="K108" s="38"/>
      <c r="L108" s="38"/>
      <c r="M108" s="44"/>
    </row>
    <row r="109">
      <c r="B109" s="38"/>
      <c r="C109" s="39"/>
      <c r="D109" s="39"/>
      <c r="E109" s="39"/>
      <c r="F109" s="39"/>
      <c r="H109" s="38"/>
      <c r="I109" s="38"/>
      <c r="J109" s="38"/>
      <c r="K109" s="38"/>
      <c r="L109" s="38"/>
      <c r="M109" s="44"/>
    </row>
    <row r="110">
      <c r="B110" s="38"/>
      <c r="C110" s="39"/>
      <c r="D110" s="39"/>
      <c r="E110" s="39"/>
      <c r="F110" s="39"/>
      <c r="H110" s="38"/>
      <c r="I110" s="38"/>
      <c r="J110" s="38"/>
      <c r="K110" s="38"/>
      <c r="L110" s="38"/>
      <c r="M110" s="44"/>
    </row>
    <row r="111">
      <c r="B111" s="38"/>
      <c r="C111" s="39"/>
      <c r="D111" s="39"/>
      <c r="E111" s="39"/>
      <c r="F111" s="39"/>
      <c r="H111" s="38"/>
      <c r="I111" s="38"/>
      <c r="J111" s="38"/>
      <c r="K111" s="38"/>
      <c r="L111" s="38"/>
      <c r="M111" s="44"/>
    </row>
    <row r="112">
      <c r="B112" s="38"/>
      <c r="C112" s="39"/>
      <c r="D112" s="39"/>
      <c r="E112" s="39"/>
      <c r="F112" s="39"/>
      <c r="H112" s="38"/>
      <c r="I112" s="38"/>
      <c r="J112" s="38"/>
      <c r="K112" s="38"/>
      <c r="L112" s="38"/>
      <c r="M112" s="44"/>
    </row>
    <row r="113">
      <c r="B113" s="38"/>
      <c r="C113" s="39"/>
      <c r="D113" s="39"/>
      <c r="E113" s="39"/>
      <c r="F113" s="39"/>
      <c r="H113" s="38"/>
      <c r="I113" s="38"/>
      <c r="J113" s="38"/>
      <c r="K113" s="38"/>
      <c r="L113" s="38"/>
      <c r="M113" s="44"/>
    </row>
    <row r="114">
      <c r="B114" s="38"/>
      <c r="C114" s="39"/>
      <c r="D114" s="39"/>
      <c r="E114" s="39"/>
      <c r="F114" s="39"/>
      <c r="H114" s="38"/>
      <c r="I114" s="38"/>
      <c r="J114" s="38"/>
      <c r="K114" s="38"/>
      <c r="L114" s="38"/>
      <c r="M114" s="44"/>
    </row>
    <row r="115">
      <c r="B115" s="38"/>
      <c r="C115" s="39"/>
      <c r="D115" s="39"/>
      <c r="E115" s="39"/>
      <c r="F115" s="39"/>
      <c r="H115" s="38"/>
      <c r="I115" s="38"/>
      <c r="J115" s="38"/>
      <c r="K115" s="38"/>
      <c r="L115" s="38"/>
      <c r="M115" s="44"/>
    </row>
    <row r="116">
      <c r="B116" s="38"/>
      <c r="C116" s="39"/>
      <c r="D116" s="39"/>
      <c r="E116" s="39"/>
      <c r="F116" s="39"/>
      <c r="H116" s="38"/>
      <c r="I116" s="38"/>
      <c r="J116" s="38"/>
      <c r="K116" s="38"/>
      <c r="L116" s="38"/>
      <c r="M116" s="44"/>
    </row>
    <row r="117">
      <c r="B117" s="38"/>
      <c r="C117" s="39"/>
      <c r="D117" s="39"/>
      <c r="E117" s="39"/>
      <c r="F117" s="39"/>
      <c r="H117" s="38"/>
      <c r="I117" s="38"/>
      <c r="J117" s="38"/>
      <c r="K117" s="38"/>
      <c r="L117" s="38"/>
      <c r="M117" s="44"/>
    </row>
    <row r="118">
      <c r="B118" s="38"/>
      <c r="C118" s="39"/>
      <c r="D118" s="39"/>
      <c r="E118" s="39"/>
      <c r="F118" s="39"/>
      <c r="H118" s="38"/>
      <c r="I118" s="38"/>
      <c r="J118" s="38"/>
      <c r="K118" s="38"/>
      <c r="L118" s="38"/>
      <c r="M118" s="44"/>
    </row>
    <row r="119">
      <c r="B119" s="38"/>
      <c r="C119" s="39"/>
      <c r="D119" s="39"/>
      <c r="E119" s="39"/>
      <c r="F119" s="39"/>
      <c r="H119" s="38"/>
      <c r="I119" s="38"/>
      <c r="J119" s="38"/>
      <c r="K119" s="38"/>
      <c r="L119" s="38"/>
      <c r="M119" s="44"/>
    </row>
    <row r="120">
      <c r="B120" s="38"/>
      <c r="C120" s="39"/>
      <c r="D120" s="39"/>
      <c r="E120" s="39"/>
      <c r="F120" s="39"/>
      <c r="H120" s="38"/>
      <c r="I120" s="38"/>
      <c r="J120" s="38"/>
      <c r="K120" s="38"/>
      <c r="L120" s="38"/>
      <c r="M120" s="44"/>
    </row>
    <row r="121">
      <c r="B121" s="38"/>
      <c r="C121" s="39"/>
      <c r="D121" s="39"/>
      <c r="E121" s="39"/>
      <c r="F121" s="39"/>
      <c r="H121" s="38"/>
      <c r="I121" s="38"/>
      <c r="J121" s="38"/>
      <c r="K121" s="38"/>
      <c r="L121" s="38"/>
      <c r="M121" s="44"/>
    </row>
    <row r="122">
      <c r="B122" s="38"/>
      <c r="C122" s="39"/>
      <c r="D122" s="39"/>
      <c r="E122" s="39"/>
      <c r="F122" s="39"/>
      <c r="H122" s="38"/>
      <c r="I122" s="38"/>
      <c r="J122" s="38"/>
      <c r="K122" s="38"/>
      <c r="L122" s="38"/>
      <c r="M122" s="44"/>
    </row>
    <row r="123">
      <c r="B123" s="38"/>
      <c r="C123" s="39"/>
      <c r="D123" s="39"/>
      <c r="E123" s="39"/>
      <c r="F123" s="39"/>
      <c r="H123" s="38"/>
      <c r="I123" s="38"/>
      <c r="J123" s="38"/>
      <c r="K123" s="38"/>
      <c r="L123" s="38"/>
      <c r="M123" s="44"/>
    </row>
    <row r="124">
      <c r="B124" s="38"/>
      <c r="C124" s="39"/>
      <c r="D124" s="39"/>
      <c r="E124" s="39"/>
      <c r="F124" s="39"/>
      <c r="H124" s="38"/>
      <c r="I124" s="38"/>
      <c r="J124" s="38"/>
      <c r="K124" s="38"/>
      <c r="L124" s="38"/>
      <c r="M124" s="44"/>
    </row>
    <row r="125">
      <c r="B125" s="38"/>
      <c r="C125" s="39"/>
      <c r="D125" s="39"/>
      <c r="E125" s="39"/>
      <c r="F125" s="39"/>
      <c r="H125" s="38"/>
      <c r="I125" s="38"/>
      <c r="J125" s="38"/>
      <c r="K125" s="38"/>
      <c r="L125" s="38"/>
      <c r="M125" s="44"/>
    </row>
    <row r="126">
      <c r="B126" s="38"/>
      <c r="C126" s="39"/>
      <c r="D126" s="39"/>
      <c r="E126" s="39"/>
      <c r="F126" s="39"/>
      <c r="H126" s="38"/>
      <c r="I126" s="38"/>
      <c r="J126" s="38"/>
      <c r="K126" s="38"/>
      <c r="L126" s="38"/>
      <c r="M126" s="44"/>
    </row>
    <row r="127">
      <c r="B127" s="38"/>
      <c r="C127" s="39"/>
      <c r="D127" s="39"/>
      <c r="E127" s="39"/>
      <c r="F127" s="39"/>
      <c r="H127" s="38"/>
      <c r="I127" s="38"/>
      <c r="J127" s="38"/>
      <c r="K127" s="38"/>
      <c r="L127" s="38"/>
      <c r="M127" s="44"/>
    </row>
    <row r="128">
      <c r="B128" s="38"/>
      <c r="C128" s="39"/>
      <c r="D128" s="39"/>
      <c r="E128" s="39"/>
      <c r="F128" s="39"/>
      <c r="H128" s="38"/>
      <c r="I128" s="38"/>
      <c r="J128" s="38"/>
      <c r="K128" s="38"/>
      <c r="L128" s="38"/>
      <c r="M128" s="44"/>
    </row>
    <row r="129">
      <c r="B129" s="38"/>
      <c r="C129" s="39"/>
      <c r="D129" s="39"/>
      <c r="E129" s="39"/>
      <c r="F129" s="39"/>
      <c r="H129" s="38"/>
      <c r="I129" s="38"/>
      <c r="J129" s="38"/>
      <c r="K129" s="38"/>
      <c r="L129" s="38"/>
      <c r="M129" s="44"/>
    </row>
    <row r="130">
      <c r="B130" s="38"/>
      <c r="C130" s="39"/>
      <c r="D130" s="39"/>
      <c r="E130" s="39"/>
      <c r="F130" s="39"/>
      <c r="H130" s="38"/>
      <c r="I130" s="38"/>
      <c r="J130" s="38"/>
      <c r="K130" s="38"/>
      <c r="L130" s="38"/>
      <c r="M130" s="44"/>
    </row>
    <row r="131">
      <c r="B131" s="38"/>
      <c r="C131" s="39"/>
      <c r="D131" s="39"/>
      <c r="E131" s="39"/>
      <c r="F131" s="39"/>
      <c r="H131" s="38"/>
      <c r="I131" s="38"/>
      <c r="J131" s="38"/>
      <c r="K131" s="38"/>
      <c r="L131" s="38"/>
      <c r="M131" s="44"/>
    </row>
    <row r="132">
      <c r="B132" s="38"/>
      <c r="C132" s="39"/>
      <c r="D132" s="39"/>
      <c r="E132" s="39"/>
      <c r="F132" s="39"/>
      <c r="H132" s="38"/>
      <c r="I132" s="38"/>
      <c r="J132" s="38"/>
      <c r="K132" s="38"/>
      <c r="L132" s="38"/>
      <c r="M132" s="44"/>
    </row>
    <row r="133">
      <c r="B133" s="38"/>
      <c r="C133" s="39"/>
      <c r="D133" s="39"/>
      <c r="E133" s="39"/>
      <c r="F133" s="39"/>
      <c r="H133" s="38"/>
      <c r="I133" s="38"/>
      <c r="J133" s="38"/>
      <c r="K133" s="38"/>
      <c r="L133" s="38"/>
      <c r="M133" s="44"/>
    </row>
    <row r="134">
      <c r="B134" s="38"/>
      <c r="C134" s="39"/>
      <c r="D134" s="39"/>
      <c r="E134" s="39"/>
      <c r="F134" s="39"/>
      <c r="H134" s="38"/>
      <c r="I134" s="38"/>
      <c r="J134" s="38"/>
      <c r="K134" s="38"/>
      <c r="L134" s="38"/>
      <c r="M134" s="44"/>
    </row>
    <row r="135">
      <c r="B135" s="38"/>
      <c r="C135" s="39"/>
      <c r="D135" s="39"/>
      <c r="E135" s="39"/>
      <c r="F135" s="39"/>
      <c r="H135" s="38"/>
      <c r="I135" s="38"/>
      <c r="J135" s="38"/>
      <c r="K135" s="38"/>
      <c r="L135" s="38"/>
      <c r="M135" s="44"/>
    </row>
    <row r="136">
      <c r="B136" s="38"/>
      <c r="C136" s="39"/>
      <c r="D136" s="39"/>
      <c r="E136" s="39"/>
      <c r="F136" s="39"/>
      <c r="H136" s="38"/>
      <c r="I136" s="38"/>
      <c r="J136" s="38"/>
      <c r="K136" s="38"/>
      <c r="L136" s="38"/>
      <c r="M136" s="44"/>
    </row>
    <row r="137">
      <c r="B137" s="38"/>
      <c r="C137" s="39"/>
      <c r="D137" s="39"/>
      <c r="E137" s="39"/>
      <c r="F137" s="39"/>
      <c r="H137" s="38"/>
      <c r="I137" s="38"/>
      <c r="J137" s="38"/>
      <c r="K137" s="38"/>
      <c r="L137" s="38"/>
      <c r="M137" s="44"/>
    </row>
    <row r="138">
      <c r="B138" s="38"/>
      <c r="C138" s="39"/>
      <c r="D138" s="39"/>
      <c r="E138" s="39"/>
      <c r="F138" s="39"/>
      <c r="H138" s="38"/>
      <c r="I138" s="38"/>
      <c r="J138" s="38"/>
      <c r="K138" s="38"/>
      <c r="L138" s="38"/>
      <c r="M138" s="44"/>
    </row>
    <row r="139">
      <c r="B139" s="38"/>
      <c r="C139" s="39"/>
      <c r="D139" s="39"/>
      <c r="E139" s="39"/>
      <c r="F139" s="39"/>
      <c r="H139" s="38"/>
      <c r="I139" s="38"/>
      <c r="J139" s="38"/>
      <c r="K139" s="38"/>
      <c r="L139" s="38"/>
      <c r="M139" s="44"/>
    </row>
    <row r="140">
      <c r="B140" s="38"/>
      <c r="C140" s="39"/>
      <c r="D140" s="39"/>
      <c r="E140" s="39"/>
      <c r="F140" s="39"/>
      <c r="H140" s="38"/>
      <c r="I140" s="38"/>
      <c r="J140" s="38"/>
      <c r="K140" s="38"/>
      <c r="L140" s="38"/>
      <c r="M140" s="44"/>
    </row>
    <row r="141">
      <c r="B141" s="38"/>
      <c r="C141" s="39"/>
      <c r="D141" s="39"/>
      <c r="E141" s="39"/>
      <c r="F141" s="39"/>
      <c r="H141" s="38"/>
      <c r="I141" s="38"/>
      <c r="J141" s="38"/>
      <c r="K141" s="38"/>
      <c r="L141" s="38"/>
      <c r="M141" s="44"/>
    </row>
    <row r="142">
      <c r="B142" s="38"/>
      <c r="C142" s="39"/>
      <c r="D142" s="39"/>
      <c r="E142" s="39"/>
      <c r="F142" s="39"/>
      <c r="H142" s="38"/>
      <c r="I142" s="38"/>
      <c r="J142" s="38"/>
      <c r="K142" s="38"/>
      <c r="L142" s="38"/>
      <c r="M142" s="44"/>
    </row>
    <row r="143">
      <c r="B143" s="38"/>
      <c r="C143" s="39"/>
      <c r="D143" s="39"/>
      <c r="E143" s="39"/>
      <c r="F143" s="39"/>
      <c r="H143" s="38"/>
      <c r="I143" s="38"/>
      <c r="J143" s="38"/>
      <c r="K143" s="38"/>
      <c r="L143" s="38"/>
      <c r="M143" s="44"/>
    </row>
    <row r="144">
      <c r="B144" s="38"/>
      <c r="C144" s="39"/>
      <c r="D144" s="39"/>
      <c r="E144" s="39"/>
      <c r="F144" s="39"/>
      <c r="H144" s="38"/>
      <c r="I144" s="38"/>
      <c r="J144" s="38"/>
      <c r="K144" s="38"/>
      <c r="L144" s="38"/>
      <c r="M144" s="44"/>
    </row>
    <row r="145">
      <c r="B145" s="38"/>
      <c r="C145" s="39"/>
      <c r="D145" s="39"/>
      <c r="E145" s="39"/>
      <c r="F145" s="39"/>
      <c r="H145" s="38"/>
      <c r="I145" s="38"/>
      <c r="J145" s="38"/>
      <c r="K145" s="38"/>
      <c r="L145" s="38"/>
      <c r="M145" s="44"/>
    </row>
    <row r="146">
      <c r="B146" s="38"/>
      <c r="C146" s="39"/>
      <c r="D146" s="39"/>
      <c r="E146" s="39"/>
      <c r="F146" s="39"/>
      <c r="H146" s="38"/>
      <c r="I146" s="38"/>
      <c r="J146" s="38"/>
      <c r="K146" s="38"/>
      <c r="L146" s="38"/>
      <c r="M146" s="44"/>
    </row>
    <row r="147">
      <c r="B147" s="38"/>
      <c r="C147" s="39"/>
      <c r="D147" s="39"/>
      <c r="E147" s="39"/>
      <c r="F147" s="39"/>
      <c r="H147" s="38"/>
      <c r="I147" s="38"/>
      <c r="J147" s="38"/>
      <c r="K147" s="38"/>
      <c r="L147" s="38"/>
      <c r="M147" s="44"/>
    </row>
    <row r="148">
      <c r="B148" s="38"/>
      <c r="C148" s="39"/>
      <c r="D148" s="39"/>
      <c r="E148" s="39"/>
      <c r="F148" s="39"/>
      <c r="H148" s="38"/>
      <c r="I148" s="38"/>
      <c r="J148" s="38"/>
      <c r="K148" s="38"/>
      <c r="L148" s="38"/>
      <c r="M148" s="44"/>
    </row>
    <row r="149">
      <c r="B149" s="38"/>
      <c r="C149" s="39"/>
      <c r="D149" s="39"/>
      <c r="E149" s="39"/>
      <c r="F149" s="39"/>
      <c r="H149" s="38"/>
      <c r="I149" s="38"/>
      <c r="J149" s="38"/>
      <c r="K149" s="38"/>
      <c r="L149" s="38"/>
      <c r="M149" s="44"/>
    </row>
    <row r="150">
      <c r="B150" s="38"/>
      <c r="C150" s="39"/>
      <c r="D150" s="39"/>
      <c r="E150" s="39"/>
      <c r="F150" s="39"/>
      <c r="H150" s="38"/>
      <c r="I150" s="38"/>
      <c r="J150" s="38"/>
      <c r="K150" s="38"/>
      <c r="L150" s="38"/>
      <c r="M150" s="44"/>
    </row>
    <row r="151">
      <c r="B151" s="38"/>
      <c r="C151" s="39"/>
      <c r="D151" s="39"/>
      <c r="E151" s="39"/>
      <c r="F151" s="39"/>
      <c r="H151" s="38"/>
      <c r="I151" s="38"/>
      <c r="J151" s="38"/>
      <c r="K151" s="38"/>
      <c r="L151" s="38"/>
      <c r="M151" s="44"/>
    </row>
    <row r="152">
      <c r="B152" s="38"/>
      <c r="C152" s="39"/>
      <c r="D152" s="39"/>
      <c r="E152" s="39"/>
      <c r="F152" s="39"/>
      <c r="H152" s="38"/>
      <c r="I152" s="38"/>
      <c r="J152" s="38"/>
      <c r="K152" s="38"/>
      <c r="L152" s="38"/>
      <c r="M152" s="44"/>
    </row>
    <row r="153">
      <c r="B153" s="38"/>
      <c r="C153" s="39"/>
      <c r="D153" s="39"/>
      <c r="E153" s="39"/>
      <c r="F153" s="39"/>
      <c r="H153" s="38"/>
      <c r="I153" s="38"/>
      <c r="J153" s="38"/>
      <c r="K153" s="38"/>
      <c r="L153" s="38"/>
      <c r="M153" s="44"/>
    </row>
    <row r="154">
      <c r="B154" s="38"/>
      <c r="C154" s="39"/>
      <c r="D154" s="39"/>
      <c r="E154" s="39"/>
      <c r="F154" s="39"/>
      <c r="H154" s="38"/>
      <c r="I154" s="38"/>
      <c r="J154" s="38"/>
      <c r="K154" s="38"/>
      <c r="L154" s="38"/>
      <c r="M154" s="44"/>
    </row>
    <row r="155">
      <c r="B155" s="38"/>
      <c r="C155" s="39"/>
      <c r="D155" s="39"/>
      <c r="E155" s="39"/>
      <c r="F155" s="39"/>
      <c r="H155" s="38"/>
      <c r="I155" s="38"/>
      <c r="J155" s="38"/>
      <c r="K155" s="38"/>
      <c r="L155" s="38"/>
      <c r="M155" s="44"/>
    </row>
    <row r="156">
      <c r="B156" s="38"/>
      <c r="C156" s="39"/>
      <c r="D156" s="39"/>
      <c r="E156" s="39"/>
      <c r="F156" s="39"/>
      <c r="H156" s="38"/>
      <c r="I156" s="38"/>
      <c r="J156" s="38"/>
      <c r="K156" s="38"/>
      <c r="L156" s="38"/>
      <c r="M156" s="44"/>
    </row>
    <row r="157">
      <c r="B157" s="38"/>
      <c r="C157" s="39"/>
      <c r="D157" s="39"/>
      <c r="E157" s="39"/>
      <c r="F157" s="39"/>
      <c r="H157" s="38"/>
      <c r="I157" s="38"/>
      <c r="J157" s="38"/>
      <c r="K157" s="38"/>
      <c r="L157" s="38"/>
      <c r="M157" s="44"/>
    </row>
    <row r="158">
      <c r="B158" s="38"/>
      <c r="C158" s="39"/>
      <c r="D158" s="39"/>
      <c r="E158" s="39"/>
      <c r="F158" s="39"/>
      <c r="H158" s="38"/>
      <c r="I158" s="38"/>
      <c r="J158" s="38"/>
      <c r="K158" s="38"/>
      <c r="L158" s="38"/>
      <c r="M158" s="44"/>
    </row>
    <row r="159">
      <c r="B159" s="38"/>
      <c r="C159" s="39"/>
      <c r="D159" s="39"/>
      <c r="E159" s="39"/>
      <c r="F159" s="39"/>
      <c r="H159" s="38"/>
      <c r="I159" s="38"/>
      <c r="J159" s="38"/>
      <c r="K159" s="38"/>
      <c r="L159" s="38"/>
      <c r="M159" s="44"/>
    </row>
    <row r="160">
      <c r="B160" s="38"/>
      <c r="C160" s="39"/>
      <c r="D160" s="39"/>
      <c r="E160" s="39"/>
      <c r="F160" s="39"/>
      <c r="H160" s="38"/>
      <c r="I160" s="38"/>
      <c r="J160" s="38"/>
      <c r="K160" s="38"/>
      <c r="L160" s="38"/>
      <c r="M160" s="44"/>
    </row>
    <row r="161">
      <c r="B161" s="38"/>
      <c r="C161" s="39"/>
      <c r="D161" s="39"/>
      <c r="E161" s="39"/>
      <c r="F161" s="39"/>
      <c r="H161" s="38"/>
      <c r="I161" s="38"/>
      <c r="J161" s="38"/>
      <c r="K161" s="38"/>
      <c r="L161" s="38"/>
      <c r="M161" s="44"/>
    </row>
    <row r="162">
      <c r="B162" s="38"/>
      <c r="C162" s="39"/>
      <c r="D162" s="39"/>
      <c r="E162" s="39"/>
      <c r="F162" s="39"/>
      <c r="H162" s="38"/>
      <c r="I162" s="38"/>
      <c r="J162" s="38"/>
      <c r="K162" s="38"/>
      <c r="L162" s="38"/>
      <c r="M162" s="44"/>
    </row>
    <row r="163">
      <c r="B163" s="38"/>
      <c r="C163" s="39"/>
      <c r="D163" s="39"/>
      <c r="E163" s="39"/>
      <c r="F163" s="39"/>
      <c r="H163" s="38"/>
      <c r="I163" s="38"/>
      <c r="J163" s="38"/>
      <c r="K163" s="38"/>
      <c r="L163" s="38"/>
      <c r="M163" s="44"/>
    </row>
    <row r="164">
      <c r="B164" s="38"/>
      <c r="C164" s="39"/>
      <c r="D164" s="39"/>
      <c r="E164" s="39"/>
      <c r="F164" s="39"/>
      <c r="H164" s="38"/>
      <c r="I164" s="38"/>
      <c r="J164" s="38"/>
      <c r="K164" s="38"/>
      <c r="L164" s="38"/>
      <c r="M164" s="44"/>
    </row>
    <row r="165">
      <c r="B165" s="38"/>
      <c r="C165" s="39"/>
      <c r="D165" s="39"/>
      <c r="E165" s="39"/>
      <c r="F165" s="39"/>
      <c r="H165" s="38"/>
      <c r="I165" s="38"/>
      <c r="J165" s="38"/>
      <c r="K165" s="38"/>
      <c r="L165" s="38"/>
      <c r="M165" s="44"/>
    </row>
    <row r="166">
      <c r="B166" s="38"/>
      <c r="C166" s="39"/>
      <c r="D166" s="39"/>
      <c r="E166" s="39"/>
      <c r="F166" s="39"/>
      <c r="H166" s="38"/>
      <c r="I166" s="38"/>
      <c r="J166" s="38"/>
      <c r="K166" s="38"/>
      <c r="L166" s="38"/>
      <c r="M166" s="44"/>
    </row>
    <row r="167">
      <c r="B167" s="38"/>
      <c r="C167" s="39"/>
      <c r="D167" s="39"/>
      <c r="E167" s="39"/>
      <c r="F167" s="39"/>
      <c r="H167" s="38"/>
      <c r="I167" s="38"/>
      <c r="J167" s="38"/>
      <c r="K167" s="38"/>
      <c r="L167" s="38"/>
      <c r="M167" s="44"/>
    </row>
    <row r="168">
      <c r="B168" s="38"/>
      <c r="C168" s="39"/>
      <c r="D168" s="39"/>
      <c r="E168" s="39"/>
      <c r="F168" s="39"/>
      <c r="H168" s="38"/>
      <c r="I168" s="38"/>
      <c r="J168" s="38"/>
      <c r="K168" s="38"/>
      <c r="L168" s="38"/>
      <c r="M168" s="44"/>
    </row>
    <row r="169">
      <c r="B169" s="38"/>
      <c r="C169" s="39"/>
      <c r="D169" s="39"/>
      <c r="E169" s="39"/>
      <c r="F169" s="39"/>
      <c r="H169" s="38"/>
      <c r="I169" s="38"/>
      <c r="J169" s="38"/>
      <c r="K169" s="38"/>
      <c r="L169" s="38"/>
      <c r="M169" s="44"/>
    </row>
    <row r="170">
      <c r="B170" s="38"/>
      <c r="C170" s="39"/>
      <c r="D170" s="39"/>
      <c r="E170" s="39"/>
      <c r="F170" s="39"/>
      <c r="H170" s="38"/>
      <c r="I170" s="38"/>
      <c r="J170" s="38"/>
      <c r="K170" s="38"/>
      <c r="L170" s="38"/>
      <c r="M170" s="44"/>
    </row>
    <row r="171">
      <c r="B171" s="38"/>
      <c r="C171" s="39"/>
      <c r="D171" s="39"/>
      <c r="E171" s="39"/>
      <c r="F171" s="39"/>
      <c r="H171" s="38"/>
      <c r="I171" s="38"/>
      <c r="J171" s="38"/>
      <c r="K171" s="38"/>
      <c r="L171" s="38"/>
      <c r="M171" s="44"/>
    </row>
    <row r="172">
      <c r="B172" s="38"/>
      <c r="C172" s="39"/>
      <c r="D172" s="39"/>
      <c r="E172" s="39"/>
      <c r="F172" s="39"/>
      <c r="H172" s="38"/>
      <c r="I172" s="38"/>
      <c r="J172" s="38"/>
      <c r="K172" s="38"/>
      <c r="L172" s="38"/>
      <c r="M172" s="44"/>
    </row>
    <row r="173">
      <c r="B173" s="38"/>
      <c r="C173" s="39"/>
      <c r="D173" s="39"/>
      <c r="E173" s="39"/>
      <c r="F173" s="39"/>
      <c r="H173" s="38"/>
      <c r="I173" s="38"/>
      <c r="J173" s="38"/>
      <c r="K173" s="38"/>
      <c r="L173" s="38"/>
      <c r="M173" s="44"/>
    </row>
    <row r="174">
      <c r="B174" s="38"/>
      <c r="C174" s="39"/>
      <c r="D174" s="39"/>
      <c r="E174" s="39"/>
      <c r="F174" s="39"/>
      <c r="H174" s="38"/>
      <c r="I174" s="38"/>
      <c r="J174" s="38"/>
      <c r="K174" s="38"/>
      <c r="L174" s="38"/>
      <c r="M174" s="44"/>
    </row>
    <row r="175">
      <c r="B175" s="38"/>
      <c r="C175" s="39"/>
      <c r="D175" s="39"/>
      <c r="E175" s="39"/>
      <c r="F175" s="39"/>
      <c r="H175" s="38"/>
      <c r="I175" s="38"/>
      <c r="J175" s="38"/>
      <c r="K175" s="38"/>
      <c r="L175" s="38"/>
      <c r="M175" s="44"/>
    </row>
    <row r="176">
      <c r="B176" s="38"/>
      <c r="C176" s="39"/>
      <c r="D176" s="39"/>
      <c r="E176" s="39"/>
      <c r="F176" s="39"/>
      <c r="H176" s="38"/>
      <c r="I176" s="38"/>
      <c r="J176" s="38"/>
      <c r="K176" s="38"/>
      <c r="L176" s="38"/>
      <c r="M176" s="44"/>
    </row>
    <row r="177">
      <c r="B177" s="38"/>
      <c r="C177" s="39"/>
      <c r="D177" s="39"/>
      <c r="E177" s="39"/>
      <c r="F177" s="39"/>
      <c r="H177" s="38"/>
      <c r="I177" s="38"/>
      <c r="J177" s="38"/>
      <c r="K177" s="38"/>
      <c r="L177" s="38"/>
      <c r="M177" s="44"/>
    </row>
    <row r="178">
      <c r="B178" s="38"/>
      <c r="C178" s="39"/>
      <c r="D178" s="39"/>
      <c r="E178" s="39"/>
      <c r="F178" s="39"/>
      <c r="H178" s="38"/>
      <c r="I178" s="38"/>
      <c r="J178" s="38"/>
      <c r="K178" s="38"/>
      <c r="L178" s="38"/>
      <c r="M178" s="44"/>
    </row>
    <row r="179">
      <c r="B179" s="38"/>
      <c r="C179" s="39"/>
      <c r="D179" s="39"/>
      <c r="E179" s="39"/>
      <c r="F179" s="39"/>
      <c r="H179" s="38"/>
      <c r="I179" s="38"/>
      <c r="J179" s="38"/>
      <c r="K179" s="38"/>
      <c r="L179" s="38"/>
      <c r="M179" s="44"/>
    </row>
    <row r="180">
      <c r="B180" s="38"/>
      <c r="C180" s="39"/>
      <c r="D180" s="39"/>
      <c r="E180" s="39"/>
      <c r="F180" s="39"/>
      <c r="H180" s="38"/>
      <c r="I180" s="38"/>
      <c r="J180" s="38"/>
      <c r="K180" s="38"/>
      <c r="L180" s="38"/>
      <c r="M180" s="44"/>
    </row>
    <row r="181">
      <c r="B181" s="38"/>
      <c r="C181" s="39"/>
      <c r="D181" s="39"/>
      <c r="E181" s="39"/>
      <c r="F181" s="39"/>
      <c r="H181" s="38"/>
      <c r="I181" s="38"/>
      <c r="J181" s="38"/>
      <c r="K181" s="38"/>
      <c r="L181" s="38"/>
      <c r="M181" s="44"/>
    </row>
    <row r="182">
      <c r="B182" s="38"/>
      <c r="C182" s="39"/>
      <c r="D182" s="39"/>
      <c r="E182" s="39"/>
      <c r="F182" s="39"/>
      <c r="H182" s="38"/>
      <c r="I182" s="38"/>
      <c r="J182" s="38"/>
      <c r="K182" s="38"/>
      <c r="L182" s="38"/>
      <c r="M182" s="44"/>
    </row>
    <row r="183">
      <c r="B183" s="38"/>
      <c r="C183" s="39"/>
      <c r="D183" s="39"/>
      <c r="E183" s="39"/>
      <c r="F183" s="39"/>
      <c r="H183" s="38"/>
      <c r="I183" s="38"/>
      <c r="J183" s="38"/>
      <c r="K183" s="38"/>
      <c r="L183" s="38"/>
      <c r="M183" s="44"/>
    </row>
    <row r="184">
      <c r="B184" s="38"/>
      <c r="C184" s="39"/>
      <c r="D184" s="39"/>
      <c r="E184" s="39"/>
      <c r="F184" s="39"/>
      <c r="H184" s="38"/>
      <c r="I184" s="38"/>
      <c r="J184" s="38"/>
      <c r="K184" s="38"/>
      <c r="L184" s="38"/>
      <c r="M184" s="44"/>
    </row>
    <row r="185">
      <c r="B185" s="38"/>
      <c r="C185" s="39"/>
      <c r="D185" s="39"/>
      <c r="E185" s="39"/>
      <c r="F185" s="39"/>
      <c r="H185" s="38"/>
      <c r="I185" s="38"/>
      <c r="J185" s="38"/>
      <c r="K185" s="38"/>
      <c r="L185" s="38"/>
      <c r="M185" s="44"/>
    </row>
    <row r="186">
      <c r="B186" s="38"/>
      <c r="C186" s="39"/>
      <c r="D186" s="39"/>
      <c r="E186" s="39"/>
      <c r="F186" s="39"/>
      <c r="H186" s="38"/>
      <c r="I186" s="38"/>
      <c r="J186" s="38"/>
      <c r="K186" s="38"/>
      <c r="L186" s="38"/>
      <c r="M186" s="44"/>
    </row>
    <row r="187">
      <c r="B187" s="38"/>
      <c r="C187" s="39"/>
      <c r="D187" s="39"/>
      <c r="E187" s="39"/>
      <c r="F187" s="39"/>
      <c r="H187" s="38"/>
      <c r="I187" s="38"/>
      <c r="J187" s="38"/>
      <c r="K187" s="38"/>
      <c r="L187" s="38"/>
      <c r="M187" s="44"/>
    </row>
    <row r="188">
      <c r="B188" s="38"/>
      <c r="C188" s="39"/>
      <c r="D188" s="39"/>
      <c r="E188" s="39"/>
      <c r="F188" s="39"/>
      <c r="H188" s="38"/>
      <c r="I188" s="38"/>
      <c r="J188" s="38"/>
      <c r="K188" s="38"/>
      <c r="L188" s="38"/>
      <c r="M188" s="44"/>
    </row>
    <row r="189">
      <c r="B189" s="38"/>
      <c r="C189" s="39"/>
      <c r="D189" s="39"/>
      <c r="E189" s="39"/>
      <c r="F189" s="39"/>
      <c r="H189" s="38"/>
      <c r="I189" s="38"/>
      <c r="J189" s="38"/>
      <c r="K189" s="38"/>
      <c r="L189" s="38"/>
      <c r="M189" s="44"/>
    </row>
    <row r="190">
      <c r="B190" s="38"/>
      <c r="C190" s="39"/>
      <c r="D190" s="39"/>
      <c r="E190" s="39"/>
      <c r="F190" s="39"/>
      <c r="H190" s="38"/>
      <c r="I190" s="38"/>
      <c r="J190" s="38"/>
      <c r="K190" s="38"/>
      <c r="L190" s="38"/>
      <c r="M190" s="44"/>
    </row>
    <row r="191">
      <c r="B191" s="38"/>
      <c r="C191" s="39"/>
      <c r="D191" s="39"/>
      <c r="E191" s="39"/>
      <c r="F191" s="39"/>
      <c r="H191" s="38"/>
      <c r="I191" s="38"/>
      <c r="J191" s="38"/>
      <c r="K191" s="38"/>
      <c r="L191" s="38"/>
      <c r="M191" s="44"/>
    </row>
    <row r="192">
      <c r="B192" s="38"/>
      <c r="C192" s="39"/>
      <c r="D192" s="39"/>
      <c r="E192" s="39"/>
      <c r="F192" s="39"/>
      <c r="H192" s="38"/>
      <c r="I192" s="38"/>
      <c r="J192" s="38"/>
      <c r="K192" s="38"/>
      <c r="L192" s="38"/>
      <c r="M192" s="44"/>
    </row>
    <row r="193">
      <c r="B193" s="38"/>
      <c r="C193" s="39"/>
      <c r="D193" s="39"/>
      <c r="E193" s="39"/>
      <c r="F193" s="39"/>
      <c r="H193" s="38"/>
      <c r="I193" s="38"/>
      <c r="J193" s="38"/>
      <c r="K193" s="38"/>
      <c r="L193" s="38"/>
      <c r="M193" s="44"/>
    </row>
    <row r="194">
      <c r="B194" s="38"/>
      <c r="C194" s="39"/>
      <c r="D194" s="39"/>
      <c r="E194" s="39"/>
      <c r="F194" s="39"/>
      <c r="H194" s="38"/>
      <c r="I194" s="38"/>
      <c r="J194" s="38"/>
      <c r="K194" s="38"/>
      <c r="L194" s="38"/>
      <c r="M194" s="44"/>
    </row>
    <row r="195">
      <c r="B195" s="38"/>
      <c r="C195" s="39"/>
      <c r="D195" s="39"/>
      <c r="E195" s="39"/>
      <c r="F195" s="39"/>
      <c r="H195" s="38"/>
      <c r="I195" s="38"/>
      <c r="J195" s="38"/>
      <c r="K195" s="38"/>
      <c r="L195" s="38"/>
      <c r="M195" s="44"/>
    </row>
    <row r="196">
      <c r="B196" s="38"/>
      <c r="C196" s="39"/>
      <c r="D196" s="39"/>
      <c r="E196" s="39"/>
      <c r="F196" s="39"/>
      <c r="H196" s="38"/>
      <c r="I196" s="38"/>
      <c r="J196" s="38"/>
      <c r="K196" s="38"/>
      <c r="L196" s="38"/>
      <c r="M196" s="44"/>
    </row>
    <row r="197">
      <c r="B197" s="38"/>
      <c r="C197" s="39"/>
      <c r="D197" s="39"/>
      <c r="E197" s="39"/>
      <c r="F197" s="39"/>
      <c r="H197" s="38"/>
      <c r="I197" s="38"/>
      <c r="J197" s="38"/>
      <c r="K197" s="38"/>
      <c r="L197" s="38"/>
      <c r="M197" s="44"/>
    </row>
    <row r="198">
      <c r="B198" s="38"/>
      <c r="C198" s="39"/>
      <c r="D198" s="39"/>
      <c r="E198" s="39"/>
      <c r="F198" s="39"/>
      <c r="H198" s="38"/>
      <c r="I198" s="38"/>
      <c r="J198" s="38"/>
      <c r="K198" s="38"/>
      <c r="L198" s="38"/>
      <c r="M198" s="44"/>
    </row>
    <row r="199">
      <c r="B199" s="38"/>
      <c r="C199" s="39"/>
      <c r="D199" s="39"/>
      <c r="E199" s="39"/>
      <c r="F199" s="39"/>
      <c r="H199" s="38"/>
      <c r="I199" s="38"/>
      <c r="J199" s="38"/>
      <c r="K199" s="38"/>
      <c r="L199" s="38"/>
      <c r="M199" s="44"/>
    </row>
    <row r="200">
      <c r="B200" s="38"/>
      <c r="C200" s="39"/>
      <c r="D200" s="39"/>
      <c r="E200" s="39"/>
      <c r="F200" s="39"/>
      <c r="H200" s="38"/>
      <c r="I200" s="38"/>
      <c r="J200" s="38"/>
      <c r="K200" s="38"/>
      <c r="L200" s="38"/>
      <c r="M200" s="44"/>
    </row>
    <row r="201">
      <c r="B201" s="38"/>
      <c r="C201" s="39"/>
      <c r="D201" s="39"/>
      <c r="E201" s="39"/>
      <c r="F201" s="39"/>
      <c r="H201" s="38"/>
      <c r="I201" s="38"/>
      <c r="J201" s="38"/>
      <c r="K201" s="38"/>
      <c r="L201" s="38"/>
      <c r="M201" s="44"/>
    </row>
    <row r="202">
      <c r="B202" s="38"/>
      <c r="C202" s="39"/>
      <c r="D202" s="39"/>
      <c r="E202" s="39"/>
      <c r="F202" s="39"/>
      <c r="H202" s="38"/>
      <c r="I202" s="38"/>
      <c r="J202" s="38"/>
      <c r="K202" s="38"/>
      <c r="L202" s="38"/>
      <c r="M202" s="44"/>
    </row>
    <row r="203">
      <c r="B203" s="38"/>
      <c r="C203" s="39"/>
      <c r="D203" s="39"/>
      <c r="E203" s="39"/>
      <c r="F203" s="39"/>
      <c r="H203" s="38"/>
      <c r="I203" s="38"/>
      <c r="J203" s="38"/>
      <c r="K203" s="38"/>
      <c r="L203" s="38"/>
      <c r="M203" s="44"/>
    </row>
    <row r="204">
      <c r="B204" s="38"/>
      <c r="C204" s="39"/>
      <c r="D204" s="39"/>
      <c r="E204" s="39"/>
      <c r="F204" s="39"/>
      <c r="H204" s="38"/>
      <c r="I204" s="38"/>
      <c r="J204" s="38"/>
      <c r="K204" s="38"/>
      <c r="L204" s="38"/>
      <c r="M204" s="44"/>
    </row>
    <row r="205">
      <c r="B205" s="38"/>
      <c r="C205" s="39"/>
      <c r="D205" s="39"/>
      <c r="E205" s="39"/>
      <c r="F205" s="39"/>
      <c r="H205" s="38"/>
      <c r="I205" s="38"/>
      <c r="J205" s="38"/>
      <c r="K205" s="38"/>
      <c r="L205" s="38"/>
      <c r="M205" s="44"/>
    </row>
    <row r="206">
      <c r="B206" s="38"/>
      <c r="C206" s="39"/>
      <c r="D206" s="39"/>
      <c r="E206" s="39"/>
      <c r="F206" s="39"/>
      <c r="H206" s="38"/>
      <c r="I206" s="38"/>
      <c r="J206" s="38"/>
      <c r="K206" s="38"/>
      <c r="L206" s="38"/>
      <c r="M206" s="44"/>
    </row>
    <row r="207">
      <c r="B207" s="38"/>
      <c r="C207" s="39"/>
      <c r="D207" s="39"/>
      <c r="E207" s="39"/>
      <c r="F207" s="39"/>
      <c r="H207" s="38"/>
      <c r="I207" s="38"/>
      <c r="J207" s="38"/>
      <c r="K207" s="38"/>
      <c r="L207" s="38"/>
      <c r="M207" s="44"/>
    </row>
    <row r="208">
      <c r="B208" s="38"/>
      <c r="C208" s="39"/>
      <c r="D208" s="39"/>
      <c r="E208" s="39"/>
      <c r="F208" s="39"/>
      <c r="H208" s="38"/>
      <c r="I208" s="38"/>
      <c r="J208" s="38"/>
      <c r="K208" s="38"/>
      <c r="L208" s="38"/>
      <c r="M208" s="44"/>
    </row>
    <row r="209">
      <c r="B209" s="38"/>
      <c r="C209" s="39"/>
      <c r="D209" s="39"/>
      <c r="E209" s="39"/>
      <c r="F209" s="39"/>
      <c r="H209" s="38"/>
      <c r="I209" s="38"/>
      <c r="J209" s="38"/>
      <c r="K209" s="38"/>
      <c r="L209" s="38"/>
      <c r="M209" s="44"/>
    </row>
    <row r="210">
      <c r="B210" s="38"/>
      <c r="C210" s="39"/>
      <c r="D210" s="39"/>
      <c r="E210" s="39"/>
      <c r="F210" s="39"/>
      <c r="H210" s="38"/>
      <c r="I210" s="38"/>
      <c r="J210" s="38"/>
      <c r="K210" s="38"/>
      <c r="L210" s="38"/>
      <c r="M210" s="44"/>
    </row>
    <row r="211">
      <c r="B211" s="38"/>
      <c r="C211" s="39"/>
      <c r="D211" s="39"/>
      <c r="E211" s="39"/>
      <c r="F211" s="39"/>
      <c r="H211" s="38"/>
      <c r="I211" s="38"/>
      <c r="J211" s="38"/>
      <c r="K211" s="38"/>
      <c r="L211" s="38"/>
      <c r="M211" s="44"/>
    </row>
    <row r="212">
      <c r="B212" s="38"/>
      <c r="C212" s="39"/>
      <c r="D212" s="39"/>
      <c r="E212" s="39"/>
      <c r="F212" s="39"/>
      <c r="H212" s="38"/>
      <c r="I212" s="38"/>
      <c r="J212" s="38"/>
      <c r="K212" s="38"/>
      <c r="L212" s="38"/>
      <c r="M212" s="44"/>
    </row>
    <row r="213">
      <c r="B213" s="38"/>
      <c r="C213" s="39"/>
      <c r="D213" s="39"/>
      <c r="E213" s="39"/>
      <c r="F213" s="39"/>
      <c r="H213" s="38"/>
      <c r="I213" s="38"/>
      <c r="J213" s="38"/>
      <c r="K213" s="38"/>
      <c r="L213" s="38"/>
      <c r="M213" s="44"/>
    </row>
    <row r="214">
      <c r="B214" s="38"/>
      <c r="C214" s="39"/>
      <c r="D214" s="39"/>
      <c r="E214" s="39"/>
      <c r="F214" s="39"/>
      <c r="H214" s="38"/>
      <c r="I214" s="38"/>
      <c r="J214" s="38"/>
      <c r="K214" s="38"/>
      <c r="L214" s="38"/>
      <c r="M214" s="44"/>
    </row>
    <row r="215">
      <c r="B215" s="38"/>
      <c r="C215" s="39"/>
      <c r="D215" s="39"/>
      <c r="E215" s="39"/>
      <c r="F215" s="39"/>
      <c r="H215" s="38"/>
      <c r="I215" s="38"/>
      <c r="J215" s="38"/>
      <c r="K215" s="38"/>
      <c r="L215" s="38"/>
      <c r="M215" s="44"/>
    </row>
    <row r="216">
      <c r="B216" s="38"/>
      <c r="C216" s="39"/>
      <c r="D216" s="39"/>
      <c r="E216" s="39"/>
      <c r="F216" s="39"/>
      <c r="H216" s="38"/>
      <c r="I216" s="38"/>
      <c r="J216" s="38"/>
      <c r="K216" s="38"/>
      <c r="L216" s="38"/>
      <c r="M216" s="44"/>
    </row>
    <row r="217">
      <c r="B217" s="38"/>
      <c r="C217" s="39"/>
      <c r="D217" s="39"/>
      <c r="E217" s="39"/>
      <c r="F217" s="39"/>
      <c r="H217" s="38"/>
      <c r="I217" s="38"/>
      <c r="J217" s="38"/>
      <c r="K217" s="38"/>
      <c r="L217" s="38"/>
      <c r="M217" s="44"/>
    </row>
    <row r="218">
      <c r="B218" s="38"/>
      <c r="C218" s="39"/>
      <c r="D218" s="39"/>
      <c r="E218" s="39"/>
      <c r="F218" s="39"/>
      <c r="H218" s="38"/>
      <c r="I218" s="38"/>
      <c r="J218" s="38"/>
      <c r="K218" s="38"/>
      <c r="L218" s="38"/>
      <c r="M218" s="44"/>
    </row>
    <row r="219">
      <c r="B219" s="38"/>
      <c r="C219" s="39"/>
      <c r="D219" s="39"/>
      <c r="E219" s="39"/>
      <c r="F219" s="39"/>
      <c r="H219" s="38"/>
      <c r="I219" s="38"/>
      <c r="J219" s="38"/>
      <c r="K219" s="38"/>
      <c r="L219" s="38"/>
      <c r="M219" s="44"/>
    </row>
    <row r="220">
      <c r="B220" s="38"/>
      <c r="C220" s="39"/>
      <c r="D220" s="39"/>
      <c r="E220" s="39"/>
      <c r="F220" s="39"/>
      <c r="H220" s="38"/>
      <c r="I220" s="38"/>
      <c r="J220" s="38"/>
      <c r="K220" s="38"/>
      <c r="L220" s="38"/>
      <c r="M220" s="44"/>
    </row>
    <row r="221">
      <c r="B221" s="38"/>
      <c r="C221" s="39"/>
      <c r="D221" s="39"/>
      <c r="E221" s="39"/>
      <c r="F221" s="39"/>
      <c r="H221" s="38"/>
      <c r="I221" s="38"/>
      <c r="J221" s="38"/>
      <c r="K221" s="38"/>
      <c r="L221" s="38"/>
      <c r="M221" s="44"/>
    </row>
    <row r="222">
      <c r="B222" s="38"/>
      <c r="C222" s="39"/>
      <c r="D222" s="39"/>
      <c r="E222" s="39"/>
      <c r="F222" s="39"/>
      <c r="H222" s="38"/>
      <c r="I222" s="38"/>
      <c r="J222" s="38"/>
      <c r="K222" s="38"/>
      <c r="L222" s="38"/>
      <c r="M222" s="44"/>
    </row>
    <row r="223">
      <c r="B223" s="38"/>
      <c r="C223" s="39"/>
      <c r="D223" s="39"/>
      <c r="E223" s="39"/>
      <c r="F223" s="39"/>
      <c r="H223" s="38"/>
      <c r="I223" s="38"/>
      <c r="J223" s="38"/>
      <c r="K223" s="38"/>
      <c r="L223" s="38"/>
      <c r="M223" s="44"/>
    </row>
    <row r="224">
      <c r="B224" s="38"/>
      <c r="C224" s="39"/>
      <c r="D224" s="39"/>
      <c r="E224" s="39"/>
      <c r="F224" s="39"/>
      <c r="H224" s="38"/>
      <c r="I224" s="38"/>
      <c r="J224" s="38"/>
      <c r="K224" s="38"/>
      <c r="L224" s="38"/>
      <c r="M224" s="44"/>
    </row>
    <row r="225">
      <c r="B225" s="38"/>
      <c r="C225" s="39"/>
      <c r="D225" s="39"/>
      <c r="E225" s="39"/>
      <c r="F225" s="39"/>
      <c r="H225" s="38"/>
      <c r="I225" s="38"/>
      <c r="J225" s="38"/>
      <c r="K225" s="38"/>
      <c r="L225" s="38"/>
      <c r="M225" s="44"/>
    </row>
    <row r="226">
      <c r="B226" s="38"/>
      <c r="C226" s="39"/>
      <c r="D226" s="39"/>
      <c r="E226" s="39"/>
      <c r="F226" s="39"/>
      <c r="H226" s="38"/>
      <c r="I226" s="38"/>
      <c r="J226" s="38"/>
      <c r="K226" s="38"/>
      <c r="L226" s="38"/>
      <c r="M226" s="44"/>
    </row>
    <row r="227">
      <c r="B227" s="38"/>
      <c r="C227" s="39"/>
      <c r="D227" s="39"/>
      <c r="E227" s="39"/>
      <c r="F227" s="39"/>
      <c r="H227" s="38"/>
      <c r="I227" s="38"/>
      <c r="J227" s="38"/>
      <c r="K227" s="38"/>
      <c r="L227" s="38"/>
      <c r="M227" s="44"/>
    </row>
    <row r="228">
      <c r="B228" s="38"/>
      <c r="C228" s="39"/>
      <c r="D228" s="39"/>
      <c r="E228" s="39"/>
      <c r="F228" s="39"/>
      <c r="H228" s="38"/>
      <c r="I228" s="38"/>
      <c r="J228" s="38"/>
      <c r="K228" s="38"/>
      <c r="L228" s="38"/>
      <c r="M228" s="44"/>
    </row>
    <row r="229">
      <c r="B229" s="38"/>
      <c r="C229" s="39"/>
      <c r="D229" s="39"/>
      <c r="E229" s="39"/>
      <c r="F229" s="39"/>
      <c r="H229" s="38"/>
      <c r="I229" s="38"/>
      <c r="J229" s="38"/>
      <c r="K229" s="38"/>
      <c r="L229" s="38"/>
      <c r="M229" s="44"/>
    </row>
    <row r="230">
      <c r="B230" s="38"/>
      <c r="C230" s="39"/>
      <c r="D230" s="39"/>
      <c r="E230" s="39"/>
      <c r="F230" s="39"/>
      <c r="H230" s="38"/>
      <c r="I230" s="38"/>
      <c r="J230" s="38"/>
      <c r="K230" s="38"/>
      <c r="L230" s="38"/>
      <c r="M230" s="44"/>
    </row>
    <row r="231">
      <c r="B231" s="38"/>
      <c r="C231" s="39"/>
      <c r="D231" s="39"/>
      <c r="E231" s="39"/>
      <c r="F231" s="39"/>
      <c r="H231" s="38"/>
      <c r="I231" s="38"/>
      <c r="J231" s="38"/>
      <c r="K231" s="38"/>
      <c r="L231" s="38"/>
      <c r="M231" s="44"/>
    </row>
    <row r="232">
      <c r="B232" s="38"/>
      <c r="C232" s="39"/>
      <c r="D232" s="39"/>
      <c r="E232" s="39"/>
      <c r="F232" s="39"/>
      <c r="H232" s="38"/>
      <c r="I232" s="38"/>
      <c r="J232" s="38"/>
      <c r="K232" s="38"/>
      <c r="L232" s="38"/>
      <c r="M232" s="44"/>
    </row>
    <row r="233">
      <c r="B233" s="38"/>
      <c r="C233" s="39"/>
      <c r="D233" s="39"/>
      <c r="E233" s="39"/>
      <c r="F233" s="39"/>
      <c r="H233" s="38"/>
      <c r="I233" s="38"/>
      <c r="J233" s="38"/>
      <c r="K233" s="38"/>
      <c r="L233" s="38"/>
      <c r="M233" s="44"/>
    </row>
    <row r="234">
      <c r="B234" s="38"/>
      <c r="C234" s="39"/>
      <c r="D234" s="39"/>
      <c r="E234" s="39"/>
      <c r="F234" s="39"/>
      <c r="H234" s="38"/>
      <c r="I234" s="38"/>
      <c r="J234" s="38"/>
      <c r="K234" s="38"/>
      <c r="L234" s="38"/>
      <c r="M234" s="44"/>
    </row>
    <row r="235">
      <c r="B235" s="38"/>
      <c r="C235" s="39"/>
      <c r="D235" s="39"/>
      <c r="E235" s="39"/>
      <c r="F235" s="39"/>
      <c r="H235" s="38"/>
      <c r="I235" s="38"/>
      <c r="J235" s="38"/>
      <c r="K235" s="38"/>
      <c r="L235" s="38"/>
      <c r="M235" s="44"/>
    </row>
    <row r="236">
      <c r="B236" s="38"/>
      <c r="C236" s="39"/>
      <c r="D236" s="39"/>
      <c r="E236" s="39"/>
      <c r="F236" s="39"/>
      <c r="H236" s="38"/>
      <c r="I236" s="38"/>
      <c r="J236" s="38"/>
      <c r="K236" s="38"/>
      <c r="L236" s="38"/>
      <c r="M236" s="44"/>
    </row>
    <row r="237">
      <c r="B237" s="38"/>
      <c r="C237" s="39"/>
      <c r="D237" s="39"/>
      <c r="E237" s="39"/>
      <c r="F237" s="39"/>
      <c r="H237" s="38"/>
      <c r="I237" s="38"/>
      <c r="J237" s="38"/>
      <c r="K237" s="38"/>
      <c r="L237" s="38"/>
      <c r="M237" s="44"/>
    </row>
    <row r="238">
      <c r="B238" s="38"/>
      <c r="C238" s="39"/>
      <c r="D238" s="39"/>
      <c r="E238" s="39"/>
      <c r="F238" s="39"/>
      <c r="H238" s="38"/>
      <c r="I238" s="38"/>
      <c r="J238" s="38"/>
      <c r="K238" s="38"/>
      <c r="L238" s="38"/>
      <c r="M238" s="44"/>
    </row>
    <row r="239">
      <c r="B239" s="38"/>
      <c r="C239" s="39"/>
      <c r="D239" s="39"/>
      <c r="E239" s="39"/>
      <c r="F239" s="39"/>
      <c r="H239" s="38"/>
      <c r="I239" s="38"/>
      <c r="J239" s="38"/>
      <c r="K239" s="38"/>
      <c r="L239" s="38"/>
      <c r="M239" s="44"/>
    </row>
    <row r="240">
      <c r="B240" s="38"/>
      <c r="C240" s="39"/>
      <c r="D240" s="39"/>
      <c r="E240" s="39"/>
      <c r="F240" s="39"/>
      <c r="H240" s="38"/>
      <c r="I240" s="38"/>
      <c r="J240" s="38"/>
      <c r="K240" s="38"/>
      <c r="L240" s="38"/>
      <c r="M240" s="44"/>
    </row>
    <row r="241">
      <c r="B241" s="38"/>
      <c r="C241" s="39"/>
      <c r="D241" s="39"/>
      <c r="E241" s="39"/>
      <c r="F241" s="39"/>
      <c r="H241" s="38"/>
      <c r="I241" s="38"/>
      <c r="J241" s="38"/>
      <c r="K241" s="38"/>
      <c r="L241" s="38"/>
      <c r="M241" s="44"/>
    </row>
    <row r="242">
      <c r="B242" s="38"/>
      <c r="C242" s="39"/>
      <c r="D242" s="39"/>
      <c r="E242" s="39"/>
      <c r="F242" s="39"/>
      <c r="H242" s="38"/>
      <c r="I242" s="38"/>
      <c r="J242" s="38"/>
      <c r="K242" s="38"/>
      <c r="L242" s="38"/>
      <c r="M242" s="44"/>
    </row>
    <row r="243">
      <c r="B243" s="38"/>
      <c r="C243" s="39"/>
      <c r="D243" s="39"/>
      <c r="E243" s="39"/>
      <c r="F243" s="39"/>
      <c r="H243" s="38"/>
      <c r="I243" s="38"/>
      <c r="J243" s="38"/>
      <c r="K243" s="38"/>
      <c r="L243" s="38"/>
      <c r="M243" s="44"/>
    </row>
    <row r="244">
      <c r="B244" s="38"/>
      <c r="C244" s="39"/>
      <c r="D244" s="39"/>
      <c r="E244" s="39"/>
      <c r="F244" s="39"/>
      <c r="H244" s="38"/>
      <c r="I244" s="38"/>
      <c r="J244" s="38"/>
      <c r="K244" s="38"/>
      <c r="L244" s="38"/>
      <c r="M244" s="44"/>
    </row>
    <row r="245">
      <c r="B245" s="38"/>
      <c r="C245" s="39"/>
      <c r="D245" s="39"/>
      <c r="E245" s="39"/>
      <c r="F245" s="39"/>
      <c r="H245" s="38"/>
      <c r="I245" s="38"/>
      <c r="J245" s="38"/>
      <c r="K245" s="38"/>
      <c r="L245" s="38"/>
      <c r="M245" s="44"/>
    </row>
    <row r="246">
      <c r="B246" s="38"/>
      <c r="C246" s="39"/>
      <c r="D246" s="39"/>
      <c r="E246" s="39"/>
      <c r="F246" s="39"/>
      <c r="H246" s="38"/>
      <c r="I246" s="38"/>
      <c r="J246" s="38"/>
      <c r="K246" s="38"/>
      <c r="L246" s="38"/>
      <c r="M246" s="44"/>
    </row>
    <row r="247">
      <c r="B247" s="38"/>
      <c r="C247" s="39"/>
      <c r="D247" s="39"/>
      <c r="E247" s="39"/>
      <c r="F247" s="39"/>
      <c r="H247" s="38"/>
      <c r="I247" s="38"/>
      <c r="J247" s="38"/>
      <c r="K247" s="38"/>
      <c r="L247" s="38"/>
      <c r="M247" s="44"/>
    </row>
    <row r="248">
      <c r="B248" s="38"/>
      <c r="C248" s="39"/>
      <c r="D248" s="39"/>
      <c r="E248" s="39"/>
      <c r="F248" s="39"/>
      <c r="H248" s="38"/>
      <c r="I248" s="38"/>
      <c r="J248" s="38"/>
      <c r="K248" s="38"/>
      <c r="L248" s="38"/>
      <c r="M248" s="44"/>
    </row>
    <row r="249">
      <c r="B249" s="38"/>
      <c r="C249" s="39"/>
      <c r="D249" s="39"/>
      <c r="E249" s="39"/>
      <c r="F249" s="39"/>
      <c r="H249" s="38"/>
      <c r="I249" s="38"/>
      <c r="J249" s="38"/>
      <c r="K249" s="38"/>
      <c r="L249" s="38"/>
      <c r="M249" s="44"/>
    </row>
    <row r="250">
      <c r="B250" s="38"/>
      <c r="C250" s="39"/>
      <c r="D250" s="39"/>
      <c r="E250" s="39"/>
      <c r="F250" s="39"/>
      <c r="H250" s="38"/>
      <c r="I250" s="38"/>
      <c r="J250" s="38"/>
      <c r="K250" s="38"/>
      <c r="L250" s="38"/>
      <c r="M250" s="44"/>
    </row>
    <row r="251">
      <c r="B251" s="38"/>
      <c r="C251" s="39"/>
      <c r="D251" s="39"/>
      <c r="E251" s="39"/>
      <c r="F251" s="39"/>
      <c r="H251" s="38"/>
      <c r="I251" s="38"/>
      <c r="J251" s="38"/>
      <c r="K251" s="38"/>
      <c r="L251" s="38"/>
      <c r="M251" s="44"/>
    </row>
    <row r="252">
      <c r="B252" s="38"/>
      <c r="C252" s="39"/>
      <c r="D252" s="39"/>
      <c r="E252" s="39"/>
      <c r="F252" s="39"/>
      <c r="H252" s="38"/>
      <c r="I252" s="38"/>
      <c r="J252" s="38"/>
      <c r="K252" s="38"/>
      <c r="L252" s="38"/>
      <c r="M252" s="44"/>
    </row>
    <row r="253">
      <c r="B253" s="38"/>
      <c r="C253" s="39"/>
      <c r="D253" s="39"/>
      <c r="E253" s="39"/>
      <c r="F253" s="39"/>
      <c r="H253" s="38"/>
      <c r="I253" s="38"/>
      <c r="J253" s="38"/>
      <c r="K253" s="38"/>
      <c r="L253" s="38"/>
      <c r="M253" s="44"/>
    </row>
    <row r="254">
      <c r="B254" s="38"/>
      <c r="C254" s="39"/>
      <c r="D254" s="39"/>
      <c r="E254" s="39"/>
      <c r="F254" s="39"/>
      <c r="H254" s="38"/>
      <c r="I254" s="38"/>
      <c r="J254" s="38"/>
      <c r="K254" s="38"/>
      <c r="L254" s="38"/>
      <c r="M254" s="44"/>
    </row>
    <row r="255">
      <c r="B255" s="38"/>
      <c r="C255" s="39"/>
      <c r="D255" s="39"/>
      <c r="E255" s="39"/>
      <c r="F255" s="39"/>
      <c r="H255" s="38"/>
      <c r="I255" s="38"/>
      <c r="J255" s="38"/>
      <c r="K255" s="38"/>
      <c r="L255" s="38"/>
      <c r="M255" s="44"/>
    </row>
    <row r="256">
      <c r="B256" s="38"/>
      <c r="C256" s="39"/>
      <c r="D256" s="39"/>
      <c r="E256" s="39"/>
      <c r="F256" s="39"/>
      <c r="H256" s="38"/>
      <c r="I256" s="38"/>
      <c r="J256" s="38"/>
      <c r="K256" s="38"/>
      <c r="L256" s="38"/>
      <c r="M256" s="44"/>
    </row>
    <row r="257">
      <c r="B257" s="38"/>
      <c r="C257" s="39"/>
      <c r="D257" s="39"/>
      <c r="E257" s="39"/>
      <c r="F257" s="39"/>
      <c r="H257" s="38"/>
      <c r="I257" s="38"/>
      <c r="J257" s="38"/>
      <c r="K257" s="38"/>
      <c r="L257" s="38"/>
      <c r="M257" s="44"/>
    </row>
    <row r="258">
      <c r="B258" s="38"/>
      <c r="C258" s="39"/>
      <c r="D258" s="39"/>
      <c r="E258" s="39"/>
      <c r="F258" s="39"/>
      <c r="H258" s="38"/>
      <c r="I258" s="38"/>
      <c r="J258" s="38"/>
      <c r="K258" s="38"/>
      <c r="L258" s="38"/>
      <c r="M258" s="44"/>
    </row>
    <row r="259">
      <c r="B259" s="38"/>
      <c r="C259" s="39"/>
      <c r="D259" s="39"/>
      <c r="E259" s="39"/>
      <c r="F259" s="39"/>
      <c r="H259" s="38"/>
      <c r="I259" s="38"/>
      <c r="J259" s="38"/>
      <c r="K259" s="38"/>
      <c r="L259" s="38"/>
      <c r="M259" s="44"/>
    </row>
    <row r="260">
      <c r="B260" s="38"/>
      <c r="C260" s="39"/>
      <c r="D260" s="39"/>
      <c r="E260" s="39"/>
      <c r="F260" s="39"/>
      <c r="H260" s="38"/>
      <c r="I260" s="38"/>
      <c r="J260" s="38"/>
      <c r="K260" s="38"/>
      <c r="L260" s="38"/>
      <c r="M260" s="44"/>
    </row>
    <row r="261">
      <c r="B261" s="38"/>
      <c r="C261" s="39"/>
      <c r="D261" s="39"/>
      <c r="E261" s="39"/>
      <c r="F261" s="39"/>
      <c r="H261" s="38"/>
      <c r="I261" s="38"/>
      <c r="J261" s="38"/>
      <c r="K261" s="38"/>
      <c r="L261" s="38"/>
      <c r="M261" s="44"/>
    </row>
    <row r="262">
      <c r="B262" s="38"/>
      <c r="C262" s="39"/>
      <c r="D262" s="39"/>
      <c r="E262" s="39"/>
      <c r="F262" s="39"/>
      <c r="H262" s="38"/>
      <c r="I262" s="38"/>
      <c r="J262" s="38"/>
      <c r="K262" s="38"/>
      <c r="L262" s="38"/>
      <c r="M262" s="44"/>
    </row>
    <row r="263">
      <c r="B263" s="38"/>
      <c r="C263" s="39"/>
      <c r="D263" s="39"/>
      <c r="E263" s="39"/>
      <c r="F263" s="39"/>
      <c r="H263" s="38"/>
      <c r="I263" s="38"/>
      <c r="J263" s="38"/>
      <c r="K263" s="38"/>
      <c r="L263" s="38"/>
      <c r="M263" s="44"/>
    </row>
    <row r="264">
      <c r="B264" s="38"/>
      <c r="C264" s="39"/>
      <c r="D264" s="39"/>
      <c r="E264" s="39"/>
      <c r="F264" s="39"/>
      <c r="H264" s="38"/>
      <c r="I264" s="38"/>
      <c r="J264" s="38"/>
      <c r="K264" s="38"/>
      <c r="L264" s="38"/>
      <c r="M264" s="44"/>
    </row>
    <row r="265">
      <c r="B265" s="38"/>
      <c r="C265" s="39"/>
      <c r="D265" s="39"/>
      <c r="E265" s="39"/>
      <c r="F265" s="39"/>
      <c r="H265" s="38"/>
      <c r="I265" s="38"/>
      <c r="J265" s="38"/>
      <c r="K265" s="38"/>
      <c r="L265" s="38"/>
      <c r="M265" s="44"/>
    </row>
    <row r="266">
      <c r="B266" s="38"/>
      <c r="C266" s="39"/>
      <c r="D266" s="39"/>
      <c r="E266" s="39"/>
      <c r="F266" s="39"/>
      <c r="H266" s="38"/>
      <c r="I266" s="38"/>
      <c r="J266" s="38"/>
      <c r="K266" s="38"/>
      <c r="L266" s="38"/>
      <c r="M266" s="44"/>
    </row>
    <row r="267">
      <c r="B267" s="38"/>
      <c r="C267" s="39"/>
      <c r="D267" s="39"/>
      <c r="E267" s="39"/>
      <c r="F267" s="39"/>
      <c r="H267" s="38"/>
      <c r="I267" s="38"/>
      <c r="J267" s="38"/>
      <c r="K267" s="38"/>
      <c r="L267" s="38"/>
      <c r="M267" s="44"/>
    </row>
    <row r="268">
      <c r="B268" s="38"/>
      <c r="C268" s="39"/>
      <c r="D268" s="39"/>
      <c r="E268" s="39"/>
      <c r="F268" s="39"/>
      <c r="H268" s="38"/>
      <c r="I268" s="38"/>
      <c r="J268" s="38"/>
      <c r="K268" s="38"/>
      <c r="L268" s="38"/>
      <c r="M268" s="44"/>
    </row>
    <row r="269">
      <c r="B269" s="38"/>
      <c r="C269" s="39"/>
      <c r="D269" s="39"/>
      <c r="E269" s="39"/>
      <c r="F269" s="39"/>
      <c r="H269" s="38"/>
      <c r="I269" s="38"/>
      <c r="J269" s="38"/>
      <c r="K269" s="38"/>
      <c r="L269" s="38"/>
      <c r="M269" s="44"/>
    </row>
    <row r="270">
      <c r="B270" s="38"/>
      <c r="C270" s="39"/>
      <c r="D270" s="39"/>
      <c r="E270" s="39"/>
      <c r="F270" s="39"/>
      <c r="H270" s="38"/>
      <c r="I270" s="38"/>
      <c r="J270" s="38"/>
      <c r="K270" s="38"/>
      <c r="L270" s="38"/>
      <c r="M270" s="44"/>
    </row>
    <row r="271">
      <c r="B271" s="38"/>
      <c r="C271" s="39"/>
      <c r="D271" s="39"/>
      <c r="E271" s="39"/>
      <c r="F271" s="39"/>
      <c r="H271" s="38"/>
      <c r="I271" s="38"/>
      <c r="J271" s="38"/>
      <c r="K271" s="38"/>
      <c r="L271" s="38"/>
      <c r="M271" s="44"/>
    </row>
    <row r="272">
      <c r="B272" s="38"/>
      <c r="C272" s="39"/>
      <c r="D272" s="39"/>
      <c r="E272" s="39"/>
      <c r="F272" s="39"/>
      <c r="H272" s="38"/>
      <c r="I272" s="38"/>
      <c r="J272" s="38"/>
      <c r="K272" s="38"/>
      <c r="L272" s="38"/>
      <c r="M272" s="44"/>
    </row>
    <row r="273">
      <c r="B273" s="38"/>
      <c r="C273" s="39"/>
      <c r="D273" s="39"/>
      <c r="E273" s="39"/>
      <c r="F273" s="39"/>
      <c r="H273" s="38"/>
      <c r="I273" s="38"/>
      <c r="J273" s="38"/>
      <c r="K273" s="38"/>
      <c r="L273" s="38"/>
      <c r="M273" s="44"/>
    </row>
    <row r="274">
      <c r="B274" s="38"/>
      <c r="C274" s="39"/>
      <c r="D274" s="39"/>
      <c r="E274" s="39"/>
      <c r="F274" s="39"/>
      <c r="H274" s="38"/>
      <c r="I274" s="38"/>
      <c r="J274" s="38"/>
      <c r="K274" s="38"/>
      <c r="L274" s="38"/>
      <c r="M274" s="44"/>
    </row>
    <row r="275">
      <c r="B275" s="38"/>
      <c r="C275" s="39"/>
      <c r="D275" s="39"/>
      <c r="E275" s="39"/>
      <c r="F275" s="39"/>
      <c r="H275" s="38"/>
      <c r="I275" s="38"/>
      <c r="J275" s="38"/>
      <c r="K275" s="38"/>
      <c r="L275" s="38"/>
      <c r="M275" s="44"/>
    </row>
    <row r="276">
      <c r="B276" s="38"/>
      <c r="C276" s="39"/>
      <c r="D276" s="39"/>
      <c r="E276" s="39"/>
      <c r="F276" s="39"/>
      <c r="H276" s="38"/>
      <c r="I276" s="38"/>
      <c r="J276" s="38"/>
      <c r="K276" s="38"/>
      <c r="L276" s="38"/>
      <c r="M276" s="44"/>
    </row>
    <row r="277">
      <c r="B277" s="38"/>
      <c r="C277" s="39"/>
      <c r="D277" s="39"/>
      <c r="E277" s="39"/>
      <c r="F277" s="39"/>
      <c r="H277" s="38"/>
      <c r="I277" s="38"/>
      <c r="J277" s="38"/>
      <c r="K277" s="38"/>
      <c r="L277" s="38"/>
      <c r="M277" s="44"/>
    </row>
    <row r="278">
      <c r="B278" s="38"/>
      <c r="C278" s="39"/>
      <c r="D278" s="39"/>
      <c r="E278" s="39"/>
      <c r="F278" s="39"/>
      <c r="H278" s="38"/>
      <c r="I278" s="38"/>
      <c r="J278" s="38"/>
      <c r="K278" s="38"/>
      <c r="L278" s="38"/>
      <c r="M278" s="44"/>
    </row>
    <row r="279">
      <c r="B279" s="38"/>
      <c r="C279" s="39"/>
      <c r="D279" s="39"/>
      <c r="E279" s="39"/>
      <c r="F279" s="39"/>
      <c r="H279" s="38"/>
      <c r="I279" s="38"/>
      <c r="J279" s="38"/>
      <c r="K279" s="38"/>
      <c r="L279" s="38"/>
      <c r="M279" s="44"/>
    </row>
    <row r="280">
      <c r="B280" s="38"/>
      <c r="C280" s="39"/>
      <c r="D280" s="39"/>
      <c r="E280" s="39"/>
      <c r="F280" s="39"/>
      <c r="H280" s="38"/>
      <c r="I280" s="38"/>
      <c r="J280" s="38"/>
      <c r="K280" s="38"/>
      <c r="L280" s="38"/>
      <c r="M280" s="44"/>
    </row>
    <row r="281">
      <c r="B281" s="38"/>
      <c r="C281" s="39"/>
      <c r="D281" s="39"/>
      <c r="E281" s="39"/>
      <c r="F281" s="39"/>
      <c r="H281" s="38"/>
      <c r="I281" s="38"/>
      <c r="J281" s="38"/>
      <c r="K281" s="38"/>
      <c r="L281" s="38"/>
      <c r="M281" s="44"/>
    </row>
    <row r="282">
      <c r="B282" s="38"/>
      <c r="C282" s="39"/>
      <c r="D282" s="39"/>
      <c r="E282" s="39"/>
      <c r="F282" s="39"/>
      <c r="H282" s="38"/>
      <c r="I282" s="38"/>
      <c r="J282" s="38"/>
      <c r="K282" s="38"/>
      <c r="L282" s="38"/>
      <c r="M282" s="44"/>
    </row>
    <row r="283">
      <c r="B283" s="38"/>
      <c r="C283" s="39"/>
      <c r="D283" s="39"/>
      <c r="E283" s="39"/>
      <c r="F283" s="39"/>
      <c r="H283" s="38"/>
      <c r="I283" s="38"/>
      <c r="J283" s="38"/>
      <c r="K283" s="38"/>
      <c r="L283" s="38"/>
      <c r="M283" s="44"/>
    </row>
    <row r="284">
      <c r="B284" s="38"/>
      <c r="C284" s="39"/>
      <c r="D284" s="39"/>
      <c r="E284" s="39"/>
      <c r="F284" s="39"/>
      <c r="H284" s="38"/>
      <c r="I284" s="38"/>
      <c r="J284" s="38"/>
      <c r="K284" s="38"/>
      <c r="L284" s="38"/>
      <c r="M284" s="44"/>
    </row>
    <row r="285">
      <c r="B285" s="38"/>
      <c r="C285" s="39"/>
      <c r="D285" s="39"/>
      <c r="E285" s="39"/>
      <c r="F285" s="39"/>
      <c r="H285" s="38"/>
      <c r="I285" s="38"/>
      <c r="J285" s="38"/>
      <c r="K285" s="38"/>
      <c r="L285" s="38"/>
      <c r="M285" s="44"/>
    </row>
    <row r="286">
      <c r="B286" s="38"/>
      <c r="C286" s="39"/>
      <c r="D286" s="39"/>
      <c r="E286" s="39"/>
      <c r="F286" s="39"/>
      <c r="H286" s="38"/>
      <c r="I286" s="38"/>
      <c r="J286" s="38"/>
      <c r="K286" s="38"/>
      <c r="L286" s="38"/>
      <c r="M286" s="44"/>
    </row>
    <row r="287">
      <c r="B287" s="38"/>
      <c r="C287" s="39"/>
      <c r="D287" s="39"/>
      <c r="E287" s="39"/>
      <c r="F287" s="39"/>
      <c r="H287" s="38"/>
      <c r="I287" s="38"/>
      <c r="J287" s="38"/>
      <c r="K287" s="38"/>
      <c r="L287" s="38"/>
      <c r="M287" s="44"/>
    </row>
    <row r="288">
      <c r="B288" s="38"/>
      <c r="C288" s="39"/>
      <c r="D288" s="39"/>
      <c r="E288" s="39"/>
      <c r="F288" s="39"/>
      <c r="H288" s="38"/>
      <c r="I288" s="38"/>
      <c r="J288" s="38"/>
      <c r="K288" s="38"/>
      <c r="L288" s="38"/>
      <c r="M288" s="44"/>
    </row>
    <row r="289">
      <c r="B289" s="38"/>
      <c r="C289" s="39"/>
      <c r="D289" s="39"/>
      <c r="E289" s="39"/>
      <c r="F289" s="39"/>
      <c r="H289" s="38"/>
      <c r="I289" s="38"/>
      <c r="J289" s="38"/>
      <c r="K289" s="38"/>
      <c r="L289" s="38"/>
      <c r="M289" s="44"/>
    </row>
    <row r="290">
      <c r="B290" s="38"/>
      <c r="C290" s="39"/>
      <c r="D290" s="39"/>
      <c r="E290" s="39"/>
      <c r="F290" s="39"/>
      <c r="H290" s="38"/>
      <c r="I290" s="38"/>
      <c r="J290" s="38"/>
      <c r="K290" s="38"/>
      <c r="L290" s="38"/>
      <c r="M290" s="44"/>
    </row>
    <row r="291">
      <c r="B291" s="38"/>
      <c r="C291" s="39"/>
      <c r="D291" s="39"/>
      <c r="E291" s="39"/>
      <c r="F291" s="39"/>
      <c r="H291" s="38"/>
      <c r="I291" s="38"/>
      <c r="J291" s="38"/>
      <c r="K291" s="38"/>
      <c r="L291" s="38"/>
      <c r="M291" s="44"/>
    </row>
    <row r="292">
      <c r="B292" s="38"/>
      <c r="C292" s="39"/>
      <c r="D292" s="39"/>
      <c r="E292" s="39"/>
      <c r="F292" s="39"/>
      <c r="H292" s="38"/>
      <c r="I292" s="38"/>
      <c r="J292" s="38"/>
      <c r="K292" s="38"/>
      <c r="L292" s="38"/>
      <c r="M292" s="44"/>
    </row>
    <row r="293">
      <c r="B293" s="38"/>
      <c r="C293" s="39"/>
      <c r="D293" s="39"/>
      <c r="E293" s="39"/>
      <c r="F293" s="39"/>
      <c r="H293" s="38"/>
      <c r="I293" s="38"/>
      <c r="J293" s="38"/>
      <c r="K293" s="38"/>
      <c r="L293" s="38"/>
      <c r="M293" s="44"/>
    </row>
    <row r="294">
      <c r="B294" s="38"/>
      <c r="C294" s="39"/>
      <c r="D294" s="39"/>
      <c r="E294" s="39"/>
      <c r="F294" s="39"/>
      <c r="H294" s="38"/>
      <c r="I294" s="38"/>
      <c r="J294" s="38"/>
      <c r="K294" s="38"/>
      <c r="L294" s="38"/>
      <c r="M294" s="44"/>
    </row>
    <row r="295">
      <c r="B295" s="38"/>
      <c r="C295" s="39"/>
      <c r="D295" s="39"/>
      <c r="E295" s="39"/>
      <c r="F295" s="39"/>
      <c r="H295" s="38"/>
      <c r="I295" s="38"/>
      <c r="J295" s="38"/>
      <c r="K295" s="38"/>
      <c r="L295" s="38"/>
      <c r="M295" s="44"/>
    </row>
    <row r="296">
      <c r="B296" s="38"/>
      <c r="C296" s="39"/>
      <c r="D296" s="39"/>
      <c r="E296" s="39"/>
      <c r="F296" s="39"/>
      <c r="H296" s="38"/>
      <c r="I296" s="38"/>
      <c r="J296" s="38"/>
      <c r="K296" s="38"/>
      <c r="L296" s="38"/>
      <c r="M296" s="44"/>
    </row>
    <row r="297">
      <c r="B297" s="38"/>
      <c r="C297" s="39"/>
      <c r="D297" s="39"/>
      <c r="E297" s="39"/>
      <c r="F297" s="39"/>
      <c r="H297" s="38"/>
      <c r="I297" s="38"/>
      <c r="J297" s="38"/>
      <c r="K297" s="38"/>
      <c r="L297" s="38"/>
      <c r="M297" s="44"/>
    </row>
    <row r="298">
      <c r="B298" s="38"/>
      <c r="C298" s="39"/>
      <c r="D298" s="39"/>
      <c r="E298" s="39"/>
      <c r="F298" s="39"/>
      <c r="H298" s="38"/>
      <c r="I298" s="38"/>
      <c r="J298" s="38"/>
      <c r="K298" s="38"/>
      <c r="L298" s="38"/>
      <c r="M298" s="44"/>
    </row>
    <row r="299">
      <c r="B299" s="38"/>
      <c r="C299" s="39"/>
      <c r="D299" s="39"/>
      <c r="E299" s="39"/>
      <c r="F299" s="39"/>
      <c r="H299" s="38"/>
      <c r="I299" s="38"/>
      <c r="J299" s="38"/>
      <c r="K299" s="38"/>
      <c r="L299" s="38"/>
      <c r="M299" s="44"/>
    </row>
    <row r="300">
      <c r="B300" s="38"/>
      <c r="C300" s="39"/>
      <c r="D300" s="39"/>
      <c r="E300" s="39"/>
      <c r="F300" s="39"/>
      <c r="H300" s="38"/>
      <c r="I300" s="38"/>
      <c r="J300" s="38"/>
      <c r="K300" s="38"/>
      <c r="L300" s="38"/>
      <c r="M300" s="44"/>
    </row>
    <row r="301">
      <c r="B301" s="38"/>
      <c r="C301" s="39"/>
      <c r="D301" s="39"/>
      <c r="E301" s="39"/>
      <c r="F301" s="39"/>
      <c r="H301" s="38"/>
      <c r="I301" s="38"/>
      <c r="J301" s="38"/>
      <c r="K301" s="38"/>
      <c r="L301" s="38"/>
      <c r="M301" s="44"/>
    </row>
    <row r="302">
      <c r="B302" s="38"/>
      <c r="C302" s="39"/>
      <c r="D302" s="39"/>
      <c r="E302" s="39"/>
      <c r="F302" s="39"/>
      <c r="H302" s="38"/>
      <c r="I302" s="38"/>
      <c r="J302" s="38"/>
      <c r="K302" s="38"/>
      <c r="L302" s="38"/>
      <c r="M302" s="44"/>
    </row>
    <row r="303">
      <c r="B303" s="38"/>
      <c r="C303" s="39"/>
      <c r="D303" s="39"/>
      <c r="E303" s="39"/>
      <c r="F303" s="39"/>
      <c r="H303" s="38"/>
      <c r="I303" s="38"/>
      <c r="J303" s="38"/>
      <c r="K303" s="38"/>
      <c r="L303" s="38"/>
      <c r="M303" s="44"/>
    </row>
    <row r="304">
      <c r="B304" s="38"/>
      <c r="C304" s="39"/>
      <c r="D304" s="39"/>
      <c r="E304" s="39"/>
      <c r="F304" s="39"/>
      <c r="H304" s="38"/>
      <c r="I304" s="38"/>
      <c r="J304" s="38"/>
      <c r="K304" s="38"/>
      <c r="L304" s="38"/>
      <c r="M304" s="44"/>
    </row>
    <row r="305">
      <c r="B305" s="38"/>
      <c r="C305" s="39"/>
      <c r="D305" s="39"/>
      <c r="E305" s="39"/>
      <c r="F305" s="39"/>
      <c r="H305" s="38"/>
      <c r="I305" s="38"/>
      <c r="J305" s="38"/>
      <c r="K305" s="38"/>
      <c r="L305" s="38"/>
      <c r="M305" s="44"/>
    </row>
    <row r="306">
      <c r="B306" s="38"/>
      <c r="C306" s="39"/>
      <c r="D306" s="39"/>
      <c r="E306" s="39"/>
      <c r="F306" s="39"/>
      <c r="H306" s="38"/>
      <c r="I306" s="38"/>
      <c r="J306" s="38"/>
      <c r="K306" s="38"/>
      <c r="L306" s="38"/>
      <c r="M306" s="44"/>
    </row>
    <row r="307">
      <c r="B307" s="38"/>
      <c r="C307" s="39"/>
      <c r="D307" s="39"/>
      <c r="E307" s="39"/>
      <c r="F307" s="39"/>
      <c r="H307" s="38"/>
      <c r="I307" s="38"/>
      <c r="J307" s="38"/>
      <c r="K307" s="38"/>
      <c r="L307" s="38"/>
      <c r="M307" s="44"/>
    </row>
    <row r="308">
      <c r="B308" s="38"/>
      <c r="C308" s="39"/>
      <c r="D308" s="39"/>
      <c r="E308" s="39"/>
      <c r="F308" s="39"/>
      <c r="H308" s="38"/>
      <c r="I308" s="38"/>
      <c r="J308" s="38"/>
      <c r="K308" s="38"/>
      <c r="L308" s="38"/>
      <c r="M308" s="44"/>
    </row>
    <row r="309">
      <c r="B309" s="38"/>
      <c r="C309" s="39"/>
      <c r="D309" s="39"/>
      <c r="E309" s="39"/>
      <c r="F309" s="39"/>
      <c r="H309" s="38"/>
      <c r="I309" s="38"/>
      <c r="J309" s="38"/>
      <c r="K309" s="38"/>
      <c r="L309" s="38"/>
      <c r="M309" s="44"/>
    </row>
    <row r="310">
      <c r="B310" s="38"/>
      <c r="C310" s="39"/>
      <c r="D310" s="39"/>
      <c r="E310" s="39"/>
      <c r="F310" s="39"/>
      <c r="H310" s="38"/>
      <c r="I310" s="38"/>
      <c r="J310" s="38"/>
      <c r="K310" s="38"/>
      <c r="L310" s="38"/>
      <c r="M310" s="44"/>
    </row>
    <row r="311">
      <c r="B311" s="38"/>
      <c r="C311" s="39"/>
      <c r="D311" s="39"/>
      <c r="E311" s="39"/>
      <c r="F311" s="39"/>
      <c r="H311" s="38"/>
      <c r="I311" s="38"/>
      <c r="J311" s="38"/>
      <c r="K311" s="38"/>
      <c r="L311" s="38"/>
      <c r="M311" s="44"/>
    </row>
    <row r="312">
      <c r="B312" s="38"/>
      <c r="C312" s="39"/>
      <c r="D312" s="39"/>
      <c r="E312" s="39"/>
      <c r="F312" s="39"/>
      <c r="H312" s="38"/>
      <c r="I312" s="38"/>
      <c r="J312" s="38"/>
      <c r="K312" s="38"/>
      <c r="L312" s="38"/>
      <c r="M312" s="44"/>
    </row>
    <row r="313">
      <c r="B313" s="38"/>
      <c r="C313" s="39"/>
      <c r="D313" s="39"/>
      <c r="E313" s="39"/>
      <c r="F313" s="39"/>
      <c r="H313" s="38"/>
      <c r="I313" s="38"/>
      <c r="J313" s="38"/>
      <c r="K313" s="38"/>
      <c r="L313" s="38"/>
      <c r="M313" s="44"/>
    </row>
    <row r="314">
      <c r="B314" s="38"/>
      <c r="C314" s="39"/>
      <c r="D314" s="39"/>
      <c r="E314" s="39"/>
      <c r="F314" s="39"/>
      <c r="H314" s="38"/>
      <c r="I314" s="38"/>
      <c r="J314" s="38"/>
      <c r="K314" s="38"/>
      <c r="L314" s="38"/>
      <c r="M314" s="44"/>
    </row>
    <row r="315">
      <c r="B315" s="38"/>
      <c r="C315" s="39"/>
      <c r="D315" s="39"/>
      <c r="E315" s="39"/>
      <c r="F315" s="39"/>
      <c r="H315" s="38"/>
      <c r="I315" s="38"/>
      <c r="J315" s="38"/>
      <c r="K315" s="38"/>
      <c r="L315" s="38"/>
      <c r="M315" s="44"/>
    </row>
    <row r="316">
      <c r="B316" s="38"/>
      <c r="C316" s="39"/>
      <c r="D316" s="39"/>
      <c r="E316" s="39"/>
      <c r="F316" s="39"/>
      <c r="H316" s="38"/>
      <c r="I316" s="38"/>
      <c r="J316" s="38"/>
      <c r="K316" s="38"/>
      <c r="L316" s="38"/>
      <c r="M316" s="44"/>
    </row>
    <row r="317">
      <c r="B317" s="38"/>
      <c r="C317" s="39"/>
      <c r="D317" s="39"/>
      <c r="E317" s="39"/>
      <c r="F317" s="39"/>
      <c r="H317" s="38"/>
      <c r="I317" s="38"/>
      <c r="J317" s="38"/>
      <c r="K317" s="38"/>
      <c r="L317" s="38"/>
      <c r="M317" s="44"/>
    </row>
    <row r="318">
      <c r="B318" s="38"/>
      <c r="C318" s="39"/>
      <c r="D318" s="39"/>
      <c r="E318" s="39"/>
      <c r="F318" s="39"/>
      <c r="H318" s="38"/>
      <c r="I318" s="38"/>
      <c r="J318" s="38"/>
      <c r="K318" s="38"/>
      <c r="L318" s="38"/>
      <c r="M318" s="44"/>
    </row>
    <row r="319">
      <c r="B319" s="38"/>
      <c r="C319" s="39"/>
      <c r="D319" s="39"/>
      <c r="E319" s="39"/>
      <c r="F319" s="39"/>
      <c r="H319" s="38"/>
      <c r="I319" s="38"/>
      <c r="J319" s="38"/>
      <c r="K319" s="38"/>
      <c r="L319" s="38"/>
      <c r="M319" s="44"/>
    </row>
    <row r="320">
      <c r="B320" s="38"/>
      <c r="C320" s="39"/>
      <c r="D320" s="39"/>
      <c r="E320" s="39"/>
      <c r="F320" s="39"/>
      <c r="H320" s="38"/>
      <c r="I320" s="38"/>
      <c r="J320" s="38"/>
      <c r="K320" s="38"/>
      <c r="L320" s="38"/>
      <c r="M320" s="44"/>
    </row>
    <row r="321">
      <c r="B321" s="38"/>
      <c r="C321" s="39"/>
      <c r="D321" s="39"/>
      <c r="E321" s="39"/>
      <c r="F321" s="39"/>
      <c r="H321" s="38"/>
      <c r="I321" s="38"/>
      <c r="J321" s="38"/>
      <c r="K321" s="38"/>
      <c r="L321" s="38"/>
      <c r="M321" s="44"/>
    </row>
    <row r="322">
      <c r="B322" s="38"/>
      <c r="C322" s="39"/>
      <c r="D322" s="39"/>
      <c r="E322" s="39"/>
      <c r="F322" s="39"/>
      <c r="H322" s="38"/>
      <c r="I322" s="38"/>
      <c r="J322" s="38"/>
      <c r="K322" s="38"/>
      <c r="L322" s="38"/>
      <c r="M322" s="44"/>
    </row>
    <row r="323">
      <c r="B323" s="38"/>
      <c r="C323" s="39"/>
      <c r="D323" s="39"/>
      <c r="E323" s="39"/>
      <c r="F323" s="39"/>
      <c r="H323" s="38"/>
      <c r="I323" s="38"/>
      <c r="J323" s="38"/>
      <c r="K323" s="38"/>
      <c r="L323" s="38"/>
      <c r="M323" s="44"/>
    </row>
    <row r="324">
      <c r="B324" s="38"/>
      <c r="C324" s="39"/>
      <c r="D324" s="39"/>
      <c r="E324" s="39"/>
      <c r="F324" s="39"/>
      <c r="H324" s="38"/>
      <c r="I324" s="38"/>
      <c r="J324" s="38"/>
      <c r="K324" s="38"/>
      <c r="L324" s="38"/>
      <c r="M324" s="44"/>
    </row>
    <row r="325">
      <c r="B325" s="38"/>
      <c r="C325" s="39"/>
      <c r="D325" s="39"/>
      <c r="E325" s="39"/>
      <c r="F325" s="39"/>
      <c r="H325" s="38"/>
      <c r="I325" s="38"/>
      <c r="J325" s="38"/>
      <c r="K325" s="38"/>
      <c r="L325" s="38"/>
      <c r="M325" s="44"/>
    </row>
    <row r="326">
      <c r="B326" s="38"/>
      <c r="C326" s="39"/>
      <c r="D326" s="39"/>
      <c r="E326" s="39"/>
      <c r="F326" s="39"/>
      <c r="H326" s="38"/>
      <c r="I326" s="38"/>
      <c r="J326" s="38"/>
      <c r="K326" s="38"/>
      <c r="L326" s="38"/>
      <c r="M326" s="44"/>
    </row>
    <row r="327">
      <c r="B327" s="38"/>
      <c r="C327" s="39"/>
      <c r="D327" s="39"/>
      <c r="E327" s="39"/>
      <c r="F327" s="39"/>
      <c r="H327" s="38"/>
      <c r="I327" s="38"/>
      <c r="J327" s="38"/>
      <c r="K327" s="38"/>
      <c r="L327" s="38"/>
      <c r="M327" s="44"/>
    </row>
    <row r="328">
      <c r="B328" s="38"/>
      <c r="C328" s="39"/>
      <c r="D328" s="39"/>
      <c r="E328" s="39"/>
      <c r="F328" s="39"/>
      <c r="H328" s="38"/>
      <c r="I328" s="38"/>
      <c r="J328" s="38"/>
      <c r="K328" s="38"/>
      <c r="L328" s="38"/>
      <c r="M328" s="44"/>
    </row>
    <row r="329">
      <c r="B329" s="38"/>
      <c r="C329" s="39"/>
      <c r="D329" s="39"/>
      <c r="E329" s="39"/>
      <c r="F329" s="39"/>
      <c r="H329" s="38"/>
      <c r="I329" s="38"/>
      <c r="J329" s="38"/>
      <c r="K329" s="38"/>
      <c r="L329" s="38"/>
      <c r="M329" s="44"/>
    </row>
    <row r="330">
      <c r="B330" s="38"/>
      <c r="C330" s="39"/>
      <c r="D330" s="39"/>
      <c r="E330" s="39"/>
      <c r="F330" s="39"/>
      <c r="H330" s="38"/>
      <c r="I330" s="38"/>
      <c r="J330" s="38"/>
      <c r="K330" s="38"/>
      <c r="L330" s="38"/>
      <c r="M330" s="44"/>
    </row>
    <row r="331">
      <c r="B331" s="38"/>
      <c r="C331" s="39"/>
      <c r="D331" s="39"/>
      <c r="E331" s="39"/>
      <c r="F331" s="39"/>
      <c r="H331" s="38"/>
      <c r="I331" s="38"/>
      <c r="J331" s="38"/>
      <c r="K331" s="38"/>
      <c r="L331" s="38"/>
      <c r="M331" s="44"/>
    </row>
    <row r="332">
      <c r="B332" s="38"/>
      <c r="C332" s="39"/>
      <c r="D332" s="39"/>
      <c r="E332" s="39"/>
      <c r="F332" s="39"/>
      <c r="H332" s="38"/>
      <c r="I332" s="38"/>
      <c r="J332" s="38"/>
      <c r="K332" s="38"/>
      <c r="L332" s="38"/>
      <c r="M332" s="44"/>
    </row>
    <row r="333">
      <c r="B333" s="38"/>
      <c r="C333" s="39"/>
      <c r="D333" s="39"/>
      <c r="E333" s="39"/>
      <c r="F333" s="39"/>
      <c r="H333" s="38"/>
      <c r="I333" s="38"/>
      <c r="J333" s="38"/>
      <c r="K333" s="38"/>
      <c r="L333" s="38"/>
      <c r="M333" s="44"/>
    </row>
    <row r="334">
      <c r="B334" s="38"/>
      <c r="C334" s="39"/>
      <c r="D334" s="39"/>
      <c r="E334" s="39"/>
      <c r="F334" s="39"/>
      <c r="H334" s="38"/>
      <c r="I334" s="38"/>
      <c r="J334" s="38"/>
      <c r="K334" s="38"/>
      <c r="L334" s="38"/>
      <c r="M334" s="44"/>
    </row>
    <row r="335">
      <c r="B335" s="38"/>
      <c r="C335" s="39"/>
      <c r="D335" s="39"/>
      <c r="E335" s="39"/>
      <c r="F335" s="39"/>
      <c r="H335" s="38"/>
      <c r="I335" s="38"/>
      <c r="J335" s="38"/>
      <c r="K335" s="38"/>
      <c r="L335" s="38"/>
      <c r="M335" s="44"/>
    </row>
    <row r="336">
      <c r="B336" s="38"/>
      <c r="C336" s="39"/>
      <c r="D336" s="39"/>
      <c r="E336" s="39"/>
      <c r="F336" s="39"/>
      <c r="H336" s="38"/>
      <c r="I336" s="38"/>
      <c r="J336" s="38"/>
      <c r="K336" s="38"/>
      <c r="L336" s="38"/>
      <c r="M336" s="44"/>
    </row>
    <row r="337">
      <c r="B337" s="38"/>
      <c r="C337" s="39"/>
      <c r="D337" s="39"/>
      <c r="E337" s="39"/>
      <c r="F337" s="39"/>
      <c r="H337" s="38"/>
      <c r="I337" s="38"/>
      <c r="J337" s="38"/>
      <c r="K337" s="38"/>
      <c r="L337" s="38"/>
      <c r="M337" s="44"/>
    </row>
    <row r="338">
      <c r="B338" s="38"/>
      <c r="C338" s="39"/>
      <c r="D338" s="39"/>
      <c r="E338" s="39"/>
      <c r="F338" s="39"/>
      <c r="H338" s="38"/>
      <c r="I338" s="38"/>
      <c r="J338" s="38"/>
      <c r="K338" s="38"/>
      <c r="L338" s="38"/>
      <c r="M338" s="44"/>
    </row>
    <row r="339">
      <c r="B339" s="38"/>
      <c r="C339" s="39"/>
      <c r="D339" s="39"/>
      <c r="E339" s="39"/>
      <c r="F339" s="39"/>
      <c r="H339" s="38"/>
      <c r="I339" s="38"/>
      <c r="J339" s="38"/>
      <c r="K339" s="38"/>
      <c r="L339" s="38"/>
      <c r="M339" s="44"/>
    </row>
    <row r="340">
      <c r="B340" s="38"/>
      <c r="C340" s="39"/>
      <c r="D340" s="39"/>
      <c r="E340" s="39"/>
      <c r="F340" s="39"/>
      <c r="H340" s="38"/>
      <c r="I340" s="38"/>
      <c r="J340" s="38"/>
      <c r="K340" s="38"/>
      <c r="L340" s="38"/>
      <c r="M340" s="44"/>
    </row>
    <row r="341">
      <c r="B341" s="38"/>
      <c r="C341" s="39"/>
      <c r="D341" s="39"/>
      <c r="E341" s="39"/>
      <c r="F341" s="39"/>
      <c r="H341" s="38"/>
      <c r="I341" s="38"/>
      <c r="J341" s="38"/>
      <c r="K341" s="38"/>
      <c r="L341" s="38"/>
      <c r="M341" s="44"/>
    </row>
    <row r="342">
      <c r="B342" s="38"/>
      <c r="C342" s="39"/>
      <c r="D342" s="39"/>
      <c r="E342" s="39"/>
      <c r="F342" s="39"/>
      <c r="H342" s="38"/>
      <c r="I342" s="38"/>
      <c r="J342" s="38"/>
      <c r="K342" s="38"/>
      <c r="L342" s="38"/>
      <c r="M342" s="44"/>
    </row>
    <row r="343">
      <c r="B343" s="38"/>
      <c r="C343" s="39"/>
      <c r="D343" s="39"/>
      <c r="E343" s="39"/>
      <c r="F343" s="39"/>
      <c r="H343" s="38"/>
      <c r="I343" s="38"/>
      <c r="J343" s="38"/>
      <c r="K343" s="38"/>
      <c r="L343" s="38"/>
      <c r="M343" s="44"/>
    </row>
    <row r="344">
      <c r="B344" s="38"/>
      <c r="C344" s="39"/>
      <c r="D344" s="39"/>
      <c r="E344" s="39"/>
      <c r="F344" s="39"/>
      <c r="H344" s="38"/>
      <c r="I344" s="38"/>
      <c r="J344" s="38"/>
      <c r="K344" s="38"/>
      <c r="L344" s="38"/>
      <c r="M344" s="44"/>
    </row>
    <row r="345">
      <c r="B345" s="38"/>
      <c r="C345" s="39"/>
      <c r="D345" s="39"/>
      <c r="E345" s="39"/>
      <c r="F345" s="39"/>
      <c r="H345" s="38"/>
      <c r="I345" s="38"/>
      <c r="J345" s="38"/>
      <c r="K345" s="38"/>
      <c r="L345" s="38"/>
      <c r="M345" s="44"/>
    </row>
    <row r="346">
      <c r="B346" s="38"/>
      <c r="C346" s="39"/>
      <c r="D346" s="39"/>
      <c r="E346" s="39"/>
      <c r="F346" s="39"/>
      <c r="H346" s="38"/>
      <c r="I346" s="38"/>
      <c r="J346" s="38"/>
      <c r="K346" s="38"/>
      <c r="L346" s="38"/>
      <c r="M346" s="44"/>
    </row>
    <row r="347">
      <c r="B347" s="38"/>
      <c r="C347" s="39"/>
      <c r="D347" s="39"/>
      <c r="E347" s="39"/>
      <c r="F347" s="39"/>
      <c r="H347" s="38"/>
      <c r="I347" s="38"/>
      <c r="J347" s="38"/>
      <c r="K347" s="38"/>
      <c r="L347" s="38"/>
      <c r="M347" s="44"/>
    </row>
    <row r="348">
      <c r="B348" s="38"/>
      <c r="C348" s="39"/>
      <c r="D348" s="39"/>
      <c r="E348" s="39"/>
      <c r="F348" s="39"/>
      <c r="H348" s="38"/>
      <c r="I348" s="38"/>
      <c r="J348" s="38"/>
      <c r="K348" s="38"/>
      <c r="L348" s="38"/>
      <c r="M348" s="44"/>
    </row>
    <row r="349">
      <c r="B349" s="38"/>
      <c r="C349" s="39"/>
      <c r="D349" s="39"/>
      <c r="E349" s="39"/>
      <c r="F349" s="39"/>
      <c r="H349" s="38"/>
      <c r="I349" s="38"/>
      <c r="J349" s="38"/>
      <c r="K349" s="38"/>
      <c r="L349" s="38"/>
      <c r="M349" s="44"/>
    </row>
    <row r="350">
      <c r="B350" s="38"/>
      <c r="C350" s="39"/>
      <c r="D350" s="39"/>
      <c r="E350" s="39"/>
      <c r="F350" s="39"/>
      <c r="H350" s="38"/>
      <c r="I350" s="38"/>
      <c r="J350" s="38"/>
      <c r="K350" s="38"/>
      <c r="L350" s="38"/>
      <c r="M350" s="44"/>
    </row>
    <row r="351">
      <c r="B351" s="38"/>
      <c r="C351" s="39"/>
      <c r="D351" s="39"/>
      <c r="E351" s="39"/>
      <c r="F351" s="39"/>
      <c r="H351" s="38"/>
      <c r="I351" s="38"/>
      <c r="J351" s="38"/>
      <c r="K351" s="38"/>
      <c r="L351" s="38"/>
      <c r="M351" s="44"/>
    </row>
    <row r="352">
      <c r="B352" s="38"/>
      <c r="C352" s="39"/>
      <c r="D352" s="39"/>
      <c r="E352" s="39"/>
      <c r="F352" s="39"/>
      <c r="H352" s="38"/>
      <c r="I352" s="38"/>
      <c r="J352" s="38"/>
      <c r="K352" s="38"/>
      <c r="L352" s="38"/>
      <c r="M352" s="44"/>
    </row>
    <row r="353">
      <c r="B353" s="38"/>
      <c r="C353" s="39"/>
      <c r="D353" s="39"/>
      <c r="E353" s="39"/>
      <c r="F353" s="39"/>
      <c r="H353" s="38"/>
      <c r="I353" s="38"/>
      <c r="J353" s="38"/>
      <c r="K353" s="38"/>
      <c r="L353" s="38"/>
      <c r="M353" s="44"/>
    </row>
    <row r="354">
      <c r="B354" s="38"/>
      <c r="C354" s="39"/>
      <c r="D354" s="39"/>
      <c r="E354" s="39"/>
      <c r="F354" s="39"/>
      <c r="H354" s="38"/>
      <c r="I354" s="38"/>
      <c r="J354" s="38"/>
      <c r="K354" s="38"/>
      <c r="L354" s="38"/>
      <c r="M354" s="44"/>
    </row>
    <row r="355">
      <c r="B355" s="38"/>
      <c r="C355" s="39"/>
      <c r="D355" s="39"/>
      <c r="E355" s="39"/>
      <c r="F355" s="39"/>
      <c r="H355" s="38"/>
      <c r="I355" s="38"/>
      <c r="J355" s="38"/>
      <c r="K355" s="38"/>
      <c r="L355" s="38"/>
      <c r="M355" s="44"/>
    </row>
    <row r="356">
      <c r="B356" s="38"/>
      <c r="C356" s="39"/>
      <c r="D356" s="39"/>
      <c r="E356" s="39"/>
      <c r="F356" s="39"/>
      <c r="H356" s="38"/>
      <c r="I356" s="38"/>
      <c r="J356" s="38"/>
      <c r="K356" s="38"/>
      <c r="L356" s="38"/>
      <c r="M356" s="44"/>
    </row>
    <row r="357">
      <c r="B357" s="38"/>
      <c r="C357" s="39"/>
      <c r="D357" s="39"/>
      <c r="E357" s="39"/>
      <c r="F357" s="39"/>
      <c r="H357" s="38"/>
      <c r="I357" s="38"/>
      <c r="J357" s="38"/>
      <c r="K357" s="38"/>
      <c r="L357" s="38"/>
      <c r="M357" s="44"/>
    </row>
    <row r="358">
      <c r="B358" s="38"/>
      <c r="C358" s="39"/>
      <c r="D358" s="39"/>
      <c r="E358" s="39"/>
      <c r="F358" s="39"/>
      <c r="H358" s="38"/>
      <c r="I358" s="38"/>
      <c r="J358" s="38"/>
      <c r="K358" s="38"/>
      <c r="L358" s="38"/>
      <c r="M358" s="44"/>
    </row>
    <row r="359">
      <c r="B359" s="38"/>
      <c r="C359" s="39"/>
      <c r="D359" s="39"/>
      <c r="E359" s="39"/>
      <c r="F359" s="39"/>
      <c r="H359" s="38"/>
      <c r="I359" s="38"/>
      <c r="J359" s="38"/>
      <c r="K359" s="38"/>
      <c r="L359" s="38"/>
      <c r="M359" s="44"/>
    </row>
    <row r="360">
      <c r="B360" s="38"/>
      <c r="C360" s="39"/>
      <c r="D360" s="39"/>
      <c r="E360" s="39"/>
      <c r="F360" s="39"/>
      <c r="H360" s="38"/>
      <c r="I360" s="38"/>
      <c r="J360" s="38"/>
      <c r="K360" s="38"/>
      <c r="L360" s="38"/>
      <c r="M360" s="44"/>
    </row>
    <row r="361">
      <c r="B361" s="38"/>
      <c r="C361" s="39"/>
      <c r="D361" s="39"/>
      <c r="E361" s="39"/>
      <c r="F361" s="39"/>
      <c r="H361" s="38"/>
      <c r="I361" s="38"/>
      <c r="J361" s="38"/>
      <c r="K361" s="38"/>
      <c r="L361" s="38"/>
      <c r="M361" s="44"/>
    </row>
    <row r="362">
      <c r="B362" s="38"/>
      <c r="C362" s="39"/>
      <c r="D362" s="39"/>
      <c r="E362" s="39"/>
      <c r="F362" s="39"/>
      <c r="H362" s="38"/>
      <c r="I362" s="38"/>
      <c r="J362" s="38"/>
      <c r="K362" s="38"/>
      <c r="L362" s="38"/>
      <c r="M362" s="44"/>
    </row>
    <row r="363">
      <c r="B363" s="38"/>
      <c r="C363" s="39"/>
      <c r="D363" s="39"/>
      <c r="E363" s="39"/>
      <c r="F363" s="39"/>
      <c r="H363" s="38"/>
      <c r="I363" s="38"/>
      <c r="J363" s="38"/>
      <c r="K363" s="38"/>
      <c r="L363" s="38"/>
      <c r="M363" s="44"/>
    </row>
    <row r="364">
      <c r="B364" s="38"/>
      <c r="C364" s="39"/>
      <c r="D364" s="39"/>
      <c r="E364" s="39"/>
      <c r="F364" s="39"/>
      <c r="H364" s="38"/>
      <c r="I364" s="38"/>
      <c r="J364" s="38"/>
      <c r="K364" s="38"/>
      <c r="L364" s="38"/>
      <c r="M364" s="44"/>
    </row>
    <row r="365">
      <c r="B365" s="38"/>
      <c r="C365" s="39"/>
      <c r="D365" s="39"/>
      <c r="E365" s="39"/>
      <c r="F365" s="39"/>
      <c r="H365" s="38"/>
      <c r="I365" s="38"/>
      <c r="J365" s="38"/>
      <c r="K365" s="38"/>
      <c r="L365" s="38"/>
      <c r="M365" s="44"/>
    </row>
    <row r="366">
      <c r="B366" s="38"/>
      <c r="C366" s="39"/>
      <c r="D366" s="39"/>
      <c r="E366" s="39"/>
      <c r="F366" s="39"/>
      <c r="H366" s="38"/>
      <c r="I366" s="38"/>
      <c r="J366" s="38"/>
      <c r="K366" s="38"/>
      <c r="L366" s="38"/>
      <c r="M366" s="44"/>
    </row>
    <row r="367">
      <c r="B367" s="38"/>
      <c r="C367" s="39"/>
      <c r="D367" s="39"/>
      <c r="E367" s="39"/>
      <c r="F367" s="39"/>
      <c r="H367" s="38"/>
      <c r="I367" s="38"/>
      <c r="J367" s="38"/>
      <c r="K367" s="38"/>
      <c r="L367" s="38"/>
      <c r="M367" s="44"/>
    </row>
    <row r="368">
      <c r="B368" s="38"/>
      <c r="C368" s="39"/>
      <c r="D368" s="39"/>
      <c r="E368" s="39"/>
      <c r="F368" s="39"/>
      <c r="H368" s="38"/>
      <c r="I368" s="38"/>
      <c r="J368" s="38"/>
      <c r="K368" s="38"/>
      <c r="L368" s="38"/>
      <c r="M368" s="44"/>
    </row>
    <row r="369">
      <c r="B369" s="38"/>
      <c r="C369" s="39"/>
      <c r="D369" s="39"/>
      <c r="E369" s="39"/>
      <c r="F369" s="39"/>
      <c r="H369" s="38"/>
      <c r="I369" s="38"/>
      <c r="J369" s="38"/>
      <c r="K369" s="38"/>
      <c r="L369" s="38"/>
      <c r="M369" s="44"/>
    </row>
    <row r="370">
      <c r="B370" s="38"/>
      <c r="C370" s="39"/>
      <c r="D370" s="39"/>
      <c r="E370" s="39"/>
      <c r="F370" s="39"/>
      <c r="H370" s="38"/>
      <c r="I370" s="38"/>
      <c r="J370" s="38"/>
      <c r="K370" s="38"/>
      <c r="L370" s="38"/>
      <c r="M370" s="44"/>
    </row>
    <row r="371">
      <c r="B371" s="38"/>
      <c r="C371" s="39"/>
      <c r="D371" s="39"/>
      <c r="E371" s="39"/>
      <c r="F371" s="39"/>
      <c r="H371" s="38"/>
      <c r="I371" s="38"/>
      <c r="J371" s="38"/>
      <c r="K371" s="38"/>
      <c r="L371" s="38"/>
      <c r="M371" s="44"/>
    </row>
    <row r="372">
      <c r="B372" s="38"/>
      <c r="C372" s="39"/>
      <c r="D372" s="39"/>
      <c r="E372" s="39"/>
      <c r="F372" s="39"/>
      <c r="H372" s="38"/>
      <c r="I372" s="38"/>
      <c r="J372" s="38"/>
      <c r="K372" s="38"/>
      <c r="L372" s="38"/>
      <c r="M372" s="44"/>
    </row>
    <row r="373">
      <c r="B373" s="38"/>
      <c r="C373" s="39"/>
      <c r="D373" s="39"/>
      <c r="E373" s="39"/>
      <c r="F373" s="39"/>
      <c r="H373" s="38"/>
      <c r="I373" s="38"/>
      <c r="J373" s="38"/>
      <c r="K373" s="38"/>
      <c r="L373" s="38"/>
      <c r="M373" s="44"/>
    </row>
    <row r="374">
      <c r="B374" s="38"/>
      <c r="C374" s="39"/>
      <c r="D374" s="39"/>
      <c r="E374" s="39"/>
      <c r="F374" s="39"/>
      <c r="H374" s="38"/>
      <c r="I374" s="38"/>
      <c r="J374" s="38"/>
      <c r="K374" s="38"/>
      <c r="L374" s="38"/>
      <c r="M374" s="44"/>
    </row>
    <row r="375">
      <c r="B375" s="38"/>
      <c r="C375" s="39"/>
      <c r="D375" s="39"/>
      <c r="E375" s="39"/>
      <c r="F375" s="39"/>
      <c r="H375" s="38"/>
      <c r="I375" s="38"/>
      <c r="J375" s="38"/>
      <c r="K375" s="38"/>
      <c r="L375" s="38"/>
      <c r="M375" s="44"/>
    </row>
    <row r="376">
      <c r="B376" s="38"/>
      <c r="C376" s="39"/>
      <c r="D376" s="39"/>
      <c r="E376" s="39"/>
      <c r="F376" s="39"/>
      <c r="H376" s="38"/>
      <c r="I376" s="38"/>
      <c r="J376" s="38"/>
      <c r="K376" s="38"/>
      <c r="L376" s="38"/>
      <c r="M376" s="44"/>
    </row>
    <row r="377">
      <c r="B377" s="38"/>
      <c r="C377" s="39"/>
      <c r="D377" s="39"/>
      <c r="E377" s="39"/>
      <c r="F377" s="39"/>
      <c r="H377" s="38"/>
      <c r="I377" s="38"/>
      <c r="J377" s="38"/>
      <c r="K377" s="38"/>
      <c r="L377" s="38"/>
      <c r="M377" s="44"/>
    </row>
    <row r="378">
      <c r="B378" s="38"/>
      <c r="C378" s="39"/>
      <c r="D378" s="39"/>
      <c r="E378" s="39"/>
      <c r="F378" s="39"/>
      <c r="H378" s="38"/>
      <c r="I378" s="38"/>
      <c r="J378" s="38"/>
      <c r="K378" s="38"/>
      <c r="L378" s="38"/>
      <c r="M378" s="44"/>
    </row>
    <row r="379">
      <c r="B379" s="38"/>
      <c r="C379" s="39"/>
      <c r="D379" s="39"/>
      <c r="E379" s="39"/>
      <c r="F379" s="39"/>
      <c r="H379" s="38"/>
      <c r="I379" s="38"/>
      <c r="J379" s="38"/>
      <c r="K379" s="38"/>
      <c r="L379" s="38"/>
      <c r="M379" s="44"/>
    </row>
    <row r="380">
      <c r="B380" s="38"/>
      <c r="C380" s="39"/>
      <c r="D380" s="39"/>
      <c r="E380" s="39"/>
      <c r="F380" s="39"/>
      <c r="H380" s="38"/>
      <c r="I380" s="38"/>
      <c r="J380" s="38"/>
      <c r="K380" s="38"/>
      <c r="L380" s="38"/>
      <c r="M380" s="44"/>
    </row>
    <row r="381">
      <c r="B381" s="38"/>
      <c r="C381" s="39"/>
      <c r="D381" s="39"/>
      <c r="E381" s="39"/>
      <c r="F381" s="39"/>
      <c r="H381" s="38"/>
      <c r="I381" s="38"/>
      <c r="J381" s="38"/>
      <c r="K381" s="38"/>
      <c r="L381" s="38"/>
      <c r="M381" s="44"/>
    </row>
    <row r="382">
      <c r="B382" s="38"/>
      <c r="C382" s="39"/>
      <c r="D382" s="39"/>
      <c r="E382" s="39"/>
      <c r="F382" s="39"/>
      <c r="H382" s="38"/>
      <c r="I382" s="38"/>
      <c r="J382" s="38"/>
      <c r="K382" s="38"/>
      <c r="L382" s="38"/>
      <c r="M382" s="44"/>
    </row>
    <row r="383">
      <c r="B383" s="38"/>
      <c r="C383" s="39"/>
      <c r="D383" s="39"/>
      <c r="E383" s="39"/>
      <c r="F383" s="39"/>
      <c r="H383" s="38"/>
      <c r="I383" s="38"/>
      <c r="J383" s="38"/>
      <c r="K383" s="38"/>
      <c r="L383" s="38"/>
      <c r="M383" s="44"/>
    </row>
    <row r="384">
      <c r="B384" s="38"/>
      <c r="C384" s="39"/>
      <c r="D384" s="39"/>
      <c r="E384" s="39"/>
      <c r="F384" s="39"/>
      <c r="H384" s="38"/>
      <c r="I384" s="38"/>
      <c r="J384" s="38"/>
      <c r="K384" s="38"/>
      <c r="L384" s="38"/>
      <c r="M384" s="44"/>
    </row>
    <row r="385">
      <c r="B385" s="38"/>
      <c r="C385" s="39"/>
      <c r="D385" s="39"/>
      <c r="E385" s="39"/>
      <c r="F385" s="39"/>
      <c r="H385" s="38"/>
      <c r="I385" s="38"/>
      <c r="J385" s="38"/>
      <c r="K385" s="38"/>
      <c r="L385" s="38"/>
      <c r="M385" s="44"/>
    </row>
    <row r="386">
      <c r="B386" s="38"/>
      <c r="C386" s="39"/>
      <c r="D386" s="39"/>
      <c r="E386" s="39"/>
      <c r="F386" s="39"/>
      <c r="H386" s="38"/>
      <c r="I386" s="38"/>
      <c r="J386" s="38"/>
      <c r="K386" s="38"/>
      <c r="L386" s="38"/>
      <c r="M386" s="44"/>
    </row>
    <row r="387">
      <c r="B387" s="38"/>
      <c r="C387" s="39"/>
      <c r="D387" s="39"/>
      <c r="E387" s="39"/>
      <c r="F387" s="39"/>
      <c r="H387" s="38"/>
      <c r="I387" s="38"/>
      <c r="J387" s="38"/>
      <c r="K387" s="38"/>
      <c r="L387" s="38"/>
      <c r="M387" s="44"/>
    </row>
    <row r="388">
      <c r="B388" s="38"/>
      <c r="C388" s="39"/>
      <c r="D388" s="39"/>
      <c r="E388" s="39"/>
      <c r="F388" s="39"/>
      <c r="H388" s="38"/>
      <c r="I388" s="38"/>
      <c r="J388" s="38"/>
      <c r="K388" s="38"/>
      <c r="L388" s="38"/>
      <c r="M388" s="44"/>
    </row>
    <row r="389">
      <c r="B389" s="38"/>
      <c r="C389" s="39"/>
      <c r="D389" s="39"/>
      <c r="E389" s="39"/>
      <c r="F389" s="39"/>
      <c r="H389" s="38"/>
      <c r="I389" s="38"/>
      <c r="J389" s="38"/>
      <c r="K389" s="38"/>
      <c r="L389" s="38"/>
      <c r="M389" s="44"/>
    </row>
    <row r="390">
      <c r="B390" s="38"/>
      <c r="C390" s="39"/>
      <c r="D390" s="39"/>
      <c r="E390" s="39"/>
      <c r="F390" s="39"/>
      <c r="H390" s="38"/>
      <c r="I390" s="38"/>
      <c r="J390" s="38"/>
      <c r="K390" s="38"/>
      <c r="L390" s="38"/>
      <c r="M390" s="44"/>
    </row>
    <row r="391">
      <c r="B391" s="38"/>
      <c r="C391" s="39"/>
      <c r="D391" s="39"/>
      <c r="E391" s="39"/>
      <c r="F391" s="39"/>
      <c r="H391" s="38"/>
      <c r="I391" s="38"/>
      <c r="J391" s="38"/>
      <c r="K391" s="38"/>
      <c r="L391" s="38"/>
      <c r="M391" s="44"/>
    </row>
    <row r="392">
      <c r="B392" s="38"/>
      <c r="C392" s="39"/>
      <c r="D392" s="39"/>
      <c r="E392" s="39"/>
      <c r="F392" s="39"/>
      <c r="H392" s="38"/>
      <c r="I392" s="38"/>
      <c r="J392" s="38"/>
      <c r="K392" s="38"/>
      <c r="L392" s="38"/>
      <c r="M392" s="44"/>
    </row>
    <row r="393">
      <c r="B393" s="38"/>
      <c r="C393" s="39"/>
      <c r="D393" s="39"/>
      <c r="E393" s="39"/>
      <c r="F393" s="39"/>
      <c r="H393" s="38"/>
      <c r="I393" s="38"/>
      <c r="J393" s="38"/>
      <c r="K393" s="38"/>
      <c r="L393" s="38"/>
      <c r="M393" s="44"/>
    </row>
    <row r="394">
      <c r="B394" s="38"/>
      <c r="C394" s="39"/>
      <c r="D394" s="39"/>
      <c r="E394" s="39"/>
      <c r="F394" s="39"/>
      <c r="H394" s="38"/>
      <c r="I394" s="38"/>
      <c r="J394" s="38"/>
      <c r="K394" s="38"/>
      <c r="L394" s="38"/>
      <c r="M394" s="44"/>
    </row>
    <row r="395">
      <c r="B395" s="38"/>
      <c r="C395" s="39"/>
      <c r="D395" s="39"/>
      <c r="E395" s="39"/>
      <c r="F395" s="39"/>
      <c r="H395" s="38"/>
      <c r="I395" s="38"/>
      <c r="J395" s="38"/>
      <c r="K395" s="38"/>
      <c r="L395" s="38"/>
      <c r="M395" s="44"/>
    </row>
    <row r="396">
      <c r="B396" s="38"/>
      <c r="C396" s="39"/>
      <c r="D396" s="39"/>
      <c r="E396" s="39"/>
      <c r="F396" s="39"/>
      <c r="H396" s="38"/>
      <c r="I396" s="38"/>
      <c r="J396" s="38"/>
      <c r="K396" s="38"/>
      <c r="L396" s="38"/>
      <c r="M396" s="44"/>
    </row>
    <row r="397">
      <c r="B397" s="38"/>
      <c r="C397" s="39"/>
      <c r="D397" s="39"/>
      <c r="E397" s="39"/>
      <c r="F397" s="39"/>
      <c r="H397" s="38"/>
      <c r="I397" s="38"/>
      <c r="J397" s="38"/>
      <c r="K397" s="38"/>
      <c r="L397" s="38"/>
      <c r="M397" s="44"/>
    </row>
    <row r="398">
      <c r="B398" s="38"/>
      <c r="C398" s="39"/>
      <c r="D398" s="39"/>
      <c r="E398" s="39"/>
      <c r="F398" s="39"/>
      <c r="H398" s="38"/>
      <c r="I398" s="38"/>
      <c r="J398" s="38"/>
      <c r="K398" s="38"/>
      <c r="L398" s="38"/>
      <c r="M398" s="44"/>
    </row>
    <row r="399">
      <c r="B399" s="38"/>
      <c r="C399" s="39"/>
      <c r="D399" s="39"/>
      <c r="E399" s="39"/>
      <c r="F399" s="39"/>
      <c r="H399" s="38"/>
      <c r="I399" s="38"/>
      <c r="J399" s="38"/>
      <c r="K399" s="38"/>
      <c r="L399" s="38"/>
      <c r="M399" s="44"/>
    </row>
    <row r="400">
      <c r="B400" s="38"/>
      <c r="C400" s="39"/>
      <c r="D400" s="39"/>
      <c r="E400" s="39"/>
      <c r="F400" s="39"/>
      <c r="H400" s="38"/>
      <c r="I400" s="38"/>
      <c r="J400" s="38"/>
      <c r="K400" s="38"/>
      <c r="L400" s="38"/>
      <c r="M400" s="44"/>
    </row>
    <row r="401">
      <c r="B401" s="38"/>
      <c r="C401" s="39"/>
      <c r="D401" s="39"/>
      <c r="E401" s="39"/>
      <c r="F401" s="39"/>
      <c r="H401" s="38"/>
      <c r="I401" s="38"/>
      <c r="J401" s="38"/>
      <c r="K401" s="38"/>
      <c r="L401" s="38"/>
      <c r="M401" s="44"/>
    </row>
    <row r="402">
      <c r="B402" s="38"/>
      <c r="C402" s="39"/>
      <c r="D402" s="39"/>
      <c r="E402" s="39"/>
      <c r="F402" s="39"/>
      <c r="H402" s="38"/>
      <c r="I402" s="38"/>
      <c r="J402" s="38"/>
      <c r="K402" s="38"/>
      <c r="L402" s="38"/>
      <c r="M402" s="44"/>
    </row>
    <row r="403">
      <c r="B403" s="38"/>
      <c r="C403" s="39"/>
      <c r="D403" s="39"/>
      <c r="E403" s="39"/>
      <c r="F403" s="39"/>
      <c r="H403" s="38"/>
      <c r="I403" s="38"/>
      <c r="J403" s="38"/>
      <c r="K403" s="38"/>
      <c r="L403" s="38"/>
      <c r="M403" s="44"/>
    </row>
    <row r="404">
      <c r="B404" s="38"/>
      <c r="C404" s="39"/>
      <c r="D404" s="39"/>
      <c r="E404" s="39"/>
      <c r="F404" s="39"/>
      <c r="H404" s="38"/>
      <c r="I404" s="38"/>
      <c r="J404" s="38"/>
      <c r="K404" s="38"/>
      <c r="L404" s="38"/>
      <c r="M404" s="44"/>
    </row>
    <row r="405">
      <c r="B405" s="38"/>
      <c r="C405" s="39"/>
      <c r="D405" s="39"/>
      <c r="E405" s="39"/>
      <c r="F405" s="39"/>
      <c r="H405" s="38"/>
      <c r="I405" s="38"/>
      <c r="J405" s="38"/>
      <c r="K405" s="38"/>
      <c r="L405" s="38"/>
      <c r="M405" s="44"/>
    </row>
    <row r="406">
      <c r="B406" s="38"/>
      <c r="C406" s="39"/>
      <c r="D406" s="39"/>
      <c r="E406" s="39"/>
      <c r="F406" s="39"/>
      <c r="H406" s="38"/>
      <c r="I406" s="38"/>
      <c r="J406" s="38"/>
      <c r="K406" s="38"/>
      <c r="L406" s="38"/>
      <c r="M406" s="44"/>
    </row>
    <row r="407">
      <c r="B407" s="38"/>
      <c r="C407" s="39"/>
      <c r="D407" s="39"/>
      <c r="E407" s="39"/>
      <c r="F407" s="39"/>
      <c r="H407" s="38"/>
      <c r="I407" s="38"/>
      <c r="J407" s="38"/>
      <c r="K407" s="38"/>
      <c r="L407" s="38"/>
      <c r="M407" s="44"/>
    </row>
    <row r="408">
      <c r="B408" s="38"/>
      <c r="C408" s="39"/>
      <c r="D408" s="39"/>
      <c r="E408" s="39"/>
      <c r="F408" s="39"/>
      <c r="H408" s="38"/>
      <c r="I408" s="38"/>
      <c r="J408" s="38"/>
      <c r="K408" s="38"/>
      <c r="L408" s="38"/>
      <c r="M408" s="44"/>
    </row>
    <row r="409">
      <c r="B409" s="38"/>
      <c r="C409" s="39"/>
      <c r="D409" s="39"/>
      <c r="E409" s="39"/>
      <c r="F409" s="39"/>
      <c r="H409" s="38"/>
      <c r="I409" s="38"/>
      <c r="J409" s="38"/>
      <c r="K409" s="38"/>
      <c r="L409" s="38"/>
      <c r="M409" s="44"/>
    </row>
    <row r="410">
      <c r="B410" s="38"/>
      <c r="C410" s="39"/>
      <c r="D410" s="39"/>
      <c r="E410" s="39"/>
      <c r="F410" s="39"/>
      <c r="H410" s="38"/>
      <c r="I410" s="38"/>
      <c r="J410" s="38"/>
      <c r="K410" s="38"/>
      <c r="L410" s="38"/>
      <c r="M410" s="44"/>
    </row>
    <row r="411">
      <c r="B411" s="38"/>
      <c r="C411" s="39"/>
      <c r="D411" s="39"/>
      <c r="E411" s="39"/>
      <c r="F411" s="39"/>
      <c r="H411" s="38"/>
      <c r="I411" s="38"/>
      <c r="J411" s="38"/>
      <c r="K411" s="38"/>
      <c r="L411" s="38"/>
      <c r="M411" s="44"/>
    </row>
    <row r="412">
      <c r="B412" s="38"/>
      <c r="C412" s="39"/>
      <c r="D412" s="39"/>
      <c r="E412" s="39"/>
      <c r="F412" s="39"/>
      <c r="H412" s="38"/>
      <c r="I412" s="38"/>
      <c r="J412" s="38"/>
      <c r="K412" s="38"/>
      <c r="L412" s="38"/>
      <c r="M412" s="44"/>
    </row>
    <row r="413">
      <c r="B413" s="38"/>
      <c r="C413" s="39"/>
      <c r="D413" s="39"/>
      <c r="E413" s="39"/>
      <c r="F413" s="39"/>
      <c r="H413" s="38"/>
      <c r="I413" s="38"/>
      <c r="J413" s="38"/>
      <c r="K413" s="38"/>
      <c r="L413" s="38"/>
      <c r="M413" s="44"/>
    </row>
    <row r="414">
      <c r="B414" s="38"/>
      <c r="C414" s="39"/>
      <c r="D414" s="39"/>
      <c r="E414" s="39"/>
      <c r="F414" s="39"/>
      <c r="H414" s="38"/>
      <c r="I414" s="38"/>
      <c r="J414" s="38"/>
      <c r="K414" s="38"/>
      <c r="L414" s="38"/>
      <c r="M414" s="44"/>
    </row>
    <row r="415">
      <c r="B415" s="38"/>
      <c r="C415" s="39"/>
      <c r="D415" s="39"/>
      <c r="E415" s="39"/>
      <c r="F415" s="39"/>
      <c r="H415" s="38"/>
      <c r="I415" s="38"/>
      <c r="J415" s="38"/>
      <c r="K415" s="38"/>
      <c r="L415" s="38"/>
      <c r="M415" s="44"/>
    </row>
    <row r="416">
      <c r="B416" s="38"/>
      <c r="C416" s="39"/>
      <c r="D416" s="39"/>
      <c r="E416" s="39"/>
      <c r="F416" s="39"/>
      <c r="H416" s="38"/>
      <c r="I416" s="38"/>
      <c r="J416" s="38"/>
      <c r="K416" s="38"/>
      <c r="L416" s="38"/>
      <c r="M416" s="44"/>
    </row>
    <row r="417">
      <c r="B417" s="38"/>
      <c r="C417" s="39"/>
      <c r="D417" s="39"/>
      <c r="E417" s="39"/>
      <c r="F417" s="39"/>
      <c r="H417" s="38"/>
      <c r="I417" s="38"/>
      <c r="J417" s="38"/>
      <c r="K417" s="38"/>
      <c r="L417" s="38"/>
      <c r="M417" s="44"/>
    </row>
    <row r="418">
      <c r="B418" s="38"/>
      <c r="C418" s="39"/>
      <c r="D418" s="39"/>
      <c r="E418" s="39"/>
      <c r="F418" s="39"/>
      <c r="H418" s="38"/>
      <c r="I418" s="38"/>
      <c r="J418" s="38"/>
      <c r="K418" s="38"/>
      <c r="L418" s="38"/>
      <c r="M418" s="44"/>
    </row>
    <row r="419">
      <c r="B419" s="38"/>
      <c r="C419" s="39"/>
      <c r="D419" s="39"/>
      <c r="E419" s="39"/>
      <c r="F419" s="39"/>
      <c r="H419" s="38"/>
      <c r="I419" s="38"/>
      <c r="J419" s="38"/>
      <c r="K419" s="38"/>
      <c r="L419" s="38"/>
      <c r="M419" s="44"/>
    </row>
    <row r="420">
      <c r="B420" s="38"/>
      <c r="C420" s="39"/>
      <c r="D420" s="39"/>
      <c r="E420" s="39"/>
      <c r="F420" s="39"/>
      <c r="H420" s="38"/>
      <c r="I420" s="38"/>
      <c r="J420" s="38"/>
      <c r="K420" s="38"/>
      <c r="L420" s="38"/>
      <c r="M420" s="44"/>
    </row>
    <row r="421">
      <c r="B421" s="38"/>
      <c r="C421" s="39"/>
      <c r="D421" s="39"/>
      <c r="E421" s="39"/>
      <c r="F421" s="39"/>
      <c r="H421" s="38"/>
      <c r="I421" s="38"/>
      <c r="J421" s="38"/>
      <c r="K421" s="38"/>
      <c r="L421" s="38"/>
      <c r="M421" s="44"/>
    </row>
    <row r="422">
      <c r="B422" s="38"/>
      <c r="C422" s="39"/>
      <c r="D422" s="39"/>
      <c r="E422" s="39"/>
      <c r="F422" s="39"/>
      <c r="H422" s="38"/>
      <c r="I422" s="38"/>
      <c r="J422" s="38"/>
      <c r="K422" s="38"/>
      <c r="L422" s="38"/>
      <c r="M422" s="44"/>
    </row>
    <row r="423">
      <c r="B423" s="38"/>
      <c r="C423" s="39"/>
      <c r="D423" s="39"/>
      <c r="E423" s="39"/>
      <c r="F423" s="39"/>
      <c r="H423" s="38"/>
      <c r="I423" s="38"/>
      <c r="J423" s="38"/>
      <c r="K423" s="38"/>
      <c r="L423" s="38"/>
      <c r="M423" s="44"/>
    </row>
    <row r="424">
      <c r="B424" s="38"/>
      <c r="C424" s="39"/>
      <c r="D424" s="39"/>
      <c r="E424" s="39"/>
      <c r="F424" s="39"/>
      <c r="H424" s="38"/>
      <c r="I424" s="38"/>
      <c r="J424" s="38"/>
      <c r="K424" s="38"/>
      <c r="L424" s="38"/>
      <c r="M424" s="44"/>
    </row>
    <row r="425">
      <c r="B425" s="38"/>
      <c r="C425" s="39"/>
      <c r="D425" s="39"/>
      <c r="E425" s="39"/>
      <c r="F425" s="39"/>
      <c r="H425" s="38"/>
      <c r="I425" s="38"/>
      <c r="J425" s="38"/>
      <c r="K425" s="38"/>
      <c r="L425" s="38"/>
      <c r="M425" s="44"/>
    </row>
    <row r="426">
      <c r="B426" s="38"/>
      <c r="C426" s="39"/>
      <c r="D426" s="39"/>
      <c r="E426" s="39"/>
      <c r="F426" s="39"/>
      <c r="H426" s="38"/>
      <c r="I426" s="38"/>
      <c r="J426" s="38"/>
      <c r="K426" s="38"/>
      <c r="L426" s="38"/>
      <c r="M426" s="44"/>
    </row>
    <row r="427">
      <c r="B427" s="38"/>
      <c r="C427" s="39"/>
      <c r="D427" s="39"/>
      <c r="E427" s="39"/>
      <c r="F427" s="39"/>
      <c r="H427" s="38"/>
      <c r="I427" s="38"/>
      <c r="J427" s="38"/>
      <c r="K427" s="38"/>
      <c r="L427" s="38"/>
      <c r="M427" s="44"/>
    </row>
    <row r="428">
      <c r="B428" s="38"/>
      <c r="C428" s="39"/>
      <c r="D428" s="39"/>
      <c r="E428" s="39"/>
      <c r="F428" s="39"/>
      <c r="H428" s="38"/>
      <c r="I428" s="38"/>
      <c r="J428" s="38"/>
      <c r="K428" s="38"/>
      <c r="L428" s="38"/>
      <c r="M428" s="44"/>
    </row>
    <row r="429">
      <c r="B429" s="38"/>
      <c r="C429" s="39"/>
      <c r="D429" s="39"/>
      <c r="E429" s="39"/>
      <c r="F429" s="39"/>
      <c r="H429" s="38"/>
      <c r="I429" s="38"/>
      <c r="J429" s="38"/>
      <c r="K429" s="38"/>
      <c r="L429" s="38"/>
      <c r="M429" s="44"/>
    </row>
    <row r="430">
      <c r="B430" s="38"/>
      <c r="C430" s="39"/>
      <c r="D430" s="39"/>
      <c r="E430" s="39"/>
      <c r="F430" s="39"/>
      <c r="H430" s="38"/>
      <c r="I430" s="38"/>
      <c r="J430" s="38"/>
      <c r="K430" s="38"/>
      <c r="L430" s="38"/>
      <c r="M430" s="44"/>
    </row>
    <row r="431">
      <c r="B431" s="38"/>
      <c r="C431" s="39"/>
      <c r="D431" s="39"/>
      <c r="E431" s="39"/>
      <c r="F431" s="39"/>
      <c r="H431" s="38"/>
      <c r="I431" s="38"/>
      <c r="J431" s="38"/>
      <c r="K431" s="38"/>
      <c r="L431" s="38"/>
      <c r="M431" s="44"/>
    </row>
    <row r="432">
      <c r="B432" s="38"/>
      <c r="C432" s="39"/>
      <c r="D432" s="39"/>
      <c r="E432" s="39"/>
      <c r="F432" s="39"/>
      <c r="H432" s="38"/>
      <c r="I432" s="38"/>
      <c r="J432" s="38"/>
      <c r="K432" s="38"/>
      <c r="L432" s="38"/>
      <c r="M432" s="44"/>
    </row>
    <row r="433">
      <c r="B433" s="38"/>
      <c r="C433" s="39"/>
      <c r="D433" s="39"/>
      <c r="E433" s="39"/>
      <c r="F433" s="39"/>
      <c r="H433" s="38"/>
      <c r="I433" s="38"/>
      <c r="J433" s="38"/>
      <c r="K433" s="38"/>
      <c r="L433" s="38"/>
      <c r="M433" s="44"/>
    </row>
    <row r="434">
      <c r="B434" s="38"/>
      <c r="C434" s="39"/>
      <c r="D434" s="39"/>
      <c r="E434" s="39"/>
      <c r="F434" s="39"/>
      <c r="H434" s="38"/>
      <c r="I434" s="38"/>
      <c r="J434" s="38"/>
      <c r="K434" s="38"/>
      <c r="L434" s="38"/>
      <c r="M434" s="44"/>
    </row>
    <row r="435">
      <c r="B435" s="38"/>
      <c r="C435" s="39"/>
      <c r="D435" s="39"/>
      <c r="E435" s="39"/>
      <c r="F435" s="39"/>
      <c r="H435" s="38"/>
      <c r="I435" s="38"/>
      <c r="J435" s="38"/>
      <c r="K435" s="38"/>
      <c r="L435" s="38"/>
      <c r="M435" s="44"/>
    </row>
    <row r="436">
      <c r="B436" s="38"/>
      <c r="C436" s="39"/>
      <c r="D436" s="39"/>
      <c r="E436" s="39"/>
      <c r="F436" s="39"/>
      <c r="H436" s="38"/>
      <c r="I436" s="38"/>
      <c r="J436" s="38"/>
      <c r="K436" s="38"/>
      <c r="L436" s="38"/>
      <c r="M436" s="44"/>
    </row>
    <row r="437">
      <c r="B437" s="38"/>
      <c r="C437" s="39"/>
      <c r="D437" s="39"/>
      <c r="E437" s="39"/>
      <c r="F437" s="39"/>
      <c r="H437" s="38"/>
      <c r="I437" s="38"/>
      <c r="J437" s="38"/>
      <c r="K437" s="38"/>
      <c r="L437" s="38"/>
      <c r="M437" s="44"/>
    </row>
    <row r="438">
      <c r="B438" s="38"/>
      <c r="C438" s="39"/>
      <c r="D438" s="39"/>
      <c r="E438" s="39"/>
      <c r="F438" s="39"/>
      <c r="H438" s="38"/>
      <c r="I438" s="38"/>
      <c r="J438" s="38"/>
      <c r="K438" s="38"/>
      <c r="L438" s="38"/>
      <c r="M438" s="44"/>
    </row>
    <row r="439">
      <c r="B439" s="38"/>
      <c r="C439" s="39"/>
      <c r="D439" s="39"/>
      <c r="E439" s="39"/>
      <c r="F439" s="39"/>
      <c r="H439" s="38"/>
      <c r="I439" s="38"/>
      <c r="J439" s="38"/>
      <c r="K439" s="38"/>
      <c r="L439" s="38"/>
      <c r="M439" s="44"/>
    </row>
    <row r="440">
      <c r="B440" s="38"/>
      <c r="C440" s="39"/>
      <c r="D440" s="39"/>
      <c r="E440" s="39"/>
      <c r="F440" s="39"/>
      <c r="H440" s="38"/>
      <c r="I440" s="38"/>
      <c r="J440" s="38"/>
      <c r="K440" s="38"/>
      <c r="L440" s="38"/>
      <c r="M440" s="44"/>
    </row>
    <row r="441">
      <c r="B441" s="38"/>
      <c r="C441" s="39"/>
      <c r="D441" s="39"/>
      <c r="E441" s="39"/>
      <c r="F441" s="39"/>
      <c r="H441" s="38"/>
      <c r="I441" s="38"/>
      <c r="J441" s="38"/>
      <c r="K441" s="38"/>
      <c r="L441" s="38"/>
      <c r="M441" s="44"/>
    </row>
    <row r="442">
      <c r="B442" s="38"/>
      <c r="C442" s="39"/>
      <c r="D442" s="39"/>
      <c r="E442" s="39"/>
      <c r="F442" s="39"/>
      <c r="H442" s="38"/>
      <c r="I442" s="38"/>
      <c r="J442" s="38"/>
      <c r="K442" s="38"/>
      <c r="L442" s="38"/>
      <c r="M442" s="44"/>
    </row>
    <row r="443">
      <c r="B443" s="38"/>
      <c r="C443" s="39"/>
      <c r="D443" s="39"/>
      <c r="E443" s="39"/>
      <c r="F443" s="39"/>
      <c r="H443" s="38"/>
      <c r="I443" s="38"/>
      <c r="J443" s="38"/>
      <c r="K443" s="38"/>
      <c r="L443" s="38"/>
      <c r="M443" s="44"/>
    </row>
    <row r="444">
      <c r="B444" s="38"/>
      <c r="C444" s="39"/>
      <c r="D444" s="39"/>
      <c r="E444" s="39"/>
      <c r="F444" s="39"/>
      <c r="H444" s="38"/>
      <c r="I444" s="38"/>
      <c r="J444" s="38"/>
      <c r="K444" s="38"/>
      <c r="L444" s="38"/>
      <c r="M444" s="44"/>
    </row>
    <row r="445">
      <c r="B445" s="38"/>
      <c r="C445" s="39"/>
      <c r="D445" s="39"/>
      <c r="E445" s="39"/>
      <c r="F445" s="39"/>
      <c r="H445" s="38"/>
      <c r="I445" s="38"/>
      <c r="J445" s="38"/>
      <c r="K445" s="38"/>
      <c r="L445" s="38"/>
      <c r="M445" s="44"/>
    </row>
    <row r="446">
      <c r="B446" s="38"/>
      <c r="C446" s="39"/>
      <c r="D446" s="39"/>
      <c r="E446" s="39"/>
      <c r="F446" s="39"/>
      <c r="H446" s="38"/>
      <c r="I446" s="38"/>
      <c r="J446" s="38"/>
      <c r="K446" s="38"/>
      <c r="L446" s="38"/>
      <c r="M446" s="44"/>
    </row>
    <row r="447">
      <c r="B447" s="38"/>
      <c r="C447" s="39"/>
      <c r="D447" s="39"/>
      <c r="E447" s="39"/>
      <c r="F447" s="39"/>
      <c r="H447" s="38"/>
      <c r="I447" s="38"/>
      <c r="J447" s="38"/>
      <c r="K447" s="38"/>
      <c r="L447" s="38"/>
      <c r="M447" s="44"/>
    </row>
    <row r="448">
      <c r="B448" s="38"/>
      <c r="C448" s="39"/>
      <c r="D448" s="39"/>
      <c r="E448" s="39"/>
      <c r="F448" s="39"/>
      <c r="H448" s="38"/>
      <c r="I448" s="38"/>
      <c r="J448" s="38"/>
      <c r="K448" s="38"/>
      <c r="L448" s="38"/>
      <c r="M448" s="44"/>
    </row>
    <row r="449">
      <c r="B449" s="38"/>
      <c r="C449" s="39"/>
      <c r="D449" s="39"/>
      <c r="E449" s="39"/>
      <c r="F449" s="39"/>
      <c r="H449" s="38"/>
      <c r="I449" s="38"/>
      <c r="J449" s="38"/>
      <c r="K449" s="38"/>
      <c r="L449" s="38"/>
      <c r="M449" s="44"/>
    </row>
    <row r="450">
      <c r="B450" s="38"/>
      <c r="C450" s="39"/>
      <c r="D450" s="39"/>
      <c r="E450" s="39"/>
      <c r="F450" s="39"/>
      <c r="H450" s="38"/>
      <c r="I450" s="38"/>
      <c r="J450" s="38"/>
      <c r="K450" s="38"/>
      <c r="L450" s="38"/>
      <c r="M450" s="44"/>
    </row>
    <row r="451">
      <c r="B451" s="38"/>
      <c r="C451" s="39"/>
      <c r="D451" s="39"/>
      <c r="E451" s="39"/>
      <c r="F451" s="39"/>
      <c r="H451" s="38"/>
      <c r="I451" s="38"/>
      <c r="J451" s="38"/>
      <c r="K451" s="38"/>
      <c r="L451" s="38"/>
      <c r="M451" s="44"/>
    </row>
    <row r="452">
      <c r="B452" s="38"/>
      <c r="C452" s="39"/>
      <c r="D452" s="39"/>
      <c r="E452" s="39"/>
      <c r="F452" s="39"/>
      <c r="H452" s="38"/>
      <c r="I452" s="38"/>
      <c r="J452" s="38"/>
      <c r="K452" s="38"/>
      <c r="L452" s="38"/>
      <c r="M452" s="44"/>
    </row>
    <row r="453">
      <c r="B453" s="38"/>
      <c r="C453" s="39"/>
      <c r="D453" s="39"/>
      <c r="E453" s="39"/>
      <c r="F453" s="39"/>
      <c r="H453" s="38"/>
      <c r="I453" s="38"/>
      <c r="J453" s="38"/>
      <c r="K453" s="38"/>
      <c r="L453" s="38"/>
      <c r="M453" s="44"/>
    </row>
    <row r="454">
      <c r="B454" s="38"/>
      <c r="C454" s="39"/>
      <c r="D454" s="39"/>
      <c r="E454" s="39"/>
      <c r="F454" s="39"/>
      <c r="H454" s="38"/>
      <c r="I454" s="38"/>
      <c r="J454" s="38"/>
      <c r="K454" s="38"/>
      <c r="L454" s="38"/>
      <c r="M454" s="44"/>
    </row>
    <row r="455">
      <c r="B455" s="38"/>
      <c r="C455" s="39"/>
      <c r="D455" s="39"/>
      <c r="E455" s="39"/>
      <c r="F455" s="39"/>
      <c r="H455" s="38"/>
      <c r="I455" s="38"/>
      <c r="J455" s="38"/>
      <c r="K455" s="38"/>
      <c r="L455" s="38"/>
      <c r="M455" s="44"/>
    </row>
    <row r="456">
      <c r="B456" s="38"/>
      <c r="C456" s="39"/>
      <c r="D456" s="39"/>
      <c r="E456" s="39"/>
      <c r="F456" s="39"/>
      <c r="H456" s="38"/>
      <c r="I456" s="38"/>
      <c r="J456" s="38"/>
      <c r="K456" s="38"/>
      <c r="L456" s="38"/>
      <c r="M456" s="44"/>
    </row>
    <row r="457">
      <c r="B457" s="38"/>
      <c r="C457" s="39"/>
      <c r="D457" s="39"/>
      <c r="E457" s="39"/>
      <c r="F457" s="39"/>
      <c r="H457" s="38"/>
      <c r="I457" s="38"/>
      <c r="J457" s="38"/>
      <c r="K457" s="38"/>
      <c r="L457" s="38"/>
      <c r="M457" s="44"/>
    </row>
    <row r="458">
      <c r="B458" s="38"/>
      <c r="C458" s="39"/>
      <c r="D458" s="39"/>
      <c r="E458" s="39"/>
      <c r="F458" s="39"/>
      <c r="H458" s="38"/>
      <c r="I458" s="38"/>
      <c r="J458" s="38"/>
      <c r="K458" s="38"/>
      <c r="L458" s="38"/>
      <c r="M458" s="44"/>
    </row>
    <row r="459">
      <c r="B459" s="38"/>
      <c r="C459" s="39"/>
      <c r="D459" s="39"/>
      <c r="E459" s="39"/>
      <c r="F459" s="39"/>
      <c r="H459" s="38"/>
      <c r="I459" s="38"/>
      <c r="J459" s="38"/>
      <c r="K459" s="38"/>
      <c r="L459" s="38"/>
      <c r="M459" s="44"/>
    </row>
    <row r="460">
      <c r="B460" s="38"/>
      <c r="C460" s="39"/>
      <c r="D460" s="39"/>
      <c r="E460" s="39"/>
      <c r="F460" s="39"/>
      <c r="H460" s="38"/>
      <c r="I460" s="38"/>
      <c r="J460" s="38"/>
      <c r="K460" s="38"/>
      <c r="L460" s="38"/>
      <c r="M460" s="44"/>
    </row>
    <row r="461">
      <c r="B461" s="38"/>
      <c r="C461" s="39"/>
      <c r="D461" s="39"/>
      <c r="E461" s="39"/>
      <c r="F461" s="39"/>
      <c r="H461" s="38"/>
      <c r="I461" s="38"/>
      <c r="J461" s="38"/>
      <c r="K461" s="38"/>
      <c r="L461" s="38"/>
      <c r="M461" s="44"/>
    </row>
    <row r="462">
      <c r="B462" s="38"/>
      <c r="C462" s="39"/>
      <c r="D462" s="39"/>
      <c r="E462" s="39"/>
      <c r="F462" s="39"/>
      <c r="H462" s="38"/>
      <c r="I462" s="38"/>
      <c r="J462" s="38"/>
      <c r="K462" s="38"/>
      <c r="L462" s="38"/>
      <c r="M462" s="44"/>
    </row>
    <row r="463">
      <c r="B463" s="38"/>
      <c r="C463" s="39"/>
      <c r="D463" s="39"/>
      <c r="E463" s="39"/>
      <c r="F463" s="39"/>
      <c r="H463" s="38"/>
      <c r="I463" s="38"/>
      <c r="J463" s="38"/>
      <c r="K463" s="38"/>
      <c r="L463" s="38"/>
      <c r="M463" s="44"/>
    </row>
    <row r="464">
      <c r="B464" s="38"/>
      <c r="C464" s="39"/>
      <c r="D464" s="39"/>
      <c r="E464" s="39"/>
      <c r="F464" s="39"/>
      <c r="H464" s="38"/>
      <c r="I464" s="38"/>
      <c r="J464" s="38"/>
      <c r="K464" s="38"/>
      <c r="L464" s="38"/>
      <c r="M464" s="44"/>
    </row>
    <row r="465">
      <c r="B465" s="38"/>
      <c r="C465" s="39"/>
      <c r="D465" s="39"/>
      <c r="E465" s="39"/>
      <c r="F465" s="39"/>
      <c r="H465" s="38"/>
      <c r="I465" s="38"/>
      <c r="J465" s="38"/>
      <c r="K465" s="38"/>
      <c r="L465" s="38"/>
      <c r="M465" s="44"/>
    </row>
    <row r="466">
      <c r="B466" s="38"/>
      <c r="C466" s="39"/>
      <c r="D466" s="39"/>
      <c r="E466" s="39"/>
      <c r="F466" s="39"/>
      <c r="H466" s="38"/>
      <c r="I466" s="38"/>
      <c r="J466" s="38"/>
      <c r="K466" s="38"/>
      <c r="L466" s="38"/>
      <c r="M466" s="44"/>
    </row>
    <row r="467">
      <c r="B467" s="38"/>
      <c r="C467" s="39"/>
      <c r="D467" s="39"/>
      <c r="E467" s="39"/>
      <c r="F467" s="39"/>
      <c r="H467" s="38"/>
      <c r="I467" s="38"/>
      <c r="J467" s="38"/>
      <c r="K467" s="38"/>
      <c r="L467" s="38"/>
      <c r="M467" s="44"/>
    </row>
    <row r="468">
      <c r="B468" s="38"/>
      <c r="C468" s="39"/>
      <c r="D468" s="39"/>
      <c r="E468" s="39"/>
      <c r="F468" s="39"/>
      <c r="H468" s="38"/>
      <c r="I468" s="38"/>
      <c r="J468" s="38"/>
      <c r="K468" s="38"/>
      <c r="L468" s="38"/>
      <c r="M468" s="44"/>
    </row>
    <row r="469">
      <c r="B469" s="38"/>
      <c r="C469" s="39"/>
      <c r="D469" s="39"/>
      <c r="E469" s="39"/>
      <c r="F469" s="39"/>
      <c r="H469" s="38"/>
      <c r="I469" s="38"/>
      <c r="J469" s="38"/>
      <c r="K469" s="38"/>
      <c r="L469" s="38"/>
      <c r="M469" s="44"/>
    </row>
    <row r="470">
      <c r="B470" s="38"/>
      <c r="C470" s="39"/>
      <c r="D470" s="39"/>
      <c r="E470" s="39"/>
      <c r="F470" s="39"/>
      <c r="H470" s="38"/>
      <c r="I470" s="38"/>
      <c r="J470" s="38"/>
      <c r="K470" s="38"/>
      <c r="L470" s="38"/>
      <c r="M470" s="44"/>
    </row>
    <row r="471">
      <c r="B471" s="38"/>
      <c r="C471" s="39"/>
      <c r="D471" s="39"/>
      <c r="E471" s="39"/>
      <c r="F471" s="39"/>
      <c r="H471" s="38"/>
      <c r="I471" s="38"/>
      <c r="J471" s="38"/>
      <c r="K471" s="38"/>
      <c r="L471" s="38"/>
      <c r="M471" s="44"/>
    </row>
    <row r="472">
      <c r="B472" s="38"/>
      <c r="C472" s="39"/>
      <c r="D472" s="39"/>
      <c r="E472" s="39"/>
      <c r="F472" s="39"/>
      <c r="H472" s="38"/>
      <c r="I472" s="38"/>
      <c r="J472" s="38"/>
      <c r="K472" s="38"/>
      <c r="L472" s="38"/>
      <c r="M472" s="44"/>
    </row>
    <row r="473">
      <c r="B473" s="38"/>
      <c r="C473" s="39"/>
      <c r="D473" s="39"/>
      <c r="E473" s="39"/>
      <c r="F473" s="39"/>
      <c r="H473" s="38"/>
      <c r="I473" s="38"/>
      <c r="J473" s="38"/>
      <c r="K473" s="38"/>
      <c r="L473" s="38"/>
      <c r="M473" s="44"/>
    </row>
    <row r="474">
      <c r="B474" s="38"/>
      <c r="C474" s="39"/>
      <c r="D474" s="39"/>
      <c r="E474" s="39"/>
      <c r="F474" s="39"/>
      <c r="H474" s="38"/>
      <c r="I474" s="38"/>
      <c r="J474" s="38"/>
      <c r="K474" s="38"/>
      <c r="L474" s="38"/>
      <c r="M474" s="44"/>
    </row>
    <row r="475">
      <c r="B475" s="38"/>
      <c r="C475" s="39"/>
      <c r="D475" s="39"/>
      <c r="E475" s="39"/>
      <c r="F475" s="39"/>
      <c r="H475" s="38"/>
      <c r="I475" s="38"/>
      <c r="J475" s="38"/>
      <c r="K475" s="38"/>
      <c r="L475" s="38"/>
      <c r="M475" s="44"/>
    </row>
    <row r="476">
      <c r="B476" s="38"/>
      <c r="C476" s="39"/>
      <c r="D476" s="39"/>
      <c r="E476" s="39"/>
      <c r="F476" s="39"/>
      <c r="H476" s="38"/>
      <c r="I476" s="38"/>
      <c r="J476" s="38"/>
      <c r="K476" s="38"/>
      <c r="L476" s="38"/>
      <c r="M476" s="44"/>
    </row>
    <row r="477">
      <c r="B477" s="38"/>
      <c r="C477" s="39"/>
      <c r="D477" s="39"/>
      <c r="E477" s="39"/>
      <c r="F477" s="39"/>
      <c r="H477" s="38"/>
      <c r="I477" s="38"/>
      <c r="J477" s="38"/>
      <c r="K477" s="38"/>
      <c r="L477" s="38"/>
      <c r="M477" s="44"/>
    </row>
    <row r="478">
      <c r="B478" s="38"/>
      <c r="C478" s="39"/>
      <c r="D478" s="39"/>
      <c r="E478" s="39"/>
      <c r="F478" s="39"/>
      <c r="H478" s="38"/>
      <c r="I478" s="38"/>
      <c r="J478" s="38"/>
      <c r="K478" s="38"/>
      <c r="L478" s="38"/>
      <c r="M478" s="44"/>
    </row>
    <row r="479">
      <c r="B479" s="38"/>
      <c r="C479" s="39"/>
      <c r="D479" s="39"/>
      <c r="E479" s="39"/>
      <c r="F479" s="39"/>
      <c r="H479" s="38"/>
      <c r="I479" s="38"/>
      <c r="J479" s="38"/>
      <c r="K479" s="38"/>
      <c r="L479" s="38"/>
      <c r="M479" s="44"/>
    </row>
    <row r="480">
      <c r="B480" s="38"/>
      <c r="C480" s="39"/>
      <c r="D480" s="39"/>
      <c r="E480" s="39"/>
      <c r="F480" s="39"/>
      <c r="H480" s="38"/>
      <c r="I480" s="38"/>
      <c r="J480" s="38"/>
      <c r="K480" s="38"/>
      <c r="L480" s="38"/>
      <c r="M480" s="44"/>
    </row>
    <row r="481">
      <c r="B481" s="38"/>
      <c r="C481" s="39"/>
      <c r="D481" s="39"/>
      <c r="E481" s="39"/>
      <c r="F481" s="39"/>
      <c r="H481" s="38"/>
      <c r="I481" s="38"/>
      <c r="J481" s="38"/>
      <c r="K481" s="38"/>
      <c r="L481" s="38"/>
      <c r="M481" s="44"/>
    </row>
    <row r="482">
      <c r="B482" s="38"/>
      <c r="C482" s="39"/>
      <c r="D482" s="39"/>
      <c r="E482" s="39"/>
      <c r="F482" s="39"/>
      <c r="H482" s="38"/>
      <c r="I482" s="38"/>
      <c r="J482" s="38"/>
      <c r="K482" s="38"/>
      <c r="L482" s="38"/>
      <c r="M482" s="44"/>
    </row>
    <row r="483">
      <c r="B483" s="38"/>
      <c r="C483" s="39"/>
      <c r="D483" s="39"/>
      <c r="E483" s="39"/>
      <c r="F483" s="39"/>
      <c r="H483" s="38"/>
      <c r="I483" s="38"/>
      <c r="J483" s="38"/>
      <c r="K483" s="38"/>
      <c r="L483" s="38"/>
      <c r="M483" s="44"/>
    </row>
    <row r="484">
      <c r="B484" s="38"/>
      <c r="C484" s="39"/>
      <c r="D484" s="39"/>
      <c r="E484" s="39"/>
      <c r="F484" s="39"/>
      <c r="H484" s="38"/>
      <c r="I484" s="38"/>
      <c r="J484" s="38"/>
      <c r="K484" s="38"/>
      <c r="L484" s="38"/>
      <c r="M484" s="44"/>
    </row>
    <row r="485">
      <c r="B485" s="38"/>
      <c r="C485" s="39"/>
      <c r="D485" s="39"/>
      <c r="E485" s="39"/>
      <c r="F485" s="39"/>
      <c r="H485" s="38"/>
      <c r="I485" s="38"/>
      <c r="J485" s="38"/>
      <c r="K485" s="38"/>
      <c r="L485" s="38"/>
      <c r="M485" s="44"/>
    </row>
    <row r="486">
      <c r="B486" s="38"/>
      <c r="C486" s="39"/>
      <c r="D486" s="39"/>
      <c r="E486" s="39"/>
      <c r="F486" s="39"/>
      <c r="H486" s="38"/>
      <c r="I486" s="38"/>
      <c r="J486" s="38"/>
      <c r="K486" s="38"/>
      <c r="L486" s="38"/>
      <c r="M486" s="44"/>
    </row>
    <row r="487">
      <c r="B487" s="38"/>
      <c r="C487" s="39"/>
      <c r="D487" s="39"/>
      <c r="E487" s="39"/>
      <c r="F487" s="39"/>
      <c r="H487" s="38"/>
      <c r="I487" s="38"/>
      <c r="J487" s="38"/>
      <c r="K487" s="38"/>
      <c r="L487" s="38"/>
      <c r="M487" s="44"/>
    </row>
    <row r="488">
      <c r="B488" s="38"/>
      <c r="C488" s="39"/>
      <c r="D488" s="39"/>
      <c r="E488" s="39"/>
      <c r="F488" s="39"/>
      <c r="H488" s="38"/>
      <c r="I488" s="38"/>
      <c r="J488" s="38"/>
      <c r="K488" s="38"/>
      <c r="L488" s="38"/>
      <c r="M488" s="44"/>
    </row>
    <row r="489">
      <c r="B489" s="38"/>
      <c r="C489" s="39"/>
      <c r="D489" s="39"/>
      <c r="E489" s="39"/>
      <c r="F489" s="39"/>
      <c r="H489" s="38"/>
      <c r="I489" s="38"/>
      <c r="J489" s="38"/>
      <c r="K489" s="38"/>
      <c r="L489" s="38"/>
      <c r="M489" s="44"/>
    </row>
    <row r="490">
      <c r="B490" s="38"/>
      <c r="C490" s="39"/>
      <c r="D490" s="39"/>
      <c r="E490" s="39"/>
      <c r="F490" s="39"/>
      <c r="H490" s="38"/>
      <c r="I490" s="38"/>
      <c r="J490" s="38"/>
      <c r="K490" s="38"/>
      <c r="L490" s="38"/>
      <c r="M490" s="44"/>
    </row>
    <row r="491">
      <c r="B491" s="38"/>
      <c r="C491" s="39"/>
      <c r="D491" s="39"/>
      <c r="E491" s="39"/>
      <c r="F491" s="39"/>
      <c r="H491" s="38"/>
      <c r="I491" s="38"/>
      <c r="J491" s="38"/>
      <c r="K491" s="38"/>
      <c r="L491" s="38"/>
      <c r="M491" s="44"/>
    </row>
    <row r="492">
      <c r="B492" s="38"/>
      <c r="C492" s="39"/>
      <c r="D492" s="39"/>
      <c r="E492" s="39"/>
      <c r="F492" s="39"/>
      <c r="H492" s="38"/>
      <c r="I492" s="38"/>
      <c r="J492" s="38"/>
      <c r="K492" s="38"/>
      <c r="L492" s="38"/>
      <c r="M492" s="44"/>
    </row>
    <row r="493">
      <c r="B493" s="38"/>
      <c r="C493" s="39"/>
      <c r="D493" s="39"/>
      <c r="E493" s="39"/>
      <c r="F493" s="39"/>
      <c r="H493" s="38"/>
      <c r="I493" s="38"/>
      <c r="J493" s="38"/>
      <c r="K493" s="38"/>
      <c r="L493" s="38"/>
      <c r="M493" s="44"/>
    </row>
    <row r="494">
      <c r="B494" s="38"/>
      <c r="C494" s="39"/>
      <c r="D494" s="39"/>
      <c r="E494" s="39"/>
      <c r="F494" s="39"/>
      <c r="H494" s="38"/>
      <c r="I494" s="38"/>
      <c r="J494" s="38"/>
      <c r="K494" s="38"/>
      <c r="L494" s="38"/>
      <c r="M494" s="44"/>
    </row>
    <row r="495">
      <c r="B495" s="38"/>
      <c r="C495" s="39"/>
      <c r="D495" s="39"/>
      <c r="E495" s="39"/>
      <c r="F495" s="39"/>
      <c r="H495" s="38"/>
      <c r="I495" s="38"/>
      <c r="J495" s="38"/>
      <c r="K495" s="38"/>
      <c r="L495" s="38"/>
      <c r="M495" s="44"/>
    </row>
    <row r="496">
      <c r="B496" s="38"/>
      <c r="C496" s="39"/>
      <c r="D496" s="39"/>
      <c r="E496" s="39"/>
      <c r="F496" s="39"/>
      <c r="H496" s="38"/>
      <c r="I496" s="38"/>
      <c r="J496" s="38"/>
      <c r="K496" s="38"/>
      <c r="L496" s="38"/>
      <c r="M496" s="44"/>
    </row>
    <row r="497">
      <c r="B497" s="38"/>
      <c r="C497" s="39"/>
      <c r="D497" s="39"/>
      <c r="E497" s="39"/>
      <c r="F497" s="39"/>
      <c r="H497" s="38"/>
      <c r="I497" s="38"/>
      <c r="J497" s="38"/>
      <c r="K497" s="38"/>
      <c r="L497" s="38"/>
      <c r="M497" s="44"/>
    </row>
    <row r="498">
      <c r="B498" s="38"/>
      <c r="C498" s="39"/>
      <c r="D498" s="39"/>
      <c r="E498" s="39"/>
      <c r="F498" s="39"/>
      <c r="H498" s="38"/>
      <c r="I498" s="38"/>
      <c r="J498" s="38"/>
      <c r="K498" s="38"/>
      <c r="L498" s="38"/>
      <c r="M498" s="44"/>
    </row>
    <row r="499">
      <c r="B499" s="38"/>
      <c r="C499" s="39"/>
      <c r="D499" s="39"/>
      <c r="E499" s="39"/>
      <c r="F499" s="39"/>
      <c r="H499" s="38"/>
      <c r="I499" s="38"/>
      <c r="J499" s="38"/>
      <c r="K499" s="38"/>
      <c r="L499" s="38"/>
      <c r="M499" s="44"/>
    </row>
    <row r="500">
      <c r="B500" s="38"/>
      <c r="C500" s="39"/>
      <c r="D500" s="39"/>
      <c r="E500" s="39"/>
      <c r="F500" s="39"/>
      <c r="H500" s="38"/>
      <c r="I500" s="38"/>
      <c r="J500" s="38"/>
      <c r="K500" s="38"/>
      <c r="L500" s="38"/>
      <c r="M500" s="44"/>
    </row>
    <row r="501">
      <c r="B501" s="38"/>
      <c r="C501" s="39"/>
      <c r="D501" s="39"/>
      <c r="E501" s="39"/>
      <c r="F501" s="39"/>
      <c r="H501" s="38"/>
      <c r="I501" s="38"/>
      <c r="J501" s="38"/>
      <c r="K501" s="38"/>
      <c r="L501" s="38"/>
      <c r="M501" s="44"/>
    </row>
    <row r="502">
      <c r="B502" s="38"/>
      <c r="C502" s="39"/>
      <c r="D502" s="39"/>
      <c r="E502" s="39"/>
      <c r="F502" s="39"/>
      <c r="H502" s="38"/>
      <c r="I502" s="38"/>
      <c r="J502" s="38"/>
      <c r="K502" s="38"/>
      <c r="L502" s="38"/>
      <c r="M502" s="44"/>
    </row>
    <row r="503">
      <c r="B503" s="38"/>
      <c r="C503" s="39"/>
      <c r="D503" s="39"/>
      <c r="E503" s="39"/>
      <c r="F503" s="39"/>
      <c r="H503" s="38"/>
      <c r="I503" s="38"/>
      <c r="J503" s="38"/>
      <c r="K503" s="38"/>
      <c r="L503" s="38"/>
      <c r="M503" s="44"/>
    </row>
    <row r="504">
      <c r="B504" s="38"/>
      <c r="C504" s="39"/>
      <c r="D504" s="39"/>
      <c r="E504" s="39"/>
      <c r="F504" s="39"/>
      <c r="H504" s="38"/>
      <c r="I504" s="38"/>
      <c r="J504" s="38"/>
      <c r="K504" s="38"/>
      <c r="L504" s="38"/>
      <c r="M504" s="44"/>
    </row>
    <row r="505">
      <c r="B505" s="38"/>
      <c r="C505" s="39"/>
      <c r="D505" s="39"/>
      <c r="E505" s="39"/>
      <c r="F505" s="39"/>
      <c r="H505" s="38"/>
      <c r="I505" s="38"/>
      <c r="J505" s="38"/>
      <c r="K505" s="38"/>
      <c r="L505" s="38"/>
      <c r="M505" s="44"/>
    </row>
    <row r="506">
      <c r="B506" s="38"/>
      <c r="C506" s="39"/>
      <c r="D506" s="39"/>
      <c r="E506" s="39"/>
      <c r="F506" s="39"/>
      <c r="H506" s="38"/>
      <c r="I506" s="38"/>
      <c r="J506" s="38"/>
      <c r="K506" s="38"/>
      <c r="L506" s="38"/>
      <c r="M506" s="44"/>
    </row>
    <row r="507">
      <c r="B507" s="38"/>
      <c r="C507" s="39"/>
      <c r="D507" s="39"/>
      <c r="E507" s="39"/>
      <c r="F507" s="39"/>
      <c r="H507" s="38"/>
      <c r="I507" s="38"/>
      <c r="J507" s="38"/>
      <c r="K507" s="38"/>
      <c r="L507" s="38"/>
      <c r="M507" s="44"/>
    </row>
    <row r="508">
      <c r="B508" s="38"/>
      <c r="C508" s="39"/>
      <c r="D508" s="39"/>
      <c r="E508" s="39"/>
      <c r="F508" s="39"/>
      <c r="H508" s="38"/>
      <c r="I508" s="38"/>
      <c r="J508" s="38"/>
      <c r="K508" s="38"/>
      <c r="L508" s="38"/>
      <c r="M508" s="44"/>
    </row>
    <row r="509">
      <c r="B509" s="38"/>
      <c r="C509" s="39"/>
      <c r="D509" s="39"/>
      <c r="E509" s="39"/>
      <c r="F509" s="39"/>
      <c r="H509" s="38"/>
      <c r="I509" s="38"/>
      <c r="J509" s="38"/>
      <c r="K509" s="38"/>
      <c r="L509" s="38"/>
      <c r="M509" s="44"/>
    </row>
    <row r="510">
      <c r="B510" s="38"/>
      <c r="C510" s="39"/>
      <c r="D510" s="39"/>
      <c r="E510" s="39"/>
      <c r="F510" s="39"/>
      <c r="H510" s="38"/>
      <c r="I510" s="38"/>
      <c r="J510" s="38"/>
      <c r="K510" s="38"/>
      <c r="L510" s="38"/>
      <c r="M510" s="44"/>
    </row>
    <row r="511">
      <c r="B511" s="38"/>
      <c r="C511" s="39"/>
      <c r="D511" s="39"/>
      <c r="E511" s="39"/>
      <c r="F511" s="39"/>
      <c r="H511" s="38"/>
      <c r="I511" s="38"/>
      <c r="J511" s="38"/>
      <c r="K511" s="38"/>
      <c r="L511" s="38"/>
      <c r="M511" s="44"/>
    </row>
    <row r="512">
      <c r="B512" s="38"/>
      <c r="C512" s="39"/>
      <c r="D512" s="39"/>
      <c r="E512" s="39"/>
      <c r="F512" s="39"/>
      <c r="H512" s="38"/>
      <c r="I512" s="38"/>
      <c r="J512" s="38"/>
      <c r="K512" s="38"/>
      <c r="L512" s="38"/>
      <c r="M512" s="44"/>
    </row>
    <row r="513">
      <c r="B513" s="38"/>
      <c r="C513" s="39"/>
      <c r="D513" s="39"/>
      <c r="E513" s="39"/>
      <c r="F513" s="39"/>
      <c r="H513" s="38"/>
      <c r="I513" s="38"/>
      <c r="J513" s="38"/>
      <c r="K513" s="38"/>
      <c r="L513" s="38"/>
      <c r="M513" s="44"/>
    </row>
    <row r="514">
      <c r="B514" s="38"/>
      <c r="C514" s="39"/>
      <c r="D514" s="39"/>
      <c r="E514" s="39"/>
      <c r="F514" s="39"/>
      <c r="H514" s="38"/>
      <c r="I514" s="38"/>
      <c r="J514" s="38"/>
      <c r="K514" s="38"/>
      <c r="L514" s="38"/>
      <c r="M514" s="44"/>
    </row>
    <row r="515">
      <c r="B515" s="38"/>
      <c r="C515" s="39"/>
      <c r="D515" s="39"/>
      <c r="E515" s="39"/>
      <c r="F515" s="39"/>
      <c r="H515" s="38"/>
      <c r="I515" s="38"/>
      <c r="J515" s="38"/>
      <c r="K515" s="38"/>
      <c r="L515" s="38"/>
      <c r="M515" s="44"/>
    </row>
    <row r="516">
      <c r="B516" s="38"/>
      <c r="C516" s="39"/>
      <c r="D516" s="39"/>
      <c r="E516" s="39"/>
      <c r="F516" s="39"/>
      <c r="H516" s="38"/>
      <c r="I516" s="38"/>
      <c r="J516" s="38"/>
      <c r="K516" s="38"/>
      <c r="L516" s="38"/>
      <c r="M516" s="44"/>
    </row>
    <row r="517">
      <c r="B517" s="38"/>
      <c r="C517" s="39"/>
      <c r="D517" s="39"/>
      <c r="E517" s="39"/>
      <c r="F517" s="39"/>
      <c r="H517" s="38"/>
      <c r="I517" s="38"/>
      <c r="J517" s="38"/>
      <c r="K517" s="38"/>
      <c r="L517" s="38"/>
      <c r="M517" s="44"/>
    </row>
    <row r="518">
      <c r="B518" s="38"/>
      <c r="C518" s="39"/>
      <c r="D518" s="39"/>
      <c r="E518" s="39"/>
      <c r="F518" s="39"/>
      <c r="H518" s="38"/>
      <c r="I518" s="38"/>
      <c r="J518" s="38"/>
      <c r="K518" s="38"/>
      <c r="L518" s="38"/>
      <c r="M518" s="44"/>
    </row>
    <row r="519">
      <c r="B519" s="38"/>
      <c r="C519" s="39"/>
      <c r="D519" s="39"/>
      <c r="E519" s="39"/>
      <c r="F519" s="39"/>
      <c r="H519" s="38"/>
      <c r="I519" s="38"/>
      <c r="J519" s="38"/>
      <c r="K519" s="38"/>
      <c r="L519" s="38"/>
      <c r="M519" s="44"/>
    </row>
    <row r="520">
      <c r="B520" s="38"/>
      <c r="C520" s="39"/>
      <c r="D520" s="39"/>
      <c r="E520" s="39"/>
      <c r="F520" s="39"/>
      <c r="H520" s="38"/>
      <c r="I520" s="38"/>
      <c r="J520" s="38"/>
      <c r="K520" s="38"/>
      <c r="L520" s="38"/>
      <c r="M520" s="44"/>
    </row>
    <row r="521">
      <c r="B521" s="38"/>
      <c r="C521" s="39"/>
      <c r="D521" s="39"/>
      <c r="E521" s="39"/>
      <c r="F521" s="39"/>
      <c r="H521" s="38"/>
      <c r="I521" s="38"/>
      <c r="J521" s="38"/>
      <c r="K521" s="38"/>
      <c r="L521" s="38"/>
      <c r="M521" s="44"/>
    </row>
    <row r="522">
      <c r="B522" s="38"/>
      <c r="C522" s="39"/>
      <c r="D522" s="39"/>
      <c r="E522" s="39"/>
      <c r="F522" s="39"/>
      <c r="H522" s="38"/>
      <c r="I522" s="38"/>
      <c r="J522" s="38"/>
      <c r="K522" s="38"/>
      <c r="L522" s="38"/>
      <c r="M522" s="44"/>
    </row>
    <row r="523">
      <c r="B523" s="38"/>
      <c r="C523" s="39"/>
      <c r="D523" s="39"/>
      <c r="E523" s="39"/>
      <c r="F523" s="39"/>
      <c r="H523" s="38"/>
      <c r="I523" s="38"/>
      <c r="J523" s="38"/>
      <c r="K523" s="38"/>
      <c r="L523" s="38"/>
      <c r="M523" s="44"/>
    </row>
    <row r="524">
      <c r="B524" s="38"/>
      <c r="C524" s="39"/>
      <c r="D524" s="39"/>
      <c r="E524" s="39"/>
      <c r="F524" s="39"/>
      <c r="H524" s="38"/>
      <c r="I524" s="38"/>
      <c r="J524" s="38"/>
      <c r="K524" s="38"/>
      <c r="L524" s="38"/>
      <c r="M524" s="44"/>
    </row>
    <row r="525">
      <c r="B525" s="38"/>
      <c r="C525" s="39"/>
      <c r="D525" s="39"/>
      <c r="E525" s="39"/>
      <c r="F525" s="39"/>
      <c r="H525" s="38"/>
      <c r="I525" s="38"/>
      <c r="J525" s="38"/>
      <c r="K525" s="38"/>
      <c r="L525" s="38"/>
      <c r="M525" s="44"/>
    </row>
    <row r="526">
      <c r="B526" s="38"/>
      <c r="C526" s="39"/>
      <c r="D526" s="39"/>
      <c r="E526" s="39"/>
      <c r="F526" s="39"/>
      <c r="H526" s="38"/>
      <c r="I526" s="38"/>
      <c r="J526" s="38"/>
      <c r="K526" s="38"/>
      <c r="L526" s="38"/>
      <c r="M526" s="44"/>
    </row>
    <row r="527">
      <c r="B527" s="38"/>
      <c r="C527" s="39"/>
      <c r="D527" s="39"/>
      <c r="E527" s="39"/>
      <c r="F527" s="39"/>
      <c r="H527" s="38"/>
      <c r="I527" s="38"/>
      <c r="J527" s="38"/>
      <c r="K527" s="38"/>
      <c r="L527" s="38"/>
      <c r="M527" s="44"/>
    </row>
    <row r="528">
      <c r="B528" s="38"/>
      <c r="C528" s="39"/>
      <c r="D528" s="39"/>
      <c r="E528" s="39"/>
      <c r="F528" s="39"/>
      <c r="H528" s="38"/>
      <c r="I528" s="38"/>
      <c r="J528" s="38"/>
      <c r="K528" s="38"/>
      <c r="L528" s="38"/>
      <c r="M528" s="44"/>
    </row>
    <row r="529">
      <c r="B529" s="38"/>
      <c r="C529" s="39"/>
      <c r="D529" s="39"/>
      <c r="E529" s="39"/>
      <c r="F529" s="39"/>
      <c r="H529" s="38"/>
      <c r="I529" s="38"/>
      <c r="J529" s="38"/>
      <c r="K529" s="38"/>
      <c r="L529" s="38"/>
      <c r="M529" s="44"/>
    </row>
    <row r="530">
      <c r="B530" s="38"/>
      <c r="C530" s="39"/>
      <c r="D530" s="39"/>
      <c r="E530" s="39"/>
      <c r="F530" s="39"/>
      <c r="H530" s="38"/>
      <c r="I530" s="38"/>
      <c r="J530" s="38"/>
      <c r="K530" s="38"/>
      <c r="L530" s="38"/>
      <c r="M530" s="44"/>
    </row>
    <row r="531">
      <c r="B531" s="38"/>
      <c r="C531" s="39"/>
      <c r="D531" s="39"/>
      <c r="E531" s="39"/>
      <c r="F531" s="39"/>
      <c r="H531" s="38"/>
      <c r="I531" s="38"/>
      <c r="J531" s="38"/>
      <c r="K531" s="38"/>
      <c r="L531" s="38"/>
      <c r="M531" s="44"/>
    </row>
    <row r="532">
      <c r="B532" s="38"/>
      <c r="C532" s="39"/>
      <c r="D532" s="39"/>
      <c r="E532" s="39"/>
      <c r="F532" s="39"/>
      <c r="H532" s="38"/>
      <c r="I532" s="38"/>
      <c r="J532" s="38"/>
      <c r="K532" s="38"/>
      <c r="L532" s="38"/>
      <c r="M532" s="44"/>
    </row>
    <row r="533">
      <c r="B533" s="38"/>
      <c r="C533" s="39"/>
      <c r="D533" s="39"/>
      <c r="E533" s="39"/>
      <c r="F533" s="39"/>
      <c r="H533" s="38"/>
      <c r="I533" s="38"/>
      <c r="J533" s="38"/>
      <c r="K533" s="38"/>
      <c r="L533" s="38"/>
      <c r="M533" s="44"/>
    </row>
    <row r="534">
      <c r="B534" s="38"/>
      <c r="C534" s="39"/>
      <c r="D534" s="39"/>
      <c r="E534" s="39"/>
      <c r="F534" s="39"/>
      <c r="H534" s="38"/>
      <c r="I534" s="38"/>
      <c r="J534" s="38"/>
      <c r="K534" s="38"/>
      <c r="L534" s="38"/>
      <c r="M534" s="44"/>
    </row>
    <row r="535">
      <c r="B535" s="38"/>
      <c r="C535" s="39"/>
      <c r="D535" s="39"/>
      <c r="E535" s="39"/>
      <c r="F535" s="39"/>
      <c r="H535" s="38"/>
      <c r="I535" s="38"/>
      <c r="J535" s="38"/>
      <c r="K535" s="38"/>
      <c r="L535" s="38"/>
      <c r="M535" s="44"/>
    </row>
    <row r="536">
      <c r="B536" s="38"/>
      <c r="C536" s="39"/>
      <c r="D536" s="39"/>
      <c r="E536" s="39"/>
      <c r="F536" s="39"/>
      <c r="H536" s="38"/>
      <c r="I536" s="38"/>
      <c r="J536" s="38"/>
      <c r="K536" s="38"/>
      <c r="L536" s="38"/>
      <c r="M536" s="44"/>
    </row>
    <row r="537">
      <c r="B537" s="38"/>
      <c r="C537" s="39"/>
      <c r="D537" s="39"/>
      <c r="E537" s="39"/>
      <c r="F537" s="39"/>
      <c r="H537" s="38"/>
      <c r="I537" s="38"/>
      <c r="J537" s="38"/>
      <c r="K537" s="38"/>
      <c r="L537" s="38"/>
      <c r="M537" s="44"/>
    </row>
    <row r="538">
      <c r="B538" s="38"/>
      <c r="C538" s="39"/>
      <c r="D538" s="39"/>
      <c r="E538" s="39"/>
      <c r="F538" s="39"/>
      <c r="H538" s="38"/>
      <c r="I538" s="38"/>
      <c r="J538" s="38"/>
      <c r="K538" s="38"/>
      <c r="L538" s="38"/>
      <c r="M538" s="44"/>
    </row>
    <row r="539">
      <c r="B539" s="38"/>
      <c r="C539" s="39"/>
      <c r="D539" s="39"/>
      <c r="E539" s="39"/>
      <c r="F539" s="39"/>
      <c r="H539" s="38"/>
      <c r="I539" s="38"/>
      <c r="J539" s="38"/>
      <c r="K539" s="38"/>
      <c r="L539" s="38"/>
      <c r="M539" s="44"/>
    </row>
    <row r="540">
      <c r="B540" s="38"/>
      <c r="C540" s="39"/>
      <c r="D540" s="39"/>
      <c r="E540" s="39"/>
      <c r="F540" s="39"/>
      <c r="H540" s="38"/>
      <c r="I540" s="38"/>
      <c r="J540" s="38"/>
      <c r="K540" s="38"/>
      <c r="L540" s="38"/>
      <c r="M540" s="44"/>
    </row>
    <row r="541">
      <c r="B541" s="38"/>
      <c r="C541" s="39"/>
      <c r="D541" s="39"/>
      <c r="E541" s="39"/>
      <c r="F541" s="39"/>
      <c r="H541" s="38"/>
      <c r="I541" s="38"/>
      <c r="J541" s="38"/>
      <c r="K541" s="38"/>
      <c r="L541" s="38"/>
      <c r="M541" s="44"/>
    </row>
    <row r="542">
      <c r="B542" s="38"/>
      <c r="C542" s="39"/>
      <c r="D542" s="39"/>
      <c r="E542" s="39"/>
      <c r="F542" s="39"/>
      <c r="H542" s="38"/>
      <c r="I542" s="38"/>
      <c r="J542" s="38"/>
      <c r="K542" s="38"/>
      <c r="L542" s="38"/>
      <c r="M542" s="44"/>
    </row>
    <row r="543">
      <c r="B543" s="38"/>
      <c r="C543" s="39"/>
      <c r="D543" s="39"/>
      <c r="E543" s="39"/>
      <c r="F543" s="39"/>
      <c r="H543" s="38"/>
      <c r="I543" s="38"/>
      <c r="J543" s="38"/>
      <c r="K543" s="38"/>
      <c r="L543" s="38"/>
      <c r="M543" s="44"/>
    </row>
    <row r="544">
      <c r="B544" s="38"/>
      <c r="C544" s="39"/>
      <c r="D544" s="39"/>
      <c r="E544" s="39"/>
      <c r="F544" s="39"/>
      <c r="H544" s="38"/>
      <c r="I544" s="38"/>
      <c r="J544" s="38"/>
      <c r="K544" s="38"/>
      <c r="L544" s="38"/>
      <c r="M544" s="44"/>
    </row>
    <row r="545">
      <c r="B545" s="38"/>
      <c r="C545" s="39"/>
      <c r="D545" s="39"/>
      <c r="E545" s="39"/>
      <c r="F545" s="39"/>
      <c r="H545" s="38"/>
      <c r="I545" s="38"/>
      <c r="J545" s="38"/>
      <c r="K545" s="38"/>
      <c r="L545" s="38"/>
      <c r="M545" s="44"/>
    </row>
    <row r="546">
      <c r="B546" s="38"/>
      <c r="C546" s="39"/>
      <c r="D546" s="39"/>
      <c r="E546" s="39"/>
      <c r="F546" s="39"/>
      <c r="H546" s="38"/>
      <c r="I546" s="38"/>
      <c r="J546" s="38"/>
      <c r="K546" s="38"/>
      <c r="L546" s="38"/>
      <c r="M546" s="44"/>
    </row>
    <row r="547">
      <c r="B547" s="38"/>
      <c r="C547" s="39"/>
      <c r="D547" s="39"/>
      <c r="E547" s="39"/>
      <c r="F547" s="39"/>
      <c r="H547" s="38"/>
      <c r="I547" s="38"/>
      <c r="J547" s="38"/>
      <c r="K547" s="38"/>
      <c r="L547" s="38"/>
      <c r="M547" s="44"/>
    </row>
    <row r="548">
      <c r="B548" s="38"/>
      <c r="C548" s="39"/>
      <c r="D548" s="39"/>
      <c r="E548" s="39"/>
      <c r="F548" s="39"/>
      <c r="H548" s="38"/>
      <c r="I548" s="38"/>
      <c r="J548" s="38"/>
      <c r="K548" s="38"/>
      <c r="L548" s="38"/>
      <c r="M548" s="44"/>
    </row>
    <row r="549">
      <c r="B549" s="38"/>
      <c r="C549" s="39"/>
      <c r="D549" s="39"/>
      <c r="E549" s="39"/>
      <c r="F549" s="39"/>
      <c r="H549" s="38"/>
      <c r="I549" s="38"/>
      <c r="J549" s="38"/>
      <c r="K549" s="38"/>
      <c r="L549" s="38"/>
      <c r="M549" s="44"/>
    </row>
    <row r="550">
      <c r="B550" s="38"/>
      <c r="C550" s="39"/>
      <c r="D550" s="39"/>
      <c r="E550" s="39"/>
      <c r="F550" s="39"/>
      <c r="H550" s="38"/>
      <c r="I550" s="38"/>
      <c r="J550" s="38"/>
      <c r="K550" s="38"/>
      <c r="L550" s="38"/>
      <c r="M550" s="44"/>
    </row>
    <row r="551">
      <c r="B551" s="38"/>
      <c r="C551" s="39"/>
      <c r="D551" s="39"/>
      <c r="E551" s="39"/>
      <c r="F551" s="39"/>
      <c r="H551" s="38"/>
      <c r="I551" s="38"/>
      <c r="J551" s="38"/>
      <c r="K551" s="38"/>
      <c r="L551" s="38"/>
      <c r="M551" s="44"/>
    </row>
    <row r="552">
      <c r="B552" s="38"/>
      <c r="C552" s="39"/>
      <c r="D552" s="39"/>
      <c r="E552" s="39"/>
      <c r="F552" s="39"/>
      <c r="H552" s="38"/>
      <c r="I552" s="38"/>
      <c r="J552" s="38"/>
      <c r="K552" s="38"/>
      <c r="L552" s="38"/>
      <c r="M552" s="44"/>
    </row>
    <row r="553">
      <c r="B553" s="38"/>
      <c r="C553" s="39"/>
      <c r="D553" s="39"/>
      <c r="E553" s="39"/>
      <c r="F553" s="39"/>
      <c r="H553" s="38"/>
      <c r="I553" s="38"/>
      <c r="J553" s="38"/>
      <c r="K553" s="38"/>
      <c r="L553" s="38"/>
      <c r="M553" s="44"/>
    </row>
    <row r="554">
      <c r="B554" s="38"/>
      <c r="C554" s="39"/>
      <c r="D554" s="39"/>
      <c r="E554" s="39"/>
      <c r="F554" s="39"/>
      <c r="H554" s="38"/>
      <c r="I554" s="38"/>
      <c r="J554" s="38"/>
      <c r="K554" s="38"/>
      <c r="L554" s="38"/>
      <c r="M554" s="44"/>
    </row>
    <row r="555">
      <c r="B555" s="38"/>
      <c r="C555" s="39"/>
      <c r="D555" s="39"/>
      <c r="E555" s="39"/>
      <c r="F555" s="39"/>
      <c r="H555" s="38"/>
      <c r="I555" s="38"/>
      <c r="J555" s="38"/>
      <c r="K555" s="38"/>
      <c r="L555" s="38"/>
      <c r="M555" s="44"/>
    </row>
    <row r="556">
      <c r="B556" s="38"/>
      <c r="C556" s="39"/>
      <c r="D556" s="39"/>
      <c r="E556" s="39"/>
      <c r="F556" s="39"/>
      <c r="H556" s="38"/>
      <c r="I556" s="38"/>
      <c r="J556" s="38"/>
      <c r="K556" s="38"/>
      <c r="L556" s="38"/>
      <c r="M556" s="44"/>
    </row>
    <row r="557">
      <c r="B557" s="38"/>
      <c r="C557" s="39"/>
      <c r="D557" s="39"/>
      <c r="E557" s="39"/>
      <c r="F557" s="39"/>
      <c r="H557" s="38"/>
      <c r="I557" s="38"/>
      <c r="J557" s="38"/>
      <c r="K557" s="38"/>
      <c r="L557" s="38"/>
      <c r="M557" s="44"/>
    </row>
    <row r="558">
      <c r="B558" s="38"/>
      <c r="C558" s="39"/>
      <c r="D558" s="39"/>
      <c r="E558" s="39"/>
      <c r="F558" s="39"/>
      <c r="H558" s="38"/>
      <c r="I558" s="38"/>
      <c r="J558" s="38"/>
      <c r="K558" s="38"/>
      <c r="L558" s="38"/>
      <c r="M558" s="44"/>
    </row>
    <row r="559">
      <c r="B559" s="38"/>
      <c r="C559" s="39"/>
      <c r="D559" s="39"/>
      <c r="E559" s="39"/>
      <c r="F559" s="39"/>
      <c r="H559" s="38"/>
      <c r="I559" s="38"/>
      <c r="J559" s="38"/>
      <c r="K559" s="38"/>
      <c r="L559" s="38"/>
      <c r="M559" s="44"/>
    </row>
    <row r="560">
      <c r="B560" s="38"/>
      <c r="C560" s="39"/>
      <c r="D560" s="39"/>
      <c r="E560" s="39"/>
      <c r="F560" s="39"/>
      <c r="H560" s="38"/>
      <c r="I560" s="38"/>
      <c r="J560" s="38"/>
      <c r="K560" s="38"/>
      <c r="L560" s="38"/>
      <c r="M560" s="44"/>
    </row>
    <row r="561">
      <c r="B561" s="38"/>
      <c r="C561" s="39"/>
      <c r="D561" s="39"/>
      <c r="E561" s="39"/>
      <c r="F561" s="39"/>
      <c r="H561" s="38"/>
      <c r="I561" s="38"/>
      <c r="J561" s="38"/>
      <c r="K561" s="38"/>
      <c r="L561" s="38"/>
      <c r="M561" s="44"/>
    </row>
    <row r="562">
      <c r="B562" s="38"/>
      <c r="C562" s="39"/>
      <c r="D562" s="39"/>
      <c r="E562" s="39"/>
      <c r="F562" s="39"/>
      <c r="H562" s="38"/>
      <c r="I562" s="38"/>
      <c r="J562" s="38"/>
      <c r="K562" s="38"/>
      <c r="L562" s="38"/>
      <c r="M562" s="44"/>
    </row>
    <row r="563">
      <c r="B563" s="38"/>
      <c r="C563" s="39"/>
      <c r="D563" s="39"/>
      <c r="E563" s="39"/>
      <c r="F563" s="39"/>
      <c r="H563" s="38"/>
      <c r="I563" s="38"/>
      <c r="J563" s="38"/>
      <c r="K563" s="38"/>
      <c r="L563" s="38"/>
      <c r="M563" s="44"/>
    </row>
    <row r="564">
      <c r="B564" s="38"/>
      <c r="C564" s="39"/>
      <c r="D564" s="39"/>
      <c r="E564" s="39"/>
      <c r="F564" s="39"/>
      <c r="H564" s="38"/>
      <c r="I564" s="38"/>
      <c r="J564" s="38"/>
      <c r="K564" s="38"/>
      <c r="L564" s="38"/>
      <c r="M564" s="44"/>
    </row>
    <row r="565">
      <c r="B565" s="38"/>
      <c r="C565" s="39"/>
      <c r="D565" s="39"/>
      <c r="E565" s="39"/>
      <c r="F565" s="39"/>
      <c r="H565" s="38"/>
      <c r="I565" s="38"/>
      <c r="J565" s="38"/>
      <c r="K565" s="38"/>
      <c r="L565" s="38"/>
      <c r="M565" s="44"/>
    </row>
    <row r="566">
      <c r="B566" s="38"/>
      <c r="C566" s="39"/>
      <c r="D566" s="39"/>
      <c r="E566" s="39"/>
      <c r="F566" s="39"/>
      <c r="H566" s="38"/>
      <c r="I566" s="38"/>
      <c r="J566" s="38"/>
      <c r="K566" s="38"/>
      <c r="L566" s="38"/>
      <c r="M566" s="44"/>
    </row>
    <row r="567">
      <c r="B567" s="38"/>
      <c r="C567" s="39"/>
      <c r="D567" s="39"/>
      <c r="E567" s="39"/>
      <c r="F567" s="39"/>
      <c r="H567" s="38"/>
      <c r="I567" s="38"/>
      <c r="J567" s="38"/>
      <c r="K567" s="38"/>
      <c r="L567" s="38"/>
      <c r="M567" s="44"/>
    </row>
    <row r="568">
      <c r="B568" s="38"/>
      <c r="C568" s="39"/>
      <c r="D568" s="39"/>
      <c r="E568" s="39"/>
      <c r="F568" s="39"/>
      <c r="H568" s="38"/>
      <c r="I568" s="38"/>
      <c r="J568" s="38"/>
      <c r="K568" s="38"/>
      <c r="L568" s="38"/>
      <c r="M568" s="44"/>
    </row>
    <row r="569">
      <c r="B569" s="38"/>
      <c r="C569" s="39"/>
      <c r="D569" s="39"/>
      <c r="E569" s="39"/>
      <c r="F569" s="39"/>
      <c r="H569" s="38"/>
      <c r="I569" s="38"/>
      <c r="J569" s="38"/>
      <c r="K569" s="38"/>
      <c r="L569" s="38"/>
      <c r="M569" s="44"/>
    </row>
    <row r="570">
      <c r="B570" s="38"/>
      <c r="C570" s="39"/>
      <c r="D570" s="39"/>
      <c r="E570" s="39"/>
      <c r="F570" s="39"/>
      <c r="H570" s="38"/>
      <c r="I570" s="38"/>
      <c r="J570" s="38"/>
      <c r="K570" s="38"/>
      <c r="L570" s="38"/>
      <c r="M570" s="44"/>
    </row>
    <row r="571">
      <c r="B571" s="38"/>
      <c r="C571" s="39"/>
      <c r="D571" s="39"/>
      <c r="E571" s="39"/>
      <c r="F571" s="39"/>
      <c r="H571" s="38"/>
      <c r="I571" s="38"/>
      <c r="J571" s="38"/>
      <c r="K571" s="38"/>
      <c r="L571" s="38"/>
      <c r="M571" s="44"/>
    </row>
    <row r="572">
      <c r="B572" s="38"/>
      <c r="C572" s="39"/>
      <c r="D572" s="39"/>
      <c r="E572" s="39"/>
      <c r="F572" s="39"/>
      <c r="H572" s="38"/>
      <c r="I572" s="38"/>
      <c r="J572" s="38"/>
      <c r="K572" s="38"/>
      <c r="L572" s="38"/>
      <c r="M572" s="44"/>
    </row>
    <row r="573">
      <c r="B573" s="38"/>
      <c r="C573" s="39"/>
      <c r="D573" s="39"/>
      <c r="E573" s="39"/>
      <c r="F573" s="39"/>
      <c r="H573" s="38"/>
      <c r="I573" s="38"/>
      <c r="J573" s="38"/>
      <c r="K573" s="38"/>
      <c r="L573" s="38"/>
      <c r="M573" s="44"/>
    </row>
    <row r="574">
      <c r="B574" s="38"/>
      <c r="C574" s="39"/>
      <c r="D574" s="39"/>
      <c r="E574" s="39"/>
      <c r="F574" s="39"/>
      <c r="H574" s="38"/>
      <c r="I574" s="38"/>
      <c r="J574" s="38"/>
      <c r="K574" s="38"/>
      <c r="L574" s="38"/>
      <c r="M574" s="44"/>
    </row>
    <row r="575">
      <c r="B575" s="38"/>
      <c r="C575" s="39"/>
      <c r="D575" s="39"/>
      <c r="E575" s="39"/>
      <c r="F575" s="39"/>
      <c r="H575" s="38"/>
      <c r="I575" s="38"/>
      <c r="J575" s="38"/>
      <c r="K575" s="38"/>
      <c r="L575" s="38"/>
      <c r="M575" s="44"/>
    </row>
    <row r="576">
      <c r="B576" s="38"/>
      <c r="C576" s="39"/>
      <c r="D576" s="39"/>
      <c r="E576" s="39"/>
      <c r="F576" s="39"/>
      <c r="H576" s="38"/>
      <c r="I576" s="38"/>
      <c r="J576" s="38"/>
      <c r="K576" s="38"/>
      <c r="L576" s="38"/>
      <c r="M576" s="44"/>
    </row>
    <row r="577">
      <c r="B577" s="38"/>
      <c r="C577" s="39"/>
      <c r="D577" s="39"/>
      <c r="E577" s="39"/>
      <c r="F577" s="39"/>
      <c r="H577" s="38"/>
      <c r="I577" s="38"/>
      <c r="J577" s="38"/>
      <c r="K577" s="38"/>
      <c r="L577" s="38"/>
      <c r="M577" s="44"/>
    </row>
    <row r="578">
      <c r="B578" s="38"/>
      <c r="C578" s="39"/>
      <c r="D578" s="39"/>
      <c r="E578" s="39"/>
      <c r="F578" s="39"/>
      <c r="H578" s="38"/>
      <c r="I578" s="38"/>
      <c r="J578" s="38"/>
      <c r="K578" s="38"/>
      <c r="L578" s="38"/>
      <c r="M578" s="44"/>
    </row>
    <row r="579">
      <c r="B579" s="38"/>
      <c r="C579" s="39"/>
      <c r="D579" s="39"/>
      <c r="E579" s="39"/>
      <c r="F579" s="39"/>
      <c r="H579" s="38"/>
      <c r="I579" s="38"/>
      <c r="J579" s="38"/>
      <c r="K579" s="38"/>
      <c r="L579" s="38"/>
      <c r="M579" s="44"/>
    </row>
    <row r="580">
      <c r="B580" s="38"/>
      <c r="C580" s="39"/>
      <c r="D580" s="39"/>
      <c r="E580" s="39"/>
      <c r="F580" s="39"/>
      <c r="H580" s="38"/>
      <c r="I580" s="38"/>
      <c r="J580" s="38"/>
      <c r="K580" s="38"/>
      <c r="L580" s="38"/>
      <c r="M580" s="44"/>
    </row>
    <row r="581">
      <c r="B581" s="38"/>
      <c r="C581" s="39"/>
      <c r="D581" s="39"/>
      <c r="E581" s="39"/>
      <c r="F581" s="39"/>
      <c r="H581" s="38"/>
      <c r="I581" s="38"/>
      <c r="J581" s="38"/>
      <c r="K581" s="38"/>
      <c r="L581" s="38"/>
      <c r="M581" s="44"/>
    </row>
    <row r="582">
      <c r="B582" s="38"/>
      <c r="C582" s="39"/>
      <c r="D582" s="39"/>
      <c r="E582" s="39"/>
      <c r="F582" s="39"/>
      <c r="H582" s="38"/>
      <c r="I582" s="38"/>
      <c r="J582" s="38"/>
      <c r="K582" s="38"/>
      <c r="L582" s="38"/>
      <c r="M582" s="44"/>
    </row>
    <row r="583">
      <c r="B583" s="38"/>
      <c r="C583" s="39"/>
      <c r="D583" s="39"/>
      <c r="E583" s="39"/>
      <c r="F583" s="39"/>
      <c r="H583" s="38"/>
      <c r="I583" s="38"/>
      <c r="J583" s="38"/>
      <c r="K583" s="38"/>
      <c r="L583" s="38"/>
      <c r="M583" s="44"/>
    </row>
    <row r="584">
      <c r="B584" s="38"/>
      <c r="C584" s="39"/>
      <c r="D584" s="39"/>
      <c r="E584" s="39"/>
      <c r="F584" s="39"/>
      <c r="H584" s="38"/>
      <c r="I584" s="38"/>
      <c r="J584" s="38"/>
      <c r="K584" s="38"/>
      <c r="L584" s="38"/>
      <c r="M584" s="44"/>
    </row>
    <row r="585">
      <c r="B585" s="38"/>
      <c r="C585" s="39"/>
      <c r="D585" s="39"/>
      <c r="E585" s="39"/>
      <c r="F585" s="39"/>
      <c r="H585" s="38"/>
      <c r="I585" s="38"/>
      <c r="J585" s="38"/>
      <c r="K585" s="38"/>
      <c r="L585" s="38"/>
      <c r="M585" s="44"/>
    </row>
    <row r="586">
      <c r="B586" s="38"/>
      <c r="C586" s="39"/>
      <c r="D586" s="39"/>
      <c r="E586" s="39"/>
      <c r="F586" s="39"/>
      <c r="H586" s="38"/>
      <c r="I586" s="38"/>
      <c r="J586" s="38"/>
      <c r="K586" s="38"/>
      <c r="L586" s="38"/>
      <c r="M586" s="44"/>
    </row>
    <row r="587">
      <c r="B587" s="38"/>
      <c r="C587" s="39"/>
      <c r="D587" s="39"/>
      <c r="E587" s="39"/>
      <c r="F587" s="39"/>
      <c r="H587" s="38"/>
      <c r="I587" s="38"/>
      <c r="J587" s="38"/>
      <c r="K587" s="38"/>
      <c r="L587" s="38"/>
      <c r="M587" s="44"/>
    </row>
    <row r="588">
      <c r="B588" s="38"/>
      <c r="C588" s="39"/>
      <c r="D588" s="39"/>
      <c r="E588" s="39"/>
      <c r="F588" s="39"/>
      <c r="H588" s="38"/>
      <c r="I588" s="38"/>
      <c r="J588" s="38"/>
      <c r="K588" s="38"/>
      <c r="L588" s="38"/>
      <c r="M588" s="44"/>
    </row>
    <row r="589">
      <c r="B589" s="38"/>
      <c r="C589" s="39"/>
      <c r="D589" s="39"/>
      <c r="E589" s="39"/>
      <c r="F589" s="39"/>
      <c r="H589" s="38"/>
      <c r="I589" s="38"/>
      <c r="J589" s="38"/>
      <c r="K589" s="38"/>
      <c r="L589" s="38"/>
      <c r="M589" s="44"/>
    </row>
    <row r="590">
      <c r="B590" s="38"/>
      <c r="C590" s="39"/>
      <c r="D590" s="39"/>
      <c r="E590" s="39"/>
      <c r="F590" s="39"/>
      <c r="H590" s="38"/>
      <c r="I590" s="38"/>
      <c r="J590" s="38"/>
      <c r="K590" s="38"/>
      <c r="L590" s="38"/>
      <c r="M590" s="44"/>
    </row>
    <row r="591">
      <c r="B591" s="38"/>
      <c r="C591" s="39"/>
      <c r="D591" s="39"/>
      <c r="E591" s="39"/>
      <c r="F591" s="39"/>
      <c r="H591" s="38"/>
      <c r="I591" s="38"/>
      <c r="J591" s="38"/>
      <c r="K591" s="38"/>
      <c r="L591" s="38"/>
      <c r="M591" s="44"/>
    </row>
    <row r="592">
      <c r="B592" s="38"/>
      <c r="C592" s="39"/>
      <c r="D592" s="39"/>
      <c r="E592" s="39"/>
      <c r="F592" s="39"/>
      <c r="H592" s="38"/>
      <c r="I592" s="38"/>
      <c r="J592" s="38"/>
      <c r="K592" s="38"/>
      <c r="L592" s="38"/>
      <c r="M592" s="44"/>
    </row>
    <row r="593">
      <c r="B593" s="38"/>
      <c r="C593" s="39"/>
      <c r="D593" s="39"/>
      <c r="E593" s="39"/>
      <c r="F593" s="39"/>
      <c r="H593" s="38"/>
      <c r="I593" s="38"/>
      <c r="J593" s="38"/>
      <c r="K593" s="38"/>
      <c r="L593" s="38"/>
      <c r="M593" s="44"/>
    </row>
    <row r="594">
      <c r="B594" s="38"/>
      <c r="C594" s="39"/>
      <c r="D594" s="39"/>
      <c r="E594" s="39"/>
      <c r="F594" s="39"/>
      <c r="H594" s="38"/>
      <c r="I594" s="38"/>
      <c r="J594" s="38"/>
      <c r="K594" s="38"/>
      <c r="L594" s="38"/>
      <c r="M594" s="44"/>
    </row>
    <row r="595">
      <c r="B595" s="38"/>
      <c r="C595" s="39"/>
      <c r="D595" s="39"/>
      <c r="E595" s="39"/>
      <c r="F595" s="39"/>
      <c r="H595" s="38"/>
      <c r="I595" s="38"/>
      <c r="J595" s="38"/>
      <c r="K595" s="38"/>
      <c r="L595" s="38"/>
      <c r="M595" s="44"/>
    </row>
    <row r="596">
      <c r="B596" s="38"/>
      <c r="C596" s="39"/>
      <c r="D596" s="39"/>
      <c r="E596" s="39"/>
      <c r="F596" s="39"/>
      <c r="H596" s="38"/>
      <c r="I596" s="38"/>
      <c r="J596" s="38"/>
      <c r="K596" s="38"/>
      <c r="L596" s="38"/>
      <c r="M596" s="44"/>
    </row>
    <row r="597">
      <c r="B597" s="38"/>
      <c r="C597" s="39"/>
      <c r="D597" s="39"/>
      <c r="E597" s="39"/>
      <c r="F597" s="39"/>
      <c r="H597" s="38"/>
      <c r="I597" s="38"/>
      <c r="J597" s="38"/>
      <c r="K597" s="38"/>
      <c r="L597" s="38"/>
      <c r="M597" s="44"/>
    </row>
    <row r="598">
      <c r="B598" s="38"/>
      <c r="C598" s="39"/>
      <c r="D598" s="39"/>
      <c r="E598" s="39"/>
      <c r="F598" s="39"/>
      <c r="H598" s="38"/>
      <c r="I598" s="38"/>
      <c r="J598" s="38"/>
      <c r="K598" s="38"/>
      <c r="L598" s="38"/>
      <c r="M598" s="44"/>
    </row>
    <row r="599">
      <c r="B599" s="38"/>
      <c r="C599" s="39"/>
      <c r="D599" s="39"/>
      <c r="E599" s="39"/>
      <c r="F599" s="39"/>
      <c r="H599" s="38"/>
      <c r="I599" s="38"/>
      <c r="J599" s="38"/>
      <c r="K599" s="38"/>
      <c r="L599" s="38"/>
      <c r="M599" s="44"/>
    </row>
    <row r="600">
      <c r="B600" s="38"/>
      <c r="C600" s="39"/>
      <c r="D600" s="39"/>
      <c r="E600" s="39"/>
      <c r="F600" s="39"/>
      <c r="H600" s="38"/>
      <c r="I600" s="38"/>
      <c r="J600" s="38"/>
      <c r="K600" s="38"/>
      <c r="L600" s="38"/>
      <c r="M600" s="44"/>
    </row>
    <row r="601">
      <c r="B601" s="38"/>
      <c r="C601" s="39"/>
      <c r="D601" s="39"/>
      <c r="E601" s="39"/>
      <c r="F601" s="39"/>
      <c r="H601" s="38"/>
      <c r="I601" s="38"/>
      <c r="J601" s="38"/>
      <c r="K601" s="38"/>
      <c r="L601" s="38"/>
      <c r="M601" s="44"/>
    </row>
    <row r="602">
      <c r="B602" s="38"/>
      <c r="C602" s="39"/>
      <c r="D602" s="39"/>
      <c r="E602" s="39"/>
      <c r="F602" s="39"/>
      <c r="H602" s="38"/>
      <c r="I602" s="38"/>
      <c r="J602" s="38"/>
      <c r="K602" s="38"/>
      <c r="L602" s="38"/>
      <c r="M602" s="44"/>
    </row>
    <row r="603">
      <c r="B603" s="38"/>
      <c r="C603" s="39"/>
      <c r="D603" s="39"/>
      <c r="E603" s="39"/>
      <c r="F603" s="39"/>
      <c r="H603" s="38"/>
      <c r="I603" s="38"/>
      <c r="J603" s="38"/>
      <c r="K603" s="38"/>
      <c r="L603" s="38"/>
      <c r="M603" s="44"/>
    </row>
    <row r="604">
      <c r="B604" s="38"/>
      <c r="C604" s="39"/>
      <c r="D604" s="39"/>
      <c r="E604" s="39"/>
      <c r="F604" s="39"/>
      <c r="H604" s="38"/>
      <c r="I604" s="38"/>
      <c r="J604" s="38"/>
      <c r="K604" s="38"/>
      <c r="L604" s="38"/>
      <c r="M604" s="44"/>
    </row>
    <row r="605">
      <c r="B605" s="38"/>
      <c r="C605" s="39"/>
      <c r="D605" s="39"/>
      <c r="E605" s="39"/>
      <c r="F605" s="39"/>
      <c r="H605" s="38"/>
      <c r="I605" s="38"/>
      <c r="J605" s="38"/>
      <c r="K605" s="38"/>
      <c r="L605" s="38"/>
      <c r="M605" s="44"/>
    </row>
    <row r="606">
      <c r="B606" s="38"/>
      <c r="C606" s="39"/>
      <c r="D606" s="39"/>
      <c r="E606" s="39"/>
      <c r="F606" s="39"/>
      <c r="H606" s="38"/>
      <c r="I606" s="38"/>
      <c r="J606" s="38"/>
      <c r="K606" s="38"/>
      <c r="L606" s="38"/>
      <c r="M606" s="44"/>
    </row>
    <row r="607">
      <c r="B607" s="38"/>
      <c r="C607" s="39"/>
      <c r="D607" s="39"/>
      <c r="E607" s="39"/>
      <c r="F607" s="39"/>
      <c r="H607" s="38"/>
      <c r="I607" s="38"/>
      <c r="J607" s="38"/>
      <c r="K607" s="38"/>
      <c r="L607" s="38"/>
      <c r="M607" s="44"/>
    </row>
    <row r="608">
      <c r="B608" s="38"/>
      <c r="C608" s="39"/>
      <c r="D608" s="39"/>
      <c r="E608" s="39"/>
      <c r="F608" s="39"/>
      <c r="H608" s="38"/>
      <c r="I608" s="38"/>
      <c r="J608" s="38"/>
      <c r="K608" s="38"/>
      <c r="L608" s="38"/>
      <c r="M608" s="44"/>
    </row>
    <row r="609">
      <c r="B609" s="38"/>
      <c r="C609" s="39"/>
      <c r="D609" s="39"/>
      <c r="E609" s="39"/>
      <c r="F609" s="39"/>
      <c r="H609" s="38"/>
      <c r="I609" s="38"/>
      <c r="J609" s="38"/>
      <c r="K609" s="38"/>
      <c r="L609" s="38"/>
      <c r="M609" s="44"/>
    </row>
    <row r="610">
      <c r="B610" s="38"/>
      <c r="C610" s="39"/>
      <c r="D610" s="39"/>
      <c r="E610" s="39"/>
      <c r="F610" s="39"/>
      <c r="H610" s="38"/>
      <c r="I610" s="38"/>
      <c r="J610" s="38"/>
      <c r="K610" s="38"/>
      <c r="L610" s="38"/>
      <c r="M610" s="44"/>
    </row>
    <row r="611">
      <c r="B611" s="38"/>
      <c r="C611" s="39"/>
      <c r="D611" s="39"/>
      <c r="E611" s="39"/>
      <c r="F611" s="39"/>
      <c r="H611" s="38"/>
      <c r="I611" s="38"/>
      <c r="J611" s="38"/>
      <c r="K611" s="38"/>
      <c r="L611" s="38"/>
      <c r="M611" s="44"/>
    </row>
    <row r="612">
      <c r="B612" s="38"/>
      <c r="C612" s="39"/>
      <c r="D612" s="39"/>
      <c r="E612" s="39"/>
      <c r="F612" s="39"/>
      <c r="H612" s="38"/>
      <c r="I612" s="38"/>
      <c r="J612" s="38"/>
      <c r="K612" s="38"/>
      <c r="L612" s="38"/>
      <c r="M612" s="44"/>
    </row>
    <row r="613">
      <c r="B613" s="38"/>
      <c r="C613" s="39"/>
      <c r="D613" s="39"/>
      <c r="E613" s="39"/>
      <c r="F613" s="39"/>
      <c r="H613" s="38"/>
      <c r="I613" s="38"/>
      <c r="J613" s="38"/>
      <c r="K613" s="38"/>
      <c r="L613" s="38"/>
      <c r="M613" s="44"/>
    </row>
    <row r="614">
      <c r="B614" s="38"/>
      <c r="C614" s="39"/>
      <c r="D614" s="39"/>
      <c r="E614" s="39"/>
      <c r="F614" s="39"/>
      <c r="H614" s="38"/>
      <c r="I614" s="38"/>
      <c r="J614" s="38"/>
      <c r="K614" s="38"/>
      <c r="L614" s="38"/>
      <c r="M614" s="44"/>
    </row>
    <row r="615">
      <c r="B615" s="38"/>
      <c r="C615" s="39"/>
      <c r="D615" s="39"/>
      <c r="E615" s="39"/>
      <c r="F615" s="39"/>
      <c r="H615" s="38"/>
      <c r="I615" s="38"/>
      <c r="J615" s="38"/>
      <c r="K615" s="38"/>
      <c r="L615" s="38"/>
      <c r="M615" s="44"/>
    </row>
    <row r="616">
      <c r="B616" s="38"/>
      <c r="C616" s="39"/>
      <c r="D616" s="39"/>
      <c r="E616" s="39"/>
      <c r="F616" s="39"/>
      <c r="H616" s="38"/>
      <c r="I616" s="38"/>
      <c r="J616" s="38"/>
      <c r="K616" s="38"/>
      <c r="L616" s="38"/>
      <c r="M616" s="44"/>
    </row>
    <row r="617">
      <c r="B617" s="38"/>
      <c r="C617" s="39"/>
      <c r="D617" s="39"/>
      <c r="E617" s="39"/>
      <c r="F617" s="39"/>
      <c r="H617" s="38"/>
      <c r="I617" s="38"/>
      <c r="J617" s="38"/>
      <c r="K617" s="38"/>
      <c r="L617" s="38"/>
      <c r="M617" s="44"/>
    </row>
    <row r="618">
      <c r="B618" s="38"/>
      <c r="C618" s="39"/>
      <c r="D618" s="39"/>
      <c r="E618" s="39"/>
      <c r="F618" s="39"/>
      <c r="H618" s="38"/>
      <c r="I618" s="38"/>
      <c r="J618" s="38"/>
      <c r="K618" s="38"/>
      <c r="L618" s="38"/>
      <c r="M618" s="44"/>
    </row>
    <row r="619">
      <c r="B619" s="38"/>
      <c r="C619" s="39"/>
      <c r="D619" s="39"/>
      <c r="E619" s="39"/>
      <c r="F619" s="39"/>
      <c r="H619" s="38"/>
      <c r="I619" s="38"/>
      <c r="J619" s="38"/>
      <c r="K619" s="38"/>
      <c r="L619" s="38"/>
      <c r="M619" s="44"/>
    </row>
    <row r="620">
      <c r="B620" s="38"/>
      <c r="C620" s="39"/>
      <c r="D620" s="39"/>
      <c r="E620" s="39"/>
      <c r="F620" s="39"/>
      <c r="H620" s="38"/>
      <c r="I620" s="38"/>
      <c r="J620" s="38"/>
      <c r="K620" s="38"/>
      <c r="L620" s="38"/>
      <c r="M620" s="44"/>
    </row>
    <row r="621">
      <c r="B621" s="38"/>
      <c r="C621" s="39"/>
      <c r="D621" s="39"/>
      <c r="E621" s="39"/>
      <c r="F621" s="39"/>
      <c r="H621" s="38"/>
      <c r="I621" s="38"/>
      <c r="J621" s="38"/>
      <c r="K621" s="38"/>
      <c r="L621" s="38"/>
      <c r="M621" s="44"/>
    </row>
    <row r="622">
      <c r="B622" s="38"/>
      <c r="C622" s="39"/>
      <c r="D622" s="39"/>
      <c r="E622" s="39"/>
      <c r="F622" s="39"/>
      <c r="H622" s="38"/>
      <c r="I622" s="38"/>
      <c r="J622" s="38"/>
      <c r="K622" s="38"/>
      <c r="L622" s="38"/>
      <c r="M622" s="44"/>
    </row>
    <row r="623">
      <c r="B623" s="38"/>
      <c r="C623" s="39"/>
      <c r="D623" s="39"/>
      <c r="E623" s="39"/>
      <c r="F623" s="39"/>
      <c r="H623" s="38"/>
      <c r="I623" s="38"/>
      <c r="J623" s="38"/>
      <c r="K623" s="38"/>
      <c r="L623" s="38"/>
      <c r="M623" s="44"/>
    </row>
    <row r="624">
      <c r="B624" s="38"/>
      <c r="C624" s="39"/>
      <c r="D624" s="39"/>
      <c r="E624" s="39"/>
      <c r="F624" s="39"/>
      <c r="H624" s="38"/>
      <c r="I624" s="38"/>
      <c r="J624" s="38"/>
      <c r="K624" s="38"/>
      <c r="L624" s="38"/>
      <c r="M624" s="44"/>
    </row>
    <row r="625">
      <c r="B625" s="38"/>
      <c r="C625" s="39"/>
      <c r="D625" s="39"/>
      <c r="E625" s="39"/>
      <c r="F625" s="39"/>
      <c r="H625" s="38"/>
      <c r="I625" s="38"/>
      <c r="J625" s="38"/>
      <c r="K625" s="38"/>
      <c r="L625" s="38"/>
      <c r="M625" s="44"/>
    </row>
    <row r="626">
      <c r="B626" s="38"/>
      <c r="C626" s="39"/>
      <c r="D626" s="39"/>
      <c r="E626" s="39"/>
      <c r="F626" s="39"/>
      <c r="H626" s="38"/>
      <c r="I626" s="38"/>
      <c r="J626" s="38"/>
      <c r="K626" s="38"/>
      <c r="L626" s="38"/>
      <c r="M626" s="44"/>
    </row>
    <row r="627">
      <c r="B627" s="38"/>
      <c r="C627" s="39"/>
      <c r="D627" s="39"/>
      <c r="E627" s="39"/>
      <c r="F627" s="39"/>
      <c r="H627" s="38"/>
      <c r="I627" s="38"/>
      <c r="J627" s="38"/>
      <c r="K627" s="38"/>
      <c r="L627" s="38"/>
      <c r="M627" s="44"/>
    </row>
    <row r="628">
      <c r="B628" s="38"/>
      <c r="C628" s="39"/>
      <c r="D628" s="39"/>
      <c r="E628" s="39"/>
      <c r="F628" s="39"/>
      <c r="H628" s="38"/>
      <c r="I628" s="38"/>
      <c r="J628" s="38"/>
      <c r="K628" s="38"/>
      <c r="L628" s="38"/>
      <c r="M628" s="44"/>
    </row>
    <row r="629">
      <c r="B629" s="38"/>
      <c r="C629" s="39"/>
      <c r="D629" s="39"/>
      <c r="E629" s="39"/>
      <c r="F629" s="39"/>
      <c r="H629" s="38"/>
      <c r="I629" s="38"/>
      <c r="J629" s="38"/>
      <c r="K629" s="38"/>
      <c r="L629" s="38"/>
      <c r="M629" s="44"/>
    </row>
    <row r="630">
      <c r="B630" s="38"/>
      <c r="C630" s="39"/>
      <c r="D630" s="39"/>
      <c r="E630" s="39"/>
      <c r="F630" s="39"/>
      <c r="H630" s="38"/>
      <c r="I630" s="38"/>
      <c r="J630" s="38"/>
      <c r="K630" s="38"/>
      <c r="L630" s="38"/>
      <c r="M630" s="44"/>
    </row>
    <row r="631">
      <c r="B631" s="38"/>
      <c r="C631" s="39"/>
      <c r="D631" s="39"/>
      <c r="E631" s="39"/>
      <c r="F631" s="39"/>
      <c r="H631" s="38"/>
      <c r="I631" s="38"/>
      <c r="J631" s="38"/>
      <c r="K631" s="38"/>
      <c r="L631" s="38"/>
      <c r="M631" s="44"/>
    </row>
    <row r="632">
      <c r="B632" s="38"/>
      <c r="C632" s="39"/>
      <c r="D632" s="39"/>
      <c r="E632" s="39"/>
      <c r="F632" s="39"/>
      <c r="H632" s="38"/>
      <c r="I632" s="38"/>
      <c r="J632" s="38"/>
      <c r="K632" s="38"/>
      <c r="L632" s="38"/>
      <c r="M632" s="44"/>
    </row>
    <row r="633">
      <c r="B633" s="38"/>
      <c r="C633" s="39"/>
      <c r="D633" s="39"/>
      <c r="E633" s="39"/>
      <c r="F633" s="39"/>
      <c r="H633" s="38"/>
      <c r="I633" s="38"/>
      <c r="J633" s="38"/>
      <c r="K633" s="38"/>
      <c r="L633" s="38"/>
      <c r="M633" s="44"/>
    </row>
    <row r="634">
      <c r="B634" s="38"/>
      <c r="C634" s="39"/>
      <c r="D634" s="39"/>
      <c r="E634" s="39"/>
      <c r="F634" s="39"/>
      <c r="H634" s="38"/>
      <c r="I634" s="38"/>
      <c r="J634" s="38"/>
      <c r="K634" s="38"/>
      <c r="L634" s="38"/>
      <c r="M634" s="44"/>
    </row>
    <row r="635">
      <c r="B635" s="38"/>
      <c r="C635" s="39"/>
      <c r="D635" s="39"/>
      <c r="E635" s="39"/>
      <c r="F635" s="39"/>
      <c r="H635" s="38"/>
      <c r="I635" s="38"/>
      <c r="J635" s="38"/>
      <c r="K635" s="38"/>
      <c r="L635" s="38"/>
      <c r="M635" s="44"/>
    </row>
    <row r="636">
      <c r="B636" s="38"/>
      <c r="C636" s="39"/>
      <c r="D636" s="39"/>
      <c r="E636" s="39"/>
      <c r="F636" s="39"/>
      <c r="H636" s="38"/>
      <c r="I636" s="38"/>
      <c r="J636" s="38"/>
      <c r="K636" s="38"/>
      <c r="L636" s="38"/>
      <c r="M636" s="44"/>
    </row>
    <row r="637">
      <c r="B637" s="38"/>
      <c r="C637" s="39"/>
      <c r="D637" s="39"/>
      <c r="E637" s="39"/>
      <c r="F637" s="39"/>
      <c r="H637" s="38"/>
      <c r="I637" s="38"/>
      <c r="J637" s="38"/>
      <c r="K637" s="38"/>
      <c r="L637" s="38"/>
      <c r="M637" s="44"/>
    </row>
    <row r="638">
      <c r="B638" s="38"/>
      <c r="C638" s="39"/>
      <c r="D638" s="39"/>
      <c r="E638" s="39"/>
      <c r="F638" s="39"/>
      <c r="H638" s="38"/>
      <c r="I638" s="38"/>
      <c r="J638" s="38"/>
      <c r="K638" s="38"/>
      <c r="L638" s="38"/>
      <c r="M638" s="44"/>
    </row>
    <row r="639">
      <c r="B639" s="38"/>
      <c r="C639" s="39"/>
      <c r="D639" s="39"/>
      <c r="E639" s="39"/>
      <c r="F639" s="39"/>
      <c r="H639" s="38"/>
      <c r="I639" s="38"/>
      <c r="J639" s="38"/>
      <c r="K639" s="38"/>
      <c r="L639" s="38"/>
      <c r="M639" s="44"/>
    </row>
    <row r="640">
      <c r="B640" s="38"/>
      <c r="C640" s="39"/>
      <c r="D640" s="39"/>
      <c r="E640" s="39"/>
      <c r="F640" s="39"/>
      <c r="H640" s="38"/>
      <c r="I640" s="38"/>
      <c r="J640" s="38"/>
      <c r="K640" s="38"/>
      <c r="L640" s="38"/>
      <c r="M640" s="44"/>
    </row>
    <row r="641">
      <c r="B641" s="38"/>
      <c r="C641" s="39"/>
      <c r="D641" s="39"/>
      <c r="E641" s="39"/>
      <c r="F641" s="39"/>
      <c r="H641" s="38"/>
      <c r="I641" s="38"/>
      <c r="J641" s="38"/>
      <c r="K641" s="38"/>
      <c r="L641" s="38"/>
      <c r="M641" s="44"/>
    </row>
    <row r="642">
      <c r="B642" s="38"/>
      <c r="C642" s="39"/>
      <c r="D642" s="39"/>
      <c r="E642" s="39"/>
      <c r="F642" s="39"/>
      <c r="H642" s="38"/>
      <c r="I642" s="38"/>
      <c r="J642" s="38"/>
      <c r="K642" s="38"/>
      <c r="L642" s="38"/>
      <c r="M642" s="44"/>
    </row>
    <row r="643">
      <c r="B643" s="38"/>
      <c r="C643" s="39"/>
      <c r="D643" s="39"/>
      <c r="E643" s="39"/>
      <c r="F643" s="39"/>
      <c r="H643" s="38"/>
      <c r="I643" s="38"/>
      <c r="J643" s="38"/>
      <c r="K643" s="38"/>
      <c r="L643" s="38"/>
      <c r="M643" s="44"/>
    </row>
    <row r="644">
      <c r="B644" s="38"/>
      <c r="C644" s="39"/>
      <c r="D644" s="39"/>
      <c r="E644" s="39"/>
      <c r="F644" s="39"/>
      <c r="H644" s="38"/>
      <c r="I644" s="38"/>
      <c r="J644" s="38"/>
      <c r="K644" s="38"/>
      <c r="L644" s="38"/>
      <c r="M644" s="44"/>
    </row>
    <row r="645">
      <c r="B645" s="38"/>
      <c r="C645" s="39"/>
      <c r="D645" s="39"/>
      <c r="E645" s="39"/>
      <c r="F645" s="39"/>
      <c r="H645" s="38"/>
      <c r="I645" s="38"/>
      <c r="J645" s="38"/>
      <c r="K645" s="38"/>
      <c r="L645" s="38"/>
      <c r="M645" s="44"/>
    </row>
    <row r="646">
      <c r="B646" s="38"/>
      <c r="C646" s="39"/>
      <c r="D646" s="39"/>
      <c r="E646" s="39"/>
      <c r="F646" s="39"/>
      <c r="H646" s="38"/>
      <c r="I646" s="38"/>
      <c r="J646" s="38"/>
      <c r="K646" s="38"/>
      <c r="L646" s="38"/>
      <c r="M646" s="44"/>
    </row>
    <row r="647">
      <c r="B647" s="38"/>
      <c r="C647" s="39"/>
      <c r="D647" s="39"/>
      <c r="E647" s="39"/>
      <c r="F647" s="39"/>
      <c r="H647" s="38"/>
      <c r="I647" s="38"/>
      <c r="J647" s="38"/>
      <c r="K647" s="38"/>
      <c r="L647" s="38"/>
      <c r="M647" s="44"/>
    </row>
    <row r="648">
      <c r="B648" s="38"/>
      <c r="C648" s="39"/>
      <c r="D648" s="39"/>
      <c r="E648" s="39"/>
      <c r="F648" s="39"/>
      <c r="H648" s="38"/>
      <c r="I648" s="38"/>
      <c r="J648" s="38"/>
      <c r="K648" s="38"/>
      <c r="L648" s="38"/>
      <c r="M648" s="44"/>
    </row>
    <row r="649">
      <c r="B649" s="38"/>
      <c r="C649" s="39"/>
      <c r="D649" s="39"/>
      <c r="E649" s="39"/>
      <c r="F649" s="39"/>
      <c r="H649" s="38"/>
      <c r="I649" s="38"/>
      <c r="J649" s="38"/>
      <c r="K649" s="38"/>
      <c r="L649" s="38"/>
      <c r="M649" s="44"/>
    </row>
    <row r="650">
      <c r="B650" s="38"/>
      <c r="C650" s="39"/>
      <c r="D650" s="39"/>
      <c r="E650" s="39"/>
      <c r="F650" s="39"/>
      <c r="H650" s="38"/>
      <c r="I650" s="38"/>
      <c r="J650" s="38"/>
      <c r="K650" s="38"/>
      <c r="L650" s="38"/>
      <c r="M650" s="44"/>
    </row>
    <row r="651">
      <c r="B651" s="38"/>
      <c r="C651" s="39"/>
      <c r="D651" s="39"/>
      <c r="E651" s="39"/>
      <c r="F651" s="39"/>
      <c r="H651" s="38"/>
      <c r="I651" s="38"/>
      <c r="J651" s="38"/>
      <c r="K651" s="38"/>
      <c r="L651" s="38"/>
      <c r="M651" s="44"/>
    </row>
    <row r="652">
      <c r="B652" s="38"/>
      <c r="C652" s="39"/>
      <c r="D652" s="39"/>
      <c r="E652" s="39"/>
      <c r="F652" s="39"/>
      <c r="H652" s="38"/>
      <c r="I652" s="38"/>
      <c r="J652" s="38"/>
      <c r="K652" s="38"/>
      <c r="L652" s="38"/>
      <c r="M652" s="44"/>
    </row>
    <row r="653">
      <c r="B653" s="38"/>
      <c r="C653" s="39"/>
      <c r="D653" s="39"/>
      <c r="E653" s="39"/>
      <c r="F653" s="39"/>
      <c r="H653" s="38"/>
      <c r="I653" s="38"/>
      <c r="J653" s="38"/>
      <c r="K653" s="38"/>
      <c r="L653" s="38"/>
      <c r="M653" s="44"/>
    </row>
    <row r="654">
      <c r="B654" s="38"/>
      <c r="C654" s="39"/>
      <c r="D654" s="39"/>
      <c r="E654" s="39"/>
      <c r="F654" s="39"/>
      <c r="H654" s="38"/>
      <c r="I654" s="38"/>
      <c r="J654" s="38"/>
      <c r="K654" s="38"/>
      <c r="L654" s="38"/>
      <c r="M654" s="44"/>
    </row>
    <row r="655">
      <c r="B655" s="38"/>
      <c r="C655" s="39"/>
      <c r="D655" s="39"/>
      <c r="E655" s="39"/>
      <c r="F655" s="39"/>
      <c r="H655" s="38"/>
      <c r="I655" s="38"/>
      <c r="J655" s="38"/>
      <c r="K655" s="38"/>
      <c r="L655" s="38"/>
      <c r="M655" s="44"/>
    </row>
    <row r="656">
      <c r="B656" s="38"/>
      <c r="C656" s="39"/>
      <c r="D656" s="39"/>
      <c r="E656" s="39"/>
      <c r="F656" s="39"/>
      <c r="H656" s="38"/>
      <c r="I656" s="38"/>
      <c r="J656" s="38"/>
      <c r="K656" s="38"/>
      <c r="L656" s="38"/>
      <c r="M656" s="44"/>
    </row>
    <row r="657">
      <c r="B657" s="38"/>
      <c r="C657" s="39"/>
      <c r="D657" s="39"/>
      <c r="E657" s="39"/>
      <c r="F657" s="39"/>
      <c r="H657" s="38"/>
      <c r="I657" s="38"/>
      <c r="J657" s="38"/>
      <c r="K657" s="38"/>
      <c r="L657" s="38"/>
      <c r="M657" s="44"/>
    </row>
    <row r="658">
      <c r="B658" s="38"/>
      <c r="C658" s="39"/>
      <c r="D658" s="39"/>
      <c r="E658" s="39"/>
      <c r="F658" s="39"/>
      <c r="H658" s="38"/>
      <c r="I658" s="38"/>
      <c r="J658" s="38"/>
      <c r="K658" s="38"/>
      <c r="L658" s="38"/>
      <c r="M658" s="44"/>
    </row>
    <row r="659">
      <c r="B659" s="38"/>
      <c r="C659" s="39"/>
      <c r="D659" s="39"/>
      <c r="E659" s="39"/>
      <c r="F659" s="39"/>
      <c r="H659" s="38"/>
      <c r="I659" s="38"/>
      <c r="J659" s="38"/>
      <c r="K659" s="38"/>
      <c r="L659" s="38"/>
      <c r="M659" s="44"/>
    </row>
    <row r="660">
      <c r="B660" s="38"/>
      <c r="C660" s="39"/>
      <c r="D660" s="39"/>
      <c r="E660" s="39"/>
      <c r="F660" s="39"/>
      <c r="H660" s="38"/>
      <c r="I660" s="38"/>
      <c r="J660" s="38"/>
      <c r="K660" s="38"/>
      <c r="L660" s="38"/>
      <c r="M660" s="44"/>
    </row>
    <row r="661">
      <c r="B661" s="38"/>
      <c r="C661" s="39"/>
      <c r="D661" s="39"/>
      <c r="E661" s="39"/>
      <c r="F661" s="39"/>
      <c r="H661" s="38"/>
      <c r="I661" s="38"/>
      <c r="J661" s="38"/>
      <c r="K661" s="38"/>
      <c r="L661" s="38"/>
      <c r="M661" s="44"/>
    </row>
    <row r="662">
      <c r="B662" s="38"/>
      <c r="C662" s="39"/>
      <c r="D662" s="39"/>
      <c r="E662" s="39"/>
      <c r="F662" s="39"/>
      <c r="H662" s="38"/>
      <c r="I662" s="38"/>
      <c r="J662" s="38"/>
      <c r="K662" s="38"/>
      <c r="L662" s="38"/>
      <c r="M662" s="44"/>
    </row>
    <row r="663">
      <c r="B663" s="38"/>
      <c r="C663" s="39"/>
      <c r="D663" s="39"/>
      <c r="E663" s="39"/>
      <c r="F663" s="39"/>
      <c r="H663" s="38"/>
      <c r="I663" s="38"/>
      <c r="J663" s="38"/>
      <c r="K663" s="38"/>
      <c r="L663" s="38"/>
      <c r="M663" s="44"/>
    </row>
    <row r="664">
      <c r="B664" s="38"/>
      <c r="C664" s="39"/>
      <c r="D664" s="39"/>
      <c r="E664" s="39"/>
      <c r="F664" s="39"/>
      <c r="H664" s="38"/>
      <c r="I664" s="38"/>
      <c r="J664" s="38"/>
      <c r="K664" s="38"/>
      <c r="L664" s="38"/>
      <c r="M664" s="44"/>
    </row>
    <row r="665">
      <c r="B665" s="38"/>
      <c r="C665" s="39"/>
      <c r="D665" s="39"/>
      <c r="E665" s="39"/>
      <c r="F665" s="39"/>
      <c r="H665" s="38"/>
      <c r="I665" s="38"/>
      <c r="J665" s="38"/>
      <c r="K665" s="38"/>
      <c r="L665" s="38"/>
      <c r="M665" s="44"/>
    </row>
    <row r="666">
      <c r="B666" s="38"/>
      <c r="C666" s="39"/>
      <c r="D666" s="39"/>
      <c r="E666" s="39"/>
      <c r="F666" s="39"/>
      <c r="H666" s="38"/>
      <c r="I666" s="38"/>
      <c r="J666" s="38"/>
      <c r="K666" s="38"/>
      <c r="L666" s="38"/>
      <c r="M666" s="44"/>
    </row>
    <row r="667">
      <c r="B667" s="38"/>
      <c r="C667" s="39"/>
      <c r="D667" s="39"/>
      <c r="E667" s="39"/>
      <c r="F667" s="39"/>
      <c r="H667" s="38"/>
      <c r="I667" s="38"/>
      <c r="J667" s="38"/>
      <c r="K667" s="38"/>
      <c r="L667" s="38"/>
      <c r="M667" s="44"/>
    </row>
    <row r="668">
      <c r="B668" s="38"/>
      <c r="C668" s="39"/>
      <c r="D668" s="39"/>
      <c r="E668" s="39"/>
      <c r="F668" s="39"/>
      <c r="H668" s="38"/>
      <c r="I668" s="38"/>
      <c r="J668" s="38"/>
      <c r="K668" s="38"/>
      <c r="L668" s="38"/>
      <c r="M668" s="44"/>
    </row>
    <row r="669">
      <c r="B669" s="38"/>
      <c r="C669" s="39"/>
      <c r="D669" s="39"/>
      <c r="E669" s="39"/>
      <c r="F669" s="39"/>
      <c r="H669" s="38"/>
      <c r="I669" s="38"/>
      <c r="J669" s="38"/>
      <c r="K669" s="38"/>
      <c r="L669" s="38"/>
      <c r="M669" s="44"/>
    </row>
    <row r="670">
      <c r="B670" s="38"/>
      <c r="C670" s="39"/>
      <c r="D670" s="39"/>
      <c r="E670" s="39"/>
      <c r="F670" s="39"/>
      <c r="H670" s="38"/>
      <c r="I670" s="38"/>
      <c r="J670" s="38"/>
      <c r="K670" s="38"/>
      <c r="L670" s="38"/>
      <c r="M670" s="44"/>
    </row>
    <row r="671">
      <c r="B671" s="38"/>
      <c r="C671" s="39"/>
      <c r="D671" s="39"/>
      <c r="E671" s="39"/>
      <c r="F671" s="39"/>
      <c r="H671" s="38"/>
      <c r="I671" s="38"/>
      <c r="J671" s="38"/>
      <c r="K671" s="38"/>
      <c r="L671" s="38"/>
      <c r="M671" s="44"/>
    </row>
    <row r="672">
      <c r="B672" s="38"/>
      <c r="C672" s="39"/>
      <c r="D672" s="39"/>
      <c r="E672" s="39"/>
      <c r="F672" s="39"/>
      <c r="H672" s="38"/>
      <c r="I672" s="38"/>
      <c r="J672" s="38"/>
      <c r="K672" s="38"/>
      <c r="L672" s="38"/>
      <c r="M672" s="44"/>
    </row>
    <row r="673">
      <c r="B673" s="38"/>
      <c r="C673" s="39"/>
      <c r="D673" s="39"/>
      <c r="E673" s="39"/>
      <c r="F673" s="39"/>
      <c r="H673" s="38"/>
      <c r="I673" s="38"/>
      <c r="J673" s="38"/>
      <c r="K673" s="38"/>
      <c r="L673" s="38"/>
      <c r="M673" s="44"/>
    </row>
    <row r="674">
      <c r="B674" s="38"/>
      <c r="C674" s="39"/>
      <c r="D674" s="39"/>
      <c r="E674" s="39"/>
      <c r="F674" s="39"/>
      <c r="H674" s="38"/>
      <c r="I674" s="38"/>
      <c r="J674" s="38"/>
      <c r="K674" s="38"/>
      <c r="L674" s="38"/>
      <c r="M674" s="44"/>
    </row>
    <row r="675">
      <c r="B675" s="38"/>
      <c r="C675" s="39"/>
      <c r="D675" s="39"/>
      <c r="E675" s="39"/>
      <c r="F675" s="39"/>
      <c r="H675" s="38"/>
      <c r="I675" s="38"/>
      <c r="J675" s="38"/>
      <c r="K675" s="38"/>
      <c r="L675" s="38"/>
      <c r="M675" s="44"/>
    </row>
    <row r="676">
      <c r="B676" s="38"/>
      <c r="C676" s="39"/>
      <c r="D676" s="39"/>
      <c r="E676" s="39"/>
      <c r="F676" s="39"/>
      <c r="H676" s="38"/>
      <c r="I676" s="38"/>
      <c r="J676" s="38"/>
      <c r="K676" s="38"/>
      <c r="L676" s="38"/>
      <c r="M676" s="44"/>
    </row>
    <row r="677">
      <c r="B677" s="38"/>
      <c r="C677" s="39"/>
      <c r="D677" s="39"/>
      <c r="E677" s="39"/>
      <c r="F677" s="39"/>
      <c r="H677" s="38"/>
      <c r="I677" s="38"/>
      <c r="J677" s="38"/>
      <c r="K677" s="38"/>
      <c r="L677" s="38"/>
      <c r="M677" s="44"/>
    </row>
    <row r="678">
      <c r="B678" s="38"/>
      <c r="C678" s="39"/>
      <c r="D678" s="39"/>
      <c r="E678" s="39"/>
      <c r="F678" s="39"/>
      <c r="H678" s="38"/>
      <c r="I678" s="38"/>
      <c r="J678" s="38"/>
      <c r="K678" s="38"/>
      <c r="L678" s="38"/>
      <c r="M678" s="44"/>
    </row>
    <row r="679">
      <c r="B679" s="38"/>
      <c r="C679" s="39"/>
      <c r="D679" s="39"/>
      <c r="E679" s="39"/>
      <c r="F679" s="39"/>
      <c r="H679" s="38"/>
      <c r="I679" s="38"/>
      <c r="J679" s="38"/>
      <c r="K679" s="38"/>
      <c r="L679" s="38"/>
      <c r="M679" s="44"/>
    </row>
    <row r="680">
      <c r="B680" s="38"/>
      <c r="C680" s="39"/>
      <c r="D680" s="39"/>
      <c r="E680" s="39"/>
      <c r="F680" s="39"/>
      <c r="H680" s="38"/>
      <c r="I680" s="38"/>
      <c r="J680" s="38"/>
      <c r="K680" s="38"/>
      <c r="L680" s="38"/>
      <c r="M680" s="44"/>
    </row>
    <row r="681">
      <c r="B681" s="38"/>
      <c r="C681" s="39"/>
      <c r="D681" s="39"/>
      <c r="E681" s="39"/>
      <c r="F681" s="39"/>
      <c r="H681" s="38"/>
      <c r="I681" s="38"/>
      <c r="J681" s="38"/>
      <c r="K681" s="38"/>
      <c r="L681" s="38"/>
      <c r="M681" s="44"/>
    </row>
    <row r="682">
      <c r="B682" s="38"/>
      <c r="C682" s="39"/>
      <c r="D682" s="39"/>
      <c r="E682" s="39"/>
      <c r="F682" s="39"/>
      <c r="H682" s="38"/>
      <c r="I682" s="38"/>
      <c r="J682" s="38"/>
      <c r="K682" s="38"/>
      <c r="L682" s="38"/>
      <c r="M682" s="44"/>
    </row>
    <row r="683">
      <c r="B683" s="38"/>
      <c r="C683" s="39"/>
      <c r="D683" s="39"/>
      <c r="E683" s="39"/>
      <c r="F683" s="39"/>
      <c r="H683" s="38"/>
      <c r="I683" s="38"/>
      <c r="J683" s="38"/>
      <c r="K683" s="38"/>
      <c r="L683" s="38"/>
      <c r="M683" s="44"/>
    </row>
    <row r="684">
      <c r="B684" s="38"/>
      <c r="C684" s="39"/>
      <c r="D684" s="39"/>
      <c r="E684" s="39"/>
      <c r="F684" s="39"/>
      <c r="H684" s="38"/>
      <c r="I684" s="38"/>
      <c r="J684" s="38"/>
      <c r="K684" s="38"/>
      <c r="L684" s="38"/>
      <c r="M684" s="44"/>
    </row>
    <row r="685">
      <c r="B685" s="38"/>
      <c r="C685" s="39"/>
      <c r="D685" s="39"/>
      <c r="E685" s="39"/>
      <c r="F685" s="39"/>
      <c r="H685" s="38"/>
      <c r="I685" s="38"/>
      <c r="J685" s="38"/>
      <c r="K685" s="38"/>
      <c r="L685" s="38"/>
      <c r="M685" s="44"/>
    </row>
    <row r="686">
      <c r="B686" s="38"/>
      <c r="C686" s="39"/>
      <c r="D686" s="39"/>
      <c r="E686" s="39"/>
      <c r="F686" s="39"/>
      <c r="H686" s="38"/>
      <c r="I686" s="38"/>
      <c r="J686" s="38"/>
      <c r="K686" s="38"/>
      <c r="L686" s="38"/>
      <c r="M686" s="44"/>
    </row>
    <row r="687">
      <c r="B687" s="38"/>
      <c r="C687" s="39"/>
      <c r="D687" s="39"/>
      <c r="E687" s="39"/>
      <c r="F687" s="39"/>
      <c r="H687" s="38"/>
      <c r="I687" s="38"/>
      <c r="J687" s="38"/>
      <c r="K687" s="38"/>
      <c r="L687" s="38"/>
      <c r="M687" s="44"/>
    </row>
    <row r="688">
      <c r="B688" s="38"/>
      <c r="C688" s="39"/>
      <c r="D688" s="39"/>
      <c r="E688" s="39"/>
      <c r="F688" s="39"/>
      <c r="H688" s="38"/>
      <c r="I688" s="38"/>
      <c r="J688" s="38"/>
      <c r="K688" s="38"/>
      <c r="L688" s="38"/>
      <c r="M688" s="44"/>
    </row>
    <row r="689">
      <c r="B689" s="38"/>
      <c r="C689" s="39"/>
      <c r="D689" s="39"/>
      <c r="E689" s="39"/>
      <c r="F689" s="39"/>
      <c r="H689" s="38"/>
      <c r="I689" s="38"/>
      <c r="J689" s="38"/>
      <c r="K689" s="38"/>
      <c r="L689" s="38"/>
      <c r="M689" s="44"/>
    </row>
    <row r="690">
      <c r="B690" s="38"/>
      <c r="C690" s="39"/>
      <c r="D690" s="39"/>
      <c r="E690" s="39"/>
      <c r="F690" s="39"/>
      <c r="H690" s="38"/>
      <c r="I690" s="38"/>
      <c r="J690" s="38"/>
      <c r="K690" s="38"/>
      <c r="L690" s="38"/>
      <c r="M690" s="44"/>
    </row>
    <row r="691">
      <c r="B691" s="38"/>
      <c r="C691" s="39"/>
      <c r="D691" s="39"/>
      <c r="E691" s="39"/>
      <c r="F691" s="39"/>
      <c r="H691" s="38"/>
      <c r="I691" s="38"/>
      <c r="J691" s="38"/>
      <c r="K691" s="38"/>
      <c r="L691" s="38"/>
      <c r="M691" s="44"/>
    </row>
    <row r="692">
      <c r="B692" s="38"/>
      <c r="C692" s="39"/>
      <c r="D692" s="39"/>
      <c r="E692" s="39"/>
      <c r="F692" s="39"/>
      <c r="H692" s="38"/>
      <c r="I692" s="38"/>
      <c r="J692" s="38"/>
      <c r="K692" s="38"/>
      <c r="L692" s="38"/>
      <c r="M692" s="44"/>
    </row>
    <row r="693">
      <c r="B693" s="38"/>
      <c r="C693" s="39"/>
      <c r="D693" s="39"/>
      <c r="E693" s="39"/>
      <c r="F693" s="39"/>
      <c r="H693" s="38"/>
      <c r="I693" s="38"/>
      <c r="J693" s="38"/>
      <c r="K693" s="38"/>
      <c r="L693" s="38"/>
      <c r="M693" s="44"/>
    </row>
    <row r="694">
      <c r="B694" s="38"/>
      <c r="C694" s="39"/>
      <c r="D694" s="39"/>
      <c r="E694" s="39"/>
      <c r="F694" s="39"/>
      <c r="H694" s="38"/>
      <c r="I694" s="38"/>
      <c r="J694" s="38"/>
      <c r="K694" s="38"/>
      <c r="L694" s="38"/>
      <c r="M694" s="44"/>
    </row>
    <row r="695">
      <c r="B695" s="38"/>
      <c r="C695" s="39"/>
      <c r="D695" s="39"/>
      <c r="E695" s="39"/>
      <c r="F695" s="39"/>
      <c r="H695" s="38"/>
      <c r="I695" s="38"/>
      <c r="J695" s="38"/>
      <c r="K695" s="38"/>
      <c r="L695" s="38"/>
      <c r="M695" s="44"/>
    </row>
    <row r="696">
      <c r="B696" s="38"/>
      <c r="C696" s="39"/>
      <c r="D696" s="39"/>
      <c r="E696" s="39"/>
      <c r="F696" s="39"/>
      <c r="H696" s="38"/>
      <c r="I696" s="38"/>
      <c r="J696" s="38"/>
      <c r="K696" s="38"/>
      <c r="L696" s="38"/>
      <c r="M696" s="44"/>
    </row>
    <row r="697">
      <c r="B697" s="38"/>
      <c r="C697" s="39"/>
      <c r="D697" s="39"/>
      <c r="E697" s="39"/>
      <c r="F697" s="39"/>
      <c r="H697" s="38"/>
      <c r="I697" s="38"/>
      <c r="J697" s="38"/>
      <c r="K697" s="38"/>
      <c r="L697" s="38"/>
      <c r="M697" s="44"/>
    </row>
    <row r="698">
      <c r="B698" s="38"/>
      <c r="C698" s="39"/>
      <c r="D698" s="39"/>
      <c r="E698" s="39"/>
      <c r="F698" s="39"/>
      <c r="H698" s="38"/>
      <c r="I698" s="38"/>
      <c r="J698" s="38"/>
      <c r="K698" s="38"/>
      <c r="L698" s="38"/>
      <c r="M698" s="44"/>
    </row>
    <row r="699">
      <c r="B699" s="38"/>
      <c r="C699" s="39"/>
      <c r="D699" s="39"/>
      <c r="E699" s="39"/>
      <c r="F699" s="39"/>
      <c r="H699" s="38"/>
      <c r="I699" s="38"/>
      <c r="J699" s="38"/>
      <c r="K699" s="38"/>
      <c r="L699" s="38"/>
      <c r="M699" s="44"/>
    </row>
    <row r="700">
      <c r="B700" s="38"/>
      <c r="C700" s="39"/>
      <c r="D700" s="39"/>
      <c r="E700" s="39"/>
      <c r="F700" s="39"/>
      <c r="H700" s="38"/>
      <c r="I700" s="38"/>
      <c r="J700" s="38"/>
      <c r="K700" s="38"/>
      <c r="L700" s="38"/>
      <c r="M700" s="44"/>
    </row>
    <row r="701">
      <c r="B701" s="38"/>
      <c r="C701" s="39"/>
      <c r="D701" s="39"/>
      <c r="E701" s="39"/>
      <c r="F701" s="39"/>
      <c r="H701" s="38"/>
      <c r="I701" s="38"/>
      <c r="J701" s="38"/>
      <c r="K701" s="38"/>
      <c r="L701" s="38"/>
      <c r="M701" s="44"/>
    </row>
    <row r="702">
      <c r="B702" s="38"/>
      <c r="C702" s="39"/>
      <c r="D702" s="39"/>
      <c r="E702" s="39"/>
      <c r="F702" s="39"/>
      <c r="H702" s="38"/>
      <c r="I702" s="38"/>
      <c r="J702" s="38"/>
      <c r="K702" s="38"/>
      <c r="L702" s="38"/>
      <c r="M702" s="44"/>
    </row>
    <row r="703">
      <c r="B703" s="38"/>
      <c r="C703" s="39"/>
      <c r="D703" s="39"/>
      <c r="E703" s="39"/>
      <c r="F703" s="39"/>
      <c r="H703" s="38"/>
      <c r="I703" s="38"/>
      <c r="J703" s="38"/>
      <c r="K703" s="38"/>
      <c r="L703" s="38"/>
      <c r="M703" s="44"/>
    </row>
    <row r="704">
      <c r="B704" s="38"/>
      <c r="C704" s="39"/>
      <c r="D704" s="39"/>
      <c r="E704" s="39"/>
      <c r="F704" s="39"/>
      <c r="H704" s="38"/>
      <c r="I704" s="38"/>
      <c r="J704" s="38"/>
      <c r="K704" s="38"/>
      <c r="L704" s="38"/>
      <c r="M704" s="44"/>
    </row>
    <row r="705">
      <c r="B705" s="38"/>
      <c r="C705" s="39"/>
      <c r="D705" s="39"/>
      <c r="E705" s="39"/>
      <c r="F705" s="39"/>
      <c r="H705" s="38"/>
      <c r="I705" s="38"/>
      <c r="J705" s="38"/>
      <c r="K705" s="38"/>
      <c r="L705" s="38"/>
      <c r="M705" s="44"/>
    </row>
    <row r="706">
      <c r="B706" s="38"/>
      <c r="C706" s="39"/>
      <c r="D706" s="39"/>
      <c r="E706" s="39"/>
      <c r="F706" s="39"/>
      <c r="H706" s="38"/>
      <c r="I706" s="38"/>
      <c r="J706" s="38"/>
      <c r="K706" s="38"/>
      <c r="L706" s="38"/>
      <c r="M706" s="44"/>
    </row>
    <row r="707">
      <c r="B707" s="38"/>
      <c r="C707" s="39"/>
      <c r="D707" s="39"/>
      <c r="E707" s="39"/>
      <c r="F707" s="39"/>
      <c r="H707" s="38"/>
      <c r="I707" s="38"/>
      <c r="J707" s="38"/>
      <c r="K707" s="38"/>
      <c r="L707" s="38"/>
      <c r="M707" s="44"/>
    </row>
    <row r="708">
      <c r="B708" s="38"/>
      <c r="C708" s="39"/>
      <c r="D708" s="39"/>
      <c r="E708" s="39"/>
      <c r="F708" s="39"/>
      <c r="H708" s="38"/>
      <c r="I708" s="38"/>
      <c r="J708" s="38"/>
      <c r="K708" s="38"/>
      <c r="L708" s="38"/>
      <c r="M708" s="44"/>
    </row>
    <row r="709">
      <c r="B709" s="38"/>
      <c r="C709" s="39"/>
      <c r="D709" s="39"/>
      <c r="E709" s="39"/>
      <c r="F709" s="39"/>
      <c r="H709" s="38"/>
      <c r="I709" s="38"/>
      <c r="J709" s="38"/>
      <c r="K709" s="38"/>
      <c r="L709" s="38"/>
      <c r="M709" s="44"/>
    </row>
    <row r="710">
      <c r="B710" s="38"/>
      <c r="C710" s="39"/>
      <c r="D710" s="39"/>
      <c r="E710" s="39"/>
      <c r="F710" s="39"/>
      <c r="H710" s="38"/>
      <c r="I710" s="38"/>
      <c r="J710" s="38"/>
      <c r="K710" s="38"/>
      <c r="L710" s="38"/>
      <c r="M710" s="44"/>
    </row>
    <row r="711">
      <c r="B711" s="38"/>
      <c r="C711" s="39"/>
      <c r="D711" s="39"/>
      <c r="E711" s="39"/>
      <c r="F711" s="39"/>
      <c r="H711" s="38"/>
      <c r="I711" s="38"/>
      <c r="J711" s="38"/>
      <c r="K711" s="38"/>
      <c r="L711" s="38"/>
      <c r="M711" s="44"/>
    </row>
    <row r="712">
      <c r="B712" s="38"/>
      <c r="C712" s="39"/>
      <c r="D712" s="39"/>
      <c r="E712" s="39"/>
      <c r="F712" s="39"/>
      <c r="H712" s="38"/>
      <c r="I712" s="38"/>
      <c r="J712" s="38"/>
      <c r="K712" s="38"/>
      <c r="L712" s="38"/>
      <c r="M712" s="44"/>
    </row>
    <row r="713">
      <c r="B713" s="38"/>
      <c r="C713" s="39"/>
      <c r="D713" s="39"/>
      <c r="E713" s="39"/>
      <c r="F713" s="39"/>
      <c r="H713" s="38"/>
      <c r="I713" s="38"/>
      <c r="J713" s="38"/>
      <c r="K713" s="38"/>
      <c r="L713" s="38"/>
      <c r="M713" s="44"/>
    </row>
    <row r="714">
      <c r="B714" s="38"/>
      <c r="C714" s="39"/>
      <c r="D714" s="39"/>
      <c r="E714" s="39"/>
      <c r="F714" s="39"/>
      <c r="H714" s="38"/>
      <c r="I714" s="38"/>
      <c r="J714" s="38"/>
      <c r="K714" s="38"/>
      <c r="L714" s="38"/>
      <c r="M714" s="44"/>
    </row>
    <row r="715">
      <c r="B715" s="38"/>
      <c r="C715" s="39"/>
      <c r="D715" s="39"/>
      <c r="E715" s="39"/>
      <c r="F715" s="39"/>
      <c r="H715" s="38"/>
      <c r="I715" s="38"/>
      <c r="J715" s="38"/>
      <c r="K715" s="38"/>
      <c r="L715" s="38"/>
      <c r="M715" s="44"/>
    </row>
    <row r="716">
      <c r="B716" s="38"/>
      <c r="C716" s="39"/>
      <c r="D716" s="39"/>
      <c r="E716" s="39"/>
      <c r="F716" s="39"/>
      <c r="H716" s="38"/>
      <c r="I716" s="38"/>
      <c r="J716" s="38"/>
      <c r="K716" s="38"/>
      <c r="L716" s="38"/>
      <c r="M716" s="44"/>
    </row>
    <row r="717">
      <c r="B717" s="38"/>
      <c r="C717" s="39"/>
      <c r="D717" s="39"/>
      <c r="E717" s="39"/>
      <c r="F717" s="39"/>
      <c r="H717" s="38"/>
      <c r="I717" s="38"/>
      <c r="J717" s="38"/>
      <c r="K717" s="38"/>
      <c r="L717" s="38"/>
      <c r="M717" s="44"/>
    </row>
    <row r="718">
      <c r="B718" s="38"/>
      <c r="C718" s="39"/>
      <c r="D718" s="39"/>
      <c r="E718" s="39"/>
      <c r="F718" s="39"/>
      <c r="H718" s="38"/>
      <c r="I718" s="38"/>
      <c r="J718" s="38"/>
      <c r="K718" s="38"/>
      <c r="L718" s="38"/>
      <c r="M718" s="44"/>
    </row>
    <row r="719">
      <c r="B719" s="38"/>
      <c r="C719" s="39"/>
      <c r="D719" s="39"/>
      <c r="E719" s="39"/>
      <c r="F719" s="39"/>
      <c r="H719" s="38"/>
      <c r="I719" s="38"/>
      <c r="J719" s="38"/>
      <c r="K719" s="38"/>
      <c r="L719" s="38"/>
      <c r="M719" s="44"/>
    </row>
    <row r="720">
      <c r="B720" s="38"/>
      <c r="C720" s="39"/>
      <c r="D720" s="39"/>
      <c r="E720" s="39"/>
      <c r="F720" s="39"/>
      <c r="H720" s="38"/>
      <c r="I720" s="38"/>
      <c r="J720" s="38"/>
      <c r="K720" s="38"/>
      <c r="L720" s="38"/>
      <c r="M720" s="44"/>
    </row>
    <row r="721">
      <c r="B721" s="38"/>
      <c r="C721" s="39"/>
      <c r="D721" s="39"/>
      <c r="E721" s="39"/>
      <c r="F721" s="39"/>
      <c r="H721" s="38"/>
      <c r="I721" s="38"/>
      <c r="J721" s="38"/>
      <c r="K721" s="38"/>
      <c r="L721" s="38"/>
      <c r="M721" s="44"/>
    </row>
    <row r="722">
      <c r="B722" s="38"/>
      <c r="C722" s="39"/>
      <c r="D722" s="39"/>
      <c r="E722" s="39"/>
      <c r="F722" s="39"/>
      <c r="H722" s="38"/>
      <c r="I722" s="38"/>
      <c r="J722" s="38"/>
      <c r="K722" s="38"/>
      <c r="L722" s="38"/>
      <c r="M722" s="44"/>
    </row>
    <row r="723">
      <c r="B723" s="38"/>
      <c r="C723" s="39"/>
      <c r="D723" s="39"/>
      <c r="E723" s="39"/>
      <c r="F723" s="39"/>
      <c r="H723" s="38"/>
      <c r="I723" s="38"/>
      <c r="J723" s="38"/>
      <c r="K723" s="38"/>
      <c r="L723" s="38"/>
      <c r="M723" s="44"/>
    </row>
    <row r="724">
      <c r="B724" s="38"/>
      <c r="C724" s="39"/>
      <c r="D724" s="39"/>
      <c r="E724" s="39"/>
      <c r="F724" s="39"/>
      <c r="H724" s="38"/>
      <c r="I724" s="38"/>
      <c r="J724" s="38"/>
      <c r="K724" s="38"/>
      <c r="L724" s="38"/>
      <c r="M724" s="44"/>
    </row>
    <row r="725">
      <c r="B725" s="38"/>
      <c r="C725" s="39"/>
      <c r="D725" s="39"/>
      <c r="E725" s="39"/>
      <c r="F725" s="39"/>
      <c r="H725" s="38"/>
      <c r="I725" s="38"/>
      <c r="J725" s="38"/>
      <c r="K725" s="38"/>
      <c r="L725" s="38"/>
      <c r="M725" s="44"/>
    </row>
    <row r="726">
      <c r="B726" s="38"/>
      <c r="C726" s="39"/>
      <c r="D726" s="39"/>
      <c r="E726" s="39"/>
      <c r="F726" s="39"/>
      <c r="H726" s="38"/>
      <c r="I726" s="38"/>
      <c r="J726" s="38"/>
      <c r="K726" s="38"/>
      <c r="L726" s="38"/>
      <c r="M726" s="44"/>
    </row>
    <row r="727">
      <c r="B727" s="38"/>
      <c r="C727" s="39"/>
      <c r="D727" s="39"/>
      <c r="E727" s="39"/>
      <c r="F727" s="39"/>
      <c r="H727" s="38"/>
      <c r="I727" s="38"/>
      <c r="J727" s="38"/>
      <c r="K727" s="38"/>
      <c r="L727" s="38"/>
      <c r="M727" s="44"/>
    </row>
    <row r="728">
      <c r="B728" s="38"/>
      <c r="C728" s="39"/>
      <c r="D728" s="39"/>
      <c r="E728" s="39"/>
      <c r="F728" s="39"/>
      <c r="H728" s="38"/>
      <c r="I728" s="38"/>
      <c r="J728" s="38"/>
      <c r="K728" s="38"/>
      <c r="L728" s="38"/>
      <c r="M728" s="44"/>
    </row>
    <row r="729">
      <c r="B729" s="38"/>
      <c r="C729" s="39"/>
      <c r="D729" s="39"/>
      <c r="E729" s="39"/>
      <c r="F729" s="39"/>
      <c r="H729" s="38"/>
      <c r="I729" s="38"/>
      <c r="J729" s="38"/>
      <c r="K729" s="38"/>
      <c r="L729" s="38"/>
      <c r="M729" s="44"/>
    </row>
    <row r="730">
      <c r="B730" s="38"/>
      <c r="C730" s="39"/>
      <c r="D730" s="39"/>
      <c r="E730" s="39"/>
      <c r="F730" s="39"/>
      <c r="H730" s="38"/>
      <c r="I730" s="38"/>
      <c r="J730" s="38"/>
      <c r="K730" s="38"/>
      <c r="L730" s="38"/>
      <c r="M730" s="44"/>
    </row>
    <row r="731">
      <c r="B731" s="38"/>
      <c r="C731" s="39"/>
      <c r="D731" s="39"/>
      <c r="E731" s="39"/>
      <c r="F731" s="39"/>
      <c r="H731" s="38"/>
      <c r="I731" s="38"/>
      <c r="J731" s="38"/>
      <c r="K731" s="38"/>
      <c r="L731" s="38"/>
      <c r="M731" s="44"/>
    </row>
    <row r="732">
      <c r="B732" s="38"/>
      <c r="C732" s="39"/>
      <c r="D732" s="39"/>
      <c r="E732" s="39"/>
      <c r="F732" s="39"/>
      <c r="H732" s="38"/>
      <c r="I732" s="38"/>
      <c r="J732" s="38"/>
      <c r="K732" s="38"/>
      <c r="L732" s="38"/>
      <c r="M732" s="44"/>
    </row>
    <row r="733">
      <c r="B733" s="38"/>
      <c r="C733" s="39"/>
      <c r="D733" s="39"/>
      <c r="E733" s="39"/>
      <c r="F733" s="39"/>
      <c r="H733" s="38"/>
      <c r="I733" s="38"/>
      <c r="J733" s="38"/>
      <c r="K733" s="38"/>
      <c r="L733" s="38"/>
      <c r="M733" s="44"/>
    </row>
    <row r="734">
      <c r="B734" s="38"/>
      <c r="C734" s="39"/>
      <c r="D734" s="39"/>
      <c r="E734" s="39"/>
      <c r="F734" s="39"/>
      <c r="H734" s="38"/>
      <c r="I734" s="38"/>
      <c r="J734" s="38"/>
      <c r="K734" s="38"/>
      <c r="L734" s="38"/>
      <c r="M734" s="44"/>
    </row>
    <row r="735">
      <c r="B735" s="38"/>
      <c r="C735" s="39"/>
      <c r="D735" s="39"/>
      <c r="E735" s="39"/>
      <c r="F735" s="39"/>
      <c r="H735" s="38"/>
      <c r="I735" s="38"/>
      <c r="J735" s="38"/>
      <c r="K735" s="38"/>
      <c r="L735" s="38"/>
      <c r="M735" s="44"/>
    </row>
    <row r="736">
      <c r="B736" s="38"/>
      <c r="C736" s="39"/>
      <c r="D736" s="39"/>
      <c r="E736" s="39"/>
      <c r="F736" s="39"/>
      <c r="H736" s="38"/>
      <c r="I736" s="38"/>
      <c r="J736" s="38"/>
      <c r="K736" s="38"/>
      <c r="L736" s="38"/>
      <c r="M736" s="44"/>
    </row>
    <row r="737">
      <c r="B737" s="38"/>
      <c r="C737" s="39"/>
      <c r="D737" s="39"/>
      <c r="E737" s="39"/>
      <c r="F737" s="39"/>
      <c r="H737" s="38"/>
      <c r="I737" s="38"/>
      <c r="J737" s="38"/>
      <c r="K737" s="38"/>
      <c r="L737" s="38"/>
      <c r="M737" s="44"/>
    </row>
    <row r="738">
      <c r="B738" s="38"/>
      <c r="C738" s="39"/>
      <c r="D738" s="39"/>
      <c r="E738" s="39"/>
      <c r="F738" s="39"/>
      <c r="H738" s="38"/>
      <c r="I738" s="38"/>
      <c r="J738" s="38"/>
      <c r="K738" s="38"/>
      <c r="L738" s="38"/>
      <c r="M738" s="44"/>
    </row>
    <row r="739">
      <c r="B739" s="38"/>
      <c r="C739" s="39"/>
      <c r="D739" s="39"/>
      <c r="E739" s="39"/>
      <c r="F739" s="39"/>
      <c r="H739" s="38"/>
      <c r="I739" s="38"/>
      <c r="J739" s="38"/>
      <c r="K739" s="38"/>
      <c r="L739" s="38"/>
      <c r="M739" s="44"/>
    </row>
    <row r="740">
      <c r="B740" s="38"/>
      <c r="C740" s="39"/>
      <c r="D740" s="39"/>
      <c r="E740" s="39"/>
      <c r="F740" s="39"/>
      <c r="H740" s="38"/>
      <c r="I740" s="38"/>
      <c r="J740" s="38"/>
      <c r="K740" s="38"/>
      <c r="L740" s="38"/>
      <c r="M740" s="44"/>
    </row>
    <row r="741">
      <c r="B741" s="38"/>
      <c r="C741" s="39"/>
      <c r="D741" s="39"/>
      <c r="E741" s="39"/>
      <c r="F741" s="39"/>
      <c r="H741" s="38"/>
      <c r="I741" s="38"/>
      <c r="J741" s="38"/>
      <c r="K741" s="38"/>
      <c r="L741" s="38"/>
      <c r="M741" s="44"/>
    </row>
    <row r="742">
      <c r="B742" s="38"/>
      <c r="C742" s="39"/>
      <c r="D742" s="39"/>
      <c r="E742" s="39"/>
      <c r="F742" s="39"/>
      <c r="H742" s="38"/>
      <c r="I742" s="38"/>
      <c r="J742" s="38"/>
      <c r="K742" s="38"/>
      <c r="L742" s="38"/>
      <c r="M742" s="44"/>
    </row>
    <row r="743">
      <c r="B743" s="38"/>
      <c r="C743" s="39"/>
      <c r="D743" s="39"/>
      <c r="E743" s="39"/>
      <c r="F743" s="39"/>
      <c r="H743" s="38"/>
      <c r="I743" s="38"/>
      <c r="J743" s="38"/>
      <c r="K743" s="38"/>
      <c r="L743" s="38"/>
      <c r="M743" s="44"/>
    </row>
    <row r="744">
      <c r="B744" s="38"/>
      <c r="C744" s="39"/>
      <c r="D744" s="39"/>
      <c r="E744" s="39"/>
      <c r="F744" s="39"/>
      <c r="H744" s="38"/>
      <c r="I744" s="38"/>
      <c r="J744" s="38"/>
      <c r="K744" s="38"/>
      <c r="L744" s="38"/>
      <c r="M744" s="44"/>
    </row>
    <row r="745">
      <c r="B745" s="38"/>
      <c r="C745" s="39"/>
      <c r="D745" s="39"/>
      <c r="E745" s="39"/>
      <c r="F745" s="39"/>
      <c r="H745" s="38"/>
      <c r="I745" s="38"/>
      <c r="J745" s="38"/>
      <c r="K745" s="38"/>
      <c r="L745" s="38"/>
      <c r="M745" s="44"/>
    </row>
    <row r="746">
      <c r="B746" s="38"/>
      <c r="C746" s="39"/>
      <c r="D746" s="39"/>
      <c r="E746" s="39"/>
      <c r="F746" s="39"/>
      <c r="H746" s="38"/>
      <c r="I746" s="38"/>
      <c r="J746" s="38"/>
      <c r="K746" s="38"/>
      <c r="L746" s="38"/>
      <c r="M746" s="44"/>
    </row>
    <row r="747">
      <c r="B747" s="38"/>
      <c r="C747" s="39"/>
      <c r="D747" s="39"/>
      <c r="E747" s="39"/>
      <c r="F747" s="39"/>
      <c r="H747" s="38"/>
      <c r="I747" s="38"/>
      <c r="J747" s="38"/>
      <c r="K747" s="38"/>
      <c r="L747" s="38"/>
      <c r="M747" s="44"/>
    </row>
    <row r="748">
      <c r="B748" s="38"/>
      <c r="C748" s="39"/>
      <c r="D748" s="39"/>
      <c r="E748" s="39"/>
      <c r="F748" s="39"/>
      <c r="H748" s="38"/>
      <c r="I748" s="38"/>
      <c r="J748" s="38"/>
      <c r="K748" s="38"/>
      <c r="L748" s="38"/>
      <c r="M748" s="44"/>
    </row>
    <row r="749">
      <c r="B749" s="38"/>
      <c r="C749" s="39"/>
      <c r="D749" s="39"/>
      <c r="E749" s="39"/>
      <c r="F749" s="39"/>
      <c r="H749" s="38"/>
      <c r="I749" s="38"/>
      <c r="J749" s="38"/>
      <c r="K749" s="38"/>
      <c r="L749" s="38"/>
      <c r="M749" s="44"/>
    </row>
    <row r="750">
      <c r="B750" s="38"/>
      <c r="C750" s="39"/>
      <c r="D750" s="39"/>
      <c r="E750" s="39"/>
      <c r="F750" s="39"/>
      <c r="H750" s="38"/>
      <c r="I750" s="38"/>
      <c r="J750" s="38"/>
      <c r="K750" s="38"/>
      <c r="L750" s="38"/>
      <c r="M750" s="44"/>
    </row>
    <row r="751">
      <c r="B751" s="38"/>
      <c r="C751" s="39"/>
      <c r="D751" s="39"/>
      <c r="E751" s="39"/>
      <c r="F751" s="39"/>
      <c r="H751" s="38"/>
      <c r="I751" s="38"/>
      <c r="J751" s="38"/>
      <c r="K751" s="38"/>
      <c r="L751" s="38"/>
      <c r="M751" s="44"/>
    </row>
    <row r="752">
      <c r="B752" s="38"/>
      <c r="C752" s="39"/>
      <c r="D752" s="39"/>
      <c r="E752" s="39"/>
      <c r="F752" s="39"/>
      <c r="H752" s="38"/>
      <c r="I752" s="38"/>
      <c r="J752" s="38"/>
      <c r="K752" s="38"/>
      <c r="L752" s="38"/>
      <c r="M752" s="44"/>
    </row>
    <row r="753">
      <c r="B753" s="38"/>
      <c r="C753" s="39"/>
      <c r="D753" s="39"/>
      <c r="E753" s="39"/>
      <c r="F753" s="39"/>
      <c r="H753" s="38"/>
      <c r="I753" s="38"/>
      <c r="J753" s="38"/>
      <c r="K753" s="38"/>
      <c r="L753" s="38"/>
      <c r="M753" s="44"/>
    </row>
    <row r="754">
      <c r="B754" s="38"/>
      <c r="C754" s="39"/>
      <c r="D754" s="39"/>
      <c r="E754" s="39"/>
      <c r="F754" s="39"/>
      <c r="H754" s="38"/>
      <c r="I754" s="38"/>
      <c r="J754" s="38"/>
      <c r="K754" s="38"/>
      <c r="L754" s="38"/>
      <c r="M754" s="44"/>
    </row>
    <row r="755">
      <c r="B755" s="38"/>
      <c r="C755" s="39"/>
      <c r="D755" s="39"/>
      <c r="E755" s="39"/>
      <c r="F755" s="39"/>
      <c r="H755" s="38"/>
      <c r="I755" s="38"/>
      <c r="J755" s="38"/>
      <c r="K755" s="38"/>
      <c r="L755" s="38"/>
      <c r="M755" s="44"/>
    </row>
    <row r="756">
      <c r="B756" s="38"/>
      <c r="C756" s="39"/>
      <c r="D756" s="39"/>
      <c r="E756" s="39"/>
      <c r="F756" s="39"/>
      <c r="H756" s="38"/>
      <c r="I756" s="38"/>
      <c r="J756" s="38"/>
      <c r="K756" s="38"/>
      <c r="L756" s="38"/>
      <c r="M756" s="44"/>
    </row>
    <row r="757">
      <c r="B757" s="38"/>
      <c r="C757" s="39"/>
      <c r="D757" s="39"/>
      <c r="E757" s="39"/>
      <c r="F757" s="39"/>
      <c r="H757" s="38"/>
      <c r="I757" s="38"/>
      <c r="J757" s="38"/>
      <c r="K757" s="38"/>
      <c r="L757" s="38"/>
      <c r="M757" s="44"/>
    </row>
    <row r="758">
      <c r="B758" s="38"/>
      <c r="C758" s="39"/>
      <c r="D758" s="39"/>
      <c r="E758" s="39"/>
      <c r="F758" s="39"/>
      <c r="H758" s="38"/>
      <c r="I758" s="38"/>
      <c r="J758" s="38"/>
      <c r="K758" s="38"/>
      <c r="L758" s="38"/>
      <c r="M758" s="44"/>
    </row>
    <row r="759">
      <c r="B759" s="38"/>
      <c r="C759" s="39"/>
      <c r="D759" s="39"/>
      <c r="E759" s="39"/>
      <c r="F759" s="39"/>
      <c r="H759" s="38"/>
      <c r="I759" s="38"/>
      <c r="J759" s="38"/>
      <c r="K759" s="38"/>
      <c r="L759" s="38"/>
      <c r="M759" s="44"/>
    </row>
    <row r="760">
      <c r="B760" s="38"/>
      <c r="C760" s="39"/>
      <c r="D760" s="39"/>
      <c r="E760" s="39"/>
      <c r="F760" s="39"/>
      <c r="H760" s="38"/>
      <c r="I760" s="38"/>
      <c r="J760" s="38"/>
      <c r="K760" s="38"/>
      <c r="L760" s="38"/>
      <c r="M760" s="44"/>
    </row>
    <row r="761">
      <c r="B761" s="38"/>
      <c r="C761" s="39"/>
      <c r="D761" s="39"/>
      <c r="E761" s="39"/>
      <c r="F761" s="39"/>
      <c r="H761" s="38"/>
      <c r="I761" s="38"/>
      <c r="J761" s="38"/>
      <c r="K761" s="38"/>
      <c r="L761" s="38"/>
      <c r="M761" s="44"/>
    </row>
    <row r="762">
      <c r="B762" s="38"/>
      <c r="C762" s="39"/>
      <c r="D762" s="39"/>
      <c r="E762" s="39"/>
      <c r="F762" s="39"/>
      <c r="H762" s="38"/>
      <c r="I762" s="38"/>
      <c r="J762" s="38"/>
      <c r="K762" s="38"/>
      <c r="L762" s="38"/>
      <c r="M762" s="44"/>
    </row>
    <row r="763">
      <c r="B763" s="38"/>
      <c r="C763" s="39"/>
      <c r="D763" s="39"/>
      <c r="E763" s="39"/>
      <c r="F763" s="39"/>
      <c r="H763" s="38"/>
      <c r="I763" s="38"/>
      <c r="J763" s="38"/>
      <c r="K763" s="38"/>
      <c r="L763" s="38"/>
      <c r="M763" s="44"/>
    </row>
    <row r="764">
      <c r="B764" s="38"/>
      <c r="C764" s="39"/>
      <c r="D764" s="39"/>
      <c r="E764" s="39"/>
      <c r="F764" s="39"/>
      <c r="H764" s="38"/>
      <c r="I764" s="38"/>
      <c r="J764" s="38"/>
      <c r="K764" s="38"/>
      <c r="L764" s="38"/>
      <c r="M764" s="44"/>
    </row>
    <row r="765">
      <c r="B765" s="38"/>
      <c r="C765" s="39"/>
      <c r="D765" s="39"/>
      <c r="E765" s="39"/>
      <c r="F765" s="39"/>
      <c r="H765" s="38"/>
      <c r="I765" s="38"/>
      <c r="J765" s="38"/>
      <c r="K765" s="38"/>
      <c r="L765" s="38"/>
      <c r="M765" s="44"/>
    </row>
    <row r="766">
      <c r="B766" s="38"/>
      <c r="C766" s="39"/>
      <c r="D766" s="39"/>
      <c r="E766" s="39"/>
      <c r="F766" s="39"/>
      <c r="H766" s="38"/>
      <c r="I766" s="38"/>
      <c r="J766" s="38"/>
      <c r="K766" s="38"/>
      <c r="L766" s="38"/>
      <c r="M766" s="44"/>
    </row>
    <row r="767">
      <c r="B767" s="38"/>
      <c r="C767" s="39"/>
      <c r="D767" s="39"/>
      <c r="E767" s="39"/>
      <c r="F767" s="39"/>
      <c r="H767" s="38"/>
      <c r="I767" s="38"/>
      <c r="J767" s="38"/>
      <c r="K767" s="38"/>
      <c r="L767" s="38"/>
      <c r="M767" s="44"/>
    </row>
    <row r="768">
      <c r="B768" s="38"/>
      <c r="C768" s="39"/>
      <c r="D768" s="39"/>
      <c r="E768" s="39"/>
      <c r="F768" s="39"/>
      <c r="H768" s="38"/>
      <c r="I768" s="38"/>
      <c r="J768" s="38"/>
      <c r="K768" s="38"/>
      <c r="L768" s="38"/>
      <c r="M768" s="44"/>
    </row>
    <row r="769">
      <c r="B769" s="38"/>
      <c r="C769" s="39"/>
      <c r="D769" s="39"/>
      <c r="E769" s="39"/>
      <c r="F769" s="39"/>
      <c r="H769" s="38"/>
      <c r="I769" s="38"/>
      <c r="J769" s="38"/>
      <c r="K769" s="38"/>
      <c r="L769" s="38"/>
      <c r="M769" s="44"/>
    </row>
    <row r="770">
      <c r="B770" s="38"/>
      <c r="C770" s="39"/>
      <c r="D770" s="39"/>
      <c r="E770" s="39"/>
      <c r="F770" s="39"/>
      <c r="H770" s="38"/>
      <c r="I770" s="38"/>
      <c r="J770" s="38"/>
      <c r="K770" s="38"/>
      <c r="L770" s="38"/>
      <c r="M770" s="44"/>
    </row>
    <row r="771">
      <c r="B771" s="38"/>
      <c r="C771" s="39"/>
      <c r="D771" s="39"/>
      <c r="E771" s="39"/>
      <c r="F771" s="39"/>
      <c r="H771" s="38"/>
      <c r="I771" s="38"/>
      <c r="J771" s="38"/>
      <c r="K771" s="38"/>
      <c r="L771" s="38"/>
      <c r="M771" s="44"/>
    </row>
    <row r="772">
      <c r="B772" s="38"/>
      <c r="C772" s="39"/>
      <c r="D772" s="39"/>
      <c r="E772" s="39"/>
      <c r="F772" s="39"/>
      <c r="H772" s="38"/>
      <c r="I772" s="38"/>
      <c r="J772" s="38"/>
      <c r="K772" s="38"/>
      <c r="L772" s="38"/>
      <c r="M772" s="44"/>
    </row>
    <row r="773">
      <c r="B773" s="38"/>
      <c r="C773" s="39"/>
      <c r="D773" s="39"/>
      <c r="E773" s="39"/>
      <c r="F773" s="39"/>
      <c r="H773" s="38"/>
      <c r="I773" s="38"/>
      <c r="J773" s="38"/>
      <c r="K773" s="38"/>
      <c r="L773" s="38"/>
      <c r="M773" s="44"/>
    </row>
    <row r="774">
      <c r="B774" s="38"/>
      <c r="C774" s="39"/>
      <c r="D774" s="39"/>
      <c r="E774" s="39"/>
      <c r="F774" s="39"/>
      <c r="H774" s="38"/>
      <c r="I774" s="38"/>
      <c r="J774" s="38"/>
      <c r="K774" s="38"/>
      <c r="L774" s="38"/>
      <c r="M774" s="44"/>
    </row>
    <row r="775">
      <c r="B775" s="38"/>
      <c r="C775" s="39"/>
      <c r="D775" s="39"/>
      <c r="E775" s="39"/>
      <c r="F775" s="39"/>
      <c r="H775" s="38"/>
      <c r="I775" s="38"/>
      <c r="J775" s="38"/>
      <c r="K775" s="38"/>
      <c r="L775" s="38"/>
      <c r="M775" s="44"/>
    </row>
    <row r="776">
      <c r="B776" s="38"/>
      <c r="C776" s="39"/>
      <c r="D776" s="39"/>
      <c r="E776" s="39"/>
      <c r="F776" s="39"/>
      <c r="H776" s="38"/>
      <c r="I776" s="38"/>
      <c r="J776" s="38"/>
      <c r="K776" s="38"/>
      <c r="L776" s="38"/>
      <c r="M776" s="44"/>
    </row>
    <row r="777">
      <c r="B777" s="38"/>
      <c r="C777" s="39"/>
      <c r="D777" s="39"/>
      <c r="E777" s="39"/>
      <c r="F777" s="39"/>
      <c r="H777" s="38"/>
      <c r="I777" s="38"/>
      <c r="J777" s="38"/>
      <c r="K777" s="38"/>
      <c r="L777" s="38"/>
      <c r="M777" s="44"/>
    </row>
    <row r="778">
      <c r="B778" s="38"/>
      <c r="C778" s="39"/>
      <c r="D778" s="39"/>
      <c r="E778" s="39"/>
      <c r="F778" s="39"/>
      <c r="H778" s="38"/>
      <c r="I778" s="38"/>
      <c r="J778" s="38"/>
      <c r="K778" s="38"/>
      <c r="L778" s="38"/>
      <c r="M778" s="44"/>
    </row>
    <row r="779">
      <c r="B779" s="38"/>
      <c r="C779" s="39"/>
      <c r="D779" s="39"/>
      <c r="E779" s="39"/>
      <c r="F779" s="39"/>
      <c r="H779" s="38"/>
      <c r="I779" s="38"/>
      <c r="J779" s="38"/>
      <c r="K779" s="38"/>
      <c r="L779" s="38"/>
      <c r="M779" s="44"/>
    </row>
    <row r="780">
      <c r="B780" s="38"/>
      <c r="C780" s="39"/>
      <c r="D780" s="39"/>
      <c r="E780" s="39"/>
      <c r="F780" s="39"/>
      <c r="H780" s="38"/>
      <c r="I780" s="38"/>
      <c r="J780" s="38"/>
      <c r="K780" s="38"/>
      <c r="L780" s="38"/>
      <c r="M780" s="44"/>
    </row>
    <row r="781">
      <c r="B781" s="38"/>
      <c r="C781" s="39"/>
      <c r="D781" s="39"/>
      <c r="E781" s="39"/>
      <c r="F781" s="39"/>
      <c r="H781" s="38"/>
      <c r="I781" s="38"/>
      <c r="J781" s="38"/>
      <c r="K781" s="38"/>
      <c r="L781" s="38"/>
      <c r="M781" s="44"/>
    </row>
    <row r="782">
      <c r="B782" s="38"/>
      <c r="C782" s="39"/>
      <c r="D782" s="39"/>
      <c r="E782" s="39"/>
      <c r="F782" s="39"/>
      <c r="H782" s="38"/>
      <c r="I782" s="38"/>
      <c r="J782" s="38"/>
      <c r="K782" s="38"/>
      <c r="L782" s="38"/>
      <c r="M782" s="44"/>
    </row>
    <row r="783">
      <c r="B783" s="38"/>
      <c r="C783" s="39"/>
      <c r="D783" s="39"/>
      <c r="E783" s="39"/>
      <c r="F783" s="39"/>
      <c r="H783" s="38"/>
      <c r="I783" s="38"/>
      <c r="J783" s="38"/>
      <c r="K783" s="38"/>
      <c r="L783" s="38"/>
      <c r="M783" s="44"/>
    </row>
    <row r="784">
      <c r="B784" s="38"/>
      <c r="C784" s="39"/>
      <c r="D784" s="39"/>
      <c r="E784" s="39"/>
      <c r="F784" s="39"/>
      <c r="H784" s="38"/>
      <c r="I784" s="38"/>
      <c r="J784" s="38"/>
      <c r="K784" s="38"/>
      <c r="L784" s="38"/>
      <c r="M784" s="44"/>
    </row>
    <row r="785">
      <c r="B785" s="38"/>
      <c r="C785" s="39"/>
      <c r="D785" s="39"/>
      <c r="E785" s="39"/>
      <c r="F785" s="39"/>
      <c r="H785" s="38"/>
      <c r="I785" s="38"/>
      <c r="J785" s="38"/>
      <c r="K785" s="38"/>
      <c r="L785" s="38"/>
      <c r="M785" s="44"/>
    </row>
    <row r="786">
      <c r="B786" s="38"/>
      <c r="C786" s="39"/>
      <c r="D786" s="39"/>
      <c r="E786" s="39"/>
      <c r="F786" s="39"/>
      <c r="H786" s="38"/>
      <c r="I786" s="38"/>
      <c r="J786" s="38"/>
      <c r="K786" s="38"/>
      <c r="L786" s="38"/>
      <c r="M786" s="44"/>
    </row>
    <row r="787">
      <c r="B787" s="38"/>
      <c r="C787" s="39"/>
      <c r="D787" s="39"/>
      <c r="E787" s="39"/>
      <c r="F787" s="39"/>
      <c r="H787" s="38"/>
      <c r="I787" s="38"/>
      <c r="J787" s="38"/>
      <c r="K787" s="38"/>
      <c r="L787" s="38"/>
      <c r="M787" s="44"/>
    </row>
    <row r="788">
      <c r="B788" s="38"/>
      <c r="C788" s="39"/>
      <c r="D788" s="39"/>
      <c r="E788" s="39"/>
      <c r="F788" s="39"/>
      <c r="H788" s="38"/>
      <c r="I788" s="38"/>
      <c r="J788" s="38"/>
      <c r="K788" s="38"/>
      <c r="L788" s="38"/>
      <c r="M788" s="44"/>
    </row>
    <row r="789">
      <c r="B789" s="38"/>
      <c r="C789" s="39"/>
      <c r="D789" s="39"/>
      <c r="E789" s="39"/>
      <c r="F789" s="39"/>
      <c r="H789" s="38"/>
      <c r="I789" s="38"/>
      <c r="J789" s="38"/>
      <c r="K789" s="38"/>
      <c r="L789" s="38"/>
      <c r="M789" s="44"/>
    </row>
    <row r="790">
      <c r="B790" s="38"/>
      <c r="C790" s="39"/>
      <c r="D790" s="39"/>
      <c r="E790" s="39"/>
      <c r="F790" s="39"/>
      <c r="H790" s="38"/>
      <c r="I790" s="38"/>
      <c r="J790" s="38"/>
      <c r="K790" s="38"/>
      <c r="L790" s="38"/>
      <c r="M790" s="44"/>
    </row>
    <row r="791">
      <c r="B791" s="38"/>
      <c r="C791" s="39"/>
      <c r="D791" s="39"/>
      <c r="E791" s="39"/>
      <c r="F791" s="39"/>
      <c r="H791" s="38"/>
      <c r="I791" s="38"/>
      <c r="J791" s="38"/>
      <c r="K791" s="38"/>
      <c r="L791" s="38"/>
      <c r="M791" s="44"/>
    </row>
    <row r="792">
      <c r="B792" s="38"/>
      <c r="C792" s="39"/>
      <c r="D792" s="39"/>
      <c r="E792" s="39"/>
      <c r="F792" s="39"/>
      <c r="H792" s="38"/>
      <c r="I792" s="38"/>
      <c r="J792" s="38"/>
      <c r="K792" s="38"/>
      <c r="L792" s="38"/>
      <c r="M792" s="44"/>
    </row>
    <row r="793">
      <c r="B793" s="38"/>
      <c r="C793" s="39"/>
      <c r="D793" s="39"/>
      <c r="E793" s="39"/>
      <c r="F793" s="39"/>
      <c r="H793" s="38"/>
      <c r="I793" s="38"/>
      <c r="J793" s="38"/>
      <c r="K793" s="38"/>
      <c r="L793" s="38"/>
      <c r="M793" s="44"/>
    </row>
    <row r="794">
      <c r="B794" s="38"/>
      <c r="C794" s="39"/>
      <c r="D794" s="39"/>
      <c r="E794" s="39"/>
      <c r="F794" s="39"/>
      <c r="H794" s="38"/>
      <c r="I794" s="38"/>
      <c r="J794" s="38"/>
      <c r="K794" s="38"/>
      <c r="L794" s="38"/>
      <c r="M794" s="44"/>
    </row>
    <row r="795">
      <c r="B795" s="38"/>
      <c r="C795" s="39"/>
      <c r="D795" s="39"/>
      <c r="E795" s="39"/>
      <c r="F795" s="39"/>
      <c r="H795" s="38"/>
      <c r="I795" s="38"/>
      <c r="J795" s="38"/>
      <c r="K795" s="38"/>
      <c r="L795" s="38"/>
      <c r="M795" s="44"/>
    </row>
    <row r="796">
      <c r="B796" s="38"/>
      <c r="C796" s="39"/>
      <c r="D796" s="39"/>
      <c r="E796" s="39"/>
      <c r="F796" s="39"/>
      <c r="H796" s="38"/>
      <c r="I796" s="38"/>
      <c r="J796" s="38"/>
      <c r="K796" s="38"/>
      <c r="L796" s="38"/>
      <c r="M796" s="44"/>
    </row>
    <row r="797">
      <c r="B797" s="38"/>
      <c r="C797" s="39"/>
      <c r="D797" s="39"/>
      <c r="E797" s="39"/>
      <c r="F797" s="39"/>
      <c r="H797" s="38"/>
      <c r="I797" s="38"/>
      <c r="J797" s="38"/>
      <c r="K797" s="38"/>
      <c r="L797" s="38"/>
      <c r="M797" s="44"/>
    </row>
    <row r="798">
      <c r="B798" s="38"/>
      <c r="C798" s="39"/>
      <c r="D798" s="39"/>
      <c r="E798" s="39"/>
      <c r="F798" s="39"/>
      <c r="H798" s="38"/>
      <c r="I798" s="38"/>
      <c r="J798" s="38"/>
      <c r="K798" s="38"/>
      <c r="L798" s="38"/>
      <c r="M798" s="44"/>
    </row>
    <row r="799">
      <c r="B799" s="38"/>
      <c r="C799" s="39"/>
      <c r="D799" s="39"/>
      <c r="E799" s="39"/>
      <c r="F799" s="39"/>
      <c r="H799" s="38"/>
      <c r="I799" s="38"/>
      <c r="J799" s="38"/>
      <c r="K799" s="38"/>
      <c r="L799" s="38"/>
      <c r="M799" s="44"/>
    </row>
    <row r="800">
      <c r="B800" s="38"/>
      <c r="C800" s="39"/>
      <c r="D800" s="39"/>
      <c r="E800" s="39"/>
      <c r="F800" s="39"/>
      <c r="H800" s="38"/>
      <c r="I800" s="38"/>
      <c r="J800" s="38"/>
      <c r="K800" s="38"/>
      <c r="L800" s="38"/>
      <c r="M800" s="44"/>
    </row>
    <row r="801">
      <c r="B801" s="38"/>
      <c r="C801" s="39"/>
      <c r="D801" s="39"/>
      <c r="E801" s="39"/>
      <c r="F801" s="39"/>
      <c r="H801" s="38"/>
      <c r="I801" s="38"/>
      <c r="J801" s="38"/>
      <c r="K801" s="38"/>
      <c r="L801" s="38"/>
      <c r="M801" s="44"/>
    </row>
    <row r="802">
      <c r="B802" s="38"/>
      <c r="C802" s="39"/>
      <c r="D802" s="39"/>
      <c r="E802" s="39"/>
      <c r="F802" s="39"/>
      <c r="H802" s="38"/>
      <c r="I802" s="38"/>
      <c r="J802" s="38"/>
      <c r="K802" s="38"/>
      <c r="L802" s="38"/>
      <c r="M802" s="44"/>
    </row>
    <row r="803">
      <c r="B803" s="38"/>
      <c r="C803" s="39"/>
      <c r="D803" s="39"/>
      <c r="E803" s="39"/>
      <c r="F803" s="39"/>
      <c r="H803" s="38"/>
      <c r="I803" s="38"/>
      <c r="J803" s="38"/>
      <c r="K803" s="38"/>
      <c r="L803" s="38"/>
      <c r="M803" s="44"/>
    </row>
    <row r="804">
      <c r="B804" s="38"/>
      <c r="C804" s="39"/>
      <c r="D804" s="39"/>
      <c r="E804" s="39"/>
      <c r="F804" s="39"/>
      <c r="H804" s="38"/>
      <c r="I804" s="38"/>
      <c r="J804" s="38"/>
      <c r="K804" s="38"/>
      <c r="L804" s="38"/>
      <c r="M804" s="44"/>
    </row>
    <row r="805">
      <c r="B805" s="38"/>
      <c r="C805" s="39"/>
      <c r="D805" s="39"/>
      <c r="E805" s="39"/>
      <c r="F805" s="39"/>
      <c r="H805" s="38"/>
      <c r="I805" s="38"/>
      <c r="J805" s="38"/>
      <c r="K805" s="38"/>
      <c r="L805" s="38"/>
      <c r="M805" s="44"/>
    </row>
    <row r="806">
      <c r="B806" s="38"/>
      <c r="C806" s="39"/>
      <c r="D806" s="39"/>
      <c r="E806" s="39"/>
      <c r="F806" s="39"/>
      <c r="H806" s="38"/>
      <c r="I806" s="38"/>
      <c r="J806" s="38"/>
      <c r="K806" s="38"/>
      <c r="L806" s="38"/>
      <c r="M806" s="44"/>
    </row>
    <row r="807">
      <c r="B807" s="38"/>
      <c r="C807" s="39"/>
      <c r="D807" s="39"/>
      <c r="E807" s="39"/>
      <c r="F807" s="39"/>
      <c r="H807" s="38"/>
      <c r="I807" s="38"/>
      <c r="J807" s="38"/>
      <c r="K807" s="38"/>
      <c r="L807" s="38"/>
      <c r="M807" s="44"/>
    </row>
    <row r="808">
      <c r="B808" s="38"/>
      <c r="C808" s="39"/>
      <c r="D808" s="39"/>
      <c r="E808" s="39"/>
      <c r="F808" s="39"/>
      <c r="H808" s="38"/>
      <c r="I808" s="38"/>
      <c r="J808" s="38"/>
      <c r="K808" s="38"/>
      <c r="L808" s="38"/>
      <c r="M808" s="44"/>
    </row>
    <row r="809">
      <c r="B809" s="38"/>
      <c r="C809" s="39"/>
      <c r="D809" s="39"/>
      <c r="E809" s="39"/>
      <c r="F809" s="39"/>
      <c r="H809" s="38"/>
      <c r="I809" s="38"/>
      <c r="J809" s="38"/>
      <c r="K809" s="38"/>
      <c r="L809" s="38"/>
      <c r="M809" s="44"/>
    </row>
    <row r="810">
      <c r="B810" s="38"/>
      <c r="C810" s="39"/>
      <c r="D810" s="39"/>
      <c r="E810" s="39"/>
      <c r="F810" s="39"/>
      <c r="H810" s="38"/>
      <c r="I810" s="38"/>
      <c r="J810" s="38"/>
      <c r="K810" s="38"/>
      <c r="L810" s="38"/>
      <c r="M810" s="44"/>
    </row>
    <row r="811">
      <c r="B811" s="38"/>
      <c r="C811" s="39"/>
      <c r="D811" s="39"/>
      <c r="E811" s="39"/>
      <c r="F811" s="39"/>
      <c r="H811" s="38"/>
      <c r="I811" s="38"/>
      <c r="J811" s="38"/>
      <c r="K811" s="38"/>
      <c r="L811" s="38"/>
      <c r="M811" s="44"/>
    </row>
    <row r="812">
      <c r="B812" s="38"/>
      <c r="C812" s="39"/>
      <c r="D812" s="39"/>
      <c r="E812" s="39"/>
      <c r="F812" s="39"/>
      <c r="H812" s="38"/>
      <c r="I812" s="38"/>
      <c r="J812" s="38"/>
      <c r="K812" s="38"/>
      <c r="L812" s="38"/>
      <c r="M812" s="44"/>
    </row>
    <row r="813">
      <c r="B813" s="38"/>
      <c r="C813" s="39"/>
      <c r="D813" s="39"/>
      <c r="E813" s="39"/>
      <c r="F813" s="39"/>
      <c r="H813" s="38"/>
      <c r="I813" s="38"/>
      <c r="J813" s="38"/>
      <c r="K813" s="38"/>
      <c r="L813" s="38"/>
      <c r="M813" s="44"/>
    </row>
    <row r="814">
      <c r="B814" s="38"/>
      <c r="C814" s="39"/>
      <c r="D814" s="39"/>
      <c r="E814" s="39"/>
      <c r="F814" s="39"/>
      <c r="H814" s="38"/>
      <c r="I814" s="38"/>
      <c r="J814" s="38"/>
      <c r="K814" s="38"/>
      <c r="L814" s="38"/>
      <c r="M814" s="44"/>
    </row>
    <row r="815">
      <c r="B815" s="38"/>
      <c r="C815" s="39"/>
      <c r="D815" s="39"/>
      <c r="E815" s="39"/>
      <c r="F815" s="39"/>
      <c r="H815" s="38"/>
      <c r="I815" s="38"/>
      <c r="J815" s="38"/>
      <c r="K815" s="38"/>
      <c r="L815" s="38"/>
      <c r="M815" s="44"/>
    </row>
    <row r="816">
      <c r="B816" s="38"/>
      <c r="C816" s="39"/>
      <c r="D816" s="39"/>
      <c r="E816" s="39"/>
      <c r="F816" s="39"/>
      <c r="H816" s="38"/>
      <c r="I816" s="38"/>
      <c r="J816" s="38"/>
      <c r="K816" s="38"/>
      <c r="L816" s="38"/>
      <c r="M816" s="44"/>
    </row>
    <row r="817">
      <c r="B817" s="38"/>
      <c r="C817" s="39"/>
      <c r="D817" s="39"/>
      <c r="E817" s="39"/>
      <c r="F817" s="39"/>
      <c r="H817" s="38"/>
      <c r="I817" s="38"/>
      <c r="J817" s="38"/>
      <c r="K817" s="38"/>
      <c r="L817" s="38"/>
      <c r="M817" s="44"/>
    </row>
    <row r="818">
      <c r="B818" s="38"/>
      <c r="C818" s="39"/>
      <c r="D818" s="39"/>
      <c r="E818" s="39"/>
      <c r="F818" s="39"/>
      <c r="H818" s="38"/>
      <c r="I818" s="38"/>
      <c r="J818" s="38"/>
      <c r="K818" s="38"/>
      <c r="L818" s="38"/>
      <c r="M818" s="44"/>
    </row>
    <row r="819">
      <c r="B819" s="38"/>
      <c r="C819" s="39"/>
      <c r="D819" s="39"/>
      <c r="E819" s="39"/>
      <c r="F819" s="39"/>
      <c r="H819" s="38"/>
      <c r="I819" s="38"/>
      <c r="J819" s="38"/>
      <c r="K819" s="38"/>
      <c r="L819" s="38"/>
      <c r="M819" s="44"/>
    </row>
    <row r="820">
      <c r="B820" s="38"/>
      <c r="C820" s="39"/>
      <c r="D820" s="39"/>
      <c r="E820" s="39"/>
      <c r="F820" s="39"/>
      <c r="H820" s="38"/>
      <c r="I820" s="38"/>
      <c r="J820" s="38"/>
      <c r="K820" s="38"/>
      <c r="L820" s="38"/>
      <c r="M820" s="44"/>
    </row>
    <row r="821">
      <c r="B821" s="38"/>
      <c r="C821" s="39"/>
      <c r="D821" s="39"/>
      <c r="E821" s="39"/>
      <c r="F821" s="39"/>
      <c r="H821" s="38"/>
      <c r="I821" s="38"/>
      <c r="J821" s="38"/>
      <c r="K821" s="38"/>
      <c r="L821" s="38"/>
      <c r="M821" s="44"/>
    </row>
    <row r="822">
      <c r="B822" s="38"/>
      <c r="C822" s="39"/>
      <c r="D822" s="39"/>
      <c r="E822" s="39"/>
      <c r="F822" s="39"/>
      <c r="H822" s="38"/>
      <c r="I822" s="38"/>
      <c r="J822" s="38"/>
      <c r="K822" s="38"/>
      <c r="L822" s="38"/>
      <c r="M822" s="44"/>
    </row>
    <row r="823">
      <c r="B823" s="38"/>
      <c r="C823" s="39"/>
      <c r="D823" s="39"/>
      <c r="E823" s="39"/>
      <c r="F823" s="39"/>
      <c r="H823" s="38"/>
      <c r="I823" s="38"/>
      <c r="J823" s="38"/>
      <c r="K823" s="38"/>
      <c r="L823" s="38"/>
      <c r="M823" s="44"/>
    </row>
    <row r="824">
      <c r="B824" s="38"/>
      <c r="C824" s="39"/>
      <c r="D824" s="39"/>
      <c r="E824" s="39"/>
      <c r="F824" s="39"/>
      <c r="H824" s="38"/>
      <c r="I824" s="38"/>
      <c r="J824" s="38"/>
      <c r="K824" s="38"/>
      <c r="L824" s="38"/>
      <c r="M824" s="44"/>
    </row>
    <row r="825">
      <c r="B825" s="38"/>
      <c r="C825" s="39"/>
      <c r="D825" s="39"/>
      <c r="E825" s="39"/>
      <c r="F825" s="39"/>
      <c r="H825" s="38"/>
      <c r="I825" s="38"/>
      <c r="J825" s="38"/>
      <c r="K825" s="38"/>
      <c r="L825" s="38"/>
      <c r="M825" s="44"/>
    </row>
    <row r="826">
      <c r="B826" s="38"/>
      <c r="C826" s="39"/>
      <c r="D826" s="39"/>
      <c r="E826" s="39"/>
      <c r="F826" s="39"/>
      <c r="H826" s="38"/>
      <c r="I826" s="38"/>
      <c r="J826" s="38"/>
      <c r="K826" s="38"/>
      <c r="L826" s="38"/>
      <c r="M826" s="44"/>
    </row>
    <row r="827">
      <c r="B827" s="38"/>
      <c r="C827" s="39"/>
      <c r="D827" s="39"/>
      <c r="E827" s="39"/>
      <c r="F827" s="39"/>
      <c r="H827" s="38"/>
      <c r="I827" s="38"/>
      <c r="J827" s="38"/>
      <c r="K827" s="38"/>
      <c r="L827" s="38"/>
      <c r="M827" s="44"/>
    </row>
    <row r="828">
      <c r="B828" s="38"/>
      <c r="C828" s="39"/>
      <c r="D828" s="39"/>
      <c r="E828" s="39"/>
      <c r="F828" s="39"/>
      <c r="H828" s="38"/>
      <c r="I828" s="38"/>
      <c r="J828" s="38"/>
      <c r="K828" s="38"/>
      <c r="L828" s="38"/>
      <c r="M828" s="44"/>
    </row>
    <row r="829">
      <c r="B829" s="38"/>
      <c r="C829" s="39"/>
      <c r="D829" s="39"/>
      <c r="E829" s="39"/>
      <c r="F829" s="39"/>
      <c r="H829" s="38"/>
      <c r="I829" s="38"/>
      <c r="J829" s="38"/>
      <c r="K829" s="38"/>
      <c r="L829" s="38"/>
      <c r="M829" s="44"/>
    </row>
    <row r="830">
      <c r="B830" s="38"/>
      <c r="C830" s="39"/>
      <c r="D830" s="39"/>
      <c r="E830" s="39"/>
      <c r="F830" s="39"/>
      <c r="H830" s="38"/>
      <c r="I830" s="38"/>
      <c r="J830" s="38"/>
      <c r="K830" s="38"/>
      <c r="L830" s="38"/>
      <c r="M830" s="44"/>
    </row>
    <row r="831">
      <c r="B831" s="38"/>
      <c r="C831" s="39"/>
      <c r="D831" s="39"/>
      <c r="E831" s="39"/>
      <c r="F831" s="39"/>
      <c r="H831" s="38"/>
      <c r="I831" s="38"/>
      <c r="J831" s="38"/>
      <c r="K831" s="38"/>
      <c r="L831" s="38"/>
      <c r="M831" s="44"/>
    </row>
    <row r="832">
      <c r="B832" s="38"/>
      <c r="C832" s="39"/>
      <c r="D832" s="39"/>
      <c r="E832" s="39"/>
      <c r="F832" s="39"/>
      <c r="H832" s="38"/>
      <c r="I832" s="38"/>
      <c r="J832" s="38"/>
      <c r="K832" s="38"/>
      <c r="L832" s="38"/>
      <c r="M832" s="44"/>
    </row>
    <row r="833">
      <c r="B833" s="38"/>
      <c r="C833" s="39"/>
      <c r="D833" s="39"/>
      <c r="E833" s="39"/>
      <c r="F833" s="39"/>
      <c r="H833" s="38"/>
      <c r="I833" s="38"/>
      <c r="J833" s="38"/>
      <c r="K833" s="38"/>
      <c r="L833" s="38"/>
      <c r="M833" s="44"/>
    </row>
    <row r="834">
      <c r="B834" s="38"/>
      <c r="C834" s="39"/>
      <c r="D834" s="39"/>
      <c r="E834" s="39"/>
      <c r="F834" s="39"/>
      <c r="H834" s="38"/>
      <c r="I834" s="38"/>
      <c r="J834" s="38"/>
      <c r="K834" s="38"/>
      <c r="L834" s="38"/>
      <c r="M834" s="44"/>
    </row>
    <row r="835">
      <c r="B835" s="38"/>
      <c r="C835" s="39"/>
      <c r="D835" s="39"/>
      <c r="E835" s="39"/>
      <c r="F835" s="39"/>
      <c r="H835" s="38"/>
      <c r="I835" s="38"/>
      <c r="J835" s="38"/>
      <c r="K835" s="38"/>
      <c r="L835" s="38"/>
      <c r="M835" s="44"/>
    </row>
    <row r="836">
      <c r="B836" s="38"/>
      <c r="C836" s="39"/>
      <c r="D836" s="39"/>
      <c r="E836" s="39"/>
      <c r="F836" s="39"/>
      <c r="H836" s="38"/>
      <c r="I836" s="38"/>
      <c r="J836" s="38"/>
      <c r="K836" s="38"/>
      <c r="L836" s="38"/>
      <c r="M836" s="44"/>
    </row>
    <row r="837">
      <c r="B837" s="38"/>
      <c r="C837" s="39"/>
      <c r="D837" s="39"/>
      <c r="E837" s="39"/>
      <c r="F837" s="39"/>
      <c r="H837" s="38"/>
      <c r="I837" s="38"/>
      <c r="J837" s="38"/>
      <c r="K837" s="38"/>
      <c r="L837" s="38"/>
      <c r="M837" s="44"/>
    </row>
    <row r="838">
      <c r="B838" s="38"/>
      <c r="C838" s="39"/>
      <c r="D838" s="39"/>
      <c r="E838" s="39"/>
      <c r="F838" s="39"/>
      <c r="H838" s="38"/>
      <c r="I838" s="38"/>
      <c r="J838" s="38"/>
      <c r="K838" s="38"/>
      <c r="L838" s="38"/>
      <c r="M838" s="44"/>
    </row>
    <row r="839">
      <c r="B839" s="38"/>
      <c r="C839" s="39"/>
      <c r="D839" s="39"/>
      <c r="E839" s="39"/>
      <c r="F839" s="39"/>
      <c r="H839" s="38"/>
      <c r="I839" s="38"/>
      <c r="J839" s="38"/>
      <c r="K839" s="38"/>
      <c r="L839" s="38"/>
      <c r="M839" s="44"/>
    </row>
    <row r="840">
      <c r="B840" s="38"/>
      <c r="C840" s="39"/>
      <c r="D840" s="39"/>
      <c r="E840" s="39"/>
      <c r="F840" s="39"/>
      <c r="H840" s="38"/>
      <c r="I840" s="38"/>
      <c r="J840" s="38"/>
      <c r="K840" s="38"/>
      <c r="L840" s="38"/>
      <c r="M840" s="44"/>
    </row>
    <row r="841">
      <c r="B841" s="38"/>
      <c r="C841" s="39"/>
      <c r="D841" s="39"/>
      <c r="E841" s="39"/>
      <c r="F841" s="39"/>
      <c r="H841" s="38"/>
      <c r="I841" s="38"/>
      <c r="J841" s="38"/>
      <c r="K841" s="38"/>
      <c r="L841" s="38"/>
      <c r="M841" s="44"/>
    </row>
    <row r="842">
      <c r="B842" s="38"/>
      <c r="C842" s="39"/>
      <c r="D842" s="39"/>
      <c r="E842" s="39"/>
      <c r="F842" s="39"/>
      <c r="H842" s="38"/>
      <c r="I842" s="38"/>
      <c r="J842" s="38"/>
      <c r="K842" s="38"/>
      <c r="L842" s="38"/>
      <c r="M842" s="44"/>
    </row>
    <row r="843">
      <c r="B843" s="38"/>
      <c r="C843" s="39"/>
      <c r="D843" s="39"/>
      <c r="E843" s="39"/>
      <c r="F843" s="39"/>
      <c r="H843" s="38"/>
      <c r="I843" s="38"/>
      <c r="J843" s="38"/>
      <c r="K843" s="38"/>
      <c r="L843" s="38"/>
      <c r="M843" s="44"/>
    </row>
    <row r="844">
      <c r="B844" s="38"/>
      <c r="C844" s="39"/>
      <c r="D844" s="39"/>
      <c r="E844" s="39"/>
      <c r="F844" s="39"/>
      <c r="H844" s="38"/>
      <c r="I844" s="38"/>
      <c r="J844" s="38"/>
      <c r="K844" s="38"/>
      <c r="L844" s="38"/>
      <c r="M844" s="44"/>
    </row>
    <row r="845">
      <c r="B845" s="38"/>
      <c r="C845" s="39"/>
      <c r="D845" s="39"/>
      <c r="E845" s="39"/>
      <c r="F845" s="39"/>
      <c r="H845" s="38"/>
      <c r="I845" s="38"/>
      <c r="J845" s="38"/>
      <c r="K845" s="38"/>
      <c r="L845" s="38"/>
      <c r="M845" s="44"/>
    </row>
    <row r="846">
      <c r="B846" s="38"/>
      <c r="C846" s="39"/>
      <c r="D846" s="39"/>
      <c r="E846" s="39"/>
      <c r="F846" s="39"/>
      <c r="H846" s="38"/>
      <c r="I846" s="38"/>
      <c r="J846" s="38"/>
      <c r="K846" s="38"/>
      <c r="L846" s="38"/>
      <c r="M846" s="44"/>
    </row>
    <row r="847">
      <c r="B847" s="38"/>
      <c r="C847" s="39"/>
      <c r="D847" s="39"/>
      <c r="E847" s="39"/>
      <c r="F847" s="39"/>
      <c r="H847" s="38"/>
      <c r="I847" s="38"/>
      <c r="J847" s="38"/>
      <c r="K847" s="38"/>
      <c r="L847" s="38"/>
      <c r="M847" s="44"/>
    </row>
    <row r="848">
      <c r="B848" s="38"/>
      <c r="C848" s="39"/>
      <c r="D848" s="39"/>
      <c r="E848" s="39"/>
      <c r="F848" s="39"/>
      <c r="H848" s="38"/>
      <c r="I848" s="38"/>
      <c r="J848" s="38"/>
      <c r="K848" s="38"/>
      <c r="L848" s="38"/>
      <c r="M848" s="44"/>
    </row>
    <row r="849">
      <c r="B849" s="38"/>
      <c r="C849" s="39"/>
      <c r="D849" s="39"/>
      <c r="E849" s="39"/>
      <c r="F849" s="39"/>
      <c r="H849" s="38"/>
      <c r="I849" s="38"/>
      <c r="J849" s="38"/>
      <c r="K849" s="38"/>
      <c r="L849" s="38"/>
      <c r="M849" s="44"/>
    </row>
    <row r="850">
      <c r="B850" s="38"/>
      <c r="C850" s="39"/>
      <c r="D850" s="39"/>
      <c r="E850" s="39"/>
      <c r="F850" s="39"/>
      <c r="H850" s="38"/>
      <c r="I850" s="38"/>
      <c r="J850" s="38"/>
      <c r="K850" s="38"/>
      <c r="L850" s="38"/>
      <c r="M850" s="44"/>
    </row>
    <row r="851">
      <c r="B851" s="38"/>
      <c r="C851" s="39"/>
      <c r="D851" s="39"/>
      <c r="E851" s="39"/>
      <c r="F851" s="39"/>
      <c r="H851" s="38"/>
      <c r="I851" s="38"/>
      <c r="J851" s="38"/>
      <c r="K851" s="38"/>
      <c r="L851" s="38"/>
      <c r="M851" s="44"/>
    </row>
    <row r="852">
      <c r="B852" s="38"/>
      <c r="C852" s="39"/>
      <c r="D852" s="39"/>
      <c r="E852" s="39"/>
      <c r="F852" s="39"/>
      <c r="H852" s="38"/>
      <c r="I852" s="38"/>
      <c r="J852" s="38"/>
      <c r="K852" s="38"/>
      <c r="L852" s="38"/>
      <c r="M852" s="44"/>
    </row>
    <row r="853">
      <c r="B853" s="38"/>
      <c r="C853" s="39"/>
      <c r="D853" s="39"/>
      <c r="E853" s="39"/>
      <c r="F853" s="39"/>
      <c r="H853" s="38"/>
      <c r="I853" s="38"/>
      <c r="J853" s="38"/>
      <c r="K853" s="38"/>
      <c r="L853" s="38"/>
      <c r="M853" s="44"/>
    </row>
    <row r="854">
      <c r="B854" s="38"/>
      <c r="C854" s="39"/>
      <c r="D854" s="39"/>
      <c r="E854" s="39"/>
      <c r="F854" s="39"/>
      <c r="H854" s="38"/>
      <c r="I854" s="38"/>
      <c r="J854" s="38"/>
      <c r="K854" s="38"/>
      <c r="L854" s="38"/>
      <c r="M854" s="44"/>
    </row>
    <row r="855">
      <c r="B855" s="38"/>
      <c r="C855" s="39"/>
      <c r="D855" s="39"/>
      <c r="E855" s="39"/>
      <c r="F855" s="39"/>
      <c r="H855" s="38"/>
      <c r="I855" s="38"/>
      <c r="J855" s="38"/>
      <c r="K855" s="38"/>
      <c r="L855" s="38"/>
      <c r="M855" s="44"/>
    </row>
    <row r="856">
      <c r="B856" s="38"/>
      <c r="C856" s="39"/>
      <c r="D856" s="39"/>
      <c r="E856" s="39"/>
      <c r="F856" s="39"/>
      <c r="H856" s="38"/>
      <c r="I856" s="38"/>
      <c r="J856" s="38"/>
      <c r="K856" s="38"/>
      <c r="L856" s="38"/>
      <c r="M856" s="44"/>
    </row>
    <row r="857">
      <c r="B857" s="38"/>
      <c r="C857" s="39"/>
      <c r="D857" s="39"/>
      <c r="E857" s="39"/>
      <c r="F857" s="39"/>
      <c r="H857" s="38"/>
      <c r="I857" s="38"/>
      <c r="J857" s="38"/>
      <c r="K857" s="38"/>
      <c r="L857" s="38"/>
      <c r="M857" s="44"/>
    </row>
    <row r="858">
      <c r="B858" s="38"/>
      <c r="C858" s="39"/>
      <c r="D858" s="39"/>
      <c r="E858" s="39"/>
      <c r="F858" s="39"/>
      <c r="H858" s="38"/>
      <c r="I858" s="38"/>
      <c r="J858" s="38"/>
      <c r="K858" s="38"/>
      <c r="L858" s="38"/>
      <c r="M858" s="44"/>
    </row>
    <row r="859">
      <c r="B859" s="38"/>
      <c r="C859" s="39"/>
      <c r="D859" s="39"/>
      <c r="E859" s="39"/>
      <c r="F859" s="39"/>
      <c r="H859" s="38"/>
      <c r="I859" s="38"/>
      <c r="J859" s="38"/>
      <c r="K859" s="38"/>
      <c r="L859" s="38"/>
      <c r="M859" s="44"/>
    </row>
    <row r="860">
      <c r="B860" s="38"/>
      <c r="C860" s="39"/>
      <c r="D860" s="39"/>
      <c r="E860" s="39"/>
      <c r="F860" s="39"/>
      <c r="H860" s="38"/>
      <c r="I860" s="38"/>
      <c r="J860" s="38"/>
      <c r="K860" s="38"/>
      <c r="L860" s="38"/>
      <c r="M860" s="44"/>
    </row>
    <row r="861">
      <c r="B861" s="38"/>
      <c r="C861" s="39"/>
      <c r="D861" s="39"/>
      <c r="E861" s="39"/>
      <c r="F861" s="39"/>
      <c r="H861" s="38"/>
      <c r="I861" s="38"/>
      <c r="J861" s="38"/>
      <c r="K861" s="38"/>
      <c r="L861" s="38"/>
      <c r="M861" s="44"/>
    </row>
    <row r="862">
      <c r="B862" s="38"/>
      <c r="C862" s="39"/>
      <c r="D862" s="39"/>
      <c r="E862" s="39"/>
      <c r="F862" s="39"/>
      <c r="H862" s="38"/>
      <c r="I862" s="38"/>
      <c r="J862" s="38"/>
      <c r="K862" s="38"/>
      <c r="L862" s="38"/>
      <c r="M862" s="44"/>
    </row>
    <row r="863">
      <c r="B863" s="38"/>
      <c r="C863" s="39"/>
      <c r="D863" s="39"/>
      <c r="E863" s="39"/>
      <c r="F863" s="39"/>
      <c r="H863" s="38"/>
      <c r="I863" s="38"/>
      <c r="J863" s="38"/>
      <c r="K863" s="38"/>
      <c r="L863" s="38"/>
      <c r="M863" s="44"/>
    </row>
    <row r="864">
      <c r="B864" s="38"/>
      <c r="C864" s="39"/>
      <c r="D864" s="39"/>
      <c r="E864" s="39"/>
      <c r="F864" s="39"/>
      <c r="H864" s="38"/>
      <c r="I864" s="38"/>
      <c r="J864" s="38"/>
      <c r="K864" s="38"/>
      <c r="L864" s="38"/>
      <c r="M864" s="44"/>
    </row>
    <row r="865">
      <c r="B865" s="38"/>
      <c r="C865" s="39"/>
      <c r="D865" s="39"/>
      <c r="E865" s="39"/>
      <c r="F865" s="39"/>
      <c r="H865" s="38"/>
      <c r="I865" s="38"/>
      <c r="J865" s="38"/>
      <c r="K865" s="38"/>
      <c r="L865" s="38"/>
      <c r="M865" s="44"/>
    </row>
    <row r="866">
      <c r="B866" s="38"/>
      <c r="C866" s="39"/>
      <c r="D866" s="39"/>
      <c r="E866" s="39"/>
      <c r="F866" s="39"/>
      <c r="H866" s="38"/>
      <c r="I866" s="38"/>
      <c r="J866" s="38"/>
      <c r="K866" s="38"/>
      <c r="L866" s="38"/>
      <c r="M866" s="44"/>
    </row>
    <row r="867">
      <c r="B867" s="38"/>
      <c r="C867" s="39"/>
      <c r="D867" s="39"/>
      <c r="E867" s="39"/>
      <c r="F867" s="39"/>
      <c r="H867" s="38"/>
      <c r="I867" s="38"/>
      <c r="J867" s="38"/>
      <c r="K867" s="38"/>
      <c r="L867" s="38"/>
      <c r="M867" s="44"/>
    </row>
    <row r="868">
      <c r="B868" s="38"/>
      <c r="C868" s="39"/>
      <c r="D868" s="39"/>
      <c r="E868" s="39"/>
      <c r="F868" s="39"/>
      <c r="H868" s="38"/>
      <c r="I868" s="38"/>
      <c r="J868" s="38"/>
      <c r="K868" s="38"/>
      <c r="L868" s="38"/>
      <c r="M868" s="44"/>
    </row>
    <row r="869">
      <c r="B869" s="38"/>
      <c r="C869" s="39"/>
      <c r="D869" s="39"/>
      <c r="E869" s="39"/>
      <c r="F869" s="39"/>
      <c r="H869" s="38"/>
      <c r="I869" s="38"/>
      <c r="J869" s="38"/>
      <c r="K869" s="38"/>
      <c r="L869" s="38"/>
      <c r="M869" s="44"/>
    </row>
    <row r="870">
      <c r="B870" s="38"/>
      <c r="C870" s="39"/>
      <c r="D870" s="39"/>
      <c r="E870" s="39"/>
      <c r="F870" s="39"/>
      <c r="H870" s="38"/>
      <c r="I870" s="38"/>
      <c r="J870" s="38"/>
      <c r="K870" s="38"/>
      <c r="L870" s="38"/>
      <c r="M870" s="44"/>
    </row>
    <row r="871">
      <c r="B871" s="38"/>
      <c r="C871" s="39"/>
      <c r="D871" s="39"/>
      <c r="E871" s="39"/>
      <c r="F871" s="39"/>
      <c r="H871" s="38"/>
      <c r="I871" s="38"/>
      <c r="J871" s="38"/>
      <c r="K871" s="38"/>
      <c r="L871" s="38"/>
      <c r="M871" s="44"/>
    </row>
    <row r="872">
      <c r="B872" s="38"/>
      <c r="C872" s="39"/>
      <c r="D872" s="39"/>
      <c r="E872" s="39"/>
      <c r="F872" s="39"/>
      <c r="H872" s="38"/>
      <c r="I872" s="38"/>
      <c r="J872" s="38"/>
      <c r="K872" s="38"/>
      <c r="L872" s="38"/>
      <c r="M872" s="44"/>
    </row>
    <row r="873">
      <c r="B873" s="38"/>
      <c r="C873" s="39"/>
      <c r="D873" s="39"/>
      <c r="E873" s="39"/>
      <c r="F873" s="39"/>
      <c r="H873" s="38"/>
      <c r="I873" s="38"/>
      <c r="J873" s="38"/>
      <c r="K873" s="38"/>
      <c r="L873" s="38"/>
      <c r="M873" s="44"/>
    </row>
    <row r="874">
      <c r="B874" s="38"/>
      <c r="C874" s="39"/>
      <c r="D874" s="39"/>
      <c r="E874" s="39"/>
      <c r="F874" s="39"/>
      <c r="H874" s="38"/>
      <c r="I874" s="38"/>
      <c r="J874" s="38"/>
      <c r="K874" s="38"/>
      <c r="L874" s="38"/>
      <c r="M874" s="44"/>
    </row>
    <row r="875">
      <c r="B875" s="38"/>
      <c r="C875" s="39"/>
      <c r="D875" s="39"/>
      <c r="E875" s="39"/>
      <c r="F875" s="39"/>
      <c r="H875" s="38"/>
      <c r="I875" s="38"/>
      <c r="J875" s="38"/>
      <c r="K875" s="38"/>
      <c r="L875" s="38"/>
      <c r="M875" s="44"/>
    </row>
    <row r="876">
      <c r="B876" s="38"/>
      <c r="C876" s="39"/>
      <c r="D876" s="39"/>
      <c r="E876" s="39"/>
      <c r="F876" s="39"/>
      <c r="H876" s="38"/>
      <c r="I876" s="38"/>
      <c r="J876" s="38"/>
      <c r="K876" s="38"/>
      <c r="L876" s="38"/>
      <c r="M876" s="44"/>
    </row>
    <row r="877">
      <c r="B877" s="38"/>
      <c r="C877" s="39"/>
      <c r="D877" s="39"/>
      <c r="E877" s="39"/>
      <c r="F877" s="39"/>
      <c r="H877" s="38"/>
      <c r="I877" s="38"/>
      <c r="J877" s="38"/>
      <c r="K877" s="38"/>
      <c r="L877" s="38"/>
      <c r="M877" s="44"/>
    </row>
    <row r="878">
      <c r="B878" s="38"/>
      <c r="C878" s="39"/>
      <c r="D878" s="39"/>
      <c r="E878" s="39"/>
      <c r="F878" s="39"/>
      <c r="H878" s="38"/>
      <c r="I878" s="38"/>
      <c r="J878" s="38"/>
      <c r="K878" s="38"/>
      <c r="L878" s="38"/>
      <c r="M878" s="44"/>
    </row>
    <row r="879">
      <c r="B879" s="38"/>
      <c r="C879" s="39"/>
      <c r="D879" s="39"/>
      <c r="E879" s="39"/>
      <c r="F879" s="39"/>
      <c r="H879" s="38"/>
      <c r="I879" s="38"/>
      <c r="J879" s="38"/>
      <c r="K879" s="38"/>
      <c r="L879" s="38"/>
      <c r="M879" s="44"/>
    </row>
    <row r="880">
      <c r="B880" s="38"/>
      <c r="C880" s="39"/>
      <c r="D880" s="39"/>
      <c r="E880" s="39"/>
      <c r="F880" s="39"/>
      <c r="H880" s="38"/>
      <c r="I880" s="38"/>
      <c r="J880" s="38"/>
      <c r="K880" s="38"/>
      <c r="L880" s="38"/>
      <c r="M880" s="44"/>
    </row>
    <row r="881">
      <c r="B881" s="38"/>
      <c r="C881" s="39"/>
      <c r="D881" s="39"/>
      <c r="E881" s="39"/>
      <c r="F881" s="39"/>
      <c r="H881" s="38"/>
      <c r="I881" s="38"/>
      <c r="J881" s="38"/>
      <c r="K881" s="38"/>
      <c r="L881" s="38"/>
      <c r="M881" s="44"/>
    </row>
    <row r="882">
      <c r="B882" s="38"/>
      <c r="C882" s="39"/>
      <c r="D882" s="39"/>
      <c r="E882" s="39"/>
      <c r="F882" s="39"/>
      <c r="H882" s="38"/>
      <c r="I882" s="38"/>
      <c r="J882" s="38"/>
      <c r="K882" s="38"/>
      <c r="L882" s="38"/>
      <c r="M882" s="44"/>
    </row>
    <row r="883">
      <c r="B883" s="38"/>
      <c r="C883" s="39"/>
      <c r="D883" s="39"/>
      <c r="E883" s="39"/>
      <c r="F883" s="39"/>
      <c r="H883" s="38"/>
      <c r="I883" s="38"/>
      <c r="J883" s="38"/>
      <c r="K883" s="38"/>
      <c r="L883" s="38"/>
      <c r="M883" s="44"/>
    </row>
    <row r="884">
      <c r="B884" s="38"/>
      <c r="C884" s="39"/>
      <c r="D884" s="39"/>
      <c r="E884" s="39"/>
      <c r="F884" s="39"/>
      <c r="H884" s="38"/>
      <c r="I884" s="38"/>
      <c r="J884" s="38"/>
      <c r="K884" s="38"/>
      <c r="L884" s="38"/>
      <c r="M884" s="44"/>
    </row>
    <row r="885">
      <c r="B885" s="38"/>
      <c r="C885" s="39"/>
      <c r="D885" s="39"/>
      <c r="E885" s="39"/>
      <c r="F885" s="39"/>
      <c r="H885" s="38"/>
      <c r="I885" s="38"/>
      <c r="J885" s="38"/>
      <c r="K885" s="38"/>
      <c r="L885" s="38"/>
      <c r="M885" s="44"/>
    </row>
    <row r="886">
      <c r="B886" s="38"/>
      <c r="C886" s="39"/>
      <c r="D886" s="39"/>
      <c r="E886" s="39"/>
      <c r="F886" s="39"/>
      <c r="H886" s="38"/>
      <c r="I886" s="38"/>
      <c r="J886" s="38"/>
      <c r="K886" s="38"/>
      <c r="L886" s="38"/>
      <c r="M886" s="44"/>
    </row>
    <row r="887">
      <c r="B887" s="38"/>
      <c r="C887" s="39"/>
      <c r="D887" s="39"/>
      <c r="E887" s="39"/>
      <c r="F887" s="39"/>
      <c r="H887" s="38"/>
      <c r="I887" s="38"/>
      <c r="J887" s="38"/>
      <c r="K887" s="38"/>
      <c r="L887" s="38"/>
      <c r="M887" s="44"/>
    </row>
    <row r="888">
      <c r="B888" s="38"/>
      <c r="C888" s="39"/>
      <c r="D888" s="39"/>
      <c r="E888" s="39"/>
      <c r="F888" s="39"/>
      <c r="H888" s="38"/>
      <c r="I888" s="38"/>
      <c r="J888" s="38"/>
      <c r="K888" s="38"/>
      <c r="L888" s="38"/>
      <c r="M888" s="44"/>
    </row>
    <row r="889">
      <c r="B889" s="38"/>
      <c r="C889" s="39"/>
      <c r="D889" s="39"/>
      <c r="E889" s="39"/>
      <c r="F889" s="39"/>
      <c r="H889" s="38"/>
      <c r="I889" s="38"/>
      <c r="J889" s="38"/>
      <c r="K889" s="38"/>
      <c r="L889" s="38"/>
      <c r="M889" s="44"/>
    </row>
    <row r="890">
      <c r="B890" s="38"/>
      <c r="C890" s="39"/>
      <c r="D890" s="39"/>
      <c r="E890" s="39"/>
      <c r="F890" s="39"/>
      <c r="H890" s="38"/>
      <c r="I890" s="38"/>
      <c r="J890" s="38"/>
      <c r="K890" s="38"/>
      <c r="L890" s="38"/>
      <c r="M890" s="44"/>
    </row>
    <row r="891">
      <c r="B891" s="38"/>
      <c r="C891" s="39"/>
      <c r="D891" s="39"/>
      <c r="E891" s="39"/>
      <c r="F891" s="39"/>
      <c r="H891" s="38"/>
      <c r="I891" s="38"/>
      <c r="J891" s="38"/>
      <c r="K891" s="38"/>
      <c r="L891" s="38"/>
      <c r="M891" s="44"/>
    </row>
    <row r="892">
      <c r="B892" s="38"/>
      <c r="C892" s="39"/>
      <c r="D892" s="39"/>
      <c r="E892" s="39"/>
      <c r="F892" s="39"/>
      <c r="H892" s="38"/>
      <c r="I892" s="38"/>
      <c r="J892" s="38"/>
      <c r="K892" s="38"/>
      <c r="L892" s="38"/>
      <c r="M892" s="44"/>
    </row>
    <row r="893">
      <c r="B893" s="38"/>
      <c r="C893" s="39"/>
      <c r="D893" s="39"/>
      <c r="E893" s="39"/>
      <c r="F893" s="39"/>
      <c r="H893" s="38"/>
      <c r="I893" s="38"/>
      <c r="J893" s="38"/>
      <c r="K893" s="38"/>
      <c r="L893" s="38"/>
      <c r="M893" s="44"/>
    </row>
    <row r="894">
      <c r="B894" s="38"/>
      <c r="C894" s="39"/>
      <c r="D894" s="39"/>
      <c r="E894" s="39"/>
      <c r="F894" s="39"/>
      <c r="H894" s="38"/>
      <c r="I894" s="38"/>
      <c r="J894" s="38"/>
      <c r="K894" s="38"/>
      <c r="L894" s="38"/>
      <c r="M894" s="44"/>
    </row>
    <row r="895">
      <c r="B895" s="38"/>
      <c r="C895" s="39"/>
      <c r="D895" s="39"/>
      <c r="E895" s="39"/>
      <c r="F895" s="39"/>
      <c r="H895" s="38"/>
      <c r="I895" s="38"/>
      <c r="J895" s="38"/>
      <c r="K895" s="38"/>
      <c r="L895" s="38"/>
      <c r="M895" s="44"/>
    </row>
    <row r="896">
      <c r="B896" s="38"/>
      <c r="C896" s="39"/>
      <c r="D896" s="39"/>
      <c r="E896" s="39"/>
      <c r="F896" s="39"/>
      <c r="H896" s="38"/>
      <c r="I896" s="38"/>
      <c r="J896" s="38"/>
      <c r="K896" s="38"/>
      <c r="L896" s="38"/>
      <c r="M896" s="44"/>
    </row>
    <row r="897">
      <c r="B897" s="38"/>
      <c r="C897" s="39"/>
      <c r="D897" s="39"/>
      <c r="E897" s="39"/>
      <c r="F897" s="39"/>
      <c r="H897" s="38"/>
      <c r="I897" s="38"/>
      <c r="J897" s="38"/>
      <c r="K897" s="38"/>
      <c r="L897" s="38"/>
      <c r="M897" s="44"/>
    </row>
    <row r="898">
      <c r="B898" s="38"/>
      <c r="C898" s="39"/>
      <c r="D898" s="39"/>
      <c r="E898" s="39"/>
      <c r="F898" s="39"/>
      <c r="H898" s="38"/>
      <c r="I898" s="38"/>
      <c r="J898" s="38"/>
      <c r="K898" s="38"/>
      <c r="L898" s="38"/>
      <c r="M898" s="44"/>
    </row>
    <row r="899">
      <c r="B899" s="38"/>
      <c r="C899" s="39"/>
      <c r="D899" s="39"/>
      <c r="E899" s="39"/>
      <c r="F899" s="39"/>
      <c r="H899" s="38"/>
      <c r="I899" s="38"/>
      <c r="J899" s="38"/>
      <c r="K899" s="38"/>
      <c r="L899" s="38"/>
      <c r="M899" s="44"/>
    </row>
    <row r="900">
      <c r="B900" s="38"/>
      <c r="C900" s="39"/>
      <c r="D900" s="39"/>
      <c r="E900" s="39"/>
      <c r="F900" s="39"/>
      <c r="H900" s="38"/>
      <c r="I900" s="38"/>
      <c r="J900" s="38"/>
      <c r="K900" s="38"/>
      <c r="L900" s="38"/>
      <c r="M900" s="44"/>
    </row>
    <row r="901">
      <c r="B901" s="38"/>
      <c r="C901" s="39"/>
      <c r="D901" s="39"/>
      <c r="E901" s="39"/>
      <c r="F901" s="39"/>
      <c r="H901" s="38"/>
      <c r="I901" s="38"/>
      <c r="J901" s="38"/>
      <c r="K901" s="38"/>
      <c r="L901" s="38"/>
      <c r="M901" s="44"/>
    </row>
    <row r="902">
      <c r="B902" s="38"/>
      <c r="C902" s="39"/>
      <c r="D902" s="39"/>
      <c r="E902" s="39"/>
      <c r="F902" s="39"/>
      <c r="H902" s="38"/>
      <c r="I902" s="38"/>
      <c r="J902" s="38"/>
      <c r="K902" s="38"/>
      <c r="L902" s="38"/>
      <c r="M902" s="44"/>
    </row>
    <row r="903">
      <c r="B903" s="38"/>
      <c r="C903" s="39"/>
      <c r="D903" s="39"/>
      <c r="E903" s="39"/>
      <c r="F903" s="39"/>
      <c r="H903" s="38"/>
      <c r="I903" s="38"/>
      <c r="J903" s="38"/>
      <c r="K903" s="38"/>
      <c r="L903" s="38"/>
      <c r="M903" s="44"/>
    </row>
    <row r="904">
      <c r="B904" s="38"/>
      <c r="C904" s="39"/>
      <c r="D904" s="39"/>
      <c r="E904" s="39"/>
      <c r="F904" s="39"/>
      <c r="H904" s="38"/>
      <c r="I904" s="38"/>
      <c r="J904" s="38"/>
      <c r="K904" s="38"/>
      <c r="L904" s="38"/>
      <c r="M904" s="44"/>
    </row>
    <row r="905">
      <c r="B905" s="38"/>
      <c r="C905" s="39"/>
      <c r="D905" s="39"/>
      <c r="E905" s="39"/>
      <c r="F905" s="39"/>
      <c r="H905" s="38"/>
      <c r="I905" s="38"/>
      <c r="J905" s="38"/>
      <c r="K905" s="38"/>
      <c r="L905" s="38"/>
      <c r="M905" s="44"/>
    </row>
    <row r="906">
      <c r="B906" s="38"/>
      <c r="C906" s="39"/>
      <c r="D906" s="39"/>
      <c r="E906" s="39"/>
      <c r="F906" s="39"/>
      <c r="H906" s="38"/>
      <c r="I906" s="38"/>
      <c r="J906" s="38"/>
      <c r="K906" s="38"/>
      <c r="L906" s="38"/>
      <c r="M906" s="44"/>
    </row>
    <row r="907">
      <c r="B907" s="38"/>
      <c r="C907" s="39"/>
      <c r="D907" s="39"/>
      <c r="E907" s="39"/>
      <c r="F907" s="39"/>
      <c r="H907" s="38"/>
      <c r="I907" s="38"/>
      <c r="J907" s="38"/>
      <c r="K907" s="38"/>
      <c r="L907" s="38"/>
      <c r="M907" s="44"/>
    </row>
    <row r="908">
      <c r="B908" s="38"/>
      <c r="C908" s="39"/>
      <c r="D908" s="39"/>
      <c r="E908" s="39"/>
      <c r="F908" s="39"/>
      <c r="H908" s="38"/>
      <c r="I908" s="38"/>
      <c r="J908" s="38"/>
      <c r="K908" s="38"/>
      <c r="L908" s="38"/>
      <c r="M908" s="44"/>
    </row>
    <row r="909">
      <c r="B909" s="38"/>
      <c r="C909" s="39"/>
      <c r="D909" s="39"/>
      <c r="E909" s="39"/>
      <c r="F909" s="39"/>
      <c r="H909" s="38"/>
      <c r="I909" s="38"/>
      <c r="J909" s="38"/>
      <c r="K909" s="38"/>
      <c r="L909" s="38"/>
      <c r="M909" s="44"/>
    </row>
    <row r="910">
      <c r="B910" s="38"/>
      <c r="C910" s="39"/>
      <c r="D910" s="39"/>
      <c r="E910" s="39"/>
      <c r="F910" s="39"/>
      <c r="H910" s="38"/>
      <c r="I910" s="38"/>
      <c r="J910" s="38"/>
      <c r="K910" s="38"/>
      <c r="L910" s="38"/>
      <c r="M910" s="44"/>
    </row>
    <row r="911">
      <c r="B911" s="38"/>
      <c r="C911" s="39"/>
      <c r="D911" s="39"/>
      <c r="E911" s="39"/>
      <c r="F911" s="39"/>
      <c r="H911" s="38"/>
      <c r="I911" s="38"/>
      <c r="J911" s="38"/>
      <c r="K911" s="38"/>
      <c r="L911" s="38"/>
      <c r="M911" s="44"/>
    </row>
    <row r="912">
      <c r="B912" s="38"/>
      <c r="C912" s="39"/>
      <c r="D912" s="39"/>
      <c r="E912" s="39"/>
      <c r="F912" s="39"/>
      <c r="H912" s="38"/>
      <c r="I912" s="38"/>
      <c r="J912" s="38"/>
      <c r="K912" s="38"/>
      <c r="L912" s="38"/>
      <c r="M912" s="44"/>
    </row>
    <row r="913">
      <c r="B913" s="38"/>
      <c r="C913" s="39"/>
      <c r="D913" s="39"/>
      <c r="E913" s="39"/>
      <c r="F913" s="39"/>
      <c r="H913" s="38"/>
      <c r="I913" s="38"/>
      <c r="J913" s="38"/>
      <c r="K913" s="38"/>
      <c r="L913" s="38"/>
      <c r="M913" s="44"/>
    </row>
    <row r="914">
      <c r="B914" s="38"/>
      <c r="C914" s="39"/>
      <c r="D914" s="39"/>
      <c r="E914" s="39"/>
      <c r="F914" s="39"/>
      <c r="H914" s="38"/>
      <c r="I914" s="38"/>
      <c r="J914" s="38"/>
      <c r="K914" s="38"/>
      <c r="L914" s="38"/>
      <c r="M914" s="44"/>
    </row>
    <row r="915">
      <c r="B915" s="38"/>
      <c r="C915" s="39"/>
      <c r="D915" s="39"/>
      <c r="E915" s="39"/>
      <c r="F915" s="39"/>
      <c r="H915" s="38"/>
      <c r="I915" s="38"/>
      <c r="J915" s="38"/>
      <c r="K915" s="38"/>
      <c r="L915" s="38"/>
      <c r="M915" s="44"/>
    </row>
    <row r="916">
      <c r="B916" s="38"/>
      <c r="C916" s="39"/>
      <c r="D916" s="39"/>
      <c r="E916" s="39"/>
      <c r="F916" s="39"/>
      <c r="H916" s="38"/>
      <c r="I916" s="38"/>
      <c r="J916" s="38"/>
      <c r="K916" s="38"/>
      <c r="L916" s="38"/>
      <c r="M916" s="44"/>
    </row>
    <row r="917">
      <c r="B917" s="38"/>
      <c r="C917" s="39"/>
      <c r="D917" s="39"/>
      <c r="E917" s="39"/>
      <c r="F917" s="39"/>
      <c r="H917" s="38"/>
      <c r="I917" s="38"/>
      <c r="J917" s="38"/>
      <c r="K917" s="38"/>
      <c r="L917" s="38"/>
      <c r="M917" s="44"/>
    </row>
    <row r="918">
      <c r="B918" s="38"/>
      <c r="C918" s="39"/>
      <c r="D918" s="39"/>
      <c r="E918" s="39"/>
      <c r="F918" s="39"/>
      <c r="H918" s="38"/>
      <c r="I918" s="38"/>
      <c r="J918" s="38"/>
      <c r="K918" s="38"/>
      <c r="L918" s="38"/>
      <c r="M918" s="44"/>
    </row>
    <row r="919">
      <c r="B919" s="38"/>
      <c r="C919" s="39"/>
      <c r="D919" s="39"/>
      <c r="E919" s="39"/>
      <c r="F919" s="39"/>
      <c r="H919" s="38"/>
      <c r="I919" s="38"/>
      <c r="J919" s="38"/>
      <c r="K919" s="38"/>
      <c r="L919" s="38"/>
      <c r="M919" s="44"/>
    </row>
    <row r="920">
      <c r="B920" s="38"/>
      <c r="C920" s="39"/>
      <c r="D920" s="39"/>
      <c r="E920" s="39"/>
      <c r="F920" s="39"/>
      <c r="H920" s="38"/>
      <c r="I920" s="38"/>
      <c r="J920" s="38"/>
      <c r="K920" s="38"/>
      <c r="L920" s="38"/>
      <c r="M920" s="44"/>
    </row>
    <row r="921">
      <c r="B921" s="38"/>
      <c r="C921" s="39"/>
      <c r="D921" s="39"/>
      <c r="E921" s="39"/>
      <c r="F921" s="39"/>
      <c r="H921" s="38"/>
      <c r="I921" s="38"/>
      <c r="J921" s="38"/>
      <c r="K921" s="38"/>
      <c r="L921" s="38"/>
      <c r="M921" s="44"/>
    </row>
    <row r="922">
      <c r="B922" s="38"/>
      <c r="C922" s="39"/>
      <c r="D922" s="39"/>
      <c r="E922" s="39"/>
      <c r="F922" s="39"/>
      <c r="H922" s="38"/>
      <c r="I922" s="38"/>
      <c r="J922" s="38"/>
      <c r="K922" s="38"/>
      <c r="L922" s="38"/>
      <c r="M922" s="44"/>
    </row>
    <row r="923">
      <c r="B923" s="38"/>
      <c r="C923" s="39"/>
      <c r="D923" s="39"/>
      <c r="E923" s="39"/>
      <c r="F923" s="39"/>
      <c r="H923" s="38"/>
      <c r="I923" s="38"/>
      <c r="J923" s="38"/>
      <c r="K923" s="38"/>
      <c r="L923" s="38"/>
      <c r="M923" s="44"/>
    </row>
    <row r="924">
      <c r="B924" s="38"/>
      <c r="C924" s="39"/>
      <c r="D924" s="39"/>
      <c r="E924" s="39"/>
      <c r="F924" s="39"/>
      <c r="H924" s="38"/>
      <c r="I924" s="38"/>
      <c r="J924" s="38"/>
      <c r="K924" s="38"/>
      <c r="L924" s="38"/>
      <c r="M924" s="44"/>
    </row>
    <row r="925">
      <c r="B925" s="38"/>
      <c r="C925" s="39"/>
      <c r="D925" s="39"/>
      <c r="E925" s="39"/>
      <c r="F925" s="39"/>
      <c r="H925" s="38"/>
      <c r="I925" s="38"/>
      <c r="J925" s="38"/>
      <c r="K925" s="38"/>
      <c r="L925" s="38"/>
      <c r="M925" s="44"/>
    </row>
    <row r="926">
      <c r="B926" s="38"/>
      <c r="C926" s="39"/>
      <c r="D926" s="39"/>
      <c r="E926" s="39"/>
      <c r="F926" s="39"/>
      <c r="H926" s="38"/>
      <c r="I926" s="38"/>
      <c r="J926" s="38"/>
      <c r="K926" s="38"/>
      <c r="L926" s="38"/>
      <c r="M926" s="44"/>
    </row>
    <row r="927">
      <c r="B927" s="38"/>
      <c r="C927" s="39"/>
      <c r="D927" s="39"/>
      <c r="E927" s="39"/>
      <c r="F927" s="39"/>
      <c r="H927" s="38"/>
      <c r="I927" s="38"/>
      <c r="J927" s="38"/>
      <c r="K927" s="38"/>
      <c r="L927" s="38"/>
      <c r="M927" s="44"/>
    </row>
    <row r="928">
      <c r="B928" s="38"/>
      <c r="C928" s="39"/>
      <c r="D928" s="39"/>
      <c r="E928" s="39"/>
      <c r="F928" s="39"/>
      <c r="H928" s="38"/>
      <c r="I928" s="38"/>
      <c r="J928" s="38"/>
      <c r="K928" s="38"/>
      <c r="L928" s="38"/>
      <c r="M928" s="44"/>
    </row>
    <row r="929">
      <c r="B929" s="38"/>
      <c r="C929" s="39"/>
      <c r="D929" s="39"/>
      <c r="E929" s="39"/>
      <c r="F929" s="39"/>
      <c r="H929" s="38"/>
      <c r="I929" s="38"/>
      <c r="J929" s="38"/>
      <c r="K929" s="38"/>
      <c r="L929" s="38"/>
      <c r="M929" s="44"/>
    </row>
    <row r="930">
      <c r="B930" s="38"/>
      <c r="C930" s="39"/>
      <c r="D930" s="39"/>
      <c r="E930" s="39"/>
      <c r="F930" s="39"/>
      <c r="H930" s="38"/>
      <c r="I930" s="38"/>
      <c r="J930" s="38"/>
      <c r="K930" s="38"/>
      <c r="L930" s="38"/>
      <c r="M930" s="44"/>
    </row>
    <row r="931">
      <c r="B931" s="38"/>
      <c r="C931" s="39"/>
      <c r="D931" s="39"/>
      <c r="E931" s="39"/>
      <c r="F931" s="39"/>
      <c r="H931" s="38"/>
      <c r="I931" s="38"/>
      <c r="J931" s="38"/>
      <c r="K931" s="38"/>
      <c r="L931" s="38"/>
      <c r="M931" s="44"/>
    </row>
    <row r="932">
      <c r="B932" s="38"/>
      <c r="C932" s="39"/>
      <c r="D932" s="39"/>
      <c r="E932" s="39"/>
      <c r="F932" s="39"/>
      <c r="H932" s="38"/>
      <c r="I932" s="38"/>
      <c r="J932" s="38"/>
      <c r="K932" s="38"/>
      <c r="L932" s="38"/>
      <c r="M932" s="44"/>
    </row>
    <row r="933">
      <c r="B933" s="38"/>
      <c r="C933" s="39"/>
      <c r="D933" s="39"/>
      <c r="E933" s="39"/>
      <c r="F933" s="39"/>
      <c r="H933" s="38"/>
      <c r="I933" s="38"/>
      <c r="J933" s="38"/>
      <c r="K933" s="38"/>
      <c r="L933" s="38"/>
      <c r="M933" s="44"/>
    </row>
    <row r="934">
      <c r="B934" s="38"/>
      <c r="C934" s="39"/>
      <c r="D934" s="39"/>
      <c r="E934" s="39"/>
      <c r="F934" s="39"/>
      <c r="H934" s="38"/>
      <c r="I934" s="38"/>
      <c r="J934" s="38"/>
      <c r="K934" s="38"/>
      <c r="L934" s="38"/>
      <c r="M934" s="44"/>
    </row>
    <row r="935">
      <c r="B935" s="38"/>
      <c r="C935" s="39"/>
      <c r="D935" s="39"/>
      <c r="E935" s="39"/>
      <c r="F935" s="39"/>
      <c r="H935" s="38"/>
      <c r="I935" s="38"/>
      <c r="J935" s="38"/>
      <c r="K935" s="38"/>
      <c r="L935" s="38"/>
      <c r="M935" s="44"/>
    </row>
    <row r="936">
      <c r="B936" s="38"/>
      <c r="C936" s="39"/>
      <c r="D936" s="39"/>
      <c r="E936" s="39"/>
      <c r="F936" s="39"/>
      <c r="H936" s="38"/>
      <c r="I936" s="38"/>
      <c r="J936" s="38"/>
      <c r="K936" s="38"/>
      <c r="L936" s="38"/>
      <c r="M936" s="44"/>
    </row>
    <row r="937">
      <c r="B937" s="38"/>
      <c r="C937" s="39"/>
      <c r="D937" s="39"/>
      <c r="E937" s="39"/>
      <c r="F937" s="39"/>
      <c r="H937" s="38"/>
      <c r="I937" s="38"/>
      <c r="J937" s="38"/>
      <c r="K937" s="38"/>
      <c r="L937" s="38"/>
      <c r="M937" s="44"/>
    </row>
    <row r="938">
      <c r="B938" s="38"/>
      <c r="C938" s="39"/>
      <c r="D938" s="39"/>
      <c r="E938" s="39"/>
      <c r="F938" s="39"/>
      <c r="H938" s="38"/>
      <c r="I938" s="38"/>
      <c r="J938" s="38"/>
      <c r="K938" s="38"/>
      <c r="L938" s="38"/>
      <c r="M938" s="44"/>
    </row>
    <row r="939">
      <c r="B939" s="38"/>
      <c r="C939" s="39"/>
      <c r="D939" s="39"/>
      <c r="E939" s="39"/>
      <c r="F939" s="39"/>
      <c r="H939" s="38"/>
      <c r="I939" s="38"/>
      <c r="J939" s="38"/>
      <c r="K939" s="38"/>
      <c r="L939" s="38"/>
      <c r="M939" s="44"/>
    </row>
    <row r="940">
      <c r="B940" s="38"/>
      <c r="C940" s="39"/>
      <c r="D940" s="39"/>
      <c r="E940" s="39"/>
      <c r="F940" s="39"/>
      <c r="H940" s="38"/>
      <c r="I940" s="38"/>
      <c r="J940" s="38"/>
      <c r="K940" s="38"/>
      <c r="L940" s="38"/>
      <c r="M940" s="44"/>
    </row>
    <row r="941">
      <c r="B941" s="38"/>
      <c r="C941" s="39"/>
      <c r="D941" s="39"/>
      <c r="E941" s="39"/>
      <c r="F941" s="39"/>
      <c r="H941" s="38"/>
      <c r="I941" s="38"/>
      <c r="J941" s="38"/>
      <c r="K941" s="38"/>
      <c r="L941" s="38"/>
      <c r="M941" s="44"/>
    </row>
    <row r="942">
      <c r="B942" s="38"/>
      <c r="C942" s="39"/>
      <c r="D942" s="39"/>
      <c r="E942" s="39"/>
      <c r="F942" s="39"/>
      <c r="H942" s="38"/>
      <c r="I942" s="38"/>
      <c r="J942" s="38"/>
      <c r="K942" s="38"/>
      <c r="L942" s="38"/>
      <c r="M942" s="44"/>
    </row>
    <row r="943">
      <c r="B943" s="38"/>
      <c r="C943" s="39"/>
      <c r="D943" s="39"/>
      <c r="E943" s="39"/>
      <c r="F943" s="39"/>
      <c r="H943" s="38"/>
      <c r="I943" s="38"/>
      <c r="J943" s="38"/>
      <c r="K943" s="38"/>
      <c r="L943" s="38"/>
      <c r="M943" s="44"/>
    </row>
    <row r="944">
      <c r="B944" s="38"/>
      <c r="C944" s="39"/>
      <c r="D944" s="39"/>
      <c r="E944" s="39"/>
      <c r="F944" s="39"/>
      <c r="H944" s="38"/>
      <c r="I944" s="38"/>
      <c r="J944" s="38"/>
      <c r="K944" s="38"/>
      <c r="L944" s="38"/>
      <c r="M944" s="44"/>
    </row>
    <row r="945">
      <c r="B945" s="38"/>
      <c r="C945" s="39"/>
      <c r="D945" s="39"/>
      <c r="E945" s="39"/>
      <c r="F945" s="39"/>
      <c r="H945" s="38"/>
      <c r="I945" s="38"/>
      <c r="J945" s="38"/>
      <c r="K945" s="38"/>
      <c r="L945" s="38"/>
      <c r="M945" s="44"/>
    </row>
    <row r="946">
      <c r="B946" s="38"/>
      <c r="C946" s="39"/>
      <c r="D946" s="39"/>
      <c r="E946" s="39"/>
      <c r="F946" s="39"/>
      <c r="H946" s="38"/>
      <c r="I946" s="38"/>
      <c r="J946" s="38"/>
      <c r="K946" s="38"/>
      <c r="L946" s="38"/>
      <c r="M946" s="44"/>
    </row>
    <row r="947">
      <c r="B947" s="38"/>
      <c r="C947" s="39"/>
      <c r="D947" s="39"/>
      <c r="E947" s="39"/>
      <c r="F947" s="39"/>
      <c r="H947" s="38"/>
      <c r="I947" s="38"/>
      <c r="J947" s="38"/>
      <c r="K947" s="38"/>
      <c r="L947" s="38"/>
      <c r="M947" s="44"/>
    </row>
    <row r="948">
      <c r="B948" s="38"/>
      <c r="C948" s="39"/>
      <c r="D948" s="39"/>
      <c r="E948" s="39"/>
      <c r="F948" s="39"/>
      <c r="H948" s="38"/>
      <c r="I948" s="38"/>
      <c r="J948" s="38"/>
      <c r="K948" s="38"/>
      <c r="L948" s="38"/>
      <c r="M948" s="44"/>
    </row>
    <row r="949">
      <c r="B949" s="38"/>
      <c r="C949" s="39"/>
      <c r="D949" s="39"/>
      <c r="E949" s="39"/>
      <c r="F949" s="39"/>
      <c r="H949" s="38"/>
      <c r="I949" s="38"/>
      <c r="J949" s="38"/>
      <c r="K949" s="38"/>
      <c r="L949" s="38"/>
      <c r="M949" s="44"/>
    </row>
    <row r="950">
      <c r="B950" s="38"/>
      <c r="C950" s="39"/>
      <c r="D950" s="39"/>
      <c r="E950" s="39"/>
      <c r="F950" s="39"/>
      <c r="H950" s="38"/>
      <c r="I950" s="38"/>
      <c r="J950" s="38"/>
      <c r="K950" s="38"/>
      <c r="L950" s="38"/>
      <c r="M950" s="44"/>
    </row>
    <row r="951">
      <c r="B951" s="38"/>
      <c r="C951" s="39"/>
      <c r="D951" s="39"/>
      <c r="E951" s="39"/>
      <c r="F951" s="39"/>
      <c r="H951" s="38"/>
      <c r="I951" s="38"/>
      <c r="J951" s="38"/>
      <c r="K951" s="38"/>
      <c r="L951" s="38"/>
      <c r="M951" s="44"/>
    </row>
    <row r="952">
      <c r="B952" s="38"/>
      <c r="C952" s="39"/>
      <c r="D952" s="39"/>
      <c r="E952" s="39"/>
      <c r="F952" s="39"/>
      <c r="H952" s="38"/>
      <c r="I952" s="38"/>
      <c r="J952" s="38"/>
      <c r="K952" s="38"/>
      <c r="L952" s="38"/>
      <c r="M952" s="44"/>
    </row>
    <row r="953">
      <c r="B953" s="38"/>
      <c r="C953" s="39"/>
      <c r="D953" s="39"/>
      <c r="E953" s="39"/>
      <c r="F953" s="39"/>
      <c r="H953" s="38"/>
      <c r="I953" s="38"/>
      <c r="J953" s="38"/>
      <c r="K953" s="38"/>
      <c r="L953" s="38"/>
      <c r="M953" s="44"/>
    </row>
    <row r="954">
      <c r="B954" s="38"/>
      <c r="C954" s="39"/>
      <c r="D954" s="39"/>
      <c r="E954" s="39"/>
      <c r="F954" s="39"/>
      <c r="H954" s="38"/>
      <c r="I954" s="38"/>
      <c r="J954" s="38"/>
      <c r="K954" s="38"/>
      <c r="L954" s="38"/>
      <c r="M954" s="44"/>
    </row>
    <row r="955">
      <c r="B955" s="38"/>
      <c r="C955" s="39"/>
      <c r="D955" s="39"/>
      <c r="E955" s="39"/>
      <c r="F955" s="39"/>
      <c r="H955" s="38"/>
      <c r="I955" s="38"/>
      <c r="J955" s="38"/>
      <c r="K955" s="38"/>
      <c r="L955" s="38"/>
      <c r="M955" s="44"/>
    </row>
    <row r="956">
      <c r="B956" s="38"/>
      <c r="C956" s="39"/>
      <c r="D956" s="39"/>
      <c r="E956" s="39"/>
      <c r="F956" s="39"/>
      <c r="H956" s="38"/>
      <c r="I956" s="38"/>
      <c r="J956" s="38"/>
      <c r="K956" s="38"/>
      <c r="L956" s="38"/>
      <c r="M956" s="44"/>
    </row>
    <row r="957">
      <c r="B957" s="38"/>
      <c r="C957" s="39"/>
      <c r="D957" s="39"/>
      <c r="E957" s="39"/>
      <c r="F957" s="39"/>
      <c r="H957" s="38"/>
      <c r="I957" s="38"/>
      <c r="J957" s="38"/>
      <c r="K957" s="38"/>
      <c r="L957" s="38"/>
      <c r="M957" s="44"/>
    </row>
    <row r="958">
      <c r="B958" s="38"/>
      <c r="C958" s="39"/>
      <c r="D958" s="39"/>
      <c r="E958" s="39"/>
      <c r="F958" s="39"/>
      <c r="H958" s="38"/>
      <c r="I958" s="38"/>
      <c r="J958" s="38"/>
      <c r="K958" s="38"/>
      <c r="L958" s="38"/>
      <c r="M958" s="44"/>
    </row>
    <row r="959">
      <c r="B959" s="38"/>
      <c r="C959" s="39"/>
      <c r="D959" s="39"/>
      <c r="E959" s="39"/>
      <c r="F959" s="39"/>
      <c r="H959" s="38"/>
      <c r="I959" s="38"/>
      <c r="J959" s="38"/>
      <c r="K959" s="38"/>
      <c r="L959" s="38"/>
      <c r="M959" s="44"/>
    </row>
    <row r="960">
      <c r="B960" s="38"/>
      <c r="C960" s="39"/>
      <c r="D960" s="39"/>
      <c r="E960" s="39"/>
      <c r="F960" s="39"/>
      <c r="H960" s="38"/>
      <c r="I960" s="38"/>
      <c r="J960" s="38"/>
      <c r="K960" s="38"/>
      <c r="L960" s="38"/>
      <c r="M960" s="44"/>
    </row>
    <row r="961">
      <c r="B961" s="38"/>
      <c r="C961" s="39"/>
      <c r="D961" s="39"/>
      <c r="E961" s="39"/>
      <c r="F961" s="39"/>
      <c r="H961" s="38"/>
      <c r="I961" s="38"/>
      <c r="J961" s="38"/>
      <c r="K961" s="38"/>
      <c r="L961" s="38"/>
      <c r="M961" s="44"/>
    </row>
    <row r="962">
      <c r="B962" s="38"/>
      <c r="C962" s="39"/>
      <c r="D962" s="39"/>
      <c r="E962" s="39"/>
      <c r="F962" s="39"/>
      <c r="H962" s="38"/>
      <c r="I962" s="38"/>
      <c r="J962" s="38"/>
      <c r="K962" s="38"/>
      <c r="L962" s="38"/>
      <c r="M962" s="44"/>
    </row>
    <row r="963">
      <c r="B963" s="38"/>
      <c r="C963" s="39"/>
      <c r="D963" s="39"/>
      <c r="E963" s="39"/>
      <c r="F963" s="39"/>
      <c r="H963" s="38"/>
      <c r="I963" s="38"/>
      <c r="J963" s="38"/>
      <c r="K963" s="38"/>
      <c r="L963" s="38"/>
      <c r="M963" s="44"/>
    </row>
    <row r="964">
      <c r="B964" s="38"/>
      <c r="C964" s="39"/>
      <c r="D964" s="39"/>
      <c r="E964" s="39"/>
      <c r="F964" s="39"/>
      <c r="H964" s="38"/>
      <c r="I964" s="38"/>
      <c r="J964" s="38"/>
      <c r="K964" s="38"/>
      <c r="L964" s="38"/>
      <c r="M964" s="44"/>
    </row>
    <row r="965">
      <c r="B965" s="38"/>
      <c r="C965" s="39"/>
      <c r="D965" s="39"/>
      <c r="E965" s="39"/>
      <c r="F965" s="39"/>
      <c r="H965" s="38"/>
      <c r="I965" s="38"/>
      <c r="J965" s="38"/>
      <c r="K965" s="38"/>
      <c r="L965" s="38"/>
      <c r="M965" s="44"/>
    </row>
    <row r="966">
      <c r="B966" s="38"/>
      <c r="C966" s="39"/>
      <c r="D966" s="39"/>
      <c r="E966" s="39"/>
      <c r="F966" s="39"/>
      <c r="H966" s="38"/>
      <c r="I966" s="38"/>
      <c r="J966" s="38"/>
      <c r="K966" s="38"/>
      <c r="L966" s="38"/>
      <c r="M966" s="44"/>
    </row>
    <row r="967">
      <c r="B967" s="38"/>
      <c r="C967" s="39"/>
      <c r="D967" s="39"/>
      <c r="E967" s="39"/>
      <c r="F967" s="39"/>
      <c r="H967" s="38"/>
      <c r="I967" s="38"/>
      <c r="J967" s="38"/>
      <c r="K967" s="38"/>
      <c r="L967" s="38"/>
      <c r="M967" s="44"/>
    </row>
    <row r="968">
      <c r="B968" s="38"/>
      <c r="C968" s="39"/>
      <c r="D968" s="39"/>
      <c r="E968" s="39"/>
      <c r="F968" s="39"/>
      <c r="H968" s="38"/>
      <c r="I968" s="38"/>
      <c r="J968" s="38"/>
      <c r="K968" s="38"/>
      <c r="L968" s="38"/>
      <c r="M968" s="44"/>
    </row>
    <row r="969">
      <c r="B969" s="38"/>
      <c r="C969" s="39"/>
      <c r="D969" s="39"/>
      <c r="E969" s="39"/>
      <c r="F969" s="39"/>
      <c r="H969" s="38"/>
      <c r="I969" s="38"/>
      <c r="J969" s="38"/>
      <c r="K969" s="38"/>
      <c r="L969" s="38"/>
      <c r="M969" s="44"/>
    </row>
    <row r="970">
      <c r="B970" s="38"/>
      <c r="C970" s="39"/>
      <c r="D970" s="39"/>
      <c r="E970" s="39"/>
      <c r="F970" s="39"/>
      <c r="H970" s="38"/>
      <c r="I970" s="38"/>
      <c r="J970" s="38"/>
      <c r="K970" s="38"/>
      <c r="L970" s="38"/>
      <c r="M970" s="44"/>
    </row>
    <row r="971">
      <c r="B971" s="38"/>
      <c r="C971" s="39"/>
      <c r="D971" s="39"/>
      <c r="E971" s="39"/>
      <c r="F971" s="39"/>
      <c r="H971" s="38"/>
      <c r="I971" s="38"/>
      <c r="J971" s="38"/>
      <c r="K971" s="38"/>
      <c r="L971" s="38"/>
      <c r="M971" s="44"/>
    </row>
    <row r="972">
      <c r="B972" s="38"/>
      <c r="C972" s="39"/>
      <c r="D972" s="39"/>
      <c r="E972" s="39"/>
      <c r="F972" s="39"/>
      <c r="H972" s="38"/>
      <c r="I972" s="38"/>
      <c r="J972" s="38"/>
      <c r="K972" s="38"/>
      <c r="L972" s="38"/>
      <c r="M972" s="44"/>
    </row>
    <row r="973">
      <c r="B973" s="38"/>
      <c r="C973" s="39"/>
      <c r="D973" s="39"/>
      <c r="E973" s="39"/>
      <c r="F973" s="39"/>
      <c r="H973" s="38"/>
      <c r="I973" s="38"/>
      <c r="J973" s="38"/>
      <c r="K973" s="38"/>
      <c r="L973" s="38"/>
      <c r="M973" s="44"/>
    </row>
    <row r="974">
      <c r="B974" s="38"/>
      <c r="C974" s="39"/>
      <c r="D974" s="39"/>
      <c r="E974" s="39"/>
      <c r="F974" s="39"/>
      <c r="H974" s="38"/>
      <c r="I974" s="38"/>
      <c r="J974" s="38"/>
      <c r="K974" s="38"/>
      <c r="L974" s="38"/>
      <c r="M974" s="44"/>
    </row>
    <row r="975">
      <c r="B975" s="38"/>
      <c r="C975" s="39"/>
      <c r="D975" s="39"/>
      <c r="E975" s="39"/>
      <c r="F975" s="39"/>
      <c r="H975" s="38"/>
      <c r="I975" s="38"/>
      <c r="J975" s="38"/>
      <c r="K975" s="38"/>
      <c r="L975" s="38"/>
      <c r="M975" s="44"/>
    </row>
    <row r="976">
      <c r="B976" s="38"/>
      <c r="C976" s="39"/>
      <c r="D976" s="39"/>
      <c r="E976" s="39"/>
      <c r="F976" s="39"/>
      <c r="H976" s="38"/>
      <c r="I976" s="38"/>
      <c r="J976" s="38"/>
      <c r="K976" s="38"/>
      <c r="L976" s="38"/>
      <c r="M976" s="44"/>
    </row>
    <row r="977">
      <c r="B977" s="38"/>
      <c r="C977" s="39"/>
      <c r="D977" s="39"/>
      <c r="E977" s="39"/>
      <c r="F977" s="39"/>
      <c r="H977" s="38"/>
      <c r="I977" s="38"/>
      <c r="J977" s="38"/>
      <c r="K977" s="38"/>
      <c r="L977" s="38"/>
      <c r="M977" s="44"/>
    </row>
    <row r="978">
      <c r="B978" s="38"/>
      <c r="C978" s="39"/>
      <c r="D978" s="39"/>
      <c r="E978" s="39"/>
      <c r="F978" s="39"/>
      <c r="H978" s="38"/>
      <c r="I978" s="38"/>
      <c r="J978" s="38"/>
      <c r="K978" s="38"/>
      <c r="L978" s="38"/>
      <c r="M978" s="44"/>
    </row>
    <row r="979">
      <c r="B979" s="38"/>
      <c r="C979" s="39"/>
      <c r="D979" s="39"/>
      <c r="E979" s="39"/>
      <c r="F979" s="39"/>
      <c r="H979" s="38"/>
      <c r="I979" s="38"/>
      <c r="J979" s="38"/>
      <c r="K979" s="38"/>
      <c r="L979" s="38"/>
      <c r="M979" s="44"/>
    </row>
    <row r="980">
      <c r="B980" s="38"/>
      <c r="C980" s="39"/>
      <c r="D980" s="39"/>
      <c r="E980" s="39"/>
      <c r="F980" s="39"/>
      <c r="H980" s="38"/>
      <c r="I980" s="38"/>
      <c r="J980" s="38"/>
      <c r="K980" s="38"/>
      <c r="L980" s="38"/>
      <c r="M980" s="44"/>
    </row>
    <row r="981">
      <c r="B981" s="38"/>
      <c r="C981" s="39"/>
      <c r="D981" s="39"/>
      <c r="E981" s="39"/>
      <c r="F981" s="39"/>
      <c r="H981" s="38"/>
      <c r="I981" s="38"/>
      <c r="J981" s="38"/>
      <c r="K981" s="38"/>
      <c r="L981" s="38"/>
      <c r="M981" s="44"/>
    </row>
    <row r="982">
      <c r="B982" s="38"/>
      <c r="C982" s="39"/>
      <c r="D982" s="39"/>
      <c r="E982" s="39"/>
      <c r="F982" s="39"/>
      <c r="H982" s="38"/>
      <c r="I982" s="38"/>
      <c r="J982" s="38"/>
      <c r="K982" s="38"/>
      <c r="L982" s="38"/>
      <c r="M982" s="44"/>
    </row>
    <row r="983">
      <c r="B983" s="38"/>
      <c r="C983" s="39"/>
      <c r="D983" s="39"/>
      <c r="E983" s="39"/>
      <c r="F983" s="39"/>
      <c r="H983" s="38"/>
      <c r="I983" s="38"/>
      <c r="J983" s="38"/>
      <c r="K983" s="38"/>
      <c r="L983" s="38"/>
      <c r="M983" s="44"/>
    </row>
    <row r="984">
      <c r="B984" s="38"/>
      <c r="C984" s="39"/>
      <c r="D984" s="39"/>
      <c r="E984" s="39"/>
      <c r="F984" s="39"/>
      <c r="H984" s="38"/>
      <c r="I984" s="38"/>
      <c r="J984" s="38"/>
      <c r="K984" s="38"/>
      <c r="L984" s="38"/>
      <c r="M984" s="44"/>
    </row>
    <row r="985">
      <c r="B985" s="38"/>
      <c r="C985" s="39"/>
      <c r="D985" s="39"/>
      <c r="E985" s="39"/>
      <c r="F985" s="39"/>
      <c r="H985" s="38"/>
      <c r="I985" s="38"/>
      <c r="J985" s="38"/>
      <c r="K985" s="38"/>
      <c r="L985" s="38"/>
      <c r="M985" s="44"/>
    </row>
    <row r="986">
      <c r="B986" s="38"/>
      <c r="C986" s="39"/>
      <c r="D986" s="39"/>
      <c r="E986" s="39"/>
      <c r="F986" s="39"/>
      <c r="H986" s="38"/>
      <c r="I986" s="38"/>
      <c r="J986" s="38"/>
      <c r="K986" s="38"/>
      <c r="L986" s="38"/>
      <c r="M986" s="44"/>
    </row>
    <row r="987">
      <c r="B987" s="38"/>
      <c r="C987" s="39"/>
      <c r="D987" s="39"/>
      <c r="E987" s="39"/>
      <c r="F987" s="39"/>
      <c r="H987" s="38"/>
      <c r="I987" s="38"/>
      <c r="J987" s="38"/>
      <c r="K987" s="38"/>
      <c r="L987" s="38"/>
      <c r="M987" s="44"/>
    </row>
    <row r="988">
      <c r="B988" s="38"/>
      <c r="C988" s="39"/>
      <c r="D988" s="39"/>
      <c r="E988" s="39"/>
      <c r="F988" s="39"/>
      <c r="H988" s="38"/>
      <c r="I988" s="38"/>
      <c r="J988" s="38"/>
      <c r="K988" s="38"/>
      <c r="L988" s="38"/>
      <c r="M988" s="44"/>
    </row>
    <row r="989">
      <c r="B989" s="38"/>
      <c r="C989" s="39"/>
      <c r="D989" s="39"/>
      <c r="E989" s="39"/>
      <c r="F989" s="39"/>
      <c r="H989" s="38"/>
      <c r="I989" s="38"/>
      <c r="J989" s="38"/>
      <c r="K989" s="38"/>
      <c r="L989" s="38"/>
      <c r="M989" s="44"/>
    </row>
    <row r="990">
      <c r="B990" s="38"/>
      <c r="C990" s="39"/>
      <c r="D990" s="39"/>
      <c r="E990" s="39"/>
      <c r="F990" s="39"/>
      <c r="H990" s="38"/>
      <c r="I990" s="38"/>
      <c r="J990" s="38"/>
      <c r="K990" s="38"/>
      <c r="L990" s="38"/>
      <c r="M990" s="44"/>
    </row>
    <row r="991">
      <c r="B991" s="38"/>
      <c r="C991" s="39"/>
      <c r="D991" s="39"/>
      <c r="E991" s="39"/>
      <c r="F991" s="39"/>
      <c r="H991" s="38"/>
      <c r="I991" s="38"/>
      <c r="J991" s="38"/>
      <c r="K991" s="38"/>
      <c r="L991" s="38"/>
      <c r="M991" s="44"/>
    </row>
    <row r="992">
      <c r="B992" s="38"/>
      <c r="C992" s="39"/>
      <c r="D992" s="39"/>
      <c r="E992" s="39"/>
      <c r="F992" s="39"/>
      <c r="H992" s="38"/>
      <c r="I992" s="38"/>
      <c r="J992" s="38"/>
      <c r="K992" s="38"/>
      <c r="L992" s="38"/>
      <c r="M992" s="44"/>
    </row>
    <row r="993">
      <c r="B993" s="38"/>
      <c r="C993" s="39"/>
      <c r="D993" s="39"/>
      <c r="E993" s="39"/>
      <c r="F993" s="39"/>
      <c r="H993" s="38"/>
      <c r="I993" s="38"/>
      <c r="J993" s="38"/>
      <c r="K993" s="38"/>
      <c r="L993" s="38"/>
      <c r="M993" s="44"/>
    </row>
    <row r="994">
      <c r="B994" s="38"/>
      <c r="C994" s="39"/>
      <c r="D994" s="39"/>
      <c r="E994" s="39"/>
      <c r="F994" s="39"/>
      <c r="H994" s="38"/>
      <c r="I994" s="38"/>
      <c r="J994" s="38"/>
      <c r="K994" s="38"/>
      <c r="L994" s="38"/>
      <c r="M994" s="44"/>
    </row>
    <row r="995">
      <c r="B995" s="38"/>
      <c r="C995" s="39"/>
      <c r="D995" s="39"/>
      <c r="E995" s="39"/>
      <c r="F995" s="39"/>
      <c r="H995" s="38"/>
      <c r="I995" s="38"/>
      <c r="J995" s="38"/>
      <c r="K995" s="38"/>
      <c r="L995" s="38"/>
      <c r="M995" s="44"/>
    </row>
    <row r="996">
      <c r="B996" s="38"/>
      <c r="C996" s="39"/>
      <c r="D996" s="39"/>
      <c r="E996" s="39"/>
      <c r="F996" s="39"/>
      <c r="H996" s="38"/>
      <c r="I996" s="38"/>
      <c r="J996" s="38"/>
      <c r="K996" s="38"/>
      <c r="L996" s="38"/>
      <c r="M996" s="44"/>
    </row>
    <row r="997">
      <c r="B997" s="38"/>
      <c r="C997" s="39"/>
      <c r="D997" s="39"/>
      <c r="E997" s="39"/>
      <c r="F997" s="39"/>
      <c r="H997" s="38"/>
      <c r="I997" s="38"/>
      <c r="J997" s="38"/>
      <c r="K997" s="38"/>
      <c r="L997" s="38"/>
      <c r="M997" s="44"/>
    </row>
    <row r="998">
      <c r="B998" s="38"/>
      <c r="C998" s="39"/>
      <c r="D998" s="39"/>
      <c r="E998" s="39"/>
      <c r="F998" s="39"/>
      <c r="H998" s="38"/>
      <c r="I998" s="38"/>
      <c r="J998" s="38"/>
      <c r="K998" s="38"/>
      <c r="L998" s="38"/>
      <c r="M998" s="44"/>
    </row>
    <row r="999">
      <c r="B999" s="38"/>
      <c r="C999" s="39"/>
      <c r="D999" s="39"/>
      <c r="E999" s="39"/>
      <c r="F999" s="39"/>
      <c r="H999" s="38"/>
      <c r="I999" s="38"/>
      <c r="J999" s="38"/>
      <c r="K999" s="38"/>
      <c r="L999" s="38"/>
      <c r="M999" s="44"/>
    </row>
    <row r="1000">
      <c r="B1000" s="38"/>
      <c r="C1000" s="39"/>
      <c r="D1000" s="39"/>
      <c r="E1000" s="39"/>
      <c r="F1000" s="39"/>
      <c r="H1000" s="38"/>
      <c r="I1000" s="38"/>
      <c r="J1000" s="38"/>
      <c r="K1000" s="38"/>
      <c r="L1000" s="38"/>
      <c r="M1000" s="44"/>
    </row>
    <row r="1001">
      <c r="B1001" s="38"/>
      <c r="C1001" s="39"/>
      <c r="D1001" s="39"/>
      <c r="E1001" s="39"/>
      <c r="F1001" s="39"/>
      <c r="H1001" s="38"/>
      <c r="I1001" s="38"/>
      <c r="J1001" s="38"/>
      <c r="K1001" s="38"/>
      <c r="L1001" s="38"/>
      <c r="M1001" s="44"/>
    </row>
    <row r="1002">
      <c r="B1002" s="38"/>
      <c r="C1002" s="39"/>
      <c r="D1002" s="39"/>
      <c r="E1002" s="39"/>
      <c r="F1002" s="39"/>
      <c r="H1002" s="38"/>
      <c r="I1002" s="38"/>
      <c r="J1002" s="38"/>
      <c r="K1002" s="38"/>
      <c r="L1002" s="38"/>
      <c r="M1002" s="44"/>
    </row>
    <row r="1003">
      <c r="B1003" s="38"/>
      <c r="C1003" s="39"/>
      <c r="D1003" s="39"/>
      <c r="E1003" s="39"/>
      <c r="F1003" s="39"/>
      <c r="H1003" s="38"/>
      <c r="I1003" s="38"/>
      <c r="J1003" s="38"/>
      <c r="K1003" s="38"/>
      <c r="L1003" s="38"/>
      <c r="M1003" s="44"/>
    </row>
    <row r="1004">
      <c r="B1004" s="38"/>
      <c r="C1004" s="39"/>
      <c r="D1004" s="39"/>
      <c r="E1004" s="39"/>
      <c r="F1004" s="39"/>
      <c r="H1004" s="38"/>
      <c r="I1004" s="38"/>
      <c r="J1004" s="38"/>
      <c r="K1004" s="38"/>
      <c r="L1004" s="38"/>
      <c r="M1004" s="44"/>
    </row>
    <row r="1005">
      <c r="B1005" s="38"/>
      <c r="C1005" s="39"/>
      <c r="D1005" s="39"/>
      <c r="E1005" s="39"/>
      <c r="F1005" s="39"/>
      <c r="H1005" s="38"/>
      <c r="I1005" s="38"/>
      <c r="J1005" s="38"/>
      <c r="K1005" s="38"/>
      <c r="L1005" s="38"/>
      <c r="M1005" s="44"/>
    </row>
    <row r="1006">
      <c r="H1006" s="38"/>
      <c r="I1006" s="38"/>
      <c r="J1006" s="38"/>
      <c r="K1006" s="38"/>
      <c r="L1006" s="38"/>
      <c r="M1006" s="44"/>
    </row>
    <row r="1007">
      <c r="H1007" s="38"/>
      <c r="I1007" s="38"/>
      <c r="J1007" s="38"/>
      <c r="K1007" s="38"/>
      <c r="L1007" s="38"/>
      <c r="M1007" s="4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2" width="28.13"/>
    <col customWidth="1" min="3" max="8" width="15.38"/>
  </cols>
  <sheetData>
    <row r="1" ht="15.0" customHeight="1">
      <c r="A1" s="170"/>
      <c r="B1" s="170"/>
      <c r="C1" s="134"/>
      <c r="D1" s="134"/>
      <c r="E1" s="134"/>
      <c r="F1" s="134"/>
      <c r="G1" s="134"/>
      <c r="H1" s="134"/>
    </row>
    <row r="2">
      <c r="A2" s="134"/>
      <c r="B2" s="134"/>
      <c r="C2" s="134"/>
      <c r="D2" s="134"/>
      <c r="E2" s="134"/>
      <c r="F2" s="134"/>
      <c r="G2" s="134"/>
      <c r="H2" s="134"/>
    </row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  <row r="21" ht="15.0" customHeight="1"/>
    <row r="22" ht="15.0" customHeight="1"/>
    <row r="23" ht="15.0" customHeight="1"/>
    <row r="24" ht="15.0" customHeight="1"/>
    <row r="25" ht="15.0" customHeight="1"/>
    <row r="26" ht="15.0" customHeight="1"/>
    <row r="27" ht="15.0" customHeight="1"/>
    <row r="28" ht="15.0" customHeight="1"/>
    <row r="29" ht="15.0" customHeight="1"/>
    <row r="30" ht="15.0" customHeight="1"/>
    <row r="31" ht="15.0" customHeight="1"/>
    <row r="32" ht="15.0" customHeight="1"/>
    <row r="33" ht="15.0" customHeight="1"/>
    <row r="34" ht="15.0" customHeight="1"/>
    <row r="35" ht="15.0" customHeight="1"/>
    <row r="36" ht="15.0" customHeight="1"/>
    <row r="37" ht="15.0" customHeight="1"/>
    <row r="38" ht="15.0" customHeight="1"/>
    <row r="39" ht="15.0" customHeight="1"/>
    <row r="40" ht="15.0" customHeight="1"/>
    <row r="41" ht="15.0" customHeight="1"/>
    <row r="42" ht="15.0" customHeight="1"/>
    <row r="43" ht="15.0" customHeight="1"/>
    <row r="44" ht="15.0" customHeight="1"/>
    <row r="45" ht="15.0" customHeight="1"/>
    <row r="46" ht="15.0" customHeight="1"/>
    <row r="47" ht="15.0" customHeight="1"/>
    <row r="48" ht="15.0" customHeight="1"/>
    <row r="49" ht="15.0" customHeight="1"/>
    <row r="50" ht="15.0" customHeight="1"/>
    <row r="51" ht="15.0" customHeight="1"/>
    <row r="52" ht="15.0" customHeight="1"/>
    <row r="53" ht="15.0" customHeight="1"/>
    <row r="54" ht="15.0" customHeight="1"/>
    <row r="55" ht="15.0" customHeight="1"/>
    <row r="56" ht="15.0" customHeight="1"/>
    <row r="57" ht="15.0" customHeight="1"/>
    <row r="58" ht="15.0" customHeight="1"/>
    <row r="59" ht="15.0" customHeight="1"/>
    <row r="60" ht="15.0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>
      <c r="A530" s="134"/>
      <c r="B530" s="134"/>
      <c r="C530" s="134"/>
      <c r="D530" s="134"/>
      <c r="E530" s="134"/>
      <c r="F530" s="134"/>
      <c r="G530" s="134"/>
      <c r="H530" s="134"/>
    </row>
    <row r="531" ht="15.75" customHeight="1">
      <c r="A531" s="134"/>
      <c r="B531" s="134"/>
      <c r="C531" s="134"/>
      <c r="D531" s="134"/>
      <c r="E531" s="134"/>
      <c r="F531" s="134"/>
      <c r="G531" s="134"/>
      <c r="H531" s="134"/>
    </row>
    <row r="532" ht="15.75" customHeight="1">
      <c r="A532" s="134"/>
      <c r="B532" s="134"/>
      <c r="C532" s="134"/>
      <c r="D532" s="134"/>
      <c r="E532" s="134"/>
      <c r="F532" s="134"/>
      <c r="G532" s="134"/>
      <c r="H532" s="134"/>
    </row>
    <row r="533" ht="15.75" customHeight="1">
      <c r="A533" s="134"/>
      <c r="B533" s="134"/>
      <c r="C533" s="134"/>
      <c r="D533" s="134"/>
      <c r="E533" s="134"/>
      <c r="F533" s="134"/>
      <c r="G533" s="134"/>
      <c r="H533" s="134"/>
    </row>
    <row r="534" ht="15.75" customHeight="1">
      <c r="A534" s="134"/>
      <c r="B534" s="134"/>
      <c r="C534" s="134"/>
      <c r="D534" s="134"/>
      <c r="E534" s="134"/>
      <c r="F534" s="134"/>
      <c r="G534" s="134"/>
      <c r="H534" s="134"/>
    </row>
    <row r="535" ht="15.75" customHeight="1">
      <c r="A535" s="134"/>
      <c r="B535" s="134"/>
      <c r="C535" s="134"/>
      <c r="D535" s="134"/>
      <c r="E535" s="134"/>
      <c r="F535" s="134"/>
      <c r="G535" s="134"/>
      <c r="H535" s="134"/>
    </row>
    <row r="536" ht="15.75" customHeight="1">
      <c r="A536" s="134"/>
      <c r="B536" s="134"/>
      <c r="C536" s="134"/>
      <c r="D536" s="134"/>
      <c r="E536" s="134"/>
      <c r="F536" s="134"/>
      <c r="G536" s="134"/>
      <c r="H536" s="134"/>
    </row>
    <row r="537" ht="15.75" customHeight="1">
      <c r="A537" s="134"/>
      <c r="B537" s="134"/>
      <c r="C537" s="134"/>
      <c r="D537" s="134"/>
      <c r="E537" s="134"/>
      <c r="F537" s="134"/>
      <c r="G537" s="134"/>
      <c r="H537" s="134"/>
    </row>
    <row r="538" ht="15.75" customHeight="1">
      <c r="A538" s="134"/>
      <c r="B538" s="134"/>
      <c r="C538" s="134"/>
      <c r="D538" s="134"/>
      <c r="E538" s="134"/>
      <c r="F538" s="134"/>
      <c r="G538" s="134"/>
      <c r="H538" s="134"/>
    </row>
    <row r="539" ht="15.75" customHeight="1">
      <c r="A539" s="134"/>
      <c r="B539" s="134"/>
      <c r="C539" s="134"/>
      <c r="D539" s="134"/>
      <c r="E539" s="134"/>
      <c r="F539" s="134"/>
      <c r="G539" s="134"/>
      <c r="H539" s="134"/>
    </row>
    <row r="540" ht="15.75" customHeight="1">
      <c r="A540" s="134"/>
      <c r="B540" s="134"/>
      <c r="C540" s="134"/>
      <c r="D540" s="134"/>
      <c r="E540" s="134"/>
      <c r="F540" s="134"/>
      <c r="G540" s="134"/>
      <c r="H540" s="134"/>
    </row>
    <row r="541" ht="15.75" customHeight="1">
      <c r="A541" s="134"/>
      <c r="B541" s="134"/>
      <c r="C541" s="134"/>
      <c r="D541" s="134"/>
      <c r="E541" s="134"/>
      <c r="F541" s="134"/>
      <c r="G541" s="134"/>
      <c r="H541" s="134"/>
    </row>
    <row r="542" ht="15.75" customHeight="1">
      <c r="A542" s="134"/>
      <c r="B542" s="134"/>
      <c r="C542" s="134"/>
      <c r="D542" s="134"/>
      <c r="E542" s="134"/>
      <c r="F542" s="134"/>
      <c r="G542" s="134"/>
      <c r="H542" s="134"/>
    </row>
    <row r="543" ht="15.75" customHeight="1">
      <c r="A543" s="134"/>
      <c r="B543" s="134"/>
      <c r="C543" s="134"/>
      <c r="D543" s="134"/>
      <c r="E543" s="134"/>
      <c r="F543" s="134"/>
      <c r="G543" s="134"/>
      <c r="H543" s="134"/>
    </row>
    <row r="544" ht="15.75" customHeight="1">
      <c r="A544" s="134"/>
      <c r="B544" s="134"/>
      <c r="C544" s="134"/>
      <c r="D544" s="134"/>
      <c r="E544" s="134"/>
      <c r="F544" s="134"/>
      <c r="G544" s="134"/>
      <c r="H544" s="134"/>
    </row>
    <row r="545" ht="15.75" customHeight="1">
      <c r="A545" s="134"/>
      <c r="B545" s="134"/>
      <c r="C545" s="134"/>
      <c r="D545" s="134"/>
      <c r="E545" s="134"/>
      <c r="F545" s="134"/>
      <c r="G545" s="134"/>
      <c r="H545" s="134"/>
    </row>
    <row r="546" ht="15.75" customHeight="1">
      <c r="A546" s="134"/>
      <c r="B546" s="134"/>
      <c r="C546" s="134"/>
      <c r="D546" s="134"/>
      <c r="E546" s="134"/>
      <c r="F546" s="134"/>
      <c r="G546" s="134"/>
      <c r="H546" s="134"/>
    </row>
    <row r="547" ht="15.75" customHeight="1">
      <c r="A547" s="134"/>
      <c r="B547" s="134"/>
      <c r="C547" s="134"/>
      <c r="D547" s="134"/>
      <c r="E547" s="134"/>
      <c r="F547" s="134"/>
      <c r="G547" s="134"/>
      <c r="H547" s="134"/>
    </row>
    <row r="548" ht="15.75" customHeight="1">
      <c r="A548" s="134"/>
      <c r="B548" s="134"/>
      <c r="C548" s="134"/>
      <c r="D548" s="134"/>
      <c r="E548" s="134"/>
      <c r="F548" s="134"/>
      <c r="G548" s="134"/>
      <c r="H548" s="134"/>
    </row>
    <row r="549" ht="15.75" customHeight="1">
      <c r="A549" s="134"/>
      <c r="B549" s="134"/>
      <c r="C549" s="134"/>
      <c r="D549" s="134"/>
      <c r="E549" s="134"/>
      <c r="F549" s="134"/>
      <c r="G549" s="134"/>
      <c r="H549" s="134"/>
    </row>
    <row r="550" ht="15.75" customHeight="1">
      <c r="A550" s="134"/>
      <c r="B550" s="134"/>
      <c r="C550" s="134"/>
      <c r="D550" s="134"/>
      <c r="E550" s="134"/>
      <c r="F550" s="134"/>
      <c r="G550" s="134"/>
      <c r="H550" s="134"/>
    </row>
    <row r="551" ht="15.75" customHeight="1">
      <c r="A551" s="134"/>
      <c r="B551" s="134"/>
      <c r="C551" s="134"/>
      <c r="D551" s="134"/>
      <c r="E551" s="134"/>
      <c r="F551" s="134"/>
      <c r="G551" s="134"/>
      <c r="H551" s="134"/>
    </row>
    <row r="552" ht="15.75" customHeight="1">
      <c r="A552" s="134"/>
      <c r="B552" s="134"/>
      <c r="C552" s="134"/>
      <c r="D552" s="134"/>
      <c r="E552" s="134"/>
      <c r="F552" s="134"/>
      <c r="G552" s="134"/>
      <c r="H552" s="134"/>
    </row>
    <row r="553" ht="15.75" customHeight="1">
      <c r="A553" s="134"/>
      <c r="B553" s="134"/>
      <c r="C553" s="134"/>
      <c r="D553" s="134"/>
      <c r="E553" s="134"/>
      <c r="F553" s="134"/>
      <c r="G553" s="134"/>
      <c r="H553" s="134"/>
    </row>
    <row r="554" ht="15.75" customHeight="1">
      <c r="A554" s="134"/>
      <c r="B554" s="134"/>
      <c r="C554" s="134"/>
      <c r="D554" s="134"/>
      <c r="E554" s="134"/>
      <c r="F554" s="134"/>
      <c r="G554" s="134"/>
      <c r="H554" s="134"/>
    </row>
    <row r="555" ht="15.75" customHeight="1">
      <c r="A555" s="134"/>
      <c r="B555" s="134"/>
      <c r="C555" s="134"/>
      <c r="D555" s="134"/>
      <c r="E555" s="134"/>
      <c r="F555" s="134"/>
      <c r="G555" s="134"/>
      <c r="H555" s="134"/>
    </row>
    <row r="556" ht="15.75" customHeight="1">
      <c r="A556" s="134"/>
      <c r="B556" s="134"/>
      <c r="C556" s="134"/>
      <c r="D556" s="134"/>
      <c r="E556" s="134"/>
      <c r="F556" s="134"/>
      <c r="G556" s="134"/>
      <c r="H556" s="134"/>
    </row>
    <row r="557" ht="15.75" customHeight="1">
      <c r="A557" s="134"/>
      <c r="B557" s="134"/>
      <c r="C557" s="134"/>
      <c r="D557" s="134"/>
      <c r="E557" s="134"/>
      <c r="F557" s="134"/>
      <c r="G557" s="134"/>
      <c r="H557" s="134"/>
    </row>
    <row r="558" ht="15.75" customHeight="1">
      <c r="A558" s="134"/>
      <c r="B558" s="134"/>
      <c r="C558" s="134"/>
      <c r="D558" s="134"/>
      <c r="E558" s="134"/>
      <c r="F558" s="134"/>
      <c r="G558" s="134"/>
      <c r="H558" s="134"/>
    </row>
    <row r="559" ht="15.75" customHeight="1">
      <c r="A559" s="134"/>
      <c r="B559" s="134"/>
      <c r="C559" s="134"/>
      <c r="D559" s="134"/>
      <c r="E559" s="134"/>
      <c r="F559" s="134"/>
      <c r="G559" s="134"/>
      <c r="H559" s="134"/>
    </row>
    <row r="560" ht="15.75" customHeight="1">
      <c r="A560" s="134"/>
      <c r="B560" s="134"/>
      <c r="C560" s="134"/>
      <c r="D560" s="134"/>
      <c r="E560" s="134"/>
      <c r="F560" s="134"/>
      <c r="G560" s="134"/>
      <c r="H560" s="134"/>
    </row>
    <row r="561" ht="15.75" customHeight="1">
      <c r="A561" s="134"/>
      <c r="B561" s="134"/>
      <c r="C561" s="134"/>
      <c r="D561" s="134"/>
      <c r="E561" s="134"/>
      <c r="F561" s="134"/>
      <c r="G561" s="134"/>
      <c r="H561" s="134"/>
    </row>
    <row r="562" ht="15.75" customHeight="1">
      <c r="A562" s="134"/>
      <c r="B562" s="134"/>
      <c r="C562" s="134"/>
      <c r="D562" s="134"/>
      <c r="E562" s="134"/>
      <c r="F562" s="134"/>
      <c r="G562" s="134"/>
      <c r="H562" s="134"/>
    </row>
    <row r="563" ht="15.75" customHeight="1">
      <c r="A563" s="134"/>
      <c r="B563" s="134"/>
      <c r="C563" s="134"/>
      <c r="D563" s="134"/>
      <c r="E563" s="134"/>
      <c r="F563" s="134"/>
      <c r="G563" s="134"/>
      <c r="H563" s="134"/>
    </row>
    <row r="564" ht="15.75" customHeight="1">
      <c r="A564" s="134"/>
      <c r="B564" s="134"/>
      <c r="C564" s="134"/>
      <c r="D564" s="134"/>
      <c r="E564" s="134"/>
      <c r="F564" s="134"/>
      <c r="G564" s="134"/>
      <c r="H564" s="134"/>
    </row>
    <row r="565" ht="15.75" customHeight="1">
      <c r="A565" s="134"/>
      <c r="B565" s="134"/>
      <c r="C565" s="134"/>
      <c r="D565" s="134"/>
      <c r="E565" s="134"/>
      <c r="F565" s="134"/>
      <c r="G565" s="134"/>
      <c r="H565" s="134"/>
    </row>
    <row r="566" ht="15.75" customHeight="1">
      <c r="A566" s="134"/>
      <c r="B566" s="134"/>
      <c r="C566" s="134"/>
      <c r="D566" s="134"/>
      <c r="E566" s="134"/>
      <c r="F566" s="134"/>
      <c r="G566" s="134"/>
      <c r="H566" s="134"/>
    </row>
    <row r="567" ht="15.75" customHeight="1">
      <c r="A567" s="134"/>
      <c r="B567" s="134"/>
      <c r="C567" s="134"/>
      <c r="D567" s="134"/>
      <c r="E567" s="134"/>
      <c r="F567" s="134"/>
      <c r="G567" s="134"/>
      <c r="H567" s="134"/>
    </row>
    <row r="568" ht="15.75" customHeight="1">
      <c r="A568" s="134"/>
      <c r="B568" s="134"/>
      <c r="C568" s="134"/>
      <c r="D568" s="134"/>
      <c r="E568" s="134"/>
      <c r="F568" s="134"/>
      <c r="G568" s="134"/>
      <c r="H568" s="134"/>
    </row>
    <row r="569" ht="15.75" customHeight="1">
      <c r="A569" s="134"/>
      <c r="B569" s="134"/>
      <c r="C569" s="134"/>
      <c r="D569" s="134"/>
      <c r="E569" s="134"/>
      <c r="F569" s="134"/>
      <c r="G569" s="134"/>
      <c r="H569" s="134"/>
    </row>
    <row r="570" ht="15.75" customHeight="1">
      <c r="A570" s="134"/>
      <c r="B570" s="134"/>
      <c r="C570" s="134"/>
      <c r="D570" s="134"/>
      <c r="E570" s="134"/>
      <c r="F570" s="134"/>
      <c r="G570" s="134"/>
      <c r="H570" s="134"/>
    </row>
    <row r="571" ht="15.75" customHeight="1">
      <c r="A571" s="134"/>
      <c r="B571" s="134"/>
      <c r="C571" s="134"/>
      <c r="D571" s="134"/>
      <c r="E571" s="134"/>
      <c r="F571" s="134"/>
      <c r="G571" s="134"/>
      <c r="H571" s="134"/>
    </row>
    <row r="572" ht="15.75" customHeight="1">
      <c r="A572" s="134"/>
      <c r="B572" s="134"/>
      <c r="C572" s="134"/>
      <c r="D572" s="134"/>
      <c r="E572" s="134"/>
      <c r="F572" s="134"/>
      <c r="G572" s="134"/>
      <c r="H572" s="134"/>
    </row>
    <row r="573" ht="15.75" customHeight="1">
      <c r="A573" s="134"/>
      <c r="B573" s="134"/>
      <c r="C573" s="134"/>
      <c r="D573" s="134"/>
      <c r="E573" s="134"/>
      <c r="F573" s="134"/>
      <c r="G573" s="134"/>
      <c r="H573" s="134"/>
    </row>
    <row r="574" ht="15.75" customHeight="1">
      <c r="A574" s="134"/>
      <c r="B574" s="134"/>
      <c r="C574" s="134"/>
      <c r="D574" s="134"/>
      <c r="E574" s="134"/>
      <c r="F574" s="134"/>
      <c r="G574" s="134"/>
      <c r="H574" s="134"/>
    </row>
    <row r="575" ht="15.75" customHeight="1">
      <c r="A575" s="134"/>
      <c r="B575" s="134"/>
      <c r="C575" s="134"/>
      <c r="D575" s="134"/>
      <c r="E575" s="134"/>
      <c r="F575" s="134"/>
      <c r="G575" s="134"/>
      <c r="H575" s="134"/>
    </row>
    <row r="576" ht="15.75" customHeight="1">
      <c r="A576" s="134"/>
      <c r="B576" s="134"/>
      <c r="C576" s="134"/>
      <c r="D576" s="134"/>
      <c r="E576" s="134"/>
      <c r="F576" s="134"/>
      <c r="G576" s="134"/>
      <c r="H576" s="134"/>
    </row>
    <row r="577" ht="15.75" customHeight="1">
      <c r="A577" s="134"/>
      <c r="B577" s="134"/>
      <c r="C577" s="134"/>
      <c r="D577" s="134"/>
      <c r="E577" s="134"/>
      <c r="F577" s="134"/>
      <c r="G577" s="134"/>
      <c r="H577" s="134"/>
    </row>
    <row r="578" ht="15.75" customHeight="1">
      <c r="A578" s="134"/>
      <c r="B578" s="134"/>
      <c r="C578" s="134"/>
      <c r="D578" s="134"/>
      <c r="E578" s="134"/>
      <c r="F578" s="134"/>
      <c r="G578" s="134"/>
      <c r="H578" s="134"/>
    </row>
    <row r="579" ht="15.75" customHeight="1">
      <c r="A579" s="134"/>
      <c r="B579" s="134"/>
      <c r="C579" s="134"/>
      <c r="D579" s="134"/>
      <c r="E579" s="134"/>
      <c r="F579" s="134"/>
      <c r="G579" s="134"/>
      <c r="H579" s="134"/>
    </row>
    <row r="580" ht="15.75" customHeight="1">
      <c r="A580" s="134"/>
      <c r="B580" s="134"/>
      <c r="C580" s="134"/>
      <c r="D580" s="134"/>
      <c r="E580" s="134"/>
      <c r="F580" s="134"/>
      <c r="G580" s="134"/>
      <c r="H580" s="134"/>
    </row>
    <row r="581" ht="15.75" customHeight="1">
      <c r="A581" s="134"/>
      <c r="B581" s="134"/>
      <c r="C581" s="134"/>
      <c r="D581" s="134"/>
      <c r="E581" s="134"/>
      <c r="F581" s="134"/>
      <c r="G581" s="134"/>
      <c r="H581" s="134"/>
    </row>
    <row r="582" ht="15.75" customHeight="1">
      <c r="A582" s="134"/>
      <c r="B582" s="134"/>
      <c r="C582" s="134"/>
      <c r="D582" s="134"/>
      <c r="E582" s="134"/>
      <c r="F582" s="134"/>
      <c r="G582" s="134"/>
      <c r="H582" s="134"/>
    </row>
    <row r="583" ht="15.75" customHeight="1">
      <c r="A583" s="134"/>
      <c r="B583" s="134"/>
      <c r="C583" s="134"/>
      <c r="D583" s="134"/>
      <c r="E583" s="134"/>
      <c r="F583" s="134"/>
      <c r="G583" s="134"/>
      <c r="H583" s="134"/>
    </row>
    <row r="584" ht="15.75" customHeight="1">
      <c r="A584" s="134"/>
      <c r="B584" s="134"/>
      <c r="C584" s="134"/>
      <c r="D584" s="134"/>
      <c r="E584" s="134"/>
      <c r="F584" s="134"/>
      <c r="G584" s="134"/>
      <c r="H584" s="134"/>
    </row>
    <row r="585" ht="15.75" customHeight="1">
      <c r="A585" s="134"/>
      <c r="B585" s="134"/>
      <c r="C585" s="134"/>
      <c r="D585" s="134"/>
      <c r="E585" s="134"/>
      <c r="F585" s="134"/>
      <c r="G585" s="134"/>
      <c r="H585" s="134"/>
    </row>
    <row r="586" ht="15.75" customHeight="1">
      <c r="A586" s="134"/>
      <c r="B586" s="134"/>
      <c r="C586" s="134"/>
      <c r="D586" s="134"/>
      <c r="E586" s="134"/>
      <c r="F586" s="134"/>
      <c r="G586" s="134"/>
      <c r="H586" s="134"/>
    </row>
    <row r="587" ht="15.75" customHeight="1">
      <c r="A587" s="134"/>
      <c r="B587" s="134"/>
      <c r="C587" s="134"/>
      <c r="D587" s="134"/>
      <c r="E587" s="134"/>
      <c r="F587" s="134"/>
      <c r="G587" s="134"/>
      <c r="H587" s="134"/>
    </row>
    <row r="588" ht="15.75" customHeight="1">
      <c r="A588" s="134"/>
      <c r="B588" s="134"/>
      <c r="C588" s="134"/>
      <c r="D588" s="134"/>
      <c r="E588" s="134"/>
      <c r="F588" s="134"/>
      <c r="G588" s="134"/>
      <c r="H588" s="134"/>
    </row>
    <row r="589" ht="15.75" customHeight="1">
      <c r="A589" s="134"/>
      <c r="B589" s="134"/>
      <c r="C589" s="134"/>
      <c r="D589" s="134"/>
      <c r="E589" s="134"/>
      <c r="F589" s="134"/>
      <c r="G589" s="134"/>
      <c r="H589" s="134"/>
    </row>
    <row r="590" ht="15.75" customHeight="1">
      <c r="A590" s="134"/>
      <c r="B590" s="134"/>
      <c r="C590" s="134"/>
      <c r="D590" s="134"/>
      <c r="E590" s="134"/>
      <c r="F590" s="134"/>
      <c r="G590" s="134"/>
      <c r="H590" s="134"/>
    </row>
    <row r="591" ht="15.75" customHeight="1">
      <c r="A591" s="134"/>
      <c r="B591" s="134"/>
      <c r="C591" s="134"/>
      <c r="D591" s="134"/>
      <c r="E591" s="134"/>
      <c r="F591" s="134"/>
      <c r="G591" s="134"/>
      <c r="H591" s="134"/>
    </row>
    <row r="592" ht="15.75" customHeight="1">
      <c r="A592" s="134"/>
      <c r="B592" s="134"/>
      <c r="C592" s="134"/>
      <c r="D592" s="134"/>
      <c r="E592" s="134"/>
      <c r="F592" s="134"/>
      <c r="G592" s="134"/>
      <c r="H592" s="134"/>
    </row>
    <row r="593" ht="15.75" customHeight="1">
      <c r="A593" s="134"/>
      <c r="B593" s="134"/>
      <c r="C593" s="134"/>
      <c r="D593" s="134"/>
      <c r="E593" s="134"/>
      <c r="F593" s="134"/>
      <c r="G593" s="134"/>
      <c r="H593" s="134"/>
    </row>
    <row r="594" ht="15.75" customHeight="1">
      <c r="A594" s="134"/>
      <c r="B594" s="134"/>
      <c r="C594" s="134"/>
      <c r="D594" s="134"/>
      <c r="E594" s="134"/>
      <c r="F594" s="134"/>
      <c r="G594" s="134"/>
      <c r="H594" s="134"/>
    </row>
    <row r="595" ht="15.75" customHeight="1">
      <c r="A595" s="134"/>
      <c r="B595" s="134"/>
      <c r="C595" s="134"/>
      <c r="D595" s="134"/>
      <c r="E595" s="134"/>
      <c r="F595" s="134"/>
      <c r="G595" s="134"/>
      <c r="H595" s="134"/>
    </row>
    <row r="596" ht="15.75" customHeight="1">
      <c r="A596" s="134"/>
      <c r="B596" s="134"/>
      <c r="C596" s="134"/>
      <c r="D596" s="134"/>
      <c r="E596" s="134"/>
      <c r="F596" s="134"/>
      <c r="G596" s="134"/>
      <c r="H596" s="134"/>
    </row>
    <row r="597" ht="15.75" customHeight="1">
      <c r="A597" s="134"/>
      <c r="B597" s="134"/>
      <c r="C597" s="134"/>
      <c r="D597" s="134"/>
      <c r="E597" s="134"/>
      <c r="F597" s="134"/>
      <c r="G597" s="134"/>
      <c r="H597" s="134"/>
    </row>
    <row r="598" ht="15.75" customHeight="1">
      <c r="A598" s="134"/>
      <c r="B598" s="134"/>
      <c r="C598" s="134"/>
      <c r="D598" s="134"/>
      <c r="E598" s="134"/>
      <c r="F598" s="134"/>
      <c r="G598" s="134"/>
      <c r="H598" s="134"/>
    </row>
    <row r="599" ht="15.75" customHeight="1">
      <c r="A599" s="134"/>
      <c r="B599" s="134"/>
      <c r="C599" s="134"/>
      <c r="D599" s="134"/>
      <c r="E599" s="134"/>
      <c r="F599" s="134"/>
      <c r="G599" s="134"/>
      <c r="H599" s="134"/>
    </row>
    <row r="600" ht="15.75" customHeight="1">
      <c r="A600" s="134"/>
      <c r="B600" s="134"/>
      <c r="C600" s="134"/>
      <c r="D600" s="134"/>
      <c r="E600" s="134"/>
      <c r="F600" s="134"/>
      <c r="G600" s="134"/>
      <c r="H600" s="134"/>
    </row>
    <row r="601" ht="15.75" customHeight="1">
      <c r="A601" s="134"/>
      <c r="B601" s="134"/>
      <c r="C601" s="134"/>
      <c r="D601" s="134"/>
      <c r="E601" s="134"/>
      <c r="F601" s="134"/>
      <c r="G601" s="134"/>
      <c r="H601" s="134"/>
    </row>
    <row r="602" ht="15.75" customHeight="1">
      <c r="A602" s="134"/>
      <c r="B602" s="134"/>
      <c r="C602" s="134"/>
      <c r="D602" s="134"/>
      <c r="E602" s="134"/>
      <c r="F602" s="134"/>
      <c r="G602" s="134"/>
      <c r="H602" s="134"/>
    </row>
    <row r="603" ht="15.75" customHeight="1">
      <c r="A603" s="134"/>
      <c r="B603" s="134"/>
      <c r="C603" s="134"/>
      <c r="D603" s="134"/>
      <c r="E603" s="134"/>
      <c r="F603" s="134"/>
      <c r="G603" s="134"/>
      <c r="H603" s="134"/>
    </row>
    <row r="604" ht="15.75" customHeight="1">
      <c r="A604" s="134"/>
      <c r="B604" s="134"/>
      <c r="C604" s="134"/>
      <c r="D604" s="134"/>
      <c r="E604" s="134"/>
      <c r="F604" s="134"/>
      <c r="G604" s="134"/>
      <c r="H604" s="134"/>
    </row>
    <row r="605" ht="15.75" customHeight="1">
      <c r="A605" s="134"/>
      <c r="B605" s="134"/>
      <c r="C605" s="134"/>
      <c r="D605" s="134"/>
      <c r="E605" s="134"/>
      <c r="F605" s="134"/>
      <c r="G605" s="134"/>
      <c r="H605" s="134"/>
    </row>
    <row r="606" ht="15.75" customHeight="1">
      <c r="A606" s="134"/>
      <c r="B606" s="134"/>
      <c r="C606" s="134"/>
      <c r="D606" s="134"/>
      <c r="E606" s="134"/>
      <c r="F606" s="134"/>
      <c r="G606" s="134"/>
      <c r="H606" s="134"/>
    </row>
    <row r="607" ht="15.75" customHeight="1">
      <c r="A607" s="134"/>
      <c r="B607" s="134"/>
      <c r="C607" s="134"/>
      <c r="D607" s="134"/>
      <c r="E607" s="134"/>
      <c r="F607" s="134"/>
      <c r="G607" s="134"/>
      <c r="H607" s="134"/>
    </row>
    <row r="608" ht="15.75" customHeight="1">
      <c r="A608" s="134"/>
      <c r="B608" s="134"/>
      <c r="C608" s="134"/>
      <c r="D608" s="134"/>
      <c r="E608" s="134"/>
      <c r="F608" s="134"/>
      <c r="G608" s="134"/>
      <c r="H608" s="134"/>
    </row>
    <row r="609" ht="15.75" customHeight="1">
      <c r="A609" s="134"/>
      <c r="B609" s="134"/>
      <c r="C609" s="134"/>
      <c r="D609" s="134"/>
      <c r="E609" s="134"/>
      <c r="F609" s="134"/>
      <c r="G609" s="134"/>
      <c r="H609" s="134"/>
    </row>
    <row r="610" ht="15.75" customHeight="1">
      <c r="A610" s="134"/>
      <c r="B610" s="134"/>
      <c r="C610" s="134"/>
      <c r="D610" s="134"/>
      <c r="E610" s="134"/>
      <c r="F610" s="134"/>
      <c r="G610" s="134"/>
      <c r="H610" s="134"/>
    </row>
    <row r="611" ht="15.75" customHeight="1">
      <c r="A611" s="134"/>
      <c r="B611" s="134"/>
      <c r="C611" s="134"/>
      <c r="D611" s="134"/>
      <c r="E611" s="134"/>
      <c r="F611" s="134"/>
      <c r="G611" s="134"/>
      <c r="H611" s="134"/>
    </row>
    <row r="612" ht="15.75" customHeight="1">
      <c r="A612" s="134"/>
      <c r="B612" s="134"/>
      <c r="C612" s="134"/>
      <c r="D612" s="134"/>
      <c r="E612" s="134"/>
      <c r="F612" s="134"/>
      <c r="G612" s="134"/>
      <c r="H612" s="134"/>
    </row>
    <row r="613" ht="15.75" customHeight="1">
      <c r="A613" s="134"/>
      <c r="B613" s="134"/>
      <c r="C613" s="134"/>
      <c r="D613" s="134"/>
      <c r="E613" s="134"/>
      <c r="F613" s="134"/>
      <c r="G613" s="134"/>
      <c r="H613" s="134"/>
    </row>
    <row r="614" ht="15.75" customHeight="1">
      <c r="A614" s="134"/>
      <c r="B614" s="134"/>
      <c r="C614" s="134"/>
      <c r="D614" s="134"/>
      <c r="E614" s="134"/>
      <c r="F614" s="134"/>
      <c r="G614" s="134"/>
      <c r="H614" s="134"/>
    </row>
    <row r="615" ht="15.75" customHeight="1">
      <c r="A615" s="134"/>
      <c r="B615" s="134"/>
      <c r="C615" s="134"/>
      <c r="D615" s="134"/>
      <c r="E615" s="134"/>
      <c r="F615" s="134"/>
      <c r="G615" s="134"/>
      <c r="H615" s="134"/>
    </row>
    <row r="616" ht="15.75" customHeight="1">
      <c r="A616" s="134"/>
      <c r="B616" s="134"/>
      <c r="C616" s="134"/>
      <c r="D616" s="134"/>
      <c r="E616" s="134"/>
      <c r="F616" s="134"/>
      <c r="G616" s="134"/>
      <c r="H616" s="134"/>
    </row>
    <row r="617" ht="15.75" customHeight="1">
      <c r="A617" s="134"/>
      <c r="B617" s="134"/>
      <c r="C617" s="134"/>
      <c r="D617" s="134"/>
      <c r="E617" s="134"/>
      <c r="F617" s="134"/>
      <c r="G617" s="134"/>
      <c r="H617" s="134"/>
    </row>
    <row r="618" ht="15.75" customHeight="1">
      <c r="A618" s="134"/>
      <c r="B618" s="134"/>
      <c r="C618" s="134"/>
      <c r="D618" s="134"/>
      <c r="E618" s="134"/>
      <c r="F618" s="134"/>
      <c r="G618" s="134"/>
      <c r="H618" s="134"/>
    </row>
    <row r="619" ht="15.75" customHeight="1">
      <c r="A619" s="134"/>
      <c r="B619" s="134"/>
      <c r="C619" s="134"/>
      <c r="D619" s="134"/>
      <c r="E619" s="134"/>
      <c r="F619" s="134"/>
      <c r="G619" s="134"/>
      <c r="H619" s="134"/>
    </row>
    <row r="620" ht="15.75" customHeight="1">
      <c r="A620" s="134"/>
      <c r="B620" s="134"/>
      <c r="C620" s="134"/>
      <c r="D620" s="134"/>
      <c r="E620" s="134"/>
      <c r="F620" s="134"/>
      <c r="G620" s="134"/>
      <c r="H620" s="134"/>
    </row>
    <row r="621" ht="15.75" customHeight="1">
      <c r="A621" s="134"/>
      <c r="B621" s="134"/>
      <c r="C621" s="134"/>
      <c r="D621" s="134"/>
      <c r="E621" s="134"/>
      <c r="F621" s="134"/>
      <c r="G621" s="134"/>
      <c r="H621" s="134"/>
    </row>
    <row r="622" ht="15.75" customHeight="1">
      <c r="A622" s="134"/>
      <c r="B622" s="134"/>
      <c r="C622" s="134"/>
      <c r="D622" s="134"/>
      <c r="E622" s="134"/>
      <c r="F622" s="134"/>
      <c r="G622" s="134"/>
      <c r="H622" s="134"/>
    </row>
    <row r="623" ht="15.75" customHeight="1">
      <c r="A623" s="134"/>
      <c r="B623" s="134"/>
      <c r="C623" s="134"/>
      <c r="D623" s="134"/>
      <c r="E623" s="134"/>
      <c r="F623" s="134"/>
      <c r="G623" s="134"/>
      <c r="H623" s="134"/>
    </row>
    <row r="624" ht="15.75" customHeight="1">
      <c r="A624" s="134"/>
      <c r="B624" s="134"/>
      <c r="C624" s="134"/>
      <c r="D624" s="134"/>
      <c r="E624" s="134"/>
      <c r="F624" s="134"/>
      <c r="G624" s="134"/>
      <c r="H624" s="134"/>
    </row>
    <row r="625" ht="15.75" customHeight="1">
      <c r="A625" s="134"/>
      <c r="B625" s="134"/>
      <c r="C625" s="134"/>
      <c r="D625" s="134"/>
      <c r="E625" s="134"/>
      <c r="F625" s="134"/>
      <c r="G625" s="134"/>
      <c r="H625" s="134"/>
    </row>
    <row r="626" ht="15.75" customHeight="1">
      <c r="A626" s="134"/>
      <c r="B626" s="134"/>
      <c r="C626" s="134"/>
      <c r="D626" s="134"/>
      <c r="E626" s="134"/>
      <c r="F626" s="134"/>
      <c r="G626" s="134"/>
      <c r="H626" s="134"/>
    </row>
    <row r="627" ht="15.75" customHeight="1">
      <c r="A627" s="134"/>
      <c r="B627" s="134"/>
      <c r="C627" s="134"/>
      <c r="D627" s="134"/>
      <c r="E627" s="134"/>
      <c r="F627" s="134"/>
      <c r="G627" s="134"/>
      <c r="H627" s="134"/>
    </row>
    <row r="628" ht="15.75" customHeight="1">
      <c r="A628" s="134"/>
      <c r="B628" s="134"/>
      <c r="C628" s="134"/>
      <c r="D628" s="134"/>
      <c r="E628" s="134"/>
      <c r="F628" s="134"/>
      <c r="G628" s="134"/>
      <c r="H628" s="134"/>
    </row>
    <row r="629" ht="15.75" customHeight="1">
      <c r="A629" s="134"/>
      <c r="B629" s="134"/>
      <c r="C629" s="134"/>
      <c r="D629" s="134"/>
      <c r="E629" s="134"/>
      <c r="F629" s="134"/>
      <c r="G629" s="134"/>
      <c r="H629" s="134"/>
    </row>
    <row r="630" ht="15.75" customHeight="1">
      <c r="A630" s="134"/>
      <c r="B630" s="134"/>
      <c r="C630" s="134"/>
      <c r="D630" s="134"/>
      <c r="E630" s="134"/>
      <c r="F630" s="134"/>
      <c r="G630" s="134"/>
      <c r="H630" s="134"/>
    </row>
    <row r="631" ht="15.75" customHeight="1">
      <c r="A631" s="134"/>
      <c r="B631" s="134"/>
      <c r="C631" s="134"/>
      <c r="D631" s="134"/>
      <c r="E631" s="134"/>
      <c r="F631" s="134"/>
      <c r="G631" s="134"/>
      <c r="H631" s="134"/>
    </row>
    <row r="632" ht="15.75" customHeight="1">
      <c r="A632" s="134"/>
      <c r="B632" s="134"/>
      <c r="C632" s="134"/>
      <c r="D632" s="134"/>
      <c r="E632" s="134"/>
      <c r="F632" s="134"/>
      <c r="G632" s="134"/>
      <c r="H632" s="134"/>
    </row>
    <row r="633" ht="15.75" customHeight="1">
      <c r="A633" s="134"/>
      <c r="B633" s="134"/>
      <c r="C633" s="134"/>
      <c r="D633" s="134"/>
      <c r="E633" s="134"/>
      <c r="F633" s="134"/>
      <c r="G633" s="134"/>
      <c r="H633" s="134"/>
    </row>
    <row r="634" ht="15.75" customHeight="1">
      <c r="A634" s="134"/>
      <c r="B634" s="134"/>
      <c r="C634" s="134"/>
      <c r="D634" s="134"/>
      <c r="E634" s="134"/>
      <c r="F634" s="134"/>
      <c r="G634" s="134"/>
      <c r="H634" s="134"/>
    </row>
    <row r="635" ht="15.75" customHeight="1">
      <c r="A635" s="134"/>
      <c r="B635" s="134"/>
      <c r="C635" s="134"/>
      <c r="D635" s="134"/>
      <c r="E635" s="134"/>
      <c r="F635" s="134"/>
      <c r="G635" s="134"/>
      <c r="H635" s="134"/>
    </row>
    <row r="636" ht="15.75" customHeight="1">
      <c r="A636" s="134"/>
      <c r="B636" s="134"/>
      <c r="C636" s="134"/>
      <c r="D636" s="134"/>
      <c r="E636" s="134"/>
      <c r="F636" s="134"/>
      <c r="G636" s="134"/>
      <c r="H636" s="134"/>
    </row>
    <row r="637" ht="15.75" customHeight="1">
      <c r="A637" s="134"/>
      <c r="B637" s="134"/>
      <c r="C637" s="134"/>
      <c r="D637" s="134"/>
      <c r="E637" s="134"/>
      <c r="F637" s="134"/>
      <c r="G637" s="134"/>
      <c r="H637" s="134"/>
    </row>
    <row r="638" ht="15.75" customHeight="1">
      <c r="A638" s="134"/>
      <c r="B638" s="134"/>
      <c r="C638" s="134"/>
      <c r="D638" s="134"/>
      <c r="E638" s="134"/>
      <c r="F638" s="134"/>
      <c r="G638" s="134"/>
      <c r="H638" s="134"/>
    </row>
    <row r="639" ht="15.75" customHeight="1">
      <c r="A639" s="134"/>
      <c r="B639" s="134"/>
      <c r="C639" s="134"/>
      <c r="D639" s="134"/>
      <c r="E639" s="134"/>
      <c r="F639" s="134"/>
      <c r="G639" s="134"/>
      <c r="H639" s="134"/>
    </row>
    <row r="640" ht="15.75" customHeight="1">
      <c r="A640" s="134"/>
      <c r="B640" s="134"/>
      <c r="C640" s="134"/>
      <c r="D640" s="134"/>
      <c r="E640" s="134"/>
      <c r="F640" s="134"/>
      <c r="G640" s="134"/>
      <c r="H640" s="134"/>
    </row>
    <row r="641" ht="15.75" customHeight="1">
      <c r="A641" s="134"/>
      <c r="B641" s="134"/>
      <c r="C641" s="134"/>
      <c r="D641" s="134"/>
      <c r="E641" s="134"/>
      <c r="F641" s="134"/>
      <c r="G641" s="134"/>
      <c r="H641" s="134"/>
    </row>
    <row r="642" ht="15.75" customHeight="1">
      <c r="A642" s="134"/>
      <c r="B642" s="134"/>
      <c r="C642" s="134"/>
      <c r="D642" s="134"/>
      <c r="E642" s="134"/>
      <c r="F642" s="134"/>
      <c r="G642" s="134"/>
      <c r="H642" s="134"/>
    </row>
    <row r="643" ht="15.75" customHeight="1">
      <c r="A643" s="134"/>
      <c r="B643" s="134"/>
      <c r="C643" s="134"/>
      <c r="D643" s="134"/>
      <c r="E643" s="134"/>
      <c r="F643" s="134"/>
      <c r="G643" s="134"/>
      <c r="H643" s="134"/>
    </row>
    <row r="644" ht="15.75" customHeight="1">
      <c r="A644" s="134"/>
      <c r="B644" s="134"/>
      <c r="C644" s="134"/>
      <c r="D644" s="134"/>
      <c r="E644" s="134"/>
      <c r="F644" s="134"/>
      <c r="G644" s="134"/>
      <c r="H644" s="134"/>
    </row>
    <row r="645" ht="15.75" customHeight="1">
      <c r="A645" s="134"/>
      <c r="B645" s="134"/>
      <c r="C645" s="134"/>
      <c r="D645" s="134"/>
      <c r="E645" s="134"/>
      <c r="F645" s="134"/>
      <c r="G645" s="134"/>
      <c r="H645" s="134"/>
    </row>
    <row r="646" ht="15.75" customHeight="1">
      <c r="A646" s="134"/>
      <c r="B646" s="134"/>
      <c r="C646" s="134"/>
      <c r="D646" s="134"/>
      <c r="E646" s="134"/>
      <c r="F646" s="134"/>
      <c r="G646" s="134"/>
      <c r="H646" s="134"/>
    </row>
    <row r="647" ht="15.75" customHeight="1">
      <c r="A647" s="134"/>
      <c r="B647" s="134"/>
      <c r="C647" s="134"/>
      <c r="D647" s="134"/>
      <c r="E647" s="134"/>
      <c r="F647" s="134"/>
      <c r="G647" s="134"/>
      <c r="H647" s="134"/>
    </row>
    <row r="648" ht="15.75" customHeight="1">
      <c r="A648" s="134"/>
      <c r="B648" s="134"/>
      <c r="C648" s="134"/>
      <c r="D648" s="134"/>
      <c r="E648" s="134"/>
      <c r="F648" s="134"/>
      <c r="G648" s="134"/>
      <c r="H648" s="134"/>
    </row>
    <row r="649" ht="15.75" customHeight="1">
      <c r="A649" s="134"/>
      <c r="B649" s="134"/>
      <c r="C649" s="134"/>
      <c r="D649" s="134"/>
      <c r="E649" s="134"/>
      <c r="F649" s="134"/>
      <c r="G649" s="134"/>
      <c r="H649" s="134"/>
    </row>
    <row r="650" ht="15.75" customHeight="1">
      <c r="A650" s="134"/>
      <c r="B650" s="134"/>
      <c r="C650" s="134"/>
      <c r="D650" s="134"/>
      <c r="E650" s="134"/>
      <c r="F650" s="134"/>
      <c r="G650" s="134"/>
      <c r="H650" s="134"/>
    </row>
    <row r="651" ht="15.75" customHeight="1">
      <c r="A651" s="134"/>
      <c r="B651" s="134"/>
      <c r="C651" s="134"/>
      <c r="D651" s="134"/>
      <c r="E651" s="134"/>
      <c r="F651" s="134"/>
      <c r="G651" s="134"/>
      <c r="H651" s="134"/>
    </row>
    <row r="652" ht="15.75" customHeight="1">
      <c r="A652" s="134"/>
      <c r="B652" s="134"/>
      <c r="C652" s="134"/>
      <c r="D652" s="134"/>
      <c r="E652" s="134"/>
      <c r="F652" s="134"/>
      <c r="G652" s="134"/>
      <c r="H652" s="134"/>
    </row>
    <row r="653" ht="15.75" customHeight="1">
      <c r="A653" s="134"/>
      <c r="B653" s="134"/>
      <c r="C653" s="134"/>
      <c r="D653" s="134"/>
      <c r="E653" s="134"/>
      <c r="F653" s="134"/>
      <c r="G653" s="134"/>
      <c r="H653" s="134"/>
    </row>
    <row r="654" ht="15.75" customHeight="1">
      <c r="A654" s="134"/>
      <c r="B654" s="134"/>
      <c r="C654" s="134"/>
      <c r="D654" s="134"/>
      <c r="E654" s="134"/>
      <c r="F654" s="134"/>
      <c r="G654" s="134"/>
      <c r="H654" s="134"/>
    </row>
    <row r="655" ht="15.75" customHeight="1">
      <c r="A655" s="134"/>
      <c r="B655" s="134"/>
      <c r="C655" s="134"/>
      <c r="D655" s="134"/>
      <c r="E655" s="134"/>
      <c r="F655" s="134"/>
      <c r="G655" s="134"/>
      <c r="H655" s="134"/>
    </row>
    <row r="656" ht="15.75" customHeight="1">
      <c r="A656" s="134"/>
      <c r="B656" s="134"/>
      <c r="C656" s="134"/>
      <c r="D656" s="134"/>
      <c r="E656" s="134"/>
      <c r="F656" s="134"/>
      <c r="G656" s="134"/>
      <c r="H656" s="134"/>
    </row>
    <row r="657" ht="15.75" customHeight="1">
      <c r="A657" s="134"/>
      <c r="B657" s="134"/>
      <c r="C657" s="134"/>
      <c r="D657" s="134"/>
      <c r="E657" s="134"/>
      <c r="F657" s="134"/>
      <c r="G657" s="134"/>
      <c r="H657" s="134"/>
    </row>
    <row r="658" ht="15.75" customHeight="1">
      <c r="A658" s="134"/>
      <c r="B658" s="134"/>
      <c r="C658" s="134"/>
      <c r="D658" s="134"/>
      <c r="E658" s="134"/>
      <c r="F658" s="134"/>
      <c r="G658" s="134"/>
      <c r="H658" s="134"/>
    </row>
    <row r="659" ht="15.75" customHeight="1">
      <c r="A659" s="134"/>
      <c r="B659" s="134"/>
      <c r="C659" s="134"/>
      <c r="D659" s="134"/>
      <c r="E659" s="134"/>
      <c r="F659" s="134"/>
      <c r="G659" s="134"/>
      <c r="H659" s="134"/>
    </row>
    <row r="660" ht="15.75" customHeight="1">
      <c r="A660" s="134"/>
      <c r="B660" s="134"/>
      <c r="C660" s="134"/>
      <c r="D660" s="134"/>
      <c r="E660" s="134"/>
      <c r="F660" s="134"/>
      <c r="G660" s="134"/>
      <c r="H660" s="134"/>
    </row>
    <row r="661" ht="15.75" customHeight="1">
      <c r="A661" s="134"/>
      <c r="B661" s="134"/>
      <c r="C661" s="134"/>
      <c r="D661" s="134"/>
      <c r="E661" s="134"/>
      <c r="F661" s="134"/>
      <c r="G661" s="134"/>
      <c r="H661" s="134"/>
    </row>
    <row r="662" ht="15.75" customHeight="1">
      <c r="A662" s="134"/>
      <c r="B662" s="134"/>
      <c r="C662" s="134"/>
      <c r="D662" s="134"/>
      <c r="E662" s="134"/>
      <c r="F662" s="134"/>
      <c r="G662" s="134"/>
      <c r="H662" s="134"/>
    </row>
    <row r="663" ht="15.75" customHeight="1">
      <c r="A663" s="134"/>
      <c r="B663" s="134"/>
      <c r="C663" s="134"/>
      <c r="D663" s="134"/>
      <c r="E663" s="134"/>
      <c r="F663" s="134"/>
      <c r="G663" s="134"/>
      <c r="H663" s="134"/>
    </row>
    <row r="664" ht="15.75" customHeight="1">
      <c r="A664" s="134"/>
      <c r="B664" s="134"/>
      <c r="C664" s="134"/>
      <c r="D664" s="134"/>
      <c r="E664" s="134"/>
      <c r="F664" s="134"/>
      <c r="G664" s="134"/>
      <c r="H664" s="134"/>
    </row>
    <row r="665" ht="15.75" customHeight="1">
      <c r="A665" s="134"/>
      <c r="B665" s="134"/>
      <c r="C665" s="134"/>
      <c r="D665" s="134"/>
      <c r="E665" s="134"/>
      <c r="F665" s="134"/>
      <c r="G665" s="134"/>
      <c r="H665" s="134"/>
    </row>
    <row r="666" ht="15.75" customHeight="1">
      <c r="A666" s="134"/>
      <c r="B666" s="134"/>
      <c r="C666" s="134"/>
      <c r="D666" s="134"/>
      <c r="E666" s="134"/>
      <c r="F666" s="134"/>
      <c r="G666" s="134"/>
      <c r="H666" s="134"/>
    </row>
    <row r="667" ht="15.75" customHeight="1">
      <c r="A667" s="134"/>
      <c r="B667" s="134"/>
      <c r="C667" s="134"/>
      <c r="D667" s="134"/>
      <c r="E667" s="134"/>
      <c r="F667" s="134"/>
      <c r="G667" s="134"/>
      <c r="H667" s="134"/>
    </row>
    <row r="668" ht="15.75" customHeight="1">
      <c r="A668" s="134"/>
      <c r="B668" s="134"/>
      <c r="C668" s="134"/>
      <c r="D668" s="134"/>
      <c r="E668" s="134"/>
      <c r="F668" s="134"/>
      <c r="G668" s="134"/>
      <c r="H668" s="134"/>
    </row>
    <row r="669" ht="15.75" customHeight="1">
      <c r="A669" s="134"/>
      <c r="B669" s="134"/>
      <c r="C669" s="134"/>
      <c r="D669" s="134"/>
      <c r="E669" s="134"/>
      <c r="F669" s="134"/>
      <c r="G669" s="134"/>
      <c r="H669" s="134"/>
    </row>
    <row r="670" ht="15.75" customHeight="1">
      <c r="A670" s="134"/>
      <c r="B670" s="134"/>
      <c r="C670" s="134"/>
      <c r="D670" s="134"/>
      <c r="E670" s="134"/>
      <c r="F670" s="134"/>
      <c r="G670" s="134"/>
      <c r="H670" s="134"/>
    </row>
    <row r="671" ht="15.75" customHeight="1">
      <c r="A671" s="134"/>
      <c r="B671" s="134"/>
      <c r="C671" s="134"/>
      <c r="D671" s="134"/>
      <c r="E671" s="134"/>
      <c r="F671" s="134"/>
      <c r="G671" s="134"/>
      <c r="H671" s="134"/>
    </row>
    <row r="672" ht="15.75" customHeight="1">
      <c r="A672" s="134"/>
      <c r="B672" s="134"/>
      <c r="C672" s="134"/>
      <c r="D672" s="134"/>
      <c r="E672" s="134"/>
      <c r="F672" s="134"/>
      <c r="G672" s="134"/>
      <c r="H672" s="134"/>
    </row>
    <row r="673" ht="15.75" customHeight="1">
      <c r="A673" s="134"/>
      <c r="B673" s="134"/>
      <c r="C673" s="134"/>
      <c r="D673" s="134"/>
      <c r="E673" s="134"/>
      <c r="F673" s="134"/>
      <c r="G673" s="134"/>
      <c r="H673" s="134"/>
    </row>
    <row r="674" ht="15.75" customHeight="1">
      <c r="A674" s="134"/>
      <c r="B674" s="134"/>
      <c r="C674" s="134"/>
      <c r="D674" s="134"/>
      <c r="E674" s="134"/>
      <c r="F674" s="134"/>
      <c r="G674" s="134"/>
      <c r="H674" s="134"/>
    </row>
    <row r="675" ht="15.75" customHeight="1">
      <c r="A675" s="134"/>
      <c r="B675" s="134"/>
      <c r="C675" s="134"/>
      <c r="D675" s="134"/>
      <c r="E675" s="134"/>
      <c r="F675" s="134"/>
      <c r="G675" s="134"/>
      <c r="H675" s="134"/>
    </row>
    <row r="676" ht="15.75" customHeight="1">
      <c r="A676" s="134"/>
      <c r="B676" s="134"/>
      <c r="C676" s="134"/>
      <c r="D676" s="134"/>
      <c r="E676" s="134"/>
      <c r="F676" s="134"/>
      <c r="G676" s="134"/>
      <c r="H676" s="134"/>
    </row>
    <row r="677" ht="15.75" customHeight="1">
      <c r="A677" s="134"/>
      <c r="B677" s="134"/>
      <c r="C677" s="134"/>
      <c r="D677" s="134"/>
      <c r="E677" s="134"/>
      <c r="F677" s="134"/>
      <c r="G677" s="134"/>
      <c r="H677" s="134"/>
    </row>
    <row r="678" ht="15.75" customHeight="1">
      <c r="A678" s="134"/>
      <c r="B678" s="134"/>
      <c r="C678" s="134"/>
      <c r="D678" s="134"/>
      <c r="E678" s="134"/>
      <c r="F678" s="134"/>
      <c r="G678" s="134"/>
      <c r="H678" s="134"/>
    </row>
    <row r="679" ht="15.75" customHeight="1">
      <c r="A679" s="134"/>
      <c r="B679" s="134"/>
      <c r="C679" s="134"/>
      <c r="D679" s="134"/>
      <c r="E679" s="134"/>
      <c r="F679" s="134"/>
      <c r="G679" s="134"/>
      <c r="H679" s="134"/>
    </row>
    <row r="680" ht="15.75" customHeight="1">
      <c r="A680" s="134"/>
      <c r="B680" s="134"/>
      <c r="C680" s="134"/>
      <c r="D680" s="134"/>
      <c r="E680" s="134"/>
      <c r="F680" s="134"/>
      <c r="G680" s="134"/>
      <c r="H680" s="134"/>
    </row>
    <row r="681" ht="15.75" customHeight="1">
      <c r="A681" s="134"/>
      <c r="B681" s="134"/>
      <c r="C681" s="134"/>
      <c r="D681" s="134"/>
      <c r="E681" s="134"/>
      <c r="F681" s="134"/>
      <c r="G681" s="134"/>
      <c r="H681" s="134"/>
    </row>
    <row r="682" ht="15.75" customHeight="1">
      <c r="A682" s="134"/>
      <c r="B682" s="134"/>
      <c r="C682" s="134"/>
      <c r="D682" s="134"/>
      <c r="E682" s="134"/>
      <c r="F682" s="134"/>
      <c r="G682" s="134"/>
      <c r="H682" s="134"/>
    </row>
    <row r="683" ht="15.75" customHeight="1">
      <c r="A683" s="134"/>
      <c r="B683" s="134"/>
      <c r="C683" s="134"/>
      <c r="D683" s="134"/>
      <c r="E683" s="134"/>
      <c r="F683" s="134"/>
      <c r="G683" s="134"/>
      <c r="H683" s="134"/>
    </row>
    <row r="684" ht="15.75" customHeight="1">
      <c r="A684" s="134"/>
      <c r="B684" s="134"/>
      <c r="C684" s="134"/>
      <c r="D684" s="134"/>
      <c r="E684" s="134"/>
      <c r="F684" s="134"/>
      <c r="G684" s="134"/>
      <c r="H684" s="134"/>
    </row>
    <row r="685" ht="15.75" customHeight="1">
      <c r="A685" s="134"/>
      <c r="B685" s="134"/>
      <c r="C685" s="134"/>
      <c r="D685" s="134"/>
      <c r="E685" s="134"/>
      <c r="F685" s="134"/>
      <c r="G685" s="134"/>
      <c r="H685" s="134"/>
    </row>
    <row r="686" ht="15.75" customHeight="1">
      <c r="A686" s="134"/>
      <c r="B686" s="134"/>
      <c r="C686" s="134"/>
      <c r="D686" s="134"/>
      <c r="E686" s="134"/>
      <c r="F686" s="134"/>
      <c r="G686" s="134"/>
      <c r="H686" s="134"/>
    </row>
    <row r="687" ht="15.75" customHeight="1">
      <c r="A687" s="134"/>
      <c r="B687" s="134"/>
      <c r="C687" s="134"/>
      <c r="D687" s="134"/>
      <c r="E687" s="134"/>
      <c r="F687" s="134"/>
      <c r="G687" s="134"/>
      <c r="H687" s="134"/>
    </row>
    <row r="688" ht="15.75" customHeight="1">
      <c r="A688" s="134"/>
      <c r="B688" s="134"/>
      <c r="C688" s="134"/>
      <c r="D688" s="134"/>
      <c r="E688" s="134"/>
      <c r="F688" s="134"/>
      <c r="G688" s="134"/>
      <c r="H688" s="134"/>
    </row>
    <row r="689" ht="15.75" customHeight="1">
      <c r="A689" s="134"/>
      <c r="B689" s="134"/>
      <c r="C689" s="134"/>
      <c r="D689" s="134"/>
      <c r="E689" s="134"/>
      <c r="F689" s="134"/>
      <c r="G689" s="134"/>
      <c r="H689" s="134"/>
    </row>
    <row r="690" ht="15.75" customHeight="1">
      <c r="A690" s="134"/>
      <c r="B690" s="134"/>
      <c r="C690" s="134"/>
      <c r="D690" s="134"/>
      <c r="E690" s="134"/>
      <c r="F690" s="134"/>
      <c r="G690" s="134"/>
      <c r="H690" s="134"/>
    </row>
    <row r="691" ht="15.75" customHeight="1">
      <c r="A691" s="134"/>
      <c r="B691" s="134"/>
      <c r="C691" s="134"/>
      <c r="D691" s="134"/>
      <c r="E691" s="134"/>
      <c r="F691" s="134"/>
      <c r="G691" s="134"/>
      <c r="H691" s="134"/>
    </row>
    <row r="692" ht="15.75" customHeight="1">
      <c r="A692" s="134"/>
      <c r="B692" s="134"/>
      <c r="C692" s="134"/>
      <c r="D692" s="134"/>
      <c r="E692" s="134"/>
      <c r="F692" s="134"/>
      <c r="G692" s="134"/>
      <c r="H692" s="134"/>
    </row>
    <row r="693" ht="15.75" customHeight="1">
      <c r="A693" s="134"/>
      <c r="B693" s="134"/>
      <c r="C693" s="134"/>
      <c r="D693" s="134"/>
      <c r="E693" s="134"/>
      <c r="F693" s="134"/>
      <c r="G693" s="134"/>
      <c r="H693" s="134"/>
    </row>
    <row r="694" ht="15.75" customHeight="1">
      <c r="A694" s="134"/>
      <c r="B694" s="134"/>
      <c r="C694" s="134"/>
      <c r="D694" s="134"/>
      <c r="E694" s="134"/>
      <c r="F694" s="134"/>
      <c r="G694" s="134"/>
      <c r="H694" s="134"/>
    </row>
    <row r="695" ht="15.75" customHeight="1">
      <c r="A695" s="134"/>
      <c r="B695" s="134"/>
      <c r="C695" s="134"/>
      <c r="D695" s="134"/>
      <c r="E695" s="134"/>
      <c r="F695" s="134"/>
      <c r="G695" s="134"/>
      <c r="H695" s="134"/>
    </row>
    <row r="696" ht="15.75" customHeight="1">
      <c r="A696" s="134"/>
      <c r="B696" s="134"/>
      <c r="C696" s="134"/>
      <c r="D696" s="134"/>
      <c r="E696" s="134"/>
      <c r="F696" s="134"/>
      <c r="G696" s="134"/>
      <c r="H696" s="134"/>
    </row>
    <row r="697" ht="15.75" customHeight="1">
      <c r="A697" s="134"/>
      <c r="B697" s="134"/>
      <c r="C697" s="134"/>
      <c r="D697" s="134"/>
      <c r="E697" s="134"/>
      <c r="F697" s="134"/>
      <c r="G697" s="134"/>
      <c r="H697" s="134"/>
    </row>
    <row r="698" ht="15.75" customHeight="1">
      <c r="A698" s="134"/>
      <c r="B698" s="134"/>
      <c r="C698" s="134"/>
      <c r="D698" s="134"/>
      <c r="E698" s="134"/>
      <c r="F698" s="134"/>
      <c r="G698" s="134"/>
      <c r="H698" s="134"/>
    </row>
    <row r="699" ht="15.75" customHeight="1">
      <c r="A699" s="134"/>
      <c r="B699" s="134"/>
      <c r="C699" s="134"/>
      <c r="D699" s="134"/>
      <c r="E699" s="134"/>
      <c r="F699" s="134"/>
      <c r="G699" s="134"/>
      <c r="H699" s="134"/>
    </row>
    <row r="700" ht="15.75" customHeight="1">
      <c r="A700" s="134"/>
      <c r="B700" s="134"/>
      <c r="C700" s="134"/>
      <c r="D700" s="134"/>
      <c r="E700" s="134"/>
      <c r="F700" s="134"/>
      <c r="G700" s="134"/>
      <c r="H700" s="134"/>
    </row>
    <row r="701" ht="15.75" customHeight="1">
      <c r="A701" s="134"/>
      <c r="B701" s="134"/>
      <c r="C701" s="134"/>
      <c r="D701" s="134"/>
      <c r="E701" s="134"/>
      <c r="F701" s="134"/>
      <c r="G701" s="134"/>
      <c r="H701" s="134"/>
    </row>
    <row r="702" ht="15.75" customHeight="1">
      <c r="A702" s="134"/>
      <c r="B702" s="134"/>
      <c r="C702" s="134"/>
      <c r="D702" s="134"/>
      <c r="E702" s="134"/>
      <c r="F702" s="134"/>
      <c r="G702" s="134"/>
      <c r="H702" s="134"/>
    </row>
    <row r="703" ht="15.75" customHeight="1">
      <c r="A703" s="134"/>
      <c r="B703" s="134"/>
      <c r="C703" s="134"/>
      <c r="D703" s="134"/>
      <c r="E703" s="134"/>
      <c r="F703" s="134"/>
      <c r="G703" s="134"/>
      <c r="H703" s="134"/>
    </row>
    <row r="704" ht="15.75" customHeight="1">
      <c r="A704" s="134"/>
      <c r="B704" s="134"/>
      <c r="C704" s="134"/>
      <c r="D704" s="134"/>
      <c r="E704" s="134"/>
      <c r="F704" s="134"/>
      <c r="G704" s="134"/>
      <c r="H704" s="134"/>
    </row>
    <row r="705" ht="15.75" customHeight="1">
      <c r="A705" s="134"/>
      <c r="B705" s="134"/>
      <c r="C705" s="134"/>
      <c r="D705" s="134"/>
      <c r="E705" s="134"/>
      <c r="F705" s="134"/>
      <c r="G705" s="134"/>
      <c r="H705" s="134"/>
    </row>
    <row r="706" ht="15.75" customHeight="1">
      <c r="A706" s="134"/>
      <c r="B706" s="134"/>
      <c r="C706" s="134"/>
      <c r="D706" s="134"/>
      <c r="E706" s="134"/>
      <c r="F706" s="134"/>
      <c r="G706" s="134"/>
      <c r="H706" s="134"/>
    </row>
    <row r="707" ht="15.75" customHeight="1">
      <c r="A707" s="134"/>
      <c r="B707" s="134"/>
      <c r="C707" s="134"/>
      <c r="D707" s="134"/>
      <c r="E707" s="134"/>
      <c r="F707" s="134"/>
      <c r="G707" s="134"/>
      <c r="H707" s="134"/>
    </row>
    <row r="708" ht="15.75" customHeight="1">
      <c r="A708" s="134"/>
      <c r="B708" s="134"/>
      <c r="C708" s="134"/>
      <c r="D708" s="134"/>
      <c r="E708" s="134"/>
      <c r="F708" s="134"/>
      <c r="G708" s="134"/>
      <c r="H708" s="134"/>
    </row>
    <row r="709" ht="15.75" customHeight="1">
      <c r="A709" s="134"/>
      <c r="B709" s="134"/>
      <c r="C709" s="134"/>
      <c r="D709" s="134"/>
      <c r="E709" s="134"/>
      <c r="F709" s="134"/>
      <c r="G709" s="134"/>
      <c r="H709" s="134"/>
    </row>
    <row r="710" ht="15.75" customHeight="1">
      <c r="A710" s="134"/>
      <c r="B710" s="134"/>
      <c r="C710" s="134"/>
      <c r="D710" s="134"/>
      <c r="E710" s="134"/>
      <c r="F710" s="134"/>
      <c r="G710" s="134"/>
      <c r="H710" s="134"/>
    </row>
    <row r="711" ht="15.75" customHeight="1">
      <c r="A711" s="134"/>
      <c r="B711" s="134"/>
      <c r="C711" s="134"/>
      <c r="D711" s="134"/>
      <c r="E711" s="134"/>
      <c r="F711" s="134"/>
      <c r="G711" s="134"/>
      <c r="H711" s="134"/>
    </row>
    <row r="712" ht="15.75" customHeight="1">
      <c r="A712" s="134"/>
      <c r="B712" s="134"/>
      <c r="C712" s="134"/>
      <c r="D712" s="134"/>
      <c r="E712" s="134"/>
      <c r="F712" s="134"/>
      <c r="G712" s="134"/>
      <c r="H712" s="134"/>
    </row>
    <row r="713" ht="15.75" customHeight="1">
      <c r="A713" s="134"/>
      <c r="B713" s="134"/>
      <c r="C713" s="134"/>
      <c r="D713" s="134"/>
      <c r="E713" s="134"/>
      <c r="F713" s="134"/>
      <c r="G713" s="134"/>
      <c r="H713" s="134"/>
    </row>
    <row r="714" ht="15.75" customHeight="1">
      <c r="A714" s="134"/>
      <c r="B714" s="134"/>
      <c r="C714" s="134"/>
      <c r="D714" s="134"/>
      <c r="E714" s="134"/>
      <c r="F714" s="134"/>
      <c r="G714" s="134"/>
      <c r="H714" s="134"/>
    </row>
    <row r="715" ht="15.75" customHeight="1">
      <c r="A715" s="134"/>
      <c r="B715" s="134"/>
      <c r="C715" s="134"/>
      <c r="D715" s="134"/>
      <c r="E715" s="134"/>
      <c r="F715" s="134"/>
      <c r="G715" s="134"/>
      <c r="H715" s="134"/>
    </row>
    <row r="716" ht="15.75" customHeight="1">
      <c r="A716" s="134"/>
      <c r="B716" s="134"/>
      <c r="C716" s="134"/>
      <c r="D716" s="134"/>
      <c r="E716" s="134"/>
      <c r="F716" s="134"/>
      <c r="G716" s="134"/>
      <c r="H716" s="134"/>
    </row>
    <row r="717" ht="15.75" customHeight="1">
      <c r="A717" s="134"/>
      <c r="B717" s="134"/>
      <c r="C717" s="134"/>
      <c r="D717" s="134"/>
      <c r="E717" s="134"/>
      <c r="F717" s="134"/>
      <c r="G717" s="134"/>
      <c r="H717" s="134"/>
    </row>
    <row r="718" ht="15.75" customHeight="1">
      <c r="A718" s="134"/>
      <c r="B718" s="134"/>
      <c r="C718" s="134"/>
      <c r="D718" s="134"/>
      <c r="E718" s="134"/>
      <c r="F718" s="134"/>
      <c r="G718" s="134"/>
      <c r="H718" s="134"/>
    </row>
    <row r="719" ht="15.75" customHeight="1">
      <c r="A719" s="134"/>
      <c r="B719" s="134"/>
      <c r="C719" s="134"/>
      <c r="D719" s="134"/>
      <c r="E719" s="134"/>
      <c r="F719" s="134"/>
      <c r="G719" s="134"/>
      <c r="H719" s="134"/>
    </row>
    <row r="720" ht="15.75" customHeight="1">
      <c r="A720" s="134"/>
      <c r="B720" s="134"/>
      <c r="C720" s="134"/>
      <c r="D720" s="134"/>
      <c r="E720" s="134"/>
      <c r="F720" s="134"/>
      <c r="G720" s="134"/>
      <c r="H720" s="134"/>
    </row>
    <row r="721" ht="15.75" customHeight="1">
      <c r="A721" s="134"/>
      <c r="B721" s="134"/>
      <c r="C721" s="134"/>
      <c r="D721" s="134"/>
      <c r="E721" s="134"/>
      <c r="F721" s="134"/>
      <c r="G721" s="134"/>
      <c r="H721" s="134"/>
    </row>
    <row r="722" ht="15.75" customHeight="1">
      <c r="A722" s="134"/>
      <c r="B722" s="134"/>
      <c r="C722" s="134"/>
      <c r="D722" s="134"/>
      <c r="E722" s="134"/>
      <c r="F722" s="134"/>
      <c r="G722" s="134"/>
      <c r="H722" s="134"/>
    </row>
    <row r="723" ht="15.75" customHeight="1">
      <c r="A723" s="134"/>
      <c r="B723" s="134"/>
      <c r="C723" s="134"/>
      <c r="D723" s="134"/>
      <c r="E723" s="134"/>
      <c r="F723" s="134"/>
      <c r="G723" s="134"/>
      <c r="H723" s="134"/>
    </row>
    <row r="724" ht="15.75" customHeight="1">
      <c r="A724" s="134"/>
      <c r="B724" s="134"/>
      <c r="C724" s="134"/>
      <c r="D724" s="134"/>
      <c r="E724" s="134"/>
      <c r="F724" s="134"/>
      <c r="G724" s="134"/>
      <c r="H724" s="134"/>
    </row>
    <row r="725" ht="15.75" customHeight="1">
      <c r="A725" s="134"/>
      <c r="B725" s="134"/>
      <c r="C725" s="134"/>
      <c r="D725" s="134"/>
      <c r="E725" s="134"/>
      <c r="F725" s="134"/>
      <c r="G725" s="134"/>
      <c r="H725" s="134"/>
    </row>
    <row r="726" ht="15.75" customHeight="1">
      <c r="A726" s="134"/>
      <c r="B726" s="134"/>
      <c r="C726" s="134"/>
      <c r="D726" s="134"/>
      <c r="E726" s="134"/>
      <c r="F726" s="134"/>
      <c r="G726" s="134"/>
      <c r="H726" s="134"/>
    </row>
    <row r="727" ht="15.75" customHeight="1">
      <c r="A727" s="134"/>
      <c r="B727" s="134"/>
      <c r="C727" s="134"/>
      <c r="D727" s="134"/>
      <c r="E727" s="134"/>
      <c r="F727" s="134"/>
      <c r="G727" s="134"/>
      <c r="H727" s="134"/>
    </row>
    <row r="728" ht="15.75" customHeight="1">
      <c r="A728" s="134"/>
      <c r="B728" s="134"/>
      <c r="C728" s="134"/>
      <c r="D728" s="134"/>
      <c r="E728" s="134"/>
      <c r="F728" s="134"/>
      <c r="G728" s="134"/>
      <c r="H728" s="134"/>
    </row>
    <row r="729" ht="15.75" customHeight="1">
      <c r="A729" s="134"/>
      <c r="B729" s="134"/>
      <c r="C729" s="134"/>
      <c r="D729" s="134"/>
      <c r="E729" s="134"/>
      <c r="F729" s="134"/>
      <c r="G729" s="134"/>
      <c r="H729" s="134"/>
    </row>
    <row r="730" ht="15.75" customHeight="1">
      <c r="A730" s="134"/>
      <c r="B730" s="134"/>
      <c r="C730" s="134"/>
      <c r="D730" s="134"/>
      <c r="E730" s="134"/>
      <c r="F730" s="134"/>
      <c r="G730" s="134"/>
      <c r="H730" s="134"/>
    </row>
    <row r="731" ht="15.75" customHeight="1">
      <c r="A731" s="134"/>
      <c r="B731" s="134"/>
      <c r="C731" s="134"/>
      <c r="D731" s="134"/>
      <c r="E731" s="134"/>
      <c r="F731" s="134"/>
      <c r="G731" s="134"/>
      <c r="H731" s="134"/>
    </row>
    <row r="732" ht="15.75" customHeight="1">
      <c r="A732" s="134"/>
      <c r="B732" s="134"/>
      <c r="C732" s="134"/>
      <c r="D732" s="134"/>
      <c r="E732" s="134"/>
      <c r="F732" s="134"/>
      <c r="G732" s="134"/>
      <c r="H732" s="134"/>
    </row>
    <row r="733" ht="15.75" customHeight="1">
      <c r="A733" s="134"/>
      <c r="B733" s="134"/>
      <c r="C733" s="134"/>
      <c r="D733" s="134"/>
      <c r="E733" s="134"/>
      <c r="F733" s="134"/>
      <c r="G733" s="134"/>
      <c r="H733" s="134"/>
    </row>
    <row r="734" ht="15.75" customHeight="1">
      <c r="A734" s="134"/>
      <c r="B734" s="134"/>
      <c r="C734" s="134"/>
      <c r="D734" s="134"/>
      <c r="E734" s="134"/>
      <c r="F734" s="134"/>
      <c r="G734" s="134"/>
      <c r="H734" s="134"/>
    </row>
    <row r="735" ht="15.75" customHeight="1">
      <c r="A735" s="134"/>
      <c r="B735" s="134"/>
      <c r="C735" s="134"/>
      <c r="D735" s="134"/>
      <c r="E735" s="134"/>
      <c r="F735" s="134"/>
      <c r="G735" s="134"/>
      <c r="H735" s="134"/>
    </row>
    <row r="736" ht="15.75" customHeight="1">
      <c r="A736" s="134"/>
      <c r="B736" s="134"/>
      <c r="C736" s="134"/>
      <c r="D736" s="134"/>
      <c r="E736" s="134"/>
      <c r="F736" s="134"/>
      <c r="G736" s="134"/>
      <c r="H736" s="134"/>
    </row>
    <row r="737" ht="15.75" customHeight="1">
      <c r="A737" s="134"/>
      <c r="B737" s="134"/>
      <c r="C737" s="134"/>
      <c r="D737" s="134"/>
      <c r="E737" s="134"/>
      <c r="F737" s="134"/>
      <c r="G737" s="134"/>
      <c r="H737" s="134"/>
    </row>
    <row r="738" ht="15.75" customHeight="1">
      <c r="A738" s="134"/>
      <c r="B738" s="134"/>
      <c r="C738" s="134"/>
      <c r="D738" s="134"/>
      <c r="E738" s="134"/>
      <c r="F738" s="134"/>
      <c r="G738" s="134"/>
      <c r="H738" s="134"/>
    </row>
    <row r="739" ht="15.75" customHeight="1">
      <c r="A739" s="134"/>
      <c r="B739" s="134"/>
      <c r="C739" s="134"/>
      <c r="D739" s="134"/>
      <c r="E739" s="134"/>
      <c r="F739" s="134"/>
      <c r="G739" s="134"/>
      <c r="H739" s="134"/>
    </row>
    <row r="740" ht="15.75" customHeight="1">
      <c r="A740" s="134"/>
      <c r="B740" s="134"/>
      <c r="C740" s="134"/>
      <c r="D740" s="134"/>
      <c r="E740" s="134"/>
      <c r="F740" s="134"/>
      <c r="G740" s="134"/>
      <c r="H740" s="134"/>
    </row>
    <row r="741" ht="15.75" customHeight="1">
      <c r="A741" s="134"/>
      <c r="B741" s="134"/>
      <c r="C741" s="134"/>
      <c r="D741" s="134"/>
      <c r="E741" s="134"/>
      <c r="F741" s="134"/>
      <c r="G741" s="134"/>
      <c r="H741" s="134"/>
    </row>
    <row r="742" ht="15.75" customHeight="1">
      <c r="A742" s="134"/>
      <c r="B742" s="134"/>
      <c r="C742" s="134"/>
      <c r="D742" s="134"/>
      <c r="E742" s="134"/>
      <c r="F742" s="134"/>
      <c r="G742" s="134"/>
      <c r="H742" s="134"/>
    </row>
    <row r="743" ht="15.75" customHeight="1">
      <c r="A743" s="134"/>
      <c r="B743" s="134"/>
      <c r="C743" s="134"/>
      <c r="D743" s="134"/>
      <c r="E743" s="134"/>
      <c r="F743" s="134"/>
      <c r="G743" s="134"/>
      <c r="H743" s="134"/>
    </row>
    <row r="744" ht="15.75" customHeight="1">
      <c r="A744" s="134"/>
      <c r="B744" s="134"/>
      <c r="C744" s="134"/>
      <c r="D744" s="134"/>
      <c r="E744" s="134"/>
      <c r="F744" s="134"/>
      <c r="G744" s="134"/>
      <c r="H744" s="134"/>
    </row>
    <row r="745" ht="15.75" customHeight="1">
      <c r="A745" s="134"/>
      <c r="B745" s="134"/>
      <c r="C745" s="134"/>
      <c r="D745" s="134"/>
      <c r="E745" s="134"/>
      <c r="F745" s="134"/>
      <c r="G745" s="134"/>
      <c r="H745" s="134"/>
    </row>
    <row r="746" ht="15.75" customHeight="1">
      <c r="A746" s="134"/>
      <c r="B746" s="134"/>
      <c r="C746" s="134"/>
      <c r="D746" s="134"/>
      <c r="E746" s="134"/>
      <c r="F746" s="134"/>
      <c r="G746" s="134"/>
      <c r="H746" s="134"/>
    </row>
    <row r="747" ht="15.75" customHeight="1">
      <c r="A747" s="134"/>
      <c r="B747" s="134"/>
      <c r="C747" s="134"/>
      <c r="D747" s="134"/>
      <c r="E747" s="134"/>
      <c r="F747" s="134"/>
      <c r="G747" s="134"/>
      <c r="H747" s="134"/>
    </row>
    <row r="748" ht="15.75" customHeight="1">
      <c r="A748" s="134"/>
      <c r="B748" s="134"/>
      <c r="C748" s="134"/>
      <c r="D748" s="134"/>
      <c r="E748" s="134"/>
      <c r="F748" s="134"/>
      <c r="G748" s="134"/>
      <c r="H748" s="134"/>
    </row>
    <row r="749" ht="15.75" customHeight="1">
      <c r="A749" s="134"/>
      <c r="B749" s="134"/>
      <c r="C749" s="134"/>
      <c r="D749" s="134"/>
      <c r="E749" s="134"/>
      <c r="F749" s="134"/>
      <c r="G749" s="134"/>
      <c r="H749" s="134"/>
    </row>
    <row r="750" ht="15.75" customHeight="1">
      <c r="A750" s="134"/>
      <c r="B750" s="134"/>
      <c r="C750" s="134"/>
      <c r="D750" s="134"/>
      <c r="E750" s="134"/>
      <c r="F750" s="134"/>
      <c r="G750" s="134"/>
      <c r="H750" s="134"/>
    </row>
    <row r="751" ht="15.75" customHeight="1">
      <c r="A751" s="134"/>
      <c r="B751" s="134"/>
      <c r="C751" s="134"/>
      <c r="D751" s="134"/>
      <c r="E751" s="134"/>
      <c r="F751" s="134"/>
      <c r="G751" s="134"/>
      <c r="H751" s="134"/>
    </row>
    <row r="752" ht="15.75" customHeight="1">
      <c r="A752" s="134"/>
      <c r="B752" s="134"/>
      <c r="C752" s="134"/>
      <c r="D752" s="134"/>
      <c r="E752" s="134"/>
      <c r="F752" s="134"/>
      <c r="G752" s="134"/>
      <c r="H752" s="134"/>
    </row>
    <row r="753" ht="15.75" customHeight="1">
      <c r="A753" s="134"/>
      <c r="B753" s="134"/>
      <c r="C753" s="134"/>
      <c r="D753" s="134"/>
      <c r="E753" s="134"/>
      <c r="F753" s="134"/>
      <c r="G753" s="134"/>
      <c r="H753" s="134"/>
    </row>
    <row r="754" ht="15.75" customHeight="1">
      <c r="A754" s="134"/>
      <c r="B754" s="134"/>
      <c r="C754" s="134"/>
      <c r="D754" s="134"/>
      <c r="E754" s="134"/>
      <c r="F754" s="134"/>
      <c r="G754" s="134"/>
      <c r="H754" s="134"/>
    </row>
    <row r="755" ht="15.75" customHeight="1">
      <c r="A755" s="134"/>
      <c r="B755" s="134"/>
      <c r="C755" s="134"/>
      <c r="D755" s="134"/>
      <c r="E755" s="134"/>
      <c r="F755" s="134"/>
      <c r="G755" s="134"/>
      <c r="H755" s="134"/>
    </row>
    <row r="756" ht="15.75" customHeight="1">
      <c r="A756" s="134"/>
      <c r="B756" s="134"/>
      <c r="C756" s="134"/>
      <c r="D756" s="134"/>
      <c r="E756" s="134"/>
      <c r="F756" s="134"/>
      <c r="G756" s="134"/>
      <c r="H756" s="134"/>
    </row>
    <row r="757" ht="15.75" customHeight="1">
      <c r="A757" s="134"/>
      <c r="B757" s="134"/>
      <c r="C757" s="134"/>
      <c r="D757" s="134"/>
      <c r="E757" s="134"/>
      <c r="F757" s="134"/>
      <c r="G757" s="134"/>
      <c r="H757" s="134"/>
    </row>
    <row r="758" ht="15.75" customHeight="1">
      <c r="A758" s="134"/>
      <c r="B758" s="134"/>
      <c r="C758" s="134"/>
      <c r="D758" s="134"/>
      <c r="E758" s="134"/>
      <c r="F758" s="134"/>
      <c r="G758" s="134"/>
      <c r="H758" s="134"/>
    </row>
    <row r="759" ht="15.75" customHeight="1">
      <c r="A759" s="134"/>
      <c r="B759" s="134"/>
      <c r="C759" s="134"/>
      <c r="D759" s="134"/>
      <c r="E759" s="134"/>
      <c r="F759" s="134"/>
      <c r="G759" s="134"/>
      <c r="H759" s="134"/>
    </row>
    <row r="760" ht="15.75" customHeight="1">
      <c r="A760" s="134"/>
      <c r="B760" s="134"/>
      <c r="C760" s="134"/>
      <c r="D760" s="134"/>
      <c r="E760" s="134"/>
      <c r="F760" s="134"/>
      <c r="G760" s="134"/>
      <c r="H760" s="134"/>
    </row>
    <row r="761" ht="15.75" customHeight="1">
      <c r="A761" s="134"/>
      <c r="B761" s="134"/>
      <c r="C761" s="134"/>
      <c r="D761" s="134"/>
      <c r="E761" s="134"/>
      <c r="F761" s="134"/>
      <c r="G761" s="134"/>
      <c r="H761" s="134"/>
    </row>
    <row r="762" ht="15.75" customHeight="1">
      <c r="A762" s="134"/>
      <c r="B762" s="134"/>
      <c r="C762" s="134"/>
      <c r="D762" s="134"/>
      <c r="E762" s="134"/>
      <c r="F762" s="134"/>
      <c r="G762" s="134"/>
      <c r="H762" s="134"/>
    </row>
    <row r="763" ht="15.75" customHeight="1">
      <c r="A763" s="134"/>
      <c r="B763" s="134"/>
      <c r="C763" s="134"/>
      <c r="D763" s="134"/>
      <c r="E763" s="134"/>
      <c r="F763" s="134"/>
      <c r="G763" s="134"/>
      <c r="H763" s="134"/>
    </row>
    <row r="764" ht="15.75" customHeight="1">
      <c r="A764" s="134"/>
      <c r="B764" s="134"/>
      <c r="C764" s="134"/>
      <c r="D764" s="134"/>
      <c r="E764" s="134"/>
      <c r="F764" s="134"/>
      <c r="G764" s="134"/>
      <c r="H764" s="134"/>
    </row>
    <row r="765" ht="15.75" customHeight="1">
      <c r="A765" s="134"/>
      <c r="B765" s="134"/>
      <c r="C765" s="134"/>
      <c r="D765" s="134"/>
      <c r="E765" s="134"/>
      <c r="F765" s="134"/>
      <c r="G765" s="134"/>
      <c r="H765" s="134"/>
    </row>
    <row r="766" ht="15.75" customHeight="1">
      <c r="A766" s="134"/>
      <c r="B766" s="134"/>
      <c r="C766" s="134"/>
      <c r="D766" s="134"/>
      <c r="E766" s="134"/>
      <c r="F766" s="134"/>
      <c r="G766" s="134"/>
      <c r="H766" s="134"/>
    </row>
    <row r="767" ht="15.75" customHeight="1">
      <c r="A767" s="134"/>
      <c r="B767" s="134"/>
      <c r="C767" s="134"/>
      <c r="D767" s="134"/>
      <c r="E767" s="134"/>
      <c r="F767" s="134"/>
      <c r="G767" s="134"/>
      <c r="H767" s="134"/>
    </row>
    <row r="768" ht="15.75" customHeight="1">
      <c r="A768" s="134"/>
      <c r="B768" s="134"/>
      <c r="C768" s="134"/>
      <c r="D768" s="134"/>
      <c r="E768" s="134"/>
      <c r="F768" s="134"/>
      <c r="G768" s="134"/>
      <c r="H768" s="134"/>
    </row>
    <row r="769" ht="15.75" customHeight="1">
      <c r="A769" s="134"/>
      <c r="B769" s="134"/>
      <c r="C769" s="134"/>
      <c r="D769" s="134"/>
      <c r="E769" s="134"/>
      <c r="F769" s="134"/>
      <c r="G769" s="134"/>
      <c r="H769" s="134"/>
    </row>
    <row r="770" ht="15.75" customHeight="1">
      <c r="A770" s="134"/>
      <c r="B770" s="134"/>
      <c r="C770" s="134"/>
      <c r="D770" s="134"/>
      <c r="E770" s="134"/>
      <c r="F770" s="134"/>
      <c r="G770" s="134"/>
      <c r="H770" s="134"/>
    </row>
    <row r="771" ht="15.75" customHeight="1">
      <c r="A771" s="134"/>
      <c r="B771" s="134"/>
      <c r="C771" s="134"/>
      <c r="D771" s="134"/>
      <c r="E771" s="134"/>
      <c r="F771" s="134"/>
      <c r="G771" s="134"/>
      <c r="H771" s="134"/>
    </row>
    <row r="772" ht="15.75" customHeight="1">
      <c r="A772" s="134"/>
      <c r="B772" s="134"/>
      <c r="C772" s="134"/>
      <c r="D772" s="134"/>
      <c r="E772" s="134"/>
      <c r="F772" s="134"/>
      <c r="G772" s="134"/>
      <c r="H772" s="134"/>
    </row>
    <row r="773" ht="15.75" customHeight="1">
      <c r="A773" s="134"/>
      <c r="B773" s="134"/>
      <c r="C773" s="134"/>
      <c r="D773" s="134"/>
      <c r="E773" s="134"/>
      <c r="F773" s="134"/>
      <c r="G773" s="134"/>
      <c r="H773" s="134"/>
    </row>
    <row r="774" ht="15.75" customHeight="1">
      <c r="A774" s="134"/>
      <c r="B774" s="134"/>
      <c r="C774" s="134"/>
      <c r="D774" s="134"/>
      <c r="E774" s="134"/>
      <c r="F774" s="134"/>
      <c r="G774" s="134"/>
      <c r="H774" s="134"/>
    </row>
    <row r="775" ht="15.75" customHeight="1">
      <c r="A775" s="134"/>
      <c r="B775" s="134"/>
      <c r="C775" s="134"/>
      <c r="D775" s="134"/>
      <c r="E775" s="134"/>
      <c r="F775" s="134"/>
      <c r="G775" s="134"/>
      <c r="H775" s="134"/>
    </row>
    <row r="776" ht="15.75" customHeight="1">
      <c r="A776" s="134"/>
      <c r="B776" s="134"/>
      <c r="C776" s="134"/>
      <c r="D776" s="134"/>
      <c r="E776" s="134"/>
      <c r="F776" s="134"/>
      <c r="G776" s="134"/>
      <c r="H776" s="134"/>
    </row>
    <row r="777" ht="15.75" customHeight="1">
      <c r="A777" s="134"/>
      <c r="B777" s="134"/>
      <c r="C777" s="134"/>
      <c r="D777" s="134"/>
      <c r="E777" s="134"/>
      <c r="F777" s="134"/>
      <c r="G777" s="134"/>
      <c r="H777" s="134"/>
    </row>
    <row r="778" ht="15.75" customHeight="1">
      <c r="A778" s="134"/>
      <c r="B778" s="134"/>
      <c r="C778" s="134"/>
      <c r="D778" s="134"/>
      <c r="E778" s="134"/>
      <c r="F778" s="134"/>
      <c r="G778" s="134"/>
      <c r="H778" s="134"/>
    </row>
    <row r="779" ht="15.75" customHeight="1">
      <c r="A779" s="134"/>
      <c r="B779" s="134"/>
      <c r="C779" s="134"/>
      <c r="D779" s="134"/>
      <c r="E779" s="134"/>
      <c r="F779" s="134"/>
      <c r="G779" s="134"/>
      <c r="H779" s="134"/>
    </row>
    <row r="780" ht="15.75" customHeight="1">
      <c r="A780" s="134"/>
      <c r="B780" s="134"/>
      <c r="C780" s="134"/>
      <c r="D780" s="134"/>
      <c r="E780" s="134"/>
      <c r="F780" s="134"/>
      <c r="G780" s="134"/>
      <c r="H780" s="134"/>
    </row>
    <row r="781" ht="15.75" customHeight="1">
      <c r="A781" s="134"/>
      <c r="B781" s="134"/>
      <c r="C781" s="134"/>
      <c r="D781" s="134"/>
      <c r="E781" s="134"/>
      <c r="F781" s="134"/>
      <c r="G781" s="134"/>
      <c r="H781" s="134"/>
    </row>
    <row r="782" ht="15.75" customHeight="1">
      <c r="A782" s="134"/>
      <c r="B782" s="134"/>
      <c r="C782" s="134"/>
      <c r="D782" s="134"/>
      <c r="E782" s="134"/>
      <c r="F782" s="134"/>
      <c r="G782" s="134"/>
      <c r="H782" s="134"/>
    </row>
    <row r="783" ht="15.75" customHeight="1">
      <c r="A783" s="134"/>
      <c r="B783" s="134"/>
      <c r="C783" s="134"/>
      <c r="D783" s="134"/>
      <c r="E783" s="134"/>
      <c r="F783" s="134"/>
      <c r="G783" s="134"/>
      <c r="H783" s="134"/>
    </row>
    <row r="784" ht="15.75" customHeight="1">
      <c r="A784" s="134"/>
      <c r="B784" s="134"/>
      <c r="C784" s="134"/>
      <c r="D784" s="134"/>
      <c r="E784" s="134"/>
      <c r="F784" s="134"/>
      <c r="G784" s="134"/>
      <c r="H784" s="134"/>
    </row>
    <row r="785" ht="15.75" customHeight="1">
      <c r="A785" s="134"/>
      <c r="B785" s="134"/>
      <c r="C785" s="134"/>
      <c r="D785" s="134"/>
      <c r="E785" s="134"/>
      <c r="F785" s="134"/>
      <c r="G785" s="134"/>
      <c r="H785" s="134"/>
    </row>
    <row r="786" ht="15.75" customHeight="1">
      <c r="A786" s="134"/>
      <c r="B786" s="134"/>
      <c r="C786" s="134"/>
      <c r="D786" s="134"/>
      <c r="E786" s="134"/>
      <c r="F786" s="134"/>
      <c r="G786" s="134"/>
      <c r="H786" s="134"/>
    </row>
    <row r="787" ht="15.75" customHeight="1">
      <c r="A787" s="134"/>
      <c r="B787" s="134"/>
      <c r="C787" s="134"/>
      <c r="D787" s="134"/>
      <c r="E787" s="134"/>
      <c r="F787" s="134"/>
      <c r="G787" s="134"/>
      <c r="H787" s="134"/>
    </row>
    <row r="788" ht="15.75" customHeight="1">
      <c r="A788" s="134"/>
      <c r="B788" s="134"/>
      <c r="C788" s="134"/>
      <c r="D788" s="134"/>
      <c r="E788" s="134"/>
      <c r="F788" s="134"/>
      <c r="G788" s="134"/>
      <c r="H788" s="134"/>
    </row>
    <row r="789" ht="15.75" customHeight="1">
      <c r="A789" s="134"/>
      <c r="B789" s="134"/>
      <c r="C789" s="134"/>
      <c r="D789" s="134"/>
      <c r="E789" s="134"/>
      <c r="F789" s="134"/>
      <c r="G789" s="134"/>
      <c r="H789" s="134"/>
    </row>
    <row r="790" ht="15.75" customHeight="1">
      <c r="A790" s="134"/>
      <c r="B790" s="134"/>
      <c r="C790" s="134"/>
      <c r="D790" s="134"/>
      <c r="E790" s="134"/>
      <c r="F790" s="134"/>
      <c r="G790" s="134"/>
      <c r="H790" s="134"/>
    </row>
    <row r="791" ht="15.75" customHeight="1">
      <c r="A791" s="134"/>
      <c r="B791" s="134"/>
      <c r="C791" s="134"/>
      <c r="D791" s="134"/>
      <c r="E791" s="134"/>
      <c r="F791" s="134"/>
      <c r="G791" s="134"/>
      <c r="H791" s="134"/>
    </row>
    <row r="792" ht="15.75" customHeight="1">
      <c r="A792" s="134"/>
      <c r="B792" s="134"/>
      <c r="C792" s="134"/>
      <c r="D792" s="134"/>
      <c r="E792" s="134"/>
      <c r="F792" s="134"/>
      <c r="G792" s="134"/>
      <c r="H792" s="134"/>
    </row>
    <row r="793" ht="15.75" customHeight="1">
      <c r="A793" s="134"/>
      <c r="B793" s="134"/>
      <c r="C793" s="134"/>
      <c r="D793" s="134"/>
      <c r="E793" s="134"/>
      <c r="F793" s="134"/>
      <c r="G793" s="134"/>
      <c r="H793" s="134"/>
    </row>
    <row r="794" ht="15.75" customHeight="1">
      <c r="A794" s="134"/>
      <c r="B794" s="134"/>
      <c r="C794" s="134"/>
      <c r="D794" s="134"/>
      <c r="E794" s="134"/>
      <c r="F794" s="134"/>
      <c r="G794" s="134"/>
      <c r="H794" s="134"/>
    </row>
    <row r="795" ht="15.75" customHeight="1">
      <c r="A795" s="134"/>
      <c r="B795" s="134"/>
      <c r="C795" s="134"/>
      <c r="D795" s="134"/>
      <c r="E795" s="134"/>
      <c r="F795" s="134"/>
      <c r="G795" s="134"/>
      <c r="H795" s="134"/>
    </row>
    <row r="796" ht="15.75" customHeight="1">
      <c r="A796" s="134"/>
      <c r="B796" s="134"/>
      <c r="C796" s="134"/>
      <c r="D796" s="134"/>
      <c r="E796" s="134"/>
      <c r="F796" s="134"/>
      <c r="G796" s="134"/>
      <c r="H796" s="134"/>
    </row>
    <row r="797" ht="15.75" customHeight="1">
      <c r="A797" s="134"/>
      <c r="B797" s="134"/>
      <c r="C797" s="134"/>
      <c r="D797" s="134"/>
      <c r="E797" s="134"/>
      <c r="F797" s="134"/>
      <c r="G797" s="134"/>
      <c r="H797" s="134"/>
    </row>
    <row r="798" ht="15.75" customHeight="1">
      <c r="A798" s="134"/>
      <c r="B798" s="134"/>
      <c r="C798" s="134"/>
      <c r="D798" s="134"/>
      <c r="E798" s="134"/>
      <c r="F798" s="134"/>
      <c r="G798" s="134"/>
      <c r="H798" s="134"/>
    </row>
    <row r="799" ht="15.75" customHeight="1">
      <c r="A799" s="134"/>
      <c r="B799" s="134"/>
      <c r="C799" s="134"/>
      <c r="D799" s="134"/>
      <c r="E799" s="134"/>
      <c r="F799" s="134"/>
      <c r="G799" s="134"/>
      <c r="H799" s="134"/>
    </row>
    <row r="800" ht="15.75" customHeight="1">
      <c r="A800" s="134"/>
      <c r="B800" s="134"/>
      <c r="C800" s="134"/>
      <c r="D800" s="134"/>
      <c r="E800" s="134"/>
      <c r="F800" s="134"/>
      <c r="G800" s="134"/>
      <c r="H800" s="134"/>
    </row>
    <row r="801" ht="15.75" customHeight="1">
      <c r="A801" s="134"/>
      <c r="B801" s="134"/>
      <c r="C801" s="134"/>
      <c r="D801" s="134"/>
      <c r="E801" s="134"/>
      <c r="F801" s="134"/>
      <c r="G801" s="134"/>
      <c r="H801" s="134"/>
    </row>
    <row r="802" ht="15.75" customHeight="1">
      <c r="A802" s="134"/>
      <c r="B802" s="134"/>
      <c r="C802" s="134"/>
      <c r="D802" s="134"/>
      <c r="E802" s="134"/>
      <c r="F802" s="134"/>
      <c r="G802" s="134"/>
      <c r="H802" s="134"/>
    </row>
    <row r="803" ht="15.75" customHeight="1">
      <c r="A803" s="134"/>
      <c r="B803" s="134"/>
      <c r="C803" s="134"/>
      <c r="D803" s="134"/>
      <c r="E803" s="134"/>
      <c r="F803" s="134"/>
      <c r="G803" s="134"/>
      <c r="H803" s="134"/>
    </row>
    <row r="804" ht="15.75" customHeight="1">
      <c r="A804" s="134"/>
      <c r="B804" s="134"/>
      <c r="C804" s="134"/>
      <c r="D804" s="134"/>
      <c r="E804" s="134"/>
      <c r="F804" s="134"/>
      <c r="G804" s="134"/>
      <c r="H804" s="134"/>
    </row>
    <row r="805" ht="15.75" customHeight="1">
      <c r="A805" s="134"/>
      <c r="B805" s="134"/>
      <c r="C805" s="134"/>
      <c r="D805" s="134"/>
      <c r="E805" s="134"/>
      <c r="F805" s="134"/>
      <c r="G805" s="134"/>
      <c r="H805" s="134"/>
    </row>
    <row r="806" ht="15.75" customHeight="1">
      <c r="A806" s="134"/>
      <c r="B806" s="134"/>
      <c r="C806" s="134"/>
      <c r="D806" s="134"/>
      <c r="E806" s="134"/>
      <c r="F806" s="134"/>
      <c r="G806" s="134"/>
      <c r="H806" s="134"/>
    </row>
    <row r="807" ht="15.75" customHeight="1">
      <c r="A807" s="134"/>
      <c r="B807" s="134"/>
      <c r="C807" s="134"/>
      <c r="D807" s="134"/>
      <c r="E807" s="134"/>
      <c r="F807" s="134"/>
      <c r="G807" s="134"/>
      <c r="H807" s="134"/>
    </row>
    <row r="808" ht="15.75" customHeight="1">
      <c r="A808" s="134"/>
      <c r="B808" s="134"/>
      <c r="C808" s="134"/>
      <c r="D808" s="134"/>
      <c r="E808" s="134"/>
      <c r="F808" s="134"/>
      <c r="G808" s="134"/>
      <c r="H808" s="134"/>
    </row>
    <row r="809" ht="15.75" customHeight="1">
      <c r="A809" s="134"/>
      <c r="B809" s="134"/>
      <c r="C809" s="134"/>
      <c r="D809" s="134"/>
      <c r="E809" s="134"/>
      <c r="F809" s="134"/>
      <c r="G809" s="134"/>
      <c r="H809" s="134"/>
    </row>
    <row r="810" ht="15.75" customHeight="1">
      <c r="A810" s="134"/>
      <c r="B810" s="134"/>
      <c r="C810" s="134"/>
      <c r="D810" s="134"/>
      <c r="E810" s="134"/>
      <c r="F810" s="134"/>
      <c r="G810" s="134"/>
      <c r="H810" s="134"/>
    </row>
    <row r="811" ht="15.75" customHeight="1">
      <c r="A811" s="134"/>
      <c r="B811" s="134"/>
      <c r="C811" s="134"/>
      <c r="D811" s="134"/>
      <c r="E811" s="134"/>
      <c r="F811" s="134"/>
      <c r="G811" s="134"/>
      <c r="H811" s="134"/>
    </row>
    <row r="812" ht="15.75" customHeight="1">
      <c r="A812" s="134"/>
      <c r="B812" s="134"/>
      <c r="C812" s="134"/>
      <c r="D812" s="134"/>
      <c r="E812" s="134"/>
      <c r="F812" s="134"/>
      <c r="G812" s="134"/>
      <c r="H812" s="134"/>
    </row>
    <row r="813" ht="15.75" customHeight="1">
      <c r="A813" s="134"/>
      <c r="B813" s="134"/>
      <c r="C813" s="134"/>
      <c r="D813" s="134"/>
      <c r="E813" s="134"/>
      <c r="F813" s="134"/>
      <c r="G813" s="134"/>
      <c r="H813" s="134"/>
    </row>
    <row r="814" ht="15.75" customHeight="1">
      <c r="A814" s="134"/>
      <c r="B814" s="134"/>
      <c r="C814" s="134"/>
      <c r="D814" s="134"/>
      <c r="E814" s="134"/>
      <c r="F814" s="134"/>
      <c r="G814" s="134"/>
      <c r="H814" s="134"/>
    </row>
    <row r="815" ht="15.75" customHeight="1">
      <c r="A815" s="134"/>
      <c r="B815" s="134"/>
      <c r="C815" s="134"/>
      <c r="D815" s="134"/>
      <c r="E815" s="134"/>
      <c r="F815" s="134"/>
      <c r="G815" s="134"/>
      <c r="H815" s="134"/>
    </row>
    <row r="816" ht="15.75" customHeight="1">
      <c r="A816" s="134"/>
      <c r="B816" s="134"/>
      <c r="C816" s="134"/>
      <c r="D816" s="134"/>
      <c r="E816" s="134"/>
      <c r="F816" s="134"/>
      <c r="G816" s="134"/>
      <c r="H816" s="134"/>
    </row>
    <row r="817" ht="15.75" customHeight="1">
      <c r="A817" s="134"/>
      <c r="B817" s="134"/>
      <c r="C817" s="134"/>
      <c r="D817" s="134"/>
      <c r="E817" s="134"/>
      <c r="F817" s="134"/>
      <c r="G817" s="134"/>
      <c r="H817" s="134"/>
    </row>
    <row r="818" ht="15.75" customHeight="1">
      <c r="A818" s="134"/>
      <c r="B818" s="134"/>
      <c r="C818" s="134"/>
      <c r="D818" s="134"/>
      <c r="E818" s="134"/>
      <c r="F818" s="134"/>
      <c r="G818" s="134"/>
      <c r="H818" s="134"/>
    </row>
    <row r="819" ht="15.75" customHeight="1">
      <c r="A819" s="134"/>
      <c r="B819" s="134"/>
      <c r="C819" s="134"/>
      <c r="D819" s="134"/>
      <c r="E819" s="134"/>
      <c r="F819" s="134"/>
      <c r="G819" s="134"/>
      <c r="H819" s="134"/>
    </row>
    <row r="820" ht="15.75" customHeight="1">
      <c r="A820" s="134"/>
      <c r="B820" s="134"/>
      <c r="C820" s="134"/>
      <c r="D820" s="134"/>
      <c r="E820" s="134"/>
      <c r="F820" s="134"/>
      <c r="G820" s="134"/>
      <c r="H820" s="134"/>
    </row>
    <row r="821" ht="15.75" customHeight="1">
      <c r="A821" s="134"/>
      <c r="B821" s="134"/>
      <c r="C821" s="134"/>
      <c r="D821" s="134"/>
      <c r="E821" s="134"/>
      <c r="F821" s="134"/>
      <c r="G821" s="134"/>
      <c r="H821" s="134"/>
    </row>
    <row r="822" ht="15.75" customHeight="1">
      <c r="A822" s="134"/>
      <c r="B822" s="134"/>
      <c r="C822" s="134"/>
      <c r="D822" s="134"/>
      <c r="E822" s="134"/>
      <c r="F822" s="134"/>
      <c r="G822" s="134"/>
      <c r="H822" s="134"/>
    </row>
    <row r="823" ht="15.75" customHeight="1">
      <c r="A823" s="134"/>
      <c r="B823" s="134"/>
      <c r="C823" s="134"/>
      <c r="D823" s="134"/>
      <c r="E823" s="134"/>
      <c r="F823" s="134"/>
      <c r="G823" s="134"/>
      <c r="H823" s="134"/>
    </row>
    <row r="824" ht="15.75" customHeight="1">
      <c r="A824" s="134"/>
      <c r="B824" s="134"/>
      <c r="C824" s="134"/>
      <c r="D824" s="134"/>
      <c r="E824" s="134"/>
      <c r="F824" s="134"/>
      <c r="G824" s="134"/>
      <c r="H824" s="134"/>
    </row>
    <row r="825" ht="15.75" customHeight="1">
      <c r="A825" s="134"/>
      <c r="B825" s="134"/>
      <c r="C825" s="134"/>
      <c r="D825" s="134"/>
      <c r="E825" s="134"/>
      <c r="F825" s="134"/>
      <c r="G825" s="134"/>
      <c r="H825" s="134"/>
    </row>
    <row r="826" ht="15.75" customHeight="1">
      <c r="A826" s="134"/>
      <c r="B826" s="134"/>
      <c r="C826" s="134"/>
      <c r="D826" s="134"/>
      <c r="E826" s="134"/>
      <c r="F826" s="134"/>
      <c r="G826" s="134"/>
      <c r="H826" s="134"/>
    </row>
    <row r="827" ht="15.75" customHeight="1">
      <c r="A827" s="134"/>
      <c r="B827" s="134"/>
      <c r="C827" s="134"/>
      <c r="D827" s="134"/>
      <c r="E827" s="134"/>
      <c r="F827" s="134"/>
      <c r="G827" s="134"/>
      <c r="H827" s="134"/>
    </row>
    <row r="828" ht="15.75" customHeight="1">
      <c r="A828" s="134"/>
      <c r="B828" s="134"/>
      <c r="C828" s="134"/>
      <c r="D828" s="134"/>
      <c r="E828" s="134"/>
      <c r="F828" s="134"/>
      <c r="G828" s="134"/>
      <c r="H828" s="134"/>
    </row>
    <row r="829" ht="15.75" customHeight="1">
      <c r="A829" s="134"/>
      <c r="B829" s="134"/>
      <c r="C829" s="134"/>
      <c r="D829" s="134"/>
      <c r="E829" s="134"/>
      <c r="F829" s="134"/>
      <c r="G829" s="134"/>
      <c r="H829" s="134"/>
    </row>
    <row r="830" ht="15.75" customHeight="1">
      <c r="A830" s="134"/>
      <c r="B830" s="134"/>
      <c r="C830" s="134"/>
      <c r="D830" s="134"/>
      <c r="E830" s="134"/>
      <c r="F830" s="134"/>
      <c r="G830" s="134"/>
      <c r="H830" s="134"/>
    </row>
    <row r="831" ht="15.75" customHeight="1">
      <c r="A831" s="134"/>
      <c r="B831" s="134"/>
      <c r="C831" s="134"/>
      <c r="D831" s="134"/>
      <c r="E831" s="134"/>
      <c r="F831" s="134"/>
      <c r="G831" s="134"/>
      <c r="H831" s="134"/>
    </row>
    <row r="832" ht="15.75" customHeight="1">
      <c r="A832" s="134"/>
      <c r="B832" s="134"/>
      <c r="C832" s="134"/>
      <c r="D832" s="134"/>
      <c r="E832" s="134"/>
      <c r="F832" s="134"/>
      <c r="G832" s="134"/>
      <c r="H832" s="134"/>
    </row>
    <row r="833" ht="15.75" customHeight="1">
      <c r="A833" s="134"/>
      <c r="B833" s="134"/>
      <c r="C833" s="134"/>
      <c r="D833" s="134"/>
      <c r="E833" s="134"/>
      <c r="F833" s="134"/>
      <c r="G833" s="134"/>
      <c r="H833" s="134"/>
    </row>
    <row r="834" ht="15.75" customHeight="1">
      <c r="A834" s="134"/>
      <c r="B834" s="134"/>
      <c r="C834" s="134"/>
      <c r="D834" s="134"/>
      <c r="E834" s="134"/>
      <c r="F834" s="134"/>
      <c r="G834" s="134"/>
      <c r="H834" s="134"/>
    </row>
    <row r="835" ht="15.75" customHeight="1">
      <c r="A835" s="134"/>
      <c r="B835" s="134"/>
      <c r="C835" s="134"/>
      <c r="D835" s="134"/>
      <c r="E835" s="134"/>
      <c r="F835" s="134"/>
      <c r="G835" s="134"/>
      <c r="H835" s="134"/>
    </row>
    <row r="836" ht="15.75" customHeight="1">
      <c r="A836" s="134"/>
      <c r="B836" s="134"/>
      <c r="C836" s="134"/>
      <c r="D836" s="134"/>
      <c r="E836" s="134"/>
      <c r="F836" s="134"/>
      <c r="G836" s="134"/>
      <c r="H836" s="134"/>
    </row>
    <row r="837" ht="15.75" customHeight="1">
      <c r="A837" s="134"/>
      <c r="B837" s="134"/>
      <c r="C837" s="134"/>
      <c r="D837" s="134"/>
      <c r="E837" s="134"/>
      <c r="F837" s="134"/>
      <c r="G837" s="134"/>
      <c r="H837" s="134"/>
    </row>
    <row r="838" ht="15.75" customHeight="1">
      <c r="A838" s="134"/>
      <c r="B838" s="134"/>
      <c r="C838" s="134"/>
      <c r="D838" s="134"/>
      <c r="E838" s="134"/>
      <c r="F838" s="134"/>
      <c r="G838" s="134"/>
      <c r="H838" s="134"/>
    </row>
    <row r="839" ht="15.75" customHeight="1">
      <c r="A839" s="134"/>
      <c r="B839" s="134"/>
      <c r="C839" s="134"/>
      <c r="D839" s="134"/>
      <c r="E839" s="134"/>
      <c r="F839" s="134"/>
      <c r="G839" s="134"/>
      <c r="H839" s="134"/>
    </row>
    <row r="840" ht="15.75" customHeight="1">
      <c r="A840" s="134"/>
      <c r="B840" s="134"/>
      <c r="C840" s="134"/>
      <c r="D840" s="134"/>
      <c r="E840" s="134"/>
      <c r="F840" s="134"/>
      <c r="G840" s="134"/>
      <c r="H840" s="134"/>
    </row>
    <row r="841" ht="15.75" customHeight="1">
      <c r="A841" s="134"/>
      <c r="B841" s="134"/>
      <c r="C841" s="134"/>
      <c r="D841" s="134"/>
      <c r="E841" s="134"/>
      <c r="F841" s="134"/>
      <c r="G841" s="134"/>
      <c r="H841" s="134"/>
    </row>
    <row r="842" ht="15.75" customHeight="1">
      <c r="A842" s="134"/>
      <c r="B842" s="134"/>
      <c r="C842" s="134"/>
      <c r="D842" s="134"/>
      <c r="E842" s="134"/>
      <c r="F842" s="134"/>
      <c r="G842" s="134"/>
      <c r="H842" s="134"/>
    </row>
    <row r="843" ht="15.75" customHeight="1">
      <c r="A843" s="134"/>
      <c r="B843" s="134"/>
      <c r="C843" s="134"/>
      <c r="D843" s="134"/>
      <c r="E843" s="134"/>
      <c r="F843" s="134"/>
      <c r="G843" s="134"/>
      <c r="H843" s="134"/>
    </row>
    <row r="844" ht="15.75" customHeight="1">
      <c r="A844" s="134"/>
      <c r="B844" s="134"/>
      <c r="C844" s="134"/>
      <c r="D844" s="134"/>
      <c r="E844" s="134"/>
      <c r="F844" s="134"/>
      <c r="G844" s="134"/>
      <c r="H844" s="134"/>
    </row>
    <row r="845" ht="15.75" customHeight="1">
      <c r="A845" s="134"/>
      <c r="B845" s="134"/>
      <c r="C845" s="134"/>
      <c r="D845" s="134"/>
      <c r="E845" s="134"/>
      <c r="F845" s="134"/>
      <c r="G845" s="134"/>
      <c r="H845" s="134"/>
    </row>
    <row r="846" ht="15.75" customHeight="1">
      <c r="A846" s="134"/>
      <c r="B846" s="134"/>
      <c r="C846" s="134"/>
      <c r="D846" s="134"/>
      <c r="E846" s="134"/>
      <c r="F846" s="134"/>
      <c r="G846" s="134"/>
      <c r="H846" s="134"/>
    </row>
    <row r="847" ht="15.75" customHeight="1">
      <c r="A847" s="134"/>
      <c r="B847" s="134"/>
      <c r="C847" s="134"/>
      <c r="D847" s="134"/>
      <c r="E847" s="134"/>
      <c r="F847" s="134"/>
      <c r="G847" s="134"/>
      <c r="H847" s="134"/>
    </row>
    <row r="848" ht="15.75" customHeight="1">
      <c r="A848" s="134"/>
      <c r="B848" s="134"/>
      <c r="C848" s="134"/>
      <c r="D848" s="134"/>
      <c r="E848" s="134"/>
      <c r="F848" s="134"/>
      <c r="G848" s="134"/>
      <c r="H848" s="134"/>
    </row>
    <row r="849" ht="15.75" customHeight="1">
      <c r="A849" s="134"/>
      <c r="B849" s="134"/>
      <c r="C849" s="134"/>
      <c r="D849" s="134"/>
      <c r="E849" s="134"/>
      <c r="F849" s="134"/>
      <c r="G849" s="134"/>
      <c r="H849" s="134"/>
    </row>
    <row r="850" ht="15.75" customHeight="1">
      <c r="A850" s="134"/>
      <c r="B850" s="134"/>
      <c r="C850" s="134"/>
      <c r="D850" s="134"/>
      <c r="E850" s="134"/>
      <c r="F850" s="134"/>
      <c r="G850" s="134"/>
      <c r="H850" s="134"/>
    </row>
    <row r="851" ht="15.75" customHeight="1">
      <c r="A851" s="134"/>
      <c r="B851" s="134"/>
      <c r="C851" s="134"/>
      <c r="D851" s="134"/>
      <c r="E851" s="134"/>
      <c r="F851" s="134"/>
      <c r="G851" s="134"/>
      <c r="H851" s="134"/>
    </row>
    <row r="852" ht="15.75" customHeight="1">
      <c r="A852" s="134"/>
      <c r="B852" s="134"/>
      <c r="C852" s="134"/>
      <c r="D852" s="134"/>
      <c r="E852" s="134"/>
      <c r="F852" s="134"/>
      <c r="G852" s="134"/>
      <c r="H852" s="134"/>
    </row>
    <row r="853" ht="15.75" customHeight="1">
      <c r="A853" s="134"/>
      <c r="B853" s="134"/>
      <c r="C853" s="134"/>
      <c r="D853" s="134"/>
      <c r="E853" s="134"/>
      <c r="F853" s="134"/>
      <c r="G853" s="134"/>
      <c r="H853" s="134"/>
    </row>
    <row r="854" ht="15.75" customHeight="1">
      <c r="A854" s="134"/>
      <c r="B854" s="134"/>
      <c r="C854" s="134"/>
      <c r="D854" s="134"/>
      <c r="E854" s="134"/>
      <c r="F854" s="134"/>
      <c r="G854" s="134"/>
      <c r="H854" s="134"/>
    </row>
    <row r="855" ht="15.75" customHeight="1">
      <c r="A855" s="134"/>
      <c r="B855" s="134"/>
      <c r="C855" s="134"/>
      <c r="D855" s="134"/>
      <c r="E855" s="134"/>
      <c r="F855" s="134"/>
      <c r="G855" s="134"/>
      <c r="H855" s="134"/>
    </row>
    <row r="856" ht="15.75" customHeight="1">
      <c r="A856" s="134"/>
      <c r="B856" s="134"/>
      <c r="C856" s="134"/>
      <c r="D856" s="134"/>
      <c r="E856" s="134"/>
      <c r="F856" s="134"/>
      <c r="G856" s="134"/>
      <c r="H856" s="134"/>
    </row>
    <row r="857" ht="15.75" customHeight="1">
      <c r="A857" s="134"/>
      <c r="B857" s="134"/>
      <c r="C857" s="134"/>
      <c r="D857" s="134"/>
      <c r="E857" s="134"/>
      <c r="F857" s="134"/>
      <c r="G857" s="134"/>
      <c r="H857" s="134"/>
    </row>
    <row r="858" ht="15.75" customHeight="1">
      <c r="A858" s="134"/>
      <c r="B858" s="134"/>
      <c r="C858" s="134"/>
      <c r="D858" s="134"/>
      <c r="E858" s="134"/>
      <c r="F858" s="134"/>
      <c r="G858" s="134"/>
      <c r="H858" s="134"/>
    </row>
    <row r="859" ht="15.75" customHeight="1">
      <c r="A859" s="134"/>
      <c r="B859" s="134"/>
      <c r="C859" s="134"/>
      <c r="D859" s="134"/>
      <c r="E859" s="134"/>
      <c r="F859" s="134"/>
      <c r="G859" s="134"/>
      <c r="H859" s="134"/>
    </row>
    <row r="860" ht="15.75" customHeight="1">
      <c r="A860" s="134"/>
      <c r="B860" s="134"/>
      <c r="C860" s="134"/>
      <c r="D860" s="134"/>
      <c r="E860" s="134"/>
      <c r="F860" s="134"/>
      <c r="G860" s="134"/>
      <c r="H860" s="134"/>
    </row>
    <row r="861" ht="15.75" customHeight="1">
      <c r="A861" s="134"/>
      <c r="B861" s="134"/>
      <c r="C861" s="134"/>
      <c r="D861" s="134"/>
      <c r="E861" s="134"/>
      <c r="F861" s="134"/>
      <c r="G861" s="134"/>
      <c r="H861" s="134"/>
    </row>
    <row r="862" ht="15.75" customHeight="1">
      <c r="A862" s="134"/>
      <c r="B862" s="134"/>
      <c r="C862" s="134"/>
      <c r="D862" s="134"/>
      <c r="E862" s="134"/>
      <c r="F862" s="134"/>
      <c r="G862" s="134"/>
      <c r="H862" s="134"/>
    </row>
    <row r="863" ht="15.75" customHeight="1">
      <c r="A863" s="134"/>
      <c r="B863" s="134"/>
      <c r="C863" s="134"/>
      <c r="D863" s="134"/>
      <c r="E863" s="134"/>
      <c r="F863" s="134"/>
      <c r="G863" s="134"/>
      <c r="H863" s="134"/>
    </row>
    <row r="864" ht="15.75" customHeight="1">
      <c r="A864" s="134"/>
      <c r="B864" s="134"/>
      <c r="C864" s="134"/>
      <c r="D864" s="134"/>
      <c r="E864" s="134"/>
      <c r="F864" s="134"/>
      <c r="G864" s="134"/>
      <c r="H864" s="134"/>
    </row>
    <row r="865" ht="15.75" customHeight="1">
      <c r="A865" s="134"/>
      <c r="B865" s="134"/>
      <c r="C865" s="134"/>
      <c r="D865" s="134"/>
      <c r="E865" s="134"/>
      <c r="F865" s="134"/>
      <c r="G865" s="134"/>
      <c r="H865" s="134"/>
    </row>
    <row r="866" ht="15.75" customHeight="1">
      <c r="A866" s="134"/>
      <c r="B866" s="134"/>
      <c r="C866" s="134"/>
      <c r="D866" s="134"/>
      <c r="E866" s="134"/>
      <c r="F866" s="134"/>
      <c r="G866" s="134"/>
      <c r="H866" s="134"/>
    </row>
    <row r="867" ht="15.75" customHeight="1">
      <c r="A867" s="134"/>
      <c r="B867" s="134"/>
      <c r="C867" s="134"/>
      <c r="D867" s="134"/>
      <c r="E867" s="134"/>
      <c r="F867" s="134"/>
      <c r="G867" s="134"/>
      <c r="H867" s="134"/>
    </row>
    <row r="868" ht="15.75" customHeight="1">
      <c r="A868" s="134"/>
      <c r="B868" s="134"/>
      <c r="C868" s="134"/>
      <c r="D868" s="134"/>
      <c r="E868" s="134"/>
      <c r="F868" s="134"/>
      <c r="G868" s="134"/>
      <c r="H868" s="134"/>
    </row>
    <row r="869" ht="15.75" customHeight="1">
      <c r="A869" s="134"/>
      <c r="B869" s="134"/>
      <c r="C869" s="134"/>
      <c r="D869" s="134"/>
      <c r="E869" s="134"/>
      <c r="F869" s="134"/>
      <c r="G869" s="134"/>
      <c r="H869" s="134"/>
    </row>
    <row r="870" ht="15.75" customHeight="1">
      <c r="A870" s="134"/>
      <c r="B870" s="134"/>
      <c r="C870" s="134"/>
      <c r="D870" s="134"/>
      <c r="E870" s="134"/>
      <c r="F870" s="134"/>
      <c r="G870" s="134"/>
      <c r="H870" s="134"/>
    </row>
    <row r="871" ht="15.75" customHeight="1">
      <c r="A871" s="134"/>
      <c r="B871" s="134"/>
      <c r="C871" s="134"/>
      <c r="D871" s="134"/>
      <c r="E871" s="134"/>
      <c r="F871" s="134"/>
      <c r="G871" s="134"/>
      <c r="H871" s="134"/>
    </row>
    <row r="872" ht="15.75" customHeight="1">
      <c r="A872" s="134"/>
      <c r="B872" s="134"/>
      <c r="C872" s="134"/>
      <c r="D872" s="134"/>
      <c r="E872" s="134"/>
      <c r="F872" s="134"/>
      <c r="G872" s="134"/>
      <c r="H872" s="134"/>
    </row>
    <row r="873" ht="15.75" customHeight="1">
      <c r="A873" s="134"/>
      <c r="B873" s="134"/>
      <c r="C873" s="134"/>
      <c r="D873" s="134"/>
      <c r="E873" s="134"/>
      <c r="F873" s="134"/>
      <c r="G873" s="134"/>
      <c r="H873" s="134"/>
    </row>
    <row r="874" ht="15.75" customHeight="1">
      <c r="A874" s="134"/>
      <c r="B874" s="134"/>
      <c r="C874" s="134"/>
      <c r="D874" s="134"/>
      <c r="E874" s="134"/>
      <c r="F874" s="134"/>
      <c r="G874" s="134"/>
      <c r="H874" s="134"/>
    </row>
    <row r="875" ht="15.75" customHeight="1">
      <c r="A875" s="134"/>
      <c r="B875" s="134"/>
      <c r="C875" s="134"/>
      <c r="D875" s="134"/>
      <c r="E875" s="134"/>
      <c r="F875" s="134"/>
      <c r="G875" s="134"/>
      <c r="H875" s="134"/>
    </row>
    <row r="876" ht="15.75" customHeight="1">
      <c r="A876" s="134"/>
      <c r="B876" s="134"/>
      <c r="C876" s="134"/>
      <c r="D876" s="134"/>
      <c r="E876" s="134"/>
      <c r="F876" s="134"/>
      <c r="G876" s="134"/>
      <c r="H876" s="134"/>
    </row>
    <row r="877" ht="15.75" customHeight="1">
      <c r="A877" s="134"/>
      <c r="B877" s="134"/>
      <c r="C877" s="134"/>
      <c r="D877" s="134"/>
      <c r="E877" s="134"/>
      <c r="F877" s="134"/>
      <c r="G877" s="134"/>
      <c r="H877" s="134"/>
    </row>
    <row r="878" ht="15.75" customHeight="1">
      <c r="A878" s="134"/>
      <c r="B878" s="134"/>
      <c r="C878" s="134"/>
      <c r="D878" s="134"/>
      <c r="E878" s="134"/>
      <c r="F878" s="134"/>
      <c r="G878" s="134"/>
      <c r="H878" s="134"/>
    </row>
    <row r="879" ht="15.75" customHeight="1">
      <c r="A879" s="134"/>
      <c r="B879" s="134"/>
      <c r="C879" s="134"/>
      <c r="D879" s="134"/>
      <c r="E879" s="134"/>
      <c r="F879" s="134"/>
      <c r="G879" s="134"/>
      <c r="H879" s="134"/>
    </row>
    <row r="880" ht="15.75" customHeight="1">
      <c r="A880" s="134"/>
      <c r="B880" s="134"/>
      <c r="C880" s="134"/>
      <c r="D880" s="134"/>
      <c r="E880" s="134"/>
      <c r="F880" s="134"/>
      <c r="G880" s="134"/>
      <c r="H880" s="134"/>
    </row>
    <row r="881" ht="15.75" customHeight="1">
      <c r="A881" s="134"/>
      <c r="B881" s="134"/>
      <c r="C881" s="134"/>
      <c r="D881" s="134"/>
      <c r="E881" s="134"/>
      <c r="F881" s="134"/>
      <c r="G881" s="134"/>
      <c r="H881" s="134"/>
    </row>
    <row r="882" ht="15.75" customHeight="1">
      <c r="A882" s="134"/>
      <c r="B882" s="134"/>
      <c r="C882" s="134"/>
      <c r="D882" s="134"/>
      <c r="E882" s="134"/>
      <c r="F882" s="134"/>
      <c r="G882" s="134"/>
      <c r="H882" s="134"/>
    </row>
    <row r="883" ht="15.75" customHeight="1">
      <c r="A883" s="134"/>
      <c r="B883" s="134"/>
      <c r="C883" s="134"/>
      <c r="D883" s="134"/>
      <c r="E883" s="134"/>
      <c r="F883" s="134"/>
      <c r="G883" s="134"/>
      <c r="H883" s="134"/>
    </row>
    <row r="884" ht="15.75" customHeight="1">
      <c r="A884" s="134"/>
      <c r="B884" s="134"/>
      <c r="C884" s="134"/>
      <c r="D884" s="134"/>
      <c r="E884" s="134"/>
      <c r="F884" s="134"/>
      <c r="G884" s="134"/>
      <c r="H884" s="134"/>
    </row>
    <row r="885" ht="15.75" customHeight="1">
      <c r="A885" s="134"/>
      <c r="B885" s="134"/>
      <c r="C885" s="134"/>
      <c r="D885" s="134"/>
      <c r="E885" s="134"/>
      <c r="F885" s="134"/>
      <c r="G885" s="134"/>
      <c r="H885" s="134"/>
    </row>
    <row r="886" ht="15.75" customHeight="1">
      <c r="A886" s="134"/>
      <c r="B886" s="134"/>
      <c r="C886" s="134"/>
      <c r="D886" s="134"/>
      <c r="E886" s="134"/>
      <c r="F886" s="134"/>
      <c r="G886" s="134"/>
      <c r="H886" s="134"/>
    </row>
    <row r="887" ht="15.75" customHeight="1">
      <c r="A887" s="134"/>
      <c r="B887" s="134"/>
      <c r="C887" s="134"/>
      <c r="D887" s="134"/>
      <c r="E887" s="134"/>
      <c r="F887" s="134"/>
      <c r="G887" s="134"/>
      <c r="H887" s="134"/>
    </row>
    <row r="888" ht="15.75" customHeight="1">
      <c r="A888" s="134"/>
      <c r="B888" s="134"/>
      <c r="C888" s="134"/>
      <c r="D888" s="134"/>
      <c r="E888" s="134"/>
      <c r="F888" s="134"/>
      <c r="G888" s="134"/>
      <c r="H888" s="134"/>
    </row>
    <row r="889" ht="15.75" customHeight="1">
      <c r="A889" s="134"/>
      <c r="B889" s="134"/>
      <c r="C889" s="134"/>
      <c r="D889" s="134"/>
      <c r="E889" s="134"/>
      <c r="F889" s="134"/>
      <c r="G889" s="134"/>
      <c r="H889" s="134"/>
    </row>
    <row r="890" ht="15.75" customHeight="1">
      <c r="A890" s="134"/>
      <c r="B890" s="134"/>
      <c r="C890" s="134"/>
      <c r="D890" s="134"/>
      <c r="E890" s="134"/>
      <c r="F890" s="134"/>
      <c r="G890" s="134"/>
      <c r="H890" s="134"/>
    </row>
    <row r="891" ht="15.75" customHeight="1">
      <c r="A891" s="134"/>
      <c r="B891" s="134"/>
      <c r="C891" s="134"/>
      <c r="D891" s="134"/>
      <c r="E891" s="134"/>
      <c r="F891" s="134"/>
      <c r="G891" s="134"/>
      <c r="H891" s="134"/>
    </row>
    <row r="892" ht="15.75" customHeight="1">
      <c r="A892" s="134"/>
      <c r="B892" s="134"/>
      <c r="C892" s="134"/>
      <c r="D892" s="134"/>
      <c r="E892" s="134"/>
      <c r="F892" s="134"/>
      <c r="G892" s="134"/>
      <c r="H892" s="134"/>
    </row>
    <row r="893" ht="15.75" customHeight="1">
      <c r="A893" s="134"/>
      <c r="B893" s="134"/>
      <c r="C893" s="134"/>
      <c r="D893" s="134"/>
      <c r="E893" s="134"/>
      <c r="F893" s="134"/>
      <c r="G893" s="134"/>
      <c r="H893" s="134"/>
    </row>
    <row r="894" ht="15.75" customHeight="1">
      <c r="A894" s="134"/>
      <c r="B894" s="134"/>
      <c r="C894" s="134"/>
      <c r="D894" s="134"/>
      <c r="E894" s="134"/>
      <c r="F894" s="134"/>
      <c r="G894" s="134"/>
      <c r="H894" s="134"/>
    </row>
    <row r="895" ht="15.75" customHeight="1">
      <c r="A895" s="134"/>
      <c r="B895" s="134"/>
      <c r="C895" s="134"/>
      <c r="D895" s="134"/>
      <c r="E895" s="134"/>
      <c r="F895" s="134"/>
      <c r="G895" s="134"/>
      <c r="H895" s="134"/>
    </row>
    <row r="896" ht="15.75" customHeight="1">
      <c r="A896" s="134"/>
      <c r="B896" s="134"/>
      <c r="C896" s="134"/>
      <c r="D896" s="134"/>
      <c r="E896" s="134"/>
      <c r="F896" s="134"/>
      <c r="G896" s="134"/>
      <c r="H896" s="134"/>
    </row>
    <row r="897" ht="15.75" customHeight="1">
      <c r="A897" s="134"/>
      <c r="B897" s="134"/>
      <c r="C897" s="134"/>
      <c r="D897" s="134"/>
      <c r="E897" s="134"/>
      <c r="F897" s="134"/>
      <c r="G897" s="134"/>
      <c r="H897" s="134"/>
    </row>
    <row r="898" ht="15.75" customHeight="1">
      <c r="A898" s="134"/>
      <c r="B898" s="134"/>
      <c r="C898" s="134"/>
      <c r="D898" s="134"/>
      <c r="E898" s="134"/>
      <c r="F898" s="134"/>
      <c r="G898" s="134"/>
      <c r="H898" s="134"/>
    </row>
    <row r="899" ht="15.75" customHeight="1">
      <c r="A899" s="134"/>
      <c r="B899" s="134"/>
      <c r="C899" s="134"/>
      <c r="D899" s="134"/>
      <c r="E899" s="134"/>
      <c r="F899" s="134"/>
      <c r="G899" s="134"/>
      <c r="H899" s="134"/>
    </row>
    <row r="900" ht="15.75" customHeight="1">
      <c r="A900" s="134"/>
      <c r="B900" s="134"/>
      <c r="C900" s="134"/>
      <c r="D900" s="134"/>
      <c r="E900" s="134"/>
      <c r="F900" s="134"/>
      <c r="G900" s="134"/>
      <c r="H900" s="134"/>
    </row>
    <row r="901" ht="15.75" customHeight="1">
      <c r="A901" s="134"/>
      <c r="B901" s="134"/>
      <c r="C901" s="134"/>
      <c r="D901" s="134"/>
      <c r="E901" s="134"/>
      <c r="F901" s="134"/>
      <c r="G901" s="134"/>
      <c r="H901" s="134"/>
    </row>
    <row r="902" ht="15.75" customHeight="1">
      <c r="A902" s="134"/>
      <c r="B902" s="134"/>
      <c r="C902" s="134"/>
      <c r="D902" s="134"/>
      <c r="E902" s="134"/>
      <c r="F902" s="134"/>
      <c r="G902" s="134"/>
      <c r="H902" s="134"/>
    </row>
    <row r="903" ht="15.75" customHeight="1">
      <c r="A903" s="134"/>
      <c r="B903" s="134"/>
      <c r="C903" s="134"/>
      <c r="D903" s="134"/>
      <c r="E903" s="134"/>
      <c r="F903" s="134"/>
      <c r="G903" s="134"/>
      <c r="H903" s="134"/>
    </row>
    <row r="904" ht="15.75" customHeight="1">
      <c r="A904" s="134"/>
      <c r="B904" s="134"/>
      <c r="C904" s="134"/>
      <c r="D904" s="134"/>
      <c r="E904" s="134"/>
      <c r="F904" s="134"/>
      <c r="G904" s="134"/>
      <c r="H904" s="134"/>
    </row>
    <row r="905" ht="15.75" customHeight="1">
      <c r="A905" s="134"/>
      <c r="B905" s="134"/>
      <c r="C905" s="134"/>
      <c r="D905" s="134"/>
      <c r="E905" s="134"/>
      <c r="F905" s="134"/>
      <c r="G905" s="134"/>
      <c r="H905" s="134"/>
    </row>
    <row r="906" ht="15.75" customHeight="1">
      <c r="A906" s="134"/>
      <c r="B906" s="134"/>
      <c r="C906" s="134"/>
      <c r="D906" s="134"/>
      <c r="E906" s="134"/>
      <c r="F906" s="134"/>
      <c r="G906" s="134"/>
      <c r="H906" s="134"/>
    </row>
    <row r="907" ht="15.75" customHeight="1">
      <c r="A907" s="134"/>
      <c r="B907" s="134"/>
      <c r="C907" s="134"/>
      <c r="D907" s="134"/>
      <c r="E907" s="134"/>
      <c r="F907" s="134"/>
      <c r="G907" s="134"/>
      <c r="H907" s="134"/>
    </row>
    <row r="908" ht="15.75" customHeight="1">
      <c r="A908" s="134"/>
      <c r="B908" s="134"/>
      <c r="C908" s="134"/>
      <c r="D908" s="134"/>
      <c r="E908" s="134"/>
      <c r="F908" s="134"/>
      <c r="G908" s="134"/>
      <c r="H908" s="134"/>
    </row>
    <row r="909" ht="15.75" customHeight="1">
      <c r="A909" s="134"/>
      <c r="B909" s="134"/>
      <c r="C909" s="134"/>
      <c r="D909" s="134"/>
      <c r="E909" s="134"/>
      <c r="F909" s="134"/>
      <c r="G909" s="134"/>
      <c r="H909" s="134"/>
    </row>
    <row r="910" ht="15.75" customHeight="1">
      <c r="A910" s="134"/>
      <c r="B910" s="134"/>
      <c r="C910" s="134"/>
      <c r="D910" s="134"/>
      <c r="E910" s="134"/>
      <c r="F910" s="134"/>
      <c r="G910" s="134"/>
      <c r="H910" s="134"/>
    </row>
    <row r="911" ht="15.75" customHeight="1">
      <c r="A911" s="134"/>
      <c r="B911" s="134"/>
      <c r="C911" s="134"/>
      <c r="D911" s="134"/>
      <c r="E911" s="134"/>
      <c r="F911" s="134"/>
      <c r="G911" s="134"/>
      <c r="H911" s="134"/>
    </row>
    <row r="912" ht="15.75" customHeight="1">
      <c r="A912" s="134"/>
      <c r="B912" s="134"/>
      <c r="C912" s="134"/>
      <c r="D912" s="134"/>
      <c r="E912" s="134"/>
      <c r="F912" s="134"/>
      <c r="G912" s="134"/>
      <c r="H912" s="134"/>
    </row>
    <row r="913" ht="15.75" customHeight="1">
      <c r="A913" s="134"/>
      <c r="B913" s="134"/>
      <c r="C913" s="134"/>
      <c r="D913" s="134"/>
      <c r="E913" s="134"/>
      <c r="F913" s="134"/>
      <c r="G913" s="134"/>
      <c r="H913" s="134"/>
    </row>
    <row r="914" ht="15.75" customHeight="1">
      <c r="A914" s="134"/>
      <c r="B914" s="134"/>
      <c r="C914" s="134"/>
      <c r="D914" s="134"/>
      <c r="E914" s="134"/>
      <c r="F914" s="134"/>
      <c r="G914" s="134"/>
      <c r="H914" s="134"/>
    </row>
    <row r="915" ht="15.75" customHeight="1">
      <c r="A915" s="134"/>
      <c r="B915" s="134"/>
      <c r="C915" s="134"/>
      <c r="D915" s="134"/>
      <c r="E915" s="134"/>
      <c r="F915" s="134"/>
      <c r="G915" s="134"/>
      <c r="H915" s="134"/>
    </row>
    <row r="916" ht="15.75" customHeight="1">
      <c r="A916" s="134"/>
      <c r="B916" s="134"/>
      <c r="C916" s="134"/>
      <c r="D916" s="134"/>
      <c r="E916" s="134"/>
      <c r="F916" s="134"/>
      <c r="G916" s="134"/>
      <c r="H916" s="134"/>
    </row>
    <row r="917" ht="15.75" customHeight="1">
      <c r="A917" s="134"/>
      <c r="B917" s="134"/>
      <c r="C917" s="134"/>
      <c r="D917" s="134"/>
      <c r="E917" s="134"/>
      <c r="F917" s="134"/>
      <c r="G917" s="134"/>
      <c r="H917" s="134"/>
    </row>
    <row r="918" ht="15.75" customHeight="1">
      <c r="A918" s="134"/>
      <c r="B918" s="134"/>
      <c r="C918" s="134"/>
      <c r="D918" s="134"/>
      <c r="E918" s="134"/>
      <c r="F918" s="134"/>
      <c r="G918" s="134"/>
      <c r="H918" s="134"/>
    </row>
    <row r="919" ht="15.75" customHeight="1">
      <c r="A919" s="134"/>
      <c r="B919" s="134"/>
      <c r="C919" s="134"/>
      <c r="D919" s="134"/>
      <c r="E919" s="134"/>
      <c r="F919" s="134"/>
      <c r="G919" s="134"/>
      <c r="H919" s="134"/>
    </row>
    <row r="920" ht="15.75" customHeight="1">
      <c r="A920" s="134"/>
      <c r="B920" s="134"/>
      <c r="C920" s="134"/>
      <c r="D920" s="134"/>
      <c r="E920" s="134"/>
      <c r="F920" s="134"/>
      <c r="G920" s="134"/>
      <c r="H920" s="134"/>
    </row>
    <row r="921" ht="15.75" customHeight="1">
      <c r="A921" s="134"/>
      <c r="B921" s="134"/>
      <c r="C921" s="134"/>
      <c r="D921" s="134"/>
      <c r="E921" s="134"/>
      <c r="F921" s="134"/>
      <c r="G921" s="134"/>
      <c r="H921" s="134"/>
    </row>
    <row r="922" ht="15.75" customHeight="1">
      <c r="A922" s="134"/>
      <c r="B922" s="134"/>
      <c r="C922" s="134"/>
      <c r="D922" s="134"/>
      <c r="E922" s="134"/>
      <c r="F922" s="134"/>
      <c r="G922" s="134"/>
      <c r="H922" s="134"/>
    </row>
    <row r="923" ht="15.75" customHeight="1">
      <c r="A923" s="134"/>
      <c r="B923" s="134"/>
      <c r="C923" s="134"/>
      <c r="D923" s="134"/>
      <c r="E923" s="134"/>
      <c r="F923" s="134"/>
      <c r="G923" s="134"/>
      <c r="H923" s="134"/>
    </row>
    <row r="924" ht="15.75" customHeight="1">
      <c r="A924" s="134"/>
      <c r="B924" s="134"/>
      <c r="C924" s="134"/>
      <c r="D924" s="134"/>
      <c r="E924" s="134"/>
      <c r="F924" s="134"/>
      <c r="G924" s="134"/>
      <c r="H924" s="134"/>
    </row>
    <row r="925" ht="15.75" customHeight="1">
      <c r="A925" s="134"/>
      <c r="B925" s="134"/>
      <c r="C925" s="134"/>
      <c r="D925" s="134"/>
      <c r="E925" s="134"/>
      <c r="F925" s="134"/>
      <c r="G925" s="134"/>
      <c r="H925" s="134"/>
    </row>
    <row r="926" ht="15.75" customHeight="1">
      <c r="A926" s="134"/>
      <c r="B926" s="134"/>
      <c r="C926" s="134"/>
      <c r="D926" s="134"/>
      <c r="E926" s="134"/>
      <c r="F926" s="134"/>
      <c r="G926" s="134"/>
      <c r="H926" s="134"/>
    </row>
    <row r="927" ht="15.75" customHeight="1">
      <c r="A927" s="134"/>
      <c r="B927" s="134"/>
      <c r="C927" s="134"/>
      <c r="D927" s="134"/>
      <c r="E927" s="134"/>
      <c r="F927" s="134"/>
      <c r="G927" s="134"/>
      <c r="H927" s="134"/>
    </row>
    <row r="928" ht="15.75" customHeight="1">
      <c r="A928" s="134"/>
      <c r="B928" s="134"/>
      <c r="C928" s="134"/>
      <c r="D928" s="134"/>
      <c r="E928" s="134"/>
      <c r="F928" s="134"/>
      <c r="G928" s="134"/>
      <c r="H928" s="134"/>
    </row>
    <row r="929" ht="15.75" customHeight="1">
      <c r="A929" s="134"/>
      <c r="B929" s="134"/>
      <c r="C929" s="134"/>
      <c r="D929" s="134"/>
      <c r="E929" s="134"/>
      <c r="F929" s="134"/>
      <c r="G929" s="134"/>
      <c r="H929" s="134"/>
    </row>
    <row r="930" ht="15.75" customHeight="1">
      <c r="A930" s="134"/>
      <c r="B930" s="134"/>
      <c r="C930" s="134"/>
      <c r="D930" s="134"/>
      <c r="E930" s="134"/>
      <c r="F930" s="134"/>
      <c r="G930" s="134"/>
      <c r="H930" s="134"/>
    </row>
    <row r="931" ht="15.75" customHeight="1">
      <c r="A931" s="134"/>
      <c r="B931" s="134"/>
      <c r="C931" s="134"/>
      <c r="D931" s="134"/>
      <c r="E931" s="134"/>
      <c r="F931" s="134"/>
      <c r="G931" s="134"/>
      <c r="H931" s="134"/>
    </row>
    <row r="932" ht="15.75" customHeight="1">
      <c r="A932" s="134"/>
      <c r="B932" s="134"/>
      <c r="C932" s="134"/>
      <c r="D932" s="134"/>
      <c r="E932" s="134"/>
      <c r="F932" s="134"/>
      <c r="G932" s="134"/>
      <c r="H932" s="134"/>
    </row>
    <row r="933" ht="15.75" customHeight="1">
      <c r="A933" s="134"/>
      <c r="B933" s="134"/>
      <c r="C933" s="134"/>
      <c r="D933" s="134"/>
      <c r="E933" s="134"/>
      <c r="F933" s="134"/>
      <c r="G933" s="134"/>
      <c r="H933" s="134"/>
    </row>
    <row r="934" ht="15.75" customHeight="1">
      <c r="A934" s="134"/>
      <c r="B934" s="134"/>
      <c r="C934" s="134"/>
      <c r="D934" s="134"/>
      <c r="E934" s="134"/>
      <c r="F934" s="134"/>
      <c r="G934" s="134"/>
      <c r="H934" s="134"/>
    </row>
    <row r="935" ht="15.75" customHeight="1">
      <c r="A935" s="134"/>
      <c r="B935" s="134"/>
      <c r="C935" s="134"/>
      <c r="D935" s="134"/>
      <c r="E935" s="134"/>
      <c r="F935" s="134"/>
      <c r="G935" s="134"/>
      <c r="H935" s="134"/>
    </row>
    <row r="936" ht="15.75" customHeight="1">
      <c r="A936" s="134"/>
      <c r="B936" s="134"/>
      <c r="C936" s="134"/>
      <c r="D936" s="134"/>
      <c r="E936" s="134"/>
      <c r="F936" s="134"/>
      <c r="G936" s="134"/>
      <c r="H936" s="134"/>
    </row>
    <row r="937" ht="15.75" customHeight="1">
      <c r="A937" s="134"/>
      <c r="B937" s="134"/>
      <c r="C937" s="134"/>
      <c r="D937" s="134"/>
      <c r="E937" s="134"/>
      <c r="F937" s="134"/>
      <c r="G937" s="134"/>
      <c r="H937" s="134"/>
    </row>
    <row r="938" ht="15.75" customHeight="1">
      <c r="A938" s="134"/>
      <c r="B938" s="134"/>
      <c r="C938" s="134"/>
      <c r="D938" s="134"/>
      <c r="E938" s="134"/>
      <c r="F938" s="134"/>
      <c r="G938" s="134"/>
      <c r="H938" s="134"/>
    </row>
    <row r="939" ht="15.75" customHeight="1">
      <c r="A939" s="134"/>
      <c r="B939" s="134"/>
      <c r="C939" s="134"/>
      <c r="D939" s="134"/>
      <c r="E939" s="134"/>
      <c r="F939" s="134"/>
      <c r="G939" s="134"/>
      <c r="H939" s="134"/>
    </row>
    <row r="940" ht="15.75" customHeight="1">
      <c r="A940" s="134"/>
      <c r="B940" s="134"/>
      <c r="C940" s="134"/>
      <c r="D940" s="134"/>
      <c r="E940" s="134"/>
      <c r="F940" s="134"/>
      <c r="G940" s="134"/>
      <c r="H940" s="134"/>
    </row>
    <row r="941" ht="15.75" customHeight="1">
      <c r="A941" s="134"/>
      <c r="B941" s="134"/>
      <c r="C941" s="134"/>
      <c r="D941" s="134"/>
      <c r="E941" s="134"/>
      <c r="F941" s="134"/>
      <c r="G941" s="134"/>
      <c r="H941" s="134"/>
    </row>
    <row r="942" ht="15.75" customHeight="1">
      <c r="A942" s="134"/>
      <c r="B942" s="134"/>
      <c r="C942" s="134"/>
      <c r="D942" s="134"/>
      <c r="E942" s="134"/>
      <c r="F942" s="134"/>
      <c r="G942" s="134"/>
      <c r="H942" s="134"/>
    </row>
    <row r="943" ht="15.75" customHeight="1">
      <c r="A943" s="134"/>
      <c r="B943" s="134"/>
      <c r="C943" s="134"/>
      <c r="D943" s="134"/>
      <c r="E943" s="134"/>
      <c r="F943" s="134"/>
      <c r="G943" s="134"/>
      <c r="H943" s="134"/>
    </row>
    <row r="944" ht="15.75" customHeight="1">
      <c r="A944" s="134"/>
      <c r="B944" s="134"/>
      <c r="C944" s="134"/>
      <c r="D944" s="134"/>
      <c r="E944" s="134"/>
      <c r="F944" s="134"/>
      <c r="G944" s="134"/>
      <c r="H944" s="134"/>
    </row>
    <row r="945" ht="15.75" customHeight="1">
      <c r="A945" s="134"/>
      <c r="B945" s="134"/>
      <c r="C945" s="134"/>
      <c r="D945" s="134"/>
      <c r="E945" s="134"/>
      <c r="F945" s="134"/>
      <c r="G945" s="134"/>
      <c r="H945" s="134"/>
    </row>
    <row r="946" ht="15.75" customHeight="1">
      <c r="A946" s="134"/>
      <c r="B946" s="134"/>
      <c r="C946" s="134"/>
      <c r="D946" s="134"/>
      <c r="E946" s="134"/>
      <c r="F946" s="134"/>
      <c r="G946" s="134"/>
      <c r="H946" s="134"/>
    </row>
    <row r="947" ht="15.75" customHeight="1">
      <c r="A947" s="134"/>
      <c r="B947" s="134"/>
      <c r="C947" s="134"/>
      <c r="D947" s="134"/>
      <c r="E947" s="134"/>
      <c r="F947" s="134"/>
      <c r="G947" s="134"/>
      <c r="H947" s="134"/>
    </row>
    <row r="948" ht="15.75" customHeight="1">
      <c r="A948" s="134"/>
      <c r="B948" s="134"/>
      <c r="C948" s="134"/>
      <c r="D948" s="134"/>
      <c r="E948" s="134"/>
      <c r="F948" s="134"/>
      <c r="G948" s="134"/>
      <c r="H948" s="134"/>
    </row>
    <row r="949" ht="15.75" customHeight="1">
      <c r="A949" s="134"/>
      <c r="B949" s="134"/>
      <c r="C949" s="134"/>
      <c r="D949" s="134"/>
      <c r="E949" s="134"/>
      <c r="F949" s="134"/>
      <c r="G949" s="134"/>
      <c r="H949" s="134"/>
    </row>
    <row r="950" ht="15.75" customHeight="1">
      <c r="A950" s="134"/>
      <c r="B950" s="134"/>
      <c r="C950" s="134"/>
      <c r="D950" s="134"/>
      <c r="E950" s="134"/>
      <c r="F950" s="134"/>
      <c r="G950" s="134"/>
      <c r="H950" s="134"/>
    </row>
    <row r="951" ht="15.75" customHeight="1">
      <c r="A951" s="134"/>
      <c r="B951" s="134"/>
      <c r="C951" s="134"/>
      <c r="D951" s="134"/>
      <c r="E951" s="134"/>
      <c r="F951" s="134"/>
      <c r="G951" s="134"/>
      <c r="H951" s="134"/>
    </row>
    <row r="952" ht="15.75" customHeight="1">
      <c r="A952" s="134"/>
      <c r="B952" s="134"/>
      <c r="C952" s="134"/>
      <c r="D952" s="134"/>
      <c r="E952" s="134"/>
      <c r="F952" s="134"/>
      <c r="G952" s="134"/>
      <c r="H952" s="134"/>
    </row>
    <row r="953" ht="15.75" customHeight="1">
      <c r="A953" s="134"/>
      <c r="B953" s="134"/>
      <c r="C953" s="134"/>
      <c r="D953" s="134"/>
      <c r="E953" s="134"/>
      <c r="F953" s="134"/>
      <c r="G953" s="134"/>
      <c r="H953" s="134"/>
    </row>
    <row r="954" ht="15.75" customHeight="1">
      <c r="A954" s="134"/>
      <c r="B954" s="134"/>
      <c r="C954" s="134"/>
      <c r="D954" s="134"/>
      <c r="E954" s="134"/>
      <c r="F954" s="134"/>
      <c r="G954" s="134"/>
      <c r="H954" s="134"/>
    </row>
    <row r="955" ht="15.75" customHeight="1">
      <c r="A955" s="134"/>
      <c r="B955" s="134"/>
      <c r="C955" s="134"/>
      <c r="D955" s="134"/>
      <c r="E955" s="134"/>
      <c r="F955" s="134"/>
      <c r="G955" s="134"/>
      <c r="H955" s="134"/>
    </row>
    <row r="956" ht="15.75" customHeight="1">
      <c r="A956" s="134"/>
      <c r="B956" s="134"/>
      <c r="C956" s="134"/>
      <c r="D956" s="134"/>
      <c r="E956" s="134"/>
      <c r="F956" s="134"/>
      <c r="G956" s="134"/>
      <c r="H956" s="134"/>
    </row>
    <row r="957" ht="15.75" customHeight="1">
      <c r="A957" s="134"/>
      <c r="B957" s="134"/>
      <c r="C957" s="134"/>
      <c r="D957" s="134"/>
      <c r="E957" s="134"/>
      <c r="F957" s="134"/>
      <c r="G957" s="134"/>
      <c r="H957" s="134"/>
    </row>
    <row r="958" ht="15.75" customHeight="1">
      <c r="A958" s="134"/>
      <c r="B958" s="134"/>
      <c r="C958" s="134"/>
      <c r="D958" s="134"/>
      <c r="E958" s="134"/>
      <c r="F958" s="134"/>
      <c r="G958" s="134"/>
      <c r="H958" s="134"/>
    </row>
    <row r="959" ht="15.75" customHeight="1">
      <c r="A959" s="134"/>
      <c r="B959" s="134"/>
      <c r="C959" s="134"/>
      <c r="D959" s="134"/>
      <c r="E959" s="134"/>
      <c r="F959" s="134"/>
      <c r="G959" s="134"/>
      <c r="H959" s="134"/>
    </row>
    <row r="960" ht="15.75" customHeight="1">
      <c r="A960" s="134"/>
      <c r="B960" s="134"/>
      <c r="C960" s="134"/>
      <c r="D960" s="134"/>
      <c r="E960" s="134"/>
      <c r="F960" s="134"/>
      <c r="G960" s="134"/>
      <c r="H960" s="134"/>
    </row>
    <row r="961" ht="15.75" customHeight="1">
      <c r="A961" s="134"/>
      <c r="B961" s="134"/>
      <c r="C961" s="134"/>
      <c r="D961" s="134"/>
      <c r="E961" s="134"/>
      <c r="F961" s="134"/>
      <c r="G961" s="134"/>
      <c r="H961" s="134"/>
    </row>
    <row r="962" ht="15.75" customHeight="1">
      <c r="A962" s="134"/>
      <c r="B962" s="134"/>
      <c r="C962" s="134"/>
      <c r="D962" s="134"/>
      <c r="E962" s="134"/>
      <c r="F962" s="134"/>
      <c r="G962" s="134"/>
      <c r="H962" s="134"/>
    </row>
    <row r="963" ht="15.75" customHeight="1">
      <c r="A963" s="134"/>
      <c r="B963" s="134"/>
      <c r="C963" s="134"/>
      <c r="D963" s="134"/>
      <c r="E963" s="134"/>
      <c r="F963" s="134"/>
      <c r="G963" s="134"/>
      <c r="H963" s="134"/>
    </row>
    <row r="964" ht="15.75" customHeight="1">
      <c r="A964" s="134"/>
      <c r="B964" s="134"/>
      <c r="C964" s="134"/>
      <c r="D964" s="134"/>
      <c r="E964" s="134"/>
      <c r="F964" s="134"/>
      <c r="G964" s="134"/>
      <c r="H964" s="134"/>
    </row>
    <row r="965" ht="15.75" customHeight="1">
      <c r="A965" s="134"/>
      <c r="B965" s="134"/>
      <c r="C965" s="134"/>
      <c r="D965" s="134"/>
      <c r="E965" s="134"/>
      <c r="F965" s="134"/>
      <c r="G965" s="134"/>
      <c r="H965" s="134"/>
    </row>
    <row r="966" ht="15.75" customHeight="1">
      <c r="A966" s="134"/>
      <c r="B966" s="134"/>
      <c r="C966" s="134"/>
      <c r="D966" s="134"/>
      <c r="E966" s="134"/>
      <c r="F966" s="134"/>
      <c r="G966" s="134"/>
      <c r="H966" s="134"/>
    </row>
    <row r="967" ht="15.75" customHeight="1">
      <c r="A967" s="134"/>
      <c r="B967" s="134"/>
      <c r="C967" s="134"/>
      <c r="D967" s="134"/>
      <c r="E967" s="134"/>
      <c r="F967" s="134"/>
      <c r="G967" s="134"/>
      <c r="H967" s="134"/>
    </row>
    <row r="968" ht="15.75" customHeight="1">
      <c r="A968" s="134"/>
      <c r="B968" s="134"/>
      <c r="C968" s="134"/>
      <c r="D968" s="134"/>
      <c r="E968" s="134"/>
      <c r="F968" s="134"/>
      <c r="G968" s="134"/>
      <c r="H968" s="134"/>
    </row>
    <row r="969" ht="15.75" customHeight="1">
      <c r="A969" s="134"/>
      <c r="B969" s="134"/>
      <c r="C969" s="134"/>
      <c r="D969" s="134"/>
      <c r="E969" s="134"/>
      <c r="F969" s="134"/>
      <c r="G969" s="134"/>
      <c r="H969" s="134"/>
    </row>
    <row r="970" ht="15.75" customHeight="1">
      <c r="A970" s="134"/>
      <c r="B970" s="134"/>
      <c r="C970" s="134"/>
      <c r="D970" s="134"/>
      <c r="E970" s="134"/>
      <c r="F970" s="134"/>
      <c r="G970" s="134"/>
      <c r="H970" s="134"/>
    </row>
    <row r="971" ht="15.75" customHeight="1">
      <c r="A971" s="134"/>
      <c r="B971" s="134"/>
      <c r="C971" s="134"/>
      <c r="D971" s="134"/>
      <c r="E971" s="134"/>
      <c r="F971" s="134"/>
      <c r="G971" s="134"/>
      <c r="H971" s="134"/>
    </row>
    <row r="972" ht="15.75" customHeight="1">
      <c r="A972" s="134"/>
      <c r="B972" s="134"/>
      <c r="C972" s="134"/>
      <c r="D972" s="134"/>
      <c r="E972" s="134"/>
      <c r="F972" s="134"/>
      <c r="G972" s="134"/>
      <c r="H972" s="134"/>
    </row>
    <row r="973" ht="15.75" customHeight="1">
      <c r="A973" s="134"/>
      <c r="B973" s="134"/>
      <c r="C973" s="134"/>
      <c r="D973" s="134"/>
      <c r="E973" s="134"/>
      <c r="F973" s="134"/>
      <c r="G973" s="134"/>
      <c r="H973" s="134"/>
    </row>
    <row r="974" ht="15.75" customHeight="1">
      <c r="A974" s="134"/>
      <c r="B974" s="134"/>
      <c r="C974" s="134"/>
      <c r="D974" s="134"/>
      <c r="E974" s="134"/>
      <c r="F974" s="134"/>
      <c r="G974" s="134"/>
      <c r="H974" s="134"/>
    </row>
    <row r="975" ht="15.75" customHeight="1">
      <c r="A975" s="134"/>
      <c r="B975" s="134"/>
      <c r="C975" s="134"/>
      <c r="D975" s="134"/>
      <c r="E975" s="134"/>
      <c r="F975" s="134"/>
      <c r="G975" s="134"/>
      <c r="H975" s="134"/>
    </row>
    <row r="976" ht="15.75" customHeight="1">
      <c r="A976" s="134"/>
      <c r="B976" s="134"/>
      <c r="C976" s="134"/>
      <c r="D976" s="134"/>
      <c r="E976" s="134"/>
      <c r="F976" s="134"/>
      <c r="G976" s="134"/>
      <c r="H976" s="134"/>
    </row>
    <row r="977" ht="15.75" customHeight="1">
      <c r="A977" s="134"/>
      <c r="B977" s="134"/>
      <c r="C977" s="134"/>
      <c r="D977" s="134"/>
      <c r="E977" s="134"/>
      <c r="F977" s="134"/>
      <c r="G977" s="134"/>
      <c r="H977" s="134"/>
    </row>
    <row r="978" ht="15.75" customHeight="1">
      <c r="A978" s="134"/>
      <c r="B978" s="134"/>
      <c r="C978" s="134"/>
      <c r="D978" s="134"/>
      <c r="E978" s="134"/>
      <c r="F978" s="134"/>
      <c r="G978" s="134"/>
      <c r="H978" s="134"/>
    </row>
    <row r="979" ht="15.75" customHeight="1">
      <c r="A979" s="134"/>
      <c r="B979" s="134"/>
      <c r="C979" s="134"/>
      <c r="D979" s="134"/>
      <c r="E979" s="134"/>
      <c r="F979" s="134"/>
      <c r="G979" s="134"/>
      <c r="H979" s="134"/>
    </row>
    <row r="980" ht="15.75" customHeight="1">
      <c r="A980" s="134"/>
      <c r="B980" s="134"/>
      <c r="C980" s="134"/>
      <c r="D980" s="134"/>
      <c r="E980" s="134"/>
      <c r="F980" s="134"/>
      <c r="G980" s="134"/>
      <c r="H980" s="134"/>
    </row>
    <row r="981" ht="15.75" customHeight="1">
      <c r="A981" s="134"/>
      <c r="B981" s="134"/>
      <c r="C981" s="134"/>
      <c r="D981" s="134"/>
      <c r="E981" s="134"/>
      <c r="F981" s="134"/>
      <c r="G981" s="134"/>
      <c r="H981" s="134"/>
    </row>
    <row r="982" ht="15.75" customHeight="1">
      <c r="A982" s="134"/>
      <c r="B982" s="134"/>
      <c r="C982" s="134"/>
      <c r="D982" s="134"/>
      <c r="E982" s="134"/>
      <c r="F982" s="134"/>
      <c r="G982" s="134"/>
      <c r="H982" s="134"/>
    </row>
    <row r="983" ht="15.75" customHeight="1">
      <c r="A983" s="134"/>
      <c r="B983" s="134"/>
      <c r="C983" s="134"/>
      <c r="D983" s="134"/>
      <c r="E983" s="134"/>
      <c r="F983" s="134"/>
      <c r="G983" s="134"/>
      <c r="H983" s="134"/>
    </row>
    <row r="984" ht="15.75" customHeight="1">
      <c r="A984" s="134"/>
      <c r="B984" s="134"/>
      <c r="C984" s="134"/>
      <c r="D984" s="134"/>
      <c r="E984" s="134"/>
      <c r="F984" s="134"/>
      <c r="G984" s="134"/>
      <c r="H984" s="134"/>
    </row>
    <row r="985" ht="15.75" customHeight="1">
      <c r="A985" s="134"/>
      <c r="B985" s="134"/>
      <c r="C985" s="134"/>
      <c r="D985" s="134"/>
      <c r="E985" s="134"/>
      <c r="F985" s="134"/>
      <c r="G985" s="134"/>
      <c r="H985" s="134"/>
    </row>
    <row r="986" ht="15.75" customHeight="1">
      <c r="A986" s="134"/>
      <c r="B986" s="134"/>
      <c r="C986" s="134"/>
      <c r="D986" s="134"/>
      <c r="E986" s="134"/>
      <c r="F986" s="134"/>
      <c r="G986" s="134"/>
      <c r="H986" s="134"/>
    </row>
    <row r="987" ht="15.75" customHeight="1">
      <c r="A987" s="134"/>
      <c r="B987" s="134"/>
      <c r="C987" s="134"/>
      <c r="D987" s="134"/>
      <c r="E987" s="134"/>
      <c r="F987" s="134"/>
      <c r="G987" s="134"/>
      <c r="H987" s="134"/>
    </row>
    <row r="988" ht="15.75" customHeight="1">
      <c r="A988" s="134"/>
      <c r="B988" s="134"/>
      <c r="C988" s="134"/>
      <c r="D988" s="134"/>
      <c r="E988" s="134"/>
      <c r="F988" s="134"/>
      <c r="G988" s="134"/>
      <c r="H988" s="134"/>
    </row>
    <row r="989" ht="15.75" customHeight="1">
      <c r="A989" s="134"/>
      <c r="B989" s="134"/>
      <c r="C989" s="134"/>
      <c r="D989" s="134"/>
      <c r="E989" s="134"/>
      <c r="F989" s="134"/>
      <c r="G989" s="134"/>
      <c r="H989" s="134"/>
    </row>
    <row r="990" ht="15.75" customHeight="1">
      <c r="A990" s="134"/>
      <c r="B990" s="134"/>
      <c r="C990" s="134"/>
      <c r="D990" s="134"/>
      <c r="E990" s="134"/>
      <c r="F990" s="134"/>
      <c r="G990" s="134"/>
      <c r="H990" s="134"/>
    </row>
    <row r="991" ht="15.75" customHeight="1">
      <c r="A991" s="134"/>
      <c r="B991" s="134"/>
      <c r="C991" s="134"/>
      <c r="D991" s="134"/>
      <c r="E991" s="134"/>
      <c r="F991" s="134"/>
      <c r="G991" s="134"/>
      <c r="H991" s="134"/>
    </row>
    <row r="992" ht="15.75" customHeight="1">
      <c r="A992" s="134"/>
      <c r="B992" s="134"/>
      <c r="C992" s="134"/>
      <c r="D992" s="134"/>
      <c r="E992" s="134"/>
      <c r="F992" s="134"/>
      <c r="G992" s="134"/>
      <c r="H992" s="134"/>
    </row>
    <row r="993" ht="15.75" customHeight="1">
      <c r="A993" s="134"/>
      <c r="B993" s="134"/>
      <c r="C993" s="134"/>
      <c r="D993" s="134"/>
      <c r="E993" s="134"/>
      <c r="F993" s="134"/>
      <c r="G993" s="134"/>
      <c r="H993" s="134"/>
    </row>
    <row r="994" ht="15.75" customHeight="1">
      <c r="A994" s="134"/>
      <c r="B994" s="134"/>
      <c r="C994" s="134"/>
      <c r="D994" s="134"/>
      <c r="E994" s="134"/>
      <c r="F994" s="134"/>
      <c r="G994" s="134"/>
      <c r="H994" s="134"/>
    </row>
    <row r="995" ht="15.75" customHeight="1">
      <c r="A995" s="134"/>
      <c r="B995" s="134"/>
      <c r="C995" s="134"/>
      <c r="D995" s="134"/>
      <c r="E995" s="134"/>
      <c r="F995" s="134"/>
      <c r="G995" s="134"/>
      <c r="H995" s="134"/>
    </row>
    <row r="996" ht="15.75" customHeight="1">
      <c r="A996" s="134"/>
      <c r="B996" s="134"/>
      <c r="C996" s="134"/>
      <c r="D996" s="134"/>
      <c r="E996" s="134"/>
      <c r="F996" s="134"/>
      <c r="G996" s="134"/>
      <c r="H996" s="134"/>
    </row>
    <row r="997" ht="15.75" customHeight="1">
      <c r="A997" s="134"/>
      <c r="B997" s="134"/>
      <c r="C997" s="134"/>
      <c r="D997" s="134"/>
      <c r="E997" s="134"/>
      <c r="F997" s="134"/>
      <c r="G997" s="134"/>
      <c r="H997" s="134"/>
    </row>
    <row r="998" ht="15.75" customHeight="1">
      <c r="A998" s="134"/>
      <c r="B998" s="134"/>
      <c r="C998" s="134"/>
      <c r="D998" s="134"/>
      <c r="E998" s="134"/>
      <c r="F998" s="134"/>
      <c r="G998" s="134"/>
      <c r="H998" s="134"/>
    </row>
    <row r="999" ht="15.75" customHeight="1">
      <c r="A999" s="134"/>
      <c r="B999" s="134"/>
      <c r="C999" s="134"/>
      <c r="D999" s="134"/>
      <c r="E999" s="134"/>
      <c r="F999" s="134"/>
      <c r="G999" s="134"/>
      <c r="H999" s="134"/>
    </row>
    <row r="1000" ht="15.75" customHeight="1">
      <c r="A1000" s="134"/>
      <c r="B1000" s="134"/>
      <c r="C1000" s="134"/>
      <c r="D1000" s="134"/>
      <c r="E1000" s="134"/>
      <c r="F1000" s="134"/>
      <c r="G1000" s="134"/>
      <c r="H1000" s="134"/>
    </row>
  </sheetData>
  <autoFilter ref="$A$3:$I$573"/>
  <printOptions/>
  <pageMargins bottom="1.0" footer="0.0" header="0.0" left="0.75" right="0.75" top="1.0"/>
  <pageSetup orientation="landscape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4.88"/>
    <col customWidth="1" min="12" max="26" width="8.63"/>
  </cols>
  <sheetData>
    <row r="1" ht="13.5" customHeight="1">
      <c r="A1" s="77" t="s">
        <v>38</v>
      </c>
      <c r="B1" s="78" t="s">
        <v>454</v>
      </c>
      <c r="C1" s="78" t="s">
        <v>455</v>
      </c>
      <c r="D1" s="78" t="s">
        <v>456</v>
      </c>
      <c r="E1" s="78" t="s">
        <v>457</v>
      </c>
      <c r="F1" s="78" t="s">
        <v>458</v>
      </c>
      <c r="G1" s="78" t="s">
        <v>459</v>
      </c>
      <c r="H1" s="78" t="s">
        <v>460</v>
      </c>
      <c r="I1" s="78" t="s">
        <v>461</v>
      </c>
      <c r="J1" s="78" t="s">
        <v>462</v>
      </c>
      <c r="K1" s="78" t="s">
        <v>463</v>
      </c>
    </row>
    <row r="2" ht="13.5" customHeight="1">
      <c r="A2" s="95" t="s">
        <v>77</v>
      </c>
      <c r="B2" s="195">
        <v>218413.4035</v>
      </c>
      <c r="C2" s="195">
        <v>0.0</v>
      </c>
      <c r="D2" s="195">
        <v>0.0</v>
      </c>
      <c r="E2" s="195">
        <v>0.0</v>
      </c>
      <c r="F2" s="195">
        <v>6666666.66</v>
      </c>
      <c r="G2" s="195">
        <v>0.0</v>
      </c>
      <c r="H2" s="195">
        <v>0.0</v>
      </c>
      <c r="I2" s="195">
        <v>0.0</v>
      </c>
      <c r="J2" s="195">
        <v>0.0</v>
      </c>
      <c r="K2" s="195">
        <v>0.0</v>
      </c>
    </row>
    <row r="3" ht="13.5" customHeight="1">
      <c r="A3" s="95" t="s">
        <v>196</v>
      </c>
      <c r="B3" s="195">
        <v>0.0</v>
      </c>
      <c r="C3" s="195">
        <v>4.6903097370000005E7</v>
      </c>
      <c r="D3" s="195">
        <v>0.0</v>
      </c>
      <c r="E3" s="195">
        <v>0.0</v>
      </c>
      <c r="F3" s="195">
        <v>4004.420264</v>
      </c>
      <c r="G3" s="195">
        <v>0.0</v>
      </c>
      <c r="H3" s="195">
        <v>0.0</v>
      </c>
      <c r="I3" s="195">
        <v>0.0</v>
      </c>
      <c r="J3" s="195">
        <v>0.0</v>
      </c>
      <c r="K3" s="195">
        <v>0.0</v>
      </c>
    </row>
    <row r="4" ht="13.5" customHeight="1">
      <c r="A4" s="95" t="s">
        <v>70</v>
      </c>
      <c r="B4" s="195">
        <v>10176.539847000002</v>
      </c>
      <c r="C4" s="195">
        <v>0.0134</v>
      </c>
      <c r="D4" s="195">
        <v>0.0</v>
      </c>
      <c r="E4" s="195">
        <v>19788.701996260002</v>
      </c>
      <c r="F4" s="195">
        <v>176101.1760528</v>
      </c>
      <c r="G4" s="195">
        <v>0.0</v>
      </c>
      <c r="H4" s="195">
        <v>0.0</v>
      </c>
      <c r="I4" s="195">
        <v>0.0</v>
      </c>
      <c r="J4" s="195">
        <v>0.0653403560902768</v>
      </c>
      <c r="K4" s="195">
        <v>0.057808269828391164</v>
      </c>
    </row>
    <row r="5" ht="13.5" customHeight="1">
      <c r="A5" s="95" t="s">
        <v>60</v>
      </c>
      <c r="B5" s="195">
        <v>2.2641789356790002E7</v>
      </c>
      <c r="C5" s="195">
        <v>0.0</v>
      </c>
      <c r="D5" s="195">
        <v>0.0</v>
      </c>
      <c r="E5" s="195">
        <v>6.3361559E7</v>
      </c>
      <c r="F5" s="195">
        <v>1.72989656E8</v>
      </c>
      <c r="G5" s="195">
        <v>0.0</v>
      </c>
      <c r="H5" s="195">
        <v>0.0</v>
      </c>
      <c r="I5" s="195">
        <v>0.0</v>
      </c>
      <c r="J5" s="195">
        <v>0.0747</v>
      </c>
      <c r="K5" s="195">
        <v>0.045</v>
      </c>
    </row>
    <row r="6" ht="13.5" customHeight="1">
      <c r="A6" s="95" t="s">
        <v>284</v>
      </c>
      <c r="B6" s="195">
        <v>0.0</v>
      </c>
      <c r="C6" s="195">
        <v>0.01369194501</v>
      </c>
      <c r="D6" s="195">
        <v>0.0</v>
      </c>
      <c r="E6" s="195">
        <v>0.0</v>
      </c>
      <c r="F6" s="195">
        <v>0.0</v>
      </c>
      <c r="G6" s="195">
        <v>0.0</v>
      </c>
      <c r="H6" s="195">
        <v>0.0</v>
      </c>
      <c r="I6" s="195">
        <v>0.0</v>
      </c>
      <c r="J6" s="195">
        <v>0.0</v>
      </c>
      <c r="K6" s="195">
        <v>0.0</v>
      </c>
    </row>
    <row r="7" ht="13.5" customHeight="1">
      <c r="A7" s="95" t="s">
        <v>101</v>
      </c>
      <c r="B7" s="195">
        <v>0.0</v>
      </c>
      <c r="C7" s="195">
        <v>362549.0082</v>
      </c>
      <c r="D7" s="195">
        <v>0.0</v>
      </c>
      <c r="E7" s="195">
        <v>0.83633963</v>
      </c>
      <c r="F7" s="195">
        <v>190095.1718</v>
      </c>
      <c r="G7" s="195">
        <v>0.0</v>
      </c>
      <c r="H7" s="195">
        <v>0.4706000000000001</v>
      </c>
      <c r="I7" s="195">
        <v>0.0</v>
      </c>
      <c r="J7" s="195">
        <v>0.004363530593207148</v>
      </c>
      <c r="K7" s="195">
        <v>0.0</v>
      </c>
    </row>
    <row r="8" ht="13.5" customHeight="1">
      <c r="A8" s="95" t="s">
        <v>112</v>
      </c>
      <c r="B8" s="195">
        <v>4659.0371096</v>
      </c>
      <c r="C8" s="195">
        <v>0.0</v>
      </c>
      <c r="D8" s="195">
        <v>0.0</v>
      </c>
      <c r="E8" s="195">
        <v>0.0</v>
      </c>
      <c r="F8" s="195">
        <v>30.59694306</v>
      </c>
      <c r="G8" s="195">
        <v>0.0</v>
      </c>
      <c r="H8" s="195">
        <v>0.0</v>
      </c>
      <c r="I8" s="195">
        <v>0.0</v>
      </c>
      <c r="J8" s="195">
        <v>0.0</v>
      </c>
      <c r="K8" s="195">
        <v>0.0</v>
      </c>
    </row>
    <row r="9" ht="13.5" customHeight="1">
      <c r="A9" s="95" t="s">
        <v>111</v>
      </c>
      <c r="B9" s="195">
        <v>24004.58859</v>
      </c>
      <c r="C9" s="195">
        <v>0.0</v>
      </c>
      <c r="D9" s="195">
        <v>0.0</v>
      </c>
      <c r="E9" s="195">
        <v>19795.72053</v>
      </c>
      <c r="F9" s="195">
        <v>4802.086241</v>
      </c>
      <c r="G9" s="195">
        <v>0.0</v>
      </c>
      <c r="H9" s="195">
        <v>0.0</v>
      </c>
      <c r="I9" s="195">
        <v>0.0</v>
      </c>
      <c r="J9" s="195">
        <v>0.0</v>
      </c>
      <c r="K9" s="195">
        <v>0.0</v>
      </c>
    </row>
    <row r="10" ht="13.5" customHeight="1">
      <c r="A10" s="95" t="s">
        <v>242</v>
      </c>
      <c r="B10" s="195">
        <v>0.0</v>
      </c>
      <c r="C10" s="195">
        <v>0.0</v>
      </c>
      <c r="D10" s="195">
        <v>0.0</v>
      </c>
      <c r="E10" s="195">
        <v>7269608.577</v>
      </c>
      <c r="F10" s="195">
        <v>0.0</v>
      </c>
      <c r="G10" s="195">
        <v>0.0</v>
      </c>
      <c r="H10" s="195">
        <v>0.0</v>
      </c>
      <c r="I10" s="195">
        <v>0.0</v>
      </c>
      <c r="J10" s="195">
        <v>-0.0295482322</v>
      </c>
      <c r="K10" s="195">
        <v>0.0</v>
      </c>
    </row>
    <row r="11" ht="13.5" customHeight="1">
      <c r="A11" s="95" t="s">
        <v>211</v>
      </c>
      <c r="B11" s="195">
        <v>3181.5604019322</v>
      </c>
      <c r="C11" s="195">
        <v>23.944258880000003</v>
      </c>
      <c r="D11" s="195">
        <v>0.0</v>
      </c>
      <c r="E11" s="195">
        <v>125000.35835021069</v>
      </c>
      <c r="F11" s="195">
        <v>3.2586289474999997</v>
      </c>
      <c r="G11" s="195">
        <v>0.0</v>
      </c>
      <c r="H11" s="195">
        <v>0.0</v>
      </c>
      <c r="I11" s="195">
        <v>0.0</v>
      </c>
      <c r="J11" s="195">
        <v>0.04294802287707017</v>
      </c>
      <c r="K11" s="195">
        <v>0.0</v>
      </c>
    </row>
    <row r="12" ht="13.5" customHeight="1">
      <c r="A12" s="95" t="s">
        <v>90</v>
      </c>
      <c r="B12" s="195">
        <v>961.3334</v>
      </c>
      <c r="C12" s="195">
        <v>210142.28971679998</v>
      </c>
      <c r="D12" s="195">
        <v>0.0</v>
      </c>
      <c r="E12" s="195">
        <v>20408.00265175</v>
      </c>
      <c r="F12" s="195">
        <v>0.0</v>
      </c>
      <c r="G12" s="195">
        <v>0.0</v>
      </c>
      <c r="H12" s="195">
        <v>0.0</v>
      </c>
      <c r="I12" s="195">
        <v>0.0</v>
      </c>
      <c r="J12" s="195">
        <v>0.5499999285347751</v>
      </c>
      <c r="K12" s="195">
        <v>0.0</v>
      </c>
    </row>
    <row r="13" ht="13.5" customHeight="1">
      <c r="A13" s="95" t="s">
        <v>103</v>
      </c>
      <c r="B13" s="195">
        <v>697.07289714</v>
      </c>
      <c r="C13" s="195">
        <v>0.00656934</v>
      </c>
      <c r="D13" s="195">
        <v>0.0</v>
      </c>
      <c r="E13" s="195">
        <v>11679.0</v>
      </c>
      <c r="F13" s="195">
        <v>0.17657178894</v>
      </c>
      <c r="G13" s="195">
        <v>0.0</v>
      </c>
      <c r="H13" s="195">
        <v>0.0</v>
      </c>
      <c r="I13" s="195">
        <v>0.0</v>
      </c>
      <c r="J13" s="195">
        <v>0.1624</v>
      </c>
      <c r="K13" s="195">
        <v>0.0</v>
      </c>
    </row>
    <row r="14" ht="13.5" customHeight="1">
      <c r="A14" s="95" t="s">
        <v>74</v>
      </c>
      <c r="B14" s="195">
        <v>3300586.7563000005</v>
      </c>
      <c r="C14" s="195">
        <v>0.0</v>
      </c>
      <c r="D14" s="195">
        <v>0.0</v>
      </c>
      <c r="E14" s="195">
        <v>4740567.0879</v>
      </c>
      <c r="F14" s="195">
        <v>1.0264347E7</v>
      </c>
      <c r="G14" s="195">
        <v>0.0</v>
      </c>
      <c r="H14" s="195">
        <v>0.0</v>
      </c>
      <c r="I14" s="195">
        <v>0.0</v>
      </c>
      <c r="J14" s="195">
        <v>0.053731968196411954</v>
      </c>
      <c r="K14" s="195">
        <v>0.01587275896849551</v>
      </c>
    </row>
    <row r="15" ht="13.5" customHeight="1">
      <c r="A15" s="95" t="s">
        <v>66</v>
      </c>
      <c r="B15" s="195">
        <v>2287.24011177</v>
      </c>
      <c r="C15" s="195">
        <v>0.0</v>
      </c>
      <c r="D15" s="195">
        <v>0.0</v>
      </c>
      <c r="E15" s="195">
        <v>72211.2787075</v>
      </c>
      <c r="F15" s="195">
        <v>17111.08214514</v>
      </c>
      <c r="G15" s="195">
        <v>0.0</v>
      </c>
      <c r="H15" s="195">
        <v>0.0</v>
      </c>
      <c r="I15" s="195">
        <v>0.0</v>
      </c>
      <c r="J15" s="195">
        <v>0.04086840674784349</v>
      </c>
      <c r="K15" s="195">
        <v>0.0</v>
      </c>
    </row>
    <row r="16" ht="13.5" customHeight="1">
      <c r="A16" s="95" t="s">
        <v>65</v>
      </c>
      <c r="B16" s="195">
        <v>8473.6241131</v>
      </c>
      <c r="C16" s="195">
        <v>5134.872147</v>
      </c>
      <c r="D16" s="195">
        <v>0.0</v>
      </c>
      <c r="E16" s="195">
        <v>58500.0</v>
      </c>
      <c r="F16" s="195">
        <v>0.0</v>
      </c>
      <c r="G16" s="195">
        <v>0.0</v>
      </c>
      <c r="H16" s="195">
        <v>0.0</v>
      </c>
      <c r="I16" s="195">
        <v>0.0</v>
      </c>
      <c r="J16" s="195">
        <v>0.07259999999999998</v>
      </c>
      <c r="K16" s="195">
        <v>0.0</v>
      </c>
    </row>
    <row r="17" ht="13.5" customHeight="1">
      <c r="A17" s="95" t="s">
        <v>79</v>
      </c>
      <c r="B17" s="195">
        <v>292838.89534</v>
      </c>
      <c r="C17" s="195">
        <v>913406.69718</v>
      </c>
      <c r="D17" s="195">
        <v>0.0</v>
      </c>
      <c r="E17" s="195">
        <v>2557742.5073901904</v>
      </c>
      <c r="F17" s="195">
        <v>202900.4084</v>
      </c>
      <c r="G17" s="195">
        <v>0.0</v>
      </c>
      <c r="H17" s="195">
        <v>0.46225925956852076</v>
      </c>
      <c r="I17" s="195">
        <v>0.0</v>
      </c>
      <c r="J17" s="195">
        <v>0.07159995640329811</v>
      </c>
      <c r="K17" s="195">
        <v>0.0</v>
      </c>
    </row>
    <row r="18" ht="13.5" customHeight="1">
      <c r="A18" s="95" t="s">
        <v>235</v>
      </c>
      <c r="B18" s="195">
        <v>0.0</v>
      </c>
      <c r="C18" s="195">
        <v>0.0</v>
      </c>
      <c r="D18" s="195">
        <v>0.0</v>
      </c>
      <c r="E18" s="195">
        <v>400000.12702239</v>
      </c>
      <c r="F18" s="195">
        <v>0.0</v>
      </c>
      <c r="G18" s="195">
        <v>0.0</v>
      </c>
      <c r="H18" s="195">
        <v>0.0</v>
      </c>
      <c r="I18" s="195">
        <v>0.0</v>
      </c>
      <c r="J18" s="195">
        <v>0.0429481229714931</v>
      </c>
      <c r="K18" s="195">
        <v>0.0</v>
      </c>
    </row>
    <row r="19" ht="13.5" customHeight="1">
      <c r="A19" s="95" t="s">
        <v>113</v>
      </c>
      <c r="B19" s="195">
        <v>0.24452292</v>
      </c>
      <c r="C19" s="195">
        <v>0.0</v>
      </c>
      <c r="D19" s="195">
        <v>0.0</v>
      </c>
      <c r="E19" s="195">
        <v>0.0</v>
      </c>
      <c r="F19" s="195">
        <v>273.6056234</v>
      </c>
      <c r="G19" s="195">
        <v>0.0</v>
      </c>
      <c r="H19" s="195">
        <v>0.0</v>
      </c>
      <c r="I19" s="195">
        <v>0.0</v>
      </c>
      <c r="J19" s="195">
        <v>0.0</v>
      </c>
      <c r="K19" s="195">
        <v>0.0</v>
      </c>
    </row>
    <row r="20" ht="13.5" customHeight="1">
      <c r="A20" s="95" t="s">
        <v>253</v>
      </c>
      <c r="B20" s="195">
        <v>0.0</v>
      </c>
      <c r="C20" s="195">
        <v>220.69332022999998</v>
      </c>
      <c r="D20" s="195">
        <v>0.0</v>
      </c>
      <c r="E20" s="195">
        <v>0.0</v>
      </c>
      <c r="F20" s="195">
        <v>0.0</v>
      </c>
      <c r="G20" s="195">
        <v>0.0</v>
      </c>
      <c r="H20" s="195">
        <v>0.0</v>
      </c>
      <c r="I20" s="195">
        <v>0.0</v>
      </c>
      <c r="J20" s="195">
        <v>0.0</v>
      </c>
      <c r="K20" s="195">
        <v>0.0</v>
      </c>
    </row>
    <row r="21" ht="13.5" customHeight="1">
      <c r="A21" s="95" t="s">
        <v>89</v>
      </c>
      <c r="B21" s="195">
        <v>5280.179593</v>
      </c>
      <c r="C21" s="195">
        <v>0.0</v>
      </c>
      <c r="D21" s="195">
        <v>0.0</v>
      </c>
      <c r="E21" s="195">
        <v>24942.14147</v>
      </c>
      <c r="F21" s="195">
        <v>0.0</v>
      </c>
      <c r="G21" s="195">
        <v>0.0</v>
      </c>
      <c r="H21" s="195">
        <v>0.0</v>
      </c>
      <c r="I21" s="195">
        <v>0.0</v>
      </c>
      <c r="J21" s="195">
        <v>0.0489</v>
      </c>
      <c r="K21" s="195">
        <v>0.0</v>
      </c>
    </row>
    <row r="22" ht="13.5" customHeight="1">
      <c r="A22" s="95" t="s">
        <v>53</v>
      </c>
      <c r="B22" s="195">
        <v>21950.42099933</v>
      </c>
      <c r="C22" s="195">
        <v>14449.214978200001</v>
      </c>
      <c r="D22" s="195">
        <v>0.0</v>
      </c>
      <c r="E22" s="195">
        <v>31306.22300399</v>
      </c>
      <c r="F22" s="195">
        <v>51785.774487924995</v>
      </c>
      <c r="G22" s="195">
        <v>0.0</v>
      </c>
      <c r="H22" s="195">
        <v>0.01214150687513784</v>
      </c>
      <c r="I22" s="195">
        <v>0.0</v>
      </c>
      <c r="J22" s="195">
        <v>0.030805038161542286</v>
      </c>
      <c r="K22" s="195">
        <v>0.0013698935798776453</v>
      </c>
    </row>
    <row r="23" ht="13.5" customHeight="1">
      <c r="A23" s="95" t="s">
        <v>104</v>
      </c>
      <c r="B23" s="195">
        <v>0.0</v>
      </c>
      <c r="C23" s="195">
        <v>0.0</v>
      </c>
      <c r="D23" s="195">
        <v>0.0</v>
      </c>
      <c r="E23" s="195">
        <v>3867.471676</v>
      </c>
      <c r="F23" s="195">
        <v>0.0</v>
      </c>
      <c r="G23" s="195">
        <v>0.0</v>
      </c>
      <c r="H23" s="195">
        <v>0.0</v>
      </c>
      <c r="I23" s="195">
        <v>0.0</v>
      </c>
      <c r="J23" s="195">
        <v>0.071</v>
      </c>
      <c r="K23" s="195">
        <v>0.0</v>
      </c>
    </row>
    <row r="24" ht="13.5" customHeight="1">
      <c r="A24" s="95" t="s">
        <v>56</v>
      </c>
      <c r="B24" s="195">
        <v>6.039505477641001E8</v>
      </c>
      <c r="C24" s="195">
        <v>5779333.465</v>
      </c>
      <c r="D24" s="195">
        <v>0.0</v>
      </c>
      <c r="E24" s="195">
        <v>4.7367202612596996E7</v>
      </c>
      <c r="F24" s="195">
        <v>197143.0716</v>
      </c>
      <c r="G24" s="195">
        <v>0.0</v>
      </c>
      <c r="H24" s="195">
        <v>0.0</v>
      </c>
      <c r="I24" s="195">
        <v>0.0</v>
      </c>
      <c r="J24" s="195">
        <v>0.030907652037430754</v>
      </c>
      <c r="K24" s="195">
        <v>0.0</v>
      </c>
    </row>
    <row r="25" ht="13.5" customHeight="1">
      <c r="A25" s="95" t="s">
        <v>81</v>
      </c>
      <c r="B25" s="195">
        <v>20381.23194</v>
      </c>
      <c r="C25" s="195">
        <v>3.708249397</v>
      </c>
      <c r="D25" s="195">
        <v>0.0</v>
      </c>
      <c r="E25" s="195">
        <v>14936.592630599998</v>
      </c>
      <c r="F25" s="195">
        <v>7783.576989983</v>
      </c>
      <c r="G25" s="195">
        <v>0.0</v>
      </c>
      <c r="H25" s="195">
        <v>0.0</v>
      </c>
      <c r="I25" s="195">
        <v>0.0</v>
      </c>
      <c r="J25" s="195">
        <v>0.12557765723011846</v>
      </c>
      <c r="K25" s="195">
        <v>0.030966944047472758</v>
      </c>
    </row>
    <row r="26" ht="13.5" customHeight="1">
      <c r="A26" s="95" t="s">
        <v>279</v>
      </c>
      <c r="B26" s="195">
        <v>5.035944039</v>
      </c>
      <c r="C26" s="195">
        <v>0.0</v>
      </c>
      <c r="D26" s="195">
        <v>0.0</v>
      </c>
      <c r="E26" s="195">
        <v>0.10383514</v>
      </c>
      <c r="F26" s="195">
        <v>0.0</v>
      </c>
      <c r="G26" s="195">
        <v>0.0</v>
      </c>
      <c r="H26" s="195">
        <v>0.0</v>
      </c>
      <c r="I26" s="195">
        <v>0.0</v>
      </c>
      <c r="J26" s="195">
        <v>0.0</v>
      </c>
      <c r="K26" s="195">
        <v>0.0</v>
      </c>
    </row>
    <row r="27" ht="13.5" customHeight="1">
      <c r="A27" s="95" t="s">
        <v>88</v>
      </c>
      <c r="B27" s="195">
        <v>122346.5259</v>
      </c>
      <c r="C27" s="195">
        <v>198350.19495960028</v>
      </c>
      <c r="D27" s="195">
        <v>0.0</v>
      </c>
      <c r="E27" s="195">
        <v>949978.96690522</v>
      </c>
      <c r="F27" s="195">
        <v>14303.59445</v>
      </c>
      <c r="G27" s="195">
        <v>0.0</v>
      </c>
      <c r="H27" s="195">
        <v>0.0038463546939845037</v>
      </c>
      <c r="I27" s="195">
        <v>0.0</v>
      </c>
      <c r="J27" s="195">
        <v>0.1259208340135122</v>
      </c>
      <c r="K27" s="195">
        <v>0.0</v>
      </c>
    </row>
    <row r="28" ht="13.5" customHeight="1">
      <c r="A28" s="95" t="s">
        <v>83</v>
      </c>
      <c r="B28" s="195">
        <v>0.0</v>
      </c>
      <c r="C28" s="195">
        <v>264252.307561357</v>
      </c>
      <c r="D28" s="195">
        <v>0.0</v>
      </c>
      <c r="E28" s="195">
        <v>505.3300982</v>
      </c>
      <c r="F28" s="195">
        <v>18302.9037029</v>
      </c>
      <c r="G28" s="195">
        <v>0.0</v>
      </c>
      <c r="H28" s="195">
        <v>0.0</v>
      </c>
      <c r="I28" s="195">
        <v>0.0</v>
      </c>
      <c r="J28" s="195">
        <v>0.0</v>
      </c>
      <c r="K28" s="195">
        <v>0.0</v>
      </c>
    </row>
    <row r="29" ht="13.5" customHeight="1">
      <c r="A29" s="95" t="s">
        <v>76</v>
      </c>
      <c r="B29" s="195">
        <v>19670.23826</v>
      </c>
      <c r="C29" s="195">
        <v>0.0</v>
      </c>
      <c r="D29" s="195">
        <v>0.0</v>
      </c>
      <c r="E29" s="195">
        <v>44021.2821</v>
      </c>
      <c r="F29" s="195">
        <v>73148.36233513</v>
      </c>
      <c r="G29" s="195">
        <v>0.0</v>
      </c>
      <c r="H29" s="195">
        <v>0.0</v>
      </c>
      <c r="I29" s="195">
        <v>0.0</v>
      </c>
      <c r="J29" s="195">
        <v>0.05682141214487709</v>
      </c>
      <c r="K29" s="195">
        <v>0.019988578307484555</v>
      </c>
    </row>
    <row r="30" ht="13.5" customHeight="1">
      <c r="A30" s="95" t="s">
        <v>95</v>
      </c>
      <c r="B30" s="195">
        <v>0.0</v>
      </c>
      <c r="C30" s="195">
        <v>37.52896005</v>
      </c>
      <c r="D30" s="195">
        <v>0.0</v>
      </c>
      <c r="E30" s="195">
        <v>0.0</v>
      </c>
      <c r="F30" s="195">
        <v>0.003183924</v>
      </c>
      <c r="G30" s="195">
        <v>0.0</v>
      </c>
      <c r="H30" s="195">
        <v>0.05</v>
      </c>
      <c r="I30" s="195">
        <v>0.0</v>
      </c>
      <c r="J30" s="195">
        <v>0.0</v>
      </c>
      <c r="K30" s="195">
        <v>0.0</v>
      </c>
    </row>
    <row r="31" ht="13.5" customHeight="1">
      <c r="A31" s="95" t="s">
        <v>72</v>
      </c>
      <c r="B31" s="195">
        <v>190105.09932401797</v>
      </c>
      <c r="C31" s="195">
        <v>0.0</v>
      </c>
      <c r="D31" s="195">
        <v>0.0</v>
      </c>
      <c r="E31" s="195">
        <v>577277.78</v>
      </c>
      <c r="F31" s="195">
        <v>2205996.11004</v>
      </c>
      <c r="G31" s="195">
        <v>0.0</v>
      </c>
      <c r="H31" s="195">
        <v>0.0</v>
      </c>
      <c r="I31" s="195">
        <v>0.0</v>
      </c>
      <c r="J31" s="195">
        <v>0.0904</v>
      </c>
      <c r="K31" s="195">
        <v>0.13237144011042937</v>
      </c>
    </row>
    <row r="32" ht="13.5" customHeight="1">
      <c r="A32" s="95" t="s">
        <v>73</v>
      </c>
      <c r="B32" s="195">
        <v>837822.8287000001</v>
      </c>
      <c r="C32" s="195">
        <v>0.0</v>
      </c>
      <c r="D32" s="195">
        <v>0.0</v>
      </c>
      <c r="E32" s="195">
        <v>5617715.546</v>
      </c>
      <c r="F32" s="195">
        <v>0.0</v>
      </c>
      <c r="G32" s="195">
        <v>0.0</v>
      </c>
      <c r="H32" s="195">
        <v>0.0</v>
      </c>
      <c r="I32" s="195">
        <v>0.0</v>
      </c>
      <c r="J32" s="195">
        <v>0.06465194450683923</v>
      </c>
      <c r="K32" s="195">
        <v>0.0</v>
      </c>
    </row>
    <row r="33" ht="13.5" customHeight="1">
      <c r="A33" s="95" t="s">
        <v>82</v>
      </c>
      <c r="B33" s="195">
        <v>32197.8229077</v>
      </c>
      <c r="C33" s="195">
        <v>0.0</v>
      </c>
      <c r="D33" s="195">
        <v>0.0</v>
      </c>
      <c r="E33" s="195">
        <v>62934.217191</v>
      </c>
      <c r="F33" s="195">
        <v>119512.1601</v>
      </c>
      <c r="G33" s="195">
        <v>0.0</v>
      </c>
      <c r="H33" s="195">
        <v>0.0</v>
      </c>
      <c r="I33" s="195">
        <v>0.0</v>
      </c>
      <c r="J33" s="195">
        <v>0.046671709871170766</v>
      </c>
      <c r="K33" s="195">
        <v>0.0</v>
      </c>
    </row>
    <row r="34" ht="13.5" customHeight="1">
      <c r="A34" s="95" t="s">
        <v>54</v>
      </c>
      <c r="B34" s="195">
        <v>111399.23850421079</v>
      </c>
      <c r="C34" s="195">
        <v>755121.9404931997</v>
      </c>
      <c r="D34" s="195">
        <v>4.726557894011</v>
      </c>
      <c r="E34" s="195">
        <v>321895.21089465404</v>
      </c>
      <c r="F34" s="195">
        <v>427391.95505795104</v>
      </c>
      <c r="G34" s="195">
        <v>0.0</v>
      </c>
      <c r="H34" s="195">
        <v>0.025460508846000287</v>
      </c>
      <c r="I34" s="195">
        <v>0.0</v>
      </c>
      <c r="J34" s="195">
        <v>0.07380192487006144</v>
      </c>
      <c r="K34" s="195">
        <v>0.010993378307703342</v>
      </c>
    </row>
    <row r="35" ht="13.5" customHeight="1">
      <c r="A35" s="95" t="s">
        <v>107</v>
      </c>
      <c r="B35" s="195">
        <v>0.0</v>
      </c>
      <c r="C35" s="195">
        <v>296.96540054</v>
      </c>
      <c r="D35" s="195">
        <v>0.0</v>
      </c>
      <c r="E35" s="195">
        <v>0.0</v>
      </c>
      <c r="F35" s="195">
        <v>177.30557385999998</v>
      </c>
      <c r="G35" s="195">
        <v>0.0</v>
      </c>
      <c r="H35" s="195">
        <v>0.0</v>
      </c>
      <c r="I35" s="195">
        <v>0.0</v>
      </c>
      <c r="J35" s="195">
        <v>0.0</v>
      </c>
      <c r="K35" s="195">
        <v>0.0</v>
      </c>
    </row>
    <row r="36" ht="13.5" customHeight="1">
      <c r="A36" s="95" t="s">
        <v>108</v>
      </c>
      <c r="B36" s="195">
        <v>0.0</v>
      </c>
      <c r="C36" s="195">
        <v>28064.87165</v>
      </c>
      <c r="D36" s="195">
        <v>0.0</v>
      </c>
      <c r="E36" s="195">
        <v>0.0</v>
      </c>
      <c r="F36" s="195">
        <v>0.0</v>
      </c>
      <c r="G36" s="195">
        <v>0.0</v>
      </c>
      <c r="H36" s="195">
        <v>0.0</v>
      </c>
      <c r="I36" s="195">
        <v>0.0</v>
      </c>
      <c r="J36" s="195">
        <v>0.0</v>
      </c>
      <c r="K36" s="195">
        <v>0.0</v>
      </c>
    </row>
    <row r="37" ht="13.5" customHeight="1">
      <c r="A37" s="95" t="s">
        <v>243</v>
      </c>
      <c r="B37" s="195">
        <v>4604.600531</v>
      </c>
      <c r="C37" s="195">
        <v>0.05</v>
      </c>
      <c r="D37" s="195">
        <v>0.0</v>
      </c>
      <c r="E37" s="195">
        <v>500013.3005</v>
      </c>
      <c r="F37" s="195">
        <v>0.1</v>
      </c>
      <c r="G37" s="195">
        <v>0.0</v>
      </c>
      <c r="H37" s="195">
        <v>0.0</v>
      </c>
      <c r="I37" s="195">
        <v>0.0</v>
      </c>
      <c r="J37" s="195">
        <v>0.04294812889</v>
      </c>
      <c r="K37" s="195">
        <v>0.0</v>
      </c>
    </row>
    <row r="38" ht="13.5" customHeight="1">
      <c r="A38" s="95" t="s">
        <v>59</v>
      </c>
      <c r="B38" s="195">
        <v>2459109.0743</v>
      </c>
      <c r="C38" s="195">
        <v>125010.0</v>
      </c>
      <c r="D38" s="195">
        <v>0.0</v>
      </c>
      <c r="E38" s="195">
        <v>6013481.00559</v>
      </c>
      <c r="F38" s="195">
        <v>8170059.184</v>
      </c>
      <c r="G38" s="195">
        <v>0.0</v>
      </c>
      <c r="H38" s="195">
        <v>0.0</v>
      </c>
      <c r="I38" s="195">
        <v>0.0</v>
      </c>
      <c r="J38" s="195">
        <v>0.03253503049238621</v>
      </c>
      <c r="K38" s="195">
        <v>0.021787048978616066</v>
      </c>
    </row>
    <row r="39" ht="13.5" customHeight="1">
      <c r="A39" s="95" t="s">
        <v>93</v>
      </c>
      <c r="B39" s="195">
        <v>277784.6084</v>
      </c>
      <c r="C39" s="195">
        <v>1265496.6219</v>
      </c>
      <c r="D39" s="195">
        <v>0.0</v>
      </c>
      <c r="E39" s="195">
        <v>330000.0</v>
      </c>
      <c r="F39" s="195">
        <v>0.0</v>
      </c>
      <c r="G39" s="195">
        <v>0.0</v>
      </c>
      <c r="H39" s="195">
        <v>0.003805892612684058</v>
      </c>
      <c r="I39" s="195">
        <v>0.0</v>
      </c>
      <c r="J39" s="195">
        <v>0.0686</v>
      </c>
      <c r="K39" s="195">
        <v>0.0</v>
      </c>
    </row>
    <row r="40" ht="13.5" customHeight="1">
      <c r="A40" s="95" t="s">
        <v>94</v>
      </c>
      <c r="B40" s="195">
        <v>0.0</v>
      </c>
      <c r="C40" s="195">
        <v>447117.1034</v>
      </c>
      <c r="D40" s="195">
        <v>0.0</v>
      </c>
      <c r="E40" s="195">
        <v>0.0</v>
      </c>
      <c r="F40" s="195">
        <v>456901.49754951877</v>
      </c>
      <c r="G40" s="195">
        <v>0.0</v>
      </c>
      <c r="H40" s="195">
        <v>0.0</v>
      </c>
      <c r="I40" s="195">
        <v>0.0</v>
      </c>
      <c r="J40" s="195">
        <v>0.0</v>
      </c>
      <c r="K40" s="195">
        <v>0.0</v>
      </c>
    </row>
    <row r="41" ht="13.5" customHeight="1">
      <c r="A41" s="95" t="s">
        <v>61</v>
      </c>
      <c r="B41" s="195">
        <v>949104.3402742</v>
      </c>
      <c r="C41" s="195">
        <v>1138257.99132</v>
      </c>
      <c r="D41" s="195">
        <v>0.0</v>
      </c>
      <c r="E41" s="195">
        <v>8425927.59514</v>
      </c>
      <c r="F41" s="195">
        <v>2409995.777</v>
      </c>
      <c r="G41" s="195">
        <v>0.0</v>
      </c>
      <c r="H41" s="195">
        <v>0.01113116182668471</v>
      </c>
      <c r="I41" s="195">
        <v>0.0</v>
      </c>
      <c r="J41" s="195">
        <v>0.01721910963336031</v>
      </c>
      <c r="K41" s="195">
        <v>7.444320098491195E-4</v>
      </c>
    </row>
    <row r="42" ht="13.5" customHeight="1">
      <c r="A42" s="95" t="s">
        <v>100</v>
      </c>
      <c r="B42" s="195">
        <v>12253.99809</v>
      </c>
      <c r="C42" s="195">
        <v>0.0</v>
      </c>
      <c r="D42" s="195">
        <v>0.0</v>
      </c>
      <c r="E42" s="195">
        <v>0.0</v>
      </c>
      <c r="F42" s="195">
        <v>0.0</v>
      </c>
      <c r="G42" s="195">
        <v>0.0</v>
      </c>
      <c r="H42" s="195">
        <v>0.0</v>
      </c>
      <c r="I42" s="195">
        <v>0.0</v>
      </c>
      <c r="J42" s="195">
        <v>0.0</v>
      </c>
      <c r="K42" s="195">
        <v>0.0</v>
      </c>
    </row>
    <row r="43" ht="13.5" customHeight="1">
      <c r="A43" s="95" t="s">
        <v>117</v>
      </c>
      <c r="B43" s="195">
        <v>0.0</v>
      </c>
      <c r="C43" s="195">
        <v>12.86675658</v>
      </c>
      <c r="D43" s="195">
        <v>0.0</v>
      </c>
      <c r="E43" s="195">
        <v>0.0</v>
      </c>
      <c r="F43" s="195">
        <v>0.0</v>
      </c>
      <c r="G43" s="195">
        <v>0.0</v>
      </c>
      <c r="H43" s="195">
        <v>0.0</v>
      </c>
      <c r="I43" s="195">
        <v>0.0</v>
      </c>
      <c r="J43" s="195">
        <v>0.0</v>
      </c>
      <c r="K43" s="195">
        <v>0.0</v>
      </c>
    </row>
    <row r="44" ht="13.5" customHeight="1">
      <c r="A44" s="95" t="s">
        <v>64</v>
      </c>
      <c r="B44" s="195">
        <v>87434.0056684</v>
      </c>
      <c r="C44" s="195">
        <v>50095.39805</v>
      </c>
      <c r="D44" s="195">
        <v>0.0</v>
      </c>
      <c r="E44" s="195">
        <v>378949.596999</v>
      </c>
      <c r="F44" s="195">
        <v>25255.26432113</v>
      </c>
      <c r="G44" s="195">
        <v>0.0</v>
      </c>
      <c r="H44" s="195">
        <v>0.09742215</v>
      </c>
      <c r="I44" s="195">
        <v>0.0</v>
      </c>
      <c r="J44" s="195">
        <v>0.04205592660172036</v>
      </c>
      <c r="K44" s="195">
        <v>0.0</v>
      </c>
    </row>
    <row r="45" ht="13.5" customHeight="1">
      <c r="A45" s="95" t="s">
        <v>63</v>
      </c>
      <c r="B45" s="195">
        <v>516792.04006900004</v>
      </c>
      <c r="C45" s="195">
        <v>0.0</v>
      </c>
      <c r="D45" s="195">
        <v>0.0</v>
      </c>
      <c r="E45" s="195">
        <v>-172437.48339</v>
      </c>
      <c r="F45" s="195">
        <v>2283671.19</v>
      </c>
      <c r="G45" s="195">
        <v>0.0</v>
      </c>
      <c r="H45" s="195">
        <v>0.0</v>
      </c>
      <c r="I45" s="195">
        <v>0.0</v>
      </c>
      <c r="J45" s="195">
        <v>0.05858823182770876</v>
      </c>
      <c r="K45" s="195">
        <v>0.12</v>
      </c>
    </row>
    <row r="46" ht="13.5" customHeight="1">
      <c r="A46" s="95" t="s">
        <v>71</v>
      </c>
      <c r="B46" s="195">
        <v>585213.4697</v>
      </c>
      <c r="C46" s="195">
        <v>0.0</v>
      </c>
      <c r="D46" s="195">
        <v>0.0</v>
      </c>
      <c r="E46" s="195">
        <v>7600047.332400001</v>
      </c>
      <c r="F46" s="195">
        <v>1229425.454</v>
      </c>
      <c r="G46" s="195">
        <v>0.0</v>
      </c>
      <c r="H46" s="195">
        <v>0.0</v>
      </c>
      <c r="I46" s="195">
        <v>0.0</v>
      </c>
      <c r="J46" s="195">
        <v>0.0028255971061091167</v>
      </c>
      <c r="K46" s="195">
        <v>5.0E-4</v>
      </c>
    </row>
    <row r="47" ht="13.5" customHeight="1">
      <c r="A47" s="95" t="s">
        <v>57</v>
      </c>
      <c r="B47" s="195">
        <v>3.15471838486E7</v>
      </c>
      <c r="C47" s="195">
        <v>318.26207029999995</v>
      </c>
      <c r="D47" s="195">
        <v>2.5326030782916147E7</v>
      </c>
      <c r="E47" s="195">
        <v>1.5070171197E7</v>
      </c>
      <c r="F47" s="195">
        <v>3.2792384794299E8</v>
      </c>
      <c r="G47" s="195">
        <v>0.0</v>
      </c>
      <c r="H47" s="195">
        <v>0.0</v>
      </c>
      <c r="I47" s="195">
        <v>0.0</v>
      </c>
      <c r="J47" s="195">
        <v>0.07301919040085547</v>
      </c>
      <c r="K47" s="195">
        <v>0.1305143225339336</v>
      </c>
    </row>
    <row r="48" ht="13.5" customHeight="1">
      <c r="A48" s="95" t="s">
        <v>109</v>
      </c>
      <c r="B48" s="195">
        <v>11.873711938</v>
      </c>
      <c r="C48" s="195">
        <v>0.0</v>
      </c>
      <c r="D48" s="195">
        <v>0.0</v>
      </c>
      <c r="E48" s="195">
        <v>0.0</v>
      </c>
      <c r="F48" s="195">
        <v>0.0045245723169</v>
      </c>
      <c r="G48" s="195">
        <v>0.0</v>
      </c>
      <c r="H48" s="195">
        <v>0.0</v>
      </c>
      <c r="I48" s="195">
        <v>0.0</v>
      </c>
      <c r="J48" s="195">
        <v>0.0</v>
      </c>
      <c r="K48" s="195">
        <v>0.0</v>
      </c>
    </row>
    <row r="49" ht="13.5" customHeight="1">
      <c r="A49" s="95" t="s">
        <v>86</v>
      </c>
      <c r="B49" s="195">
        <v>262785.4504</v>
      </c>
      <c r="C49" s="195">
        <v>0.0</v>
      </c>
      <c r="D49" s="195">
        <v>0.0</v>
      </c>
      <c r="E49" s="195">
        <v>493029.379884</v>
      </c>
      <c r="F49" s="195">
        <v>0.0</v>
      </c>
      <c r="G49" s="195">
        <v>0.0</v>
      </c>
      <c r="H49" s="195">
        <v>0.0</v>
      </c>
      <c r="I49" s="195">
        <v>0.0</v>
      </c>
      <c r="J49" s="195">
        <v>0.0716076903258327</v>
      </c>
      <c r="K49" s="195">
        <v>0.0</v>
      </c>
    </row>
    <row r="50" ht="13.5" customHeight="1">
      <c r="A50" s="95" t="s">
        <v>114</v>
      </c>
      <c r="B50" s="195">
        <v>0.0</v>
      </c>
      <c r="C50" s="195">
        <v>0.0</v>
      </c>
      <c r="D50" s="195">
        <v>0.0</v>
      </c>
      <c r="E50" s="195">
        <v>91.89906637</v>
      </c>
      <c r="F50" s="195">
        <v>648.8711784</v>
      </c>
      <c r="G50" s="195">
        <v>0.0</v>
      </c>
      <c r="H50" s="195">
        <v>0.0</v>
      </c>
      <c r="I50" s="195">
        <v>0.0</v>
      </c>
      <c r="J50" s="195">
        <v>0.0</v>
      </c>
      <c r="K50" s="195">
        <v>0.0</v>
      </c>
    </row>
    <row r="51" ht="13.5" customHeight="1">
      <c r="A51" s="95" t="s">
        <v>110</v>
      </c>
      <c r="B51" s="195">
        <v>186214.4927</v>
      </c>
      <c r="C51" s="195">
        <v>0.0</v>
      </c>
      <c r="D51" s="195">
        <v>0.0</v>
      </c>
      <c r="E51" s="195">
        <v>0.0</v>
      </c>
      <c r="F51" s="195">
        <v>0.0</v>
      </c>
      <c r="G51" s="195">
        <v>0.0</v>
      </c>
      <c r="H51" s="195">
        <v>0.0</v>
      </c>
      <c r="I51" s="195">
        <v>0.0</v>
      </c>
      <c r="J51" s="195">
        <v>0.0</v>
      </c>
      <c r="K51" s="195">
        <v>0.0</v>
      </c>
    </row>
    <row r="52" ht="13.5" customHeight="1">
      <c r="A52" s="95" t="s">
        <v>78</v>
      </c>
      <c r="B52" s="195">
        <v>8071.96600862</v>
      </c>
      <c r="C52" s="195">
        <v>0.0</v>
      </c>
      <c r="D52" s="195">
        <v>0.0</v>
      </c>
      <c r="E52" s="195">
        <v>55.0</v>
      </c>
      <c r="F52" s="195">
        <v>0.0</v>
      </c>
      <c r="G52" s="195">
        <v>0.0</v>
      </c>
      <c r="H52" s="195">
        <v>0.0</v>
      </c>
      <c r="I52" s="195">
        <v>0.0</v>
      </c>
      <c r="J52" s="195">
        <v>0.045</v>
      </c>
      <c r="K52" s="195">
        <v>0.0</v>
      </c>
    </row>
    <row r="53" ht="13.5" customHeight="1">
      <c r="A53" s="95" t="s">
        <v>106</v>
      </c>
      <c r="B53" s="195">
        <v>0.0</v>
      </c>
      <c r="C53" s="195">
        <v>159147.46877</v>
      </c>
      <c r="D53" s="195">
        <v>0.0</v>
      </c>
      <c r="E53" s="195">
        <v>0.0</v>
      </c>
      <c r="F53" s="195">
        <v>0.0</v>
      </c>
      <c r="G53" s="195">
        <v>0.0</v>
      </c>
      <c r="H53" s="195">
        <v>0.0</v>
      </c>
      <c r="I53" s="195">
        <v>0.0</v>
      </c>
      <c r="J53" s="195">
        <v>0.0</v>
      </c>
      <c r="K53" s="195">
        <v>0.0</v>
      </c>
    </row>
    <row r="54" ht="13.5" customHeight="1">
      <c r="A54" s="95" t="s">
        <v>244</v>
      </c>
      <c r="B54" s="195">
        <v>4271973.7</v>
      </c>
      <c r="C54" s="195">
        <v>0.0</v>
      </c>
      <c r="D54" s="195">
        <v>0.0</v>
      </c>
      <c r="E54" s="195">
        <v>0.0</v>
      </c>
      <c r="F54" s="195">
        <v>96.25290865</v>
      </c>
      <c r="G54" s="195">
        <v>0.0</v>
      </c>
      <c r="H54" s="195">
        <v>0.0</v>
      </c>
      <c r="I54" s="195">
        <v>0.0</v>
      </c>
      <c r="J54" s="195">
        <v>0.0</v>
      </c>
      <c r="K54" s="195">
        <v>0.0</v>
      </c>
    </row>
    <row r="55" ht="13.5" customHeight="1">
      <c r="A55" s="95" t="s">
        <v>237</v>
      </c>
      <c r="B55" s="195">
        <v>0.0</v>
      </c>
      <c r="C55" s="195">
        <v>0.0</v>
      </c>
      <c r="D55" s="195">
        <v>0.0</v>
      </c>
      <c r="E55" s="195">
        <v>162992.6837</v>
      </c>
      <c r="F55" s="195">
        <v>0.0</v>
      </c>
      <c r="G55" s="195">
        <v>0.0</v>
      </c>
      <c r="H55" s="195">
        <v>0.0</v>
      </c>
      <c r="I55" s="195">
        <v>0.0</v>
      </c>
      <c r="J55" s="195">
        <v>-0.029548232200000003</v>
      </c>
      <c r="K55" s="195">
        <v>0.0</v>
      </c>
    </row>
    <row r="56" ht="13.5" customHeight="1">
      <c r="A56" s="95" t="s">
        <v>99</v>
      </c>
      <c r="B56" s="195">
        <v>129526.1711</v>
      </c>
      <c r="C56" s="195">
        <v>0.0</v>
      </c>
      <c r="D56" s="195">
        <v>0.0</v>
      </c>
      <c r="E56" s="195">
        <v>803656.0</v>
      </c>
      <c r="F56" s="195">
        <v>0.0</v>
      </c>
      <c r="G56" s="195">
        <v>0.0</v>
      </c>
      <c r="H56" s="195">
        <v>0.0</v>
      </c>
      <c r="I56" s="195">
        <v>0.0</v>
      </c>
      <c r="J56" s="195">
        <v>0.09429999999999998</v>
      </c>
      <c r="K56" s="195">
        <v>0.0</v>
      </c>
    </row>
    <row r="57" ht="13.5" customHeight="1">
      <c r="A57" s="95" t="s">
        <v>116</v>
      </c>
      <c r="B57" s="195">
        <v>0.0</v>
      </c>
      <c r="C57" s="195">
        <v>0.0</v>
      </c>
      <c r="D57" s="195">
        <v>0.0</v>
      </c>
      <c r="E57" s="195">
        <v>0.70342021</v>
      </c>
      <c r="F57" s="195">
        <v>0.0</v>
      </c>
      <c r="G57" s="195">
        <v>0.0</v>
      </c>
      <c r="H57" s="195">
        <v>0.0</v>
      </c>
      <c r="I57" s="195">
        <v>0.0</v>
      </c>
      <c r="J57" s="195">
        <v>0.0</v>
      </c>
      <c r="K57" s="195">
        <v>0.0</v>
      </c>
    </row>
    <row r="58" ht="13.5" customHeight="1">
      <c r="A58" s="95" t="s">
        <v>464</v>
      </c>
      <c r="B58" s="195">
        <v>0.0</v>
      </c>
      <c r="C58" s="195">
        <v>0.0</v>
      </c>
      <c r="D58" s="195">
        <v>0.0</v>
      </c>
      <c r="E58" s="195">
        <v>0.0</v>
      </c>
      <c r="F58" s="195">
        <v>0.0</v>
      </c>
      <c r="G58" s="195">
        <v>0.0</v>
      </c>
      <c r="H58" s="195">
        <v>0.0</v>
      </c>
      <c r="I58" s="195">
        <v>0.0</v>
      </c>
      <c r="J58" s="195">
        <v>0.0</v>
      </c>
      <c r="K58" s="195">
        <v>0.0</v>
      </c>
    </row>
    <row r="59" ht="13.5" customHeight="1">
      <c r="A59" s="95" t="s">
        <v>465</v>
      </c>
      <c r="B59" s="195">
        <v>0.0</v>
      </c>
      <c r="C59" s="195">
        <v>0.0</v>
      </c>
      <c r="D59" s="195">
        <v>0.0</v>
      </c>
      <c r="E59" s="195">
        <v>0.0</v>
      </c>
      <c r="F59" s="195">
        <v>0.0</v>
      </c>
      <c r="G59" s="195">
        <v>0.0</v>
      </c>
      <c r="H59" s="195">
        <v>0.0</v>
      </c>
      <c r="I59" s="195">
        <v>0.0</v>
      </c>
      <c r="J59" s="195">
        <v>0.0</v>
      </c>
      <c r="K59" s="195">
        <v>0.0</v>
      </c>
    </row>
    <row r="60" ht="13.5" customHeight="1">
      <c r="A60" s="95" t="s">
        <v>115</v>
      </c>
      <c r="B60" s="195">
        <v>92.04084298</v>
      </c>
      <c r="C60" s="195">
        <v>0.0</v>
      </c>
      <c r="D60" s="195">
        <v>0.0</v>
      </c>
      <c r="E60" s="195">
        <v>0.0</v>
      </c>
      <c r="F60" s="195">
        <v>0.0</v>
      </c>
      <c r="G60" s="195">
        <v>0.0</v>
      </c>
      <c r="H60" s="195">
        <v>0.0</v>
      </c>
      <c r="I60" s="195">
        <v>0.0</v>
      </c>
      <c r="J60" s="195">
        <v>0.0</v>
      </c>
      <c r="K60" s="195">
        <v>0.0</v>
      </c>
    </row>
    <row r="61" ht="13.5" customHeight="1">
      <c r="A61" s="95" t="s">
        <v>67</v>
      </c>
      <c r="B61" s="195">
        <v>458813.588683</v>
      </c>
      <c r="C61" s="195">
        <v>300616.7953</v>
      </c>
      <c r="D61" s="195">
        <v>0.0</v>
      </c>
      <c r="E61" s="195">
        <v>290225.04395388</v>
      </c>
      <c r="F61" s="195">
        <v>6007123.561</v>
      </c>
      <c r="G61" s="195">
        <v>0.0</v>
      </c>
      <c r="H61" s="195">
        <v>0.024966</v>
      </c>
      <c r="I61" s="195">
        <v>0.0</v>
      </c>
      <c r="J61" s="195">
        <v>0.1424999784187201</v>
      </c>
      <c r="K61" s="195">
        <v>0.35</v>
      </c>
    </row>
    <row r="62" ht="13.5" customHeight="1">
      <c r="A62" s="95" t="s">
        <v>209</v>
      </c>
      <c r="B62" s="195">
        <v>0.0</v>
      </c>
      <c r="C62" s="195">
        <v>2.0E-8</v>
      </c>
      <c r="D62" s="195">
        <v>0.0</v>
      </c>
      <c r="E62" s="195">
        <v>104168.05481351</v>
      </c>
      <c r="F62" s="195">
        <v>0.0</v>
      </c>
      <c r="G62" s="195">
        <v>0.0</v>
      </c>
      <c r="H62" s="195">
        <v>0.0</v>
      </c>
      <c r="I62" s="195">
        <v>0.0</v>
      </c>
      <c r="J62" s="195">
        <v>0.03308888119948183</v>
      </c>
      <c r="K62" s="195">
        <v>0.0</v>
      </c>
    </row>
    <row r="63" ht="13.5" customHeight="1">
      <c r="A63" s="95" t="s">
        <v>466</v>
      </c>
      <c r="B63" s="195">
        <v>0.0</v>
      </c>
      <c r="C63" s="195">
        <v>0.0</v>
      </c>
      <c r="D63" s="195">
        <v>0.0</v>
      </c>
      <c r="E63" s="195">
        <v>0.0</v>
      </c>
      <c r="F63" s="195">
        <v>0.0</v>
      </c>
      <c r="G63" s="195">
        <v>0.0</v>
      </c>
      <c r="H63" s="195">
        <v>0.0</v>
      </c>
      <c r="I63" s="195">
        <v>0.0</v>
      </c>
      <c r="J63" s="195">
        <v>0.0</v>
      </c>
      <c r="K63" s="195">
        <v>0.0</v>
      </c>
    </row>
    <row r="64" ht="13.5" customHeight="1">
      <c r="A64" s="95" t="s">
        <v>58</v>
      </c>
      <c r="B64" s="195">
        <v>1.0</v>
      </c>
      <c r="C64" s="195">
        <v>2.0006093671220902E7</v>
      </c>
      <c r="D64" s="195">
        <v>0.0</v>
      </c>
      <c r="E64" s="195">
        <v>3581.8475175099998</v>
      </c>
      <c r="F64" s="195">
        <v>1.604026691E8</v>
      </c>
      <c r="G64" s="195">
        <v>0.0</v>
      </c>
      <c r="H64" s="195">
        <v>0.0</v>
      </c>
      <c r="I64" s="195">
        <v>0.0</v>
      </c>
      <c r="J64" s="195">
        <v>0.011644635370882953</v>
      </c>
      <c r="K64" s="195">
        <v>0.03</v>
      </c>
    </row>
    <row r="65" ht="13.5" customHeight="1">
      <c r="A65" s="95" t="s">
        <v>87</v>
      </c>
      <c r="B65" s="195">
        <v>80697.68221</v>
      </c>
      <c r="C65" s="195">
        <v>584684.9567549999</v>
      </c>
      <c r="D65" s="195">
        <v>0.0</v>
      </c>
      <c r="E65" s="195">
        <v>99482.76</v>
      </c>
      <c r="F65" s="195">
        <v>0.0</v>
      </c>
      <c r="G65" s="195">
        <v>0.0</v>
      </c>
      <c r="H65" s="195">
        <v>0.09041287062008534</v>
      </c>
      <c r="I65" s="195">
        <v>0.0</v>
      </c>
      <c r="J65" s="195">
        <v>0.1473</v>
      </c>
      <c r="K65" s="195">
        <v>0.0</v>
      </c>
    </row>
    <row r="66" ht="13.5" customHeight="1">
      <c r="A66" s="95" t="s">
        <v>85</v>
      </c>
      <c r="B66" s="195">
        <v>7208907.6</v>
      </c>
      <c r="C66" s="195">
        <v>0.0</v>
      </c>
      <c r="D66" s="195">
        <v>0.0</v>
      </c>
      <c r="E66" s="195">
        <v>0.0</v>
      </c>
      <c r="F66" s="195">
        <v>0.0</v>
      </c>
      <c r="G66" s="195">
        <v>0.0</v>
      </c>
      <c r="H66" s="195">
        <v>0.0</v>
      </c>
      <c r="I66" s="195">
        <v>0.0</v>
      </c>
      <c r="J66" s="195">
        <v>0.0</v>
      </c>
      <c r="K66" s="195">
        <v>0.0</v>
      </c>
    </row>
    <row r="67" ht="13.5" customHeight="1">
      <c r="A67" s="95" t="s">
        <v>91</v>
      </c>
      <c r="B67" s="195">
        <v>3348120.317</v>
      </c>
      <c r="C67" s="195">
        <v>0.0</v>
      </c>
      <c r="D67" s="195">
        <v>0.0</v>
      </c>
      <c r="E67" s="195">
        <v>0.0</v>
      </c>
      <c r="F67" s="195">
        <v>0.0</v>
      </c>
      <c r="G67" s="195">
        <v>0.0</v>
      </c>
      <c r="H67" s="195">
        <v>0.0</v>
      </c>
      <c r="I67" s="195">
        <v>0.0</v>
      </c>
      <c r="J67" s="195">
        <v>0.0</v>
      </c>
      <c r="K67" s="195">
        <v>0.0</v>
      </c>
    </row>
    <row r="68" ht="13.5" customHeight="1">
      <c r="A68" s="95" t="s">
        <v>84</v>
      </c>
      <c r="B68" s="195">
        <v>4352768.6580066895</v>
      </c>
      <c r="C68" s="195">
        <v>0.0</v>
      </c>
      <c r="D68" s="195">
        <v>0.0</v>
      </c>
      <c r="E68" s="195">
        <v>0.0</v>
      </c>
      <c r="F68" s="195">
        <v>0.0</v>
      </c>
      <c r="G68" s="195">
        <v>0.0</v>
      </c>
      <c r="H68" s="195">
        <v>0.0</v>
      </c>
      <c r="I68" s="195">
        <v>0.0</v>
      </c>
      <c r="J68" s="195">
        <v>0.0</v>
      </c>
      <c r="K68" s="195">
        <v>0.0</v>
      </c>
    </row>
    <row r="69" ht="13.5" customHeight="1">
      <c r="A69" s="95" t="s">
        <v>92</v>
      </c>
      <c r="B69" s="195">
        <v>1.8969302238900002E7</v>
      </c>
      <c r="C69" s="195">
        <v>0.0</v>
      </c>
      <c r="D69" s="195">
        <v>0.0</v>
      </c>
      <c r="E69" s="195">
        <v>0.0</v>
      </c>
      <c r="F69" s="195">
        <v>0.0</v>
      </c>
      <c r="G69" s="195">
        <v>0.0</v>
      </c>
      <c r="H69" s="195">
        <v>0.0</v>
      </c>
      <c r="I69" s="195">
        <v>0.0</v>
      </c>
      <c r="J69" s="195">
        <v>0.0</v>
      </c>
      <c r="K69" s="195">
        <v>0.0</v>
      </c>
    </row>
    <row r="70" ht="13.5" customHeight="1">
      <c r="A70" s="95" t="s">
        <v>246</v>
      </c>
      <c r="B70" s="195">
        <v>14759.54926</v>
      </c>
      <c r="C70" s="195">
        <v>736281.0581</v>
      </c>
      <c r="D70" s="195">
        <v>0.0</v>
      </c>
      <c r="E70" s="195">
        <v>0.0</v>
      </c>
      <c r="F70" s="195">
        <v>474800.388</v>
      </c>
      <c r="G70" s="195">
        <v>0.0</v>
      </c>
      <c r="H70" s="195">
        <v>0.0</v>
      </c>
      <c r="I70" s="195">
        <v>0.0</v>
      </c>
      <c r="J70" s="195">
        <v>0.0</v>
      </c>
      <c r="K70" s="195">
        <v>0.0</v>
      </c>
    </row>
    <row r="71" ht="13.5" customHeight="1">
      <c r="A71" s="95" t="s">
        <v>97</v>
      </c>
      <c r="B71" s="195">
        <v>31920.7215</v>
      </c>
      <c r="C71" s="195">
        <v>0.0</v>
      </c>
      <c r="D71" s="195">
        <v>0.0</v>
      </c>
      <c r="E71" s="195">
        <v>94795.65</v>
      </c>
      <c r="F71" s="195">
        <v>0.0</v>
      </c>
      <c r="G71" s="195">
        <v>0.0</v>
      </c>
      <c r="H71" s="195">
        <v>0.0</v>
      </c>
      <c r="I71" s="195">
        <v>0.0</v>
      </c>
      <c r="J71" s="195">
        <v>0.0747</v>
      </c>
      <c r="K71" s="195">
        <v>0.0</v>
      </c>
    </row>
    <row r="72" ht="13.5" customHeight="1">
      <c r="A72" s="58" t="s">
        <v>69</v>
      </c>
      <c r="B72" s="196">
        <v>152722.15394989998</v>
      </c>
      <c r="C72" s="196">
        <v>205145.3176</v>
      </c>
      <c r="D72" s="196">
        <v>0.0</v>
      </c>
      <c r="E72" s="196">
        <v>1007639.37131</v>
      </c>
      <c r="F72" s="196">
        <v>944849.9642653094</v>
      </c>
      <c r="G72" s="196">
        <v>0.0</v>
      </c>
      <c r="H72" s="196">
        <v>0.00876</v>
      </c>
      <c r="I72" s="196">
        <v>0.0</v>
      </c>
      <c r="J72" s="196">
        <v>0.07018909834491409</v>
      </c>
      <c r="K72" s="196">
        <v>4.0821944049065505E-10</v>
      </c>
    </row>
    <row r="73" ht="13.5" customHeight="1">
      <c r="A73" s="58" t="s">
        <v>105</v>
      </c>
      <c r="B73" s="196">
        <v>0.0</v>
      </c>
      <c r="C73" s="196">
        <v>42468.495006661375</v>
      </c>
      <c r="D73" s="196">
        <v>0.0</v>
      </c>
      <c r="E73" s="196">
        <v>0.0</v>
      </c>
      <c r="F73" s="196">
        <v>0.0</v>
      </c>
      <c r="G73" s="196">
        <v>0.0</v>
      </c>
      <c r="H73" s="196">
        <v>0.0</v>
      </c>
      <c r="I73" s="196">
        <v>0.0</v>
      </c>
      <c r="J73" s="196">
        <v>0.0</v>
      </c>
      <c r="K73" s="196">
        <v>0.0</v>
      </c>
    </row>
    <row r="74" ht="13.5" customHeight="1">
      <c r="A74" s="58" t="s">
        <v>146</v>
      </c>
      <c r="B74" s="196">
        <v>89.42852822999998</v>
      </c>
      <c r="C74" s="196">
        <v>11401.176840954698</v>
      </c>
      <c r="D74" s="196">
        <v>0.0</v>
      </c>
      <c r="E74" s="196">
        <v>19361.9813003</v>
      </c>
      <c r="F74" s="196">
        <v>1646.4520318999998</v>
      </c>
      <c r="G74" s="196">
        <v>0.0</v>
      </c>
      <c r="H74" s="196">
        <v>0.031123247042467894</v>
      </c>
      <c r="I74" s="196">
        <v>0.0</v>
      </c>
      <c r="J74" s="196">
        <v>0.004373024678307774</v>
      </c>
      <c r="K74" s="196">
        <v>0.019459131129206147</v>
      </c>
    </row>
    <row r="75" ht="13.5" customHeight="1">
      <c r="A75" s="58" t="s">
        <v>102</v>
      </c>
      <c r="B75" s="196">
        <v>1666.471496</v>
      </c>
      <c r="C75" s="196">
        <v>0.0</v>
      </c>
      <c r="D75" s="196">
        <v>0.0</v>
      </c>
      <c r="E75" s="196">
        <v>0.0</v>
      </c>
      <c r="F75" s="196">
        <v>0.0</v>
      </c>
      <c r="G75" s="196">
        <v>0.0</v>
      </c>
      <c r="H75" s="196">
        <v>0.0</v>
      </c>
      <c r="I75" s="196">
        <v>0.0</v>
      </c>
      <c r="J75" s="196">
        <v>0.0</v>
      </c>
      <c r="K75" s="196">
        <v>0.0</v>
      </c>
    </row>
    <row r="76" ht="13.5" customHeight="1">
      <c r="A76" s="58" t="s">
        <v>98</v>
      </c>
      <c r="B76" s="196">
        <v>237.396921</v>
      </c>
      <c r="C76" s="196">
        <v>101.0048396</v>
      </c>
      <c r="D76" s="196">
        <v>0.0</v>
      </c>
      <c r="E76" s="196">
        <v>0.0</v>
      </c>
      <c r="F76" s="196">
        <v>0.0</v>
      </c>
      <c r="G76" s="196">
        <v>0.0</v>
      </c>
      <c r="H76" s="196">
        <v>0.0</v>
      </c>
      <c r="I76" s="196">
        <v>0.0</v>
      </c>
      <c r="J76" s="196">
        <v>0.0</v>
      </c>
      <c r="K76" s="196">
        <v>0.0</v>
      </c>
    </row>
    <row r="77" ht="13.5" customHeight="1">
      <c r="A77" s="58" t="s">
        <v>68</v>
      </c>
      <c r="B77" s="196">
        <v>5.51531867604726E7</v>
      </c>
      <c r="C77" s="196">
        <v>0.0</v>
      </c>
      <c r="D77" s="196">
        <v>0.0</v>
      </c>
      <c r="E77" s="196">
        <v>7.651777164E7</v>
      </c>
      <c r="F77" s="196">
        <v>0.0</v>
      </c>
      <c r="G77" s="196">
        <v>0.0</v>
      </c>
      <c r="H77" s="196">
        <v>0.0</v>
      </c>
      <c r="I77" s="196">
        <v>0.0</v>
      </c>
      <c r="J77" s="196">
        <v>0.0467693176634698</v>
      </c>
      <c r="K77" s="196">
        <v>0.0</v>
      </c>
    </row>
    <row r="78" ht="13.5" customHeight="1">
      <c r="A78" s="58" t="s">
        <v>62</v>
      </c>
      <c r="B78" s="196">
        <v>3.1617022373032E7</v>
      </c>
      <c r="C78" s="196">
        <v>0.02250599</v>
      </c>
      <c r="D78" s="196">
        <v>0.0</v>
      </c>
      <c r="E78" s="196">
        <v>1.9261208738701978E8</v>
      </c>
      <c r="F78" s="196">
        <v>9698274.0</v>
      </c>
      <c r="G78" s="196">
        <v>0.0</v>
      </c>
      <c r="H78" s="196">
        <v>0.0</v>
      </c>
      <c r="I78" s="196">
        <v>0.0</v>
      </c>
      <c r="J78" s="196">
        <v>0.04619952632728568</v>
      </c>
      <c r="K78" s="196">
        <v>0.0</v>
      </c>
    </row>
    <row r="79" ht="13.5" customHeight="1">
      <c r="A79" s="58" t="s">
        <v>241</v>
      </c>
      <c r="B79" s="196">
        <v>94113.83263</v>
      </c>
      <c r="C79" s="196">
        <v>0.0</v>
      </c>
      <c r="D79" s="196">
        <v>0.0</v>
      </c>
      <c r="E79" s="196">
        <v>200000.0</v>
      </c>
      <c r="F79" s="196">
        <v>274.11</v>
      </c>
      <c r="G79" s="196">
        <v>0.0</v>
      </c>
      <c r="H79" s="196">
        <v>0.0</v>
      </c>
      <c r="I79" s="196">
        <v>0.0</v>
      </c>
      <c r="J79" s="196">
        <v>0.0</v>
      </c>
      <c r="K79" s="196">
        <v>0.0</v>
      </c>
    </row>
    <row r="80" ht="13.5" customHeight="1">
      <c r="A80" s="58" t="s">
        <v>96</v>
      </c>
      <c r="B80" s="196">
        <v>0.30885492</v>
      </c>
      <c r="C80" s="196">
        <v>0.0</v>
      </c>
      <c r="D80" s="196">
        <v>0.0</v>
      </c>
      <c r="E80" s="196">
        <v>51.77077862</v>
      </c>
      <c r="F80" s="196">
        <v>0.4258424739</v>
      </c>
      <c r="G80" s="196">
        <v>0.0</v>
      </c>
      <c r="H80" s="196">
        <v>0.0</v>
      </c>
      <c r="I80" s="196">
        <v>0.0</v>
      </c>
      <c r="J80" s="196">
        <v>0.08163806132842742</v>
      </c>
      <c r="K80" s="196">
        <v>0.0</v>
      </c>
    </row>
    <row r="81" ht="13.5" customHeight="1">
      <c r="A81" s="58" t="s">
        <v>248</v>
      </c>
      <c r="B81" s="196">
        <v>1044.03038</v>
      </c>
      <c r="C81" s="196">
        <v>0.0</v>
      </c>
      <c r="D81" s="196">
        <v>0.0</v>
      </c>
      <c r="E81" s="196">
        <v>0.0</v>
      </c>
      <c r="F81" s="196">
        <v>0.0</v>
      </c>
      <c r="G81" s="196">
        <v>0.0</v>
      </c>
      <c r="H81" s="196">
        <v>0.0</v>
      </c>
      <c r="I81" s="196">
        <v>0.0</v>
      </c>
      <c r="J81" s="196">
        <v>0.0</v>
      </c>
      <c r="K81" s="196">
        <v>0.0</v>
      </c>
    </row>
    <row r="82" ht="13.5" customHeight="1">
      <c r="A82" s="58" t="s">
        <v>257</v>
      </c>
      <c r="B82" s="196">
        <v>0.0</v>
      </c>
      <c r="C82" s="196">
        <v>0.0</v>
      </c>
      <c r="D82" s="196">
        <v>0.0</v>
      </c>
      <c r="E82" s="196">
        <v>0.0</v>
      </c>
      <c r="F82" s="196">
        <v>20007.23888</v>
      </c>
      <c r="G82" s="196">
        <v>0.0</v>
      </c>
      <c r="H82" s="196">
        <v>0.0</v>
      </c>
      <c r="I82" s="196">
        <v>0.0</v>
      </c>
      <c r="J82" s="196">
        <v>0.0</v>
      </c>
      <c r="K82" s="196">
        <v>0.0</v>
      </c>
    </row>
    <row r="83" ht="13.5" customHeight="1">
      <c r="A83" s="58" t="s">
        <v>75</v>
      </c>
      <c r="B83" s="196">
        <v>93963.51496</v>
      </c>
      <c r="C83" s="196">
        <v>0.0</v>
      </c>
      <c r="D83" s="196">
        <v>0.0</v>
      </c>
      <c r="E83" s="196">
        <v>28630.614564</v>
      </c>
      <c r="F83" s="196">
        <v>0.0</v>
      </c>
      <c r="G83" s="196">
        <v>0.0</v>
      </c>
      <c r="H83" s="196">
        <v>0.0</v>
      </c>
      <c r="I83" s="196">
        <v>0.0</v>
      </c>
      <c r="J83" s="196">
        <v>0.0323569722168958</v>
      </c>
      <c r="K83" s="196">
        <v>0.0</v>
      </c>
    </row>
    <row r="84" ht="13.5" customHeight="1">
      <c r="A84" s="58" t="s">
        <v>80</v>
      </c>
      <c r="B84" s="196">
        <v>1430995.0872</v>
      </c>
      <c r="C84" s="196">
        <v>0.0</v>
      </c>
      <c r="D84" s="196">
        <v>0.0</v>
      </c>
      <c r="E84" s="196">
        <v>1.01400332709E7</v>
      </c>
      <c r="F84" s="196">
        <v>3246740.4373380723</v>
      </c>
      <c r="G84" s="196">
        <v>0.0</v>
      </c>
      <c r="H84" s="196">
        <v>0.0</v>
      </c>
      <c r="I84" s="196">
        <v>0.0</v>
      </c>
      <c r="J84" s="196">
        <v>0.023504097998530104</v>
      </c>
      <c r="K84" s="196">
        <v>0.019946186315126353</v>
      </c>
    </row>
    <row r="85" ht="13.5" customHeight="1">
      <c r="A85" s="58" t="s">
        <v>232</v>
      </c>
      <c r="B85" s="196">
        <v>0.0</v>
      </c>
      <c r="C85" s="196">
        <v>71342.4219391</v>
      </c>
      <c r="D85" s="196">
        <v>0.0</v>
      </c>
      <c r="E85" s="196">
        <v>685241.839055</v>
      </c>
      <c r="F85" s="196">
        <v>176972.4194</v>
      </c>
      <c r="G85" s="196">
        <v>0.0</v>
      </c>
      <c r="H85" s="196">
        <v>0.0</v>
      </c>
      <c r="I85" s="196">
        <v>0.0</v>
      </c>
      <c r="J85" s="196">
        <v>0.03428704613657827</v>
      </c>
      <c r="K85" s="196">
        <v>0.0</v>
      </c>
    </row>
    <row r="86" ht="13.5" customHeight="1">
      <c r="A86" s="58" t="s">
        <v>285</v>
      </c>
      <c r="B86" s="196">
        <v>0.0</v>
      </c>
      <c r="C86" s="196">
        <v>0.0</v>
      </c>
      <c r="D86" s="196">
        <v>0.0</v>
      </c>
      <c r="E86" s="196">
        <v>60000.04744</v>
      </c>
      <c r="F86" s="196">
        <v>0.0</v>
      </c>
      <c r="G86" s="196">
        <v>0.0</v>
      </c>
      <c r="H86" s="196">
        <v>0.0</v>
      </c>
      <c r="I86" s="196">
        <v>0.0</v>
      </c>
      <c r="J86" s="196">
        <v>0.04294812889</v>
      </c>
      <c r="K86" s="196">
        <v>0.0</v>
      </c>
    </row>
    <row r="87" ht="13.5" customHeight="1">
      <c r="A87" s="58" t="s">
        <v>287</v>
      </c>
      <c r="B87" s="196">
        <v>0.0</v>
      </c>
      <c r="C87" s="196">
        <v>0.0</v>
      </c>
      <c r="D87" s="196">
        <v>0.0</v>
      </c>
      <c r="E87" s="196">
        <v>900021.2306</v>
      </c>
      <c r="F87" s="196">
        <v>0.0</v>
      </c>
      <c r="G87" s="196">
        <v>0.0</v>
      </c>
      <c r="H87" s="196">
        <v>0.0</v>
      </c>
      <c r="I87" s="196">
        <v>0.0</v>
      </c>
      <c r="J87" s="196">
        <v>0.04294812889</v>
      </c>
      <c r="K87" s="196">
        <v>0.0</v>
      </c>
    </row>
    <row r="88" ht="13.5" customHeight="1">
      <c r="A88" s="58" t="s">
        <v>233</v>
      </c>
      <c r="B88" s="196">
        <v>0.0</v>
      </c>
      <c r="C88" s="196">
        <v>0.0</v>
      </c>
      <c r="D88" s="196">
        <v>0.0</v>
      </c>
      <c r="E88" s="196">
        <v>213558.8607</v>
      </c>
      <c r="F88" s="196">
        <v>0.0</v>
      </c>
      <c r="G88" s="196">
        <v>0.0</v>
      </c>
      <c r="H88" s="196">
        <v>0.0</v>
      </c>
      <c r="I88" s="196">
        <v>0.0</v>
      </c>
      <c r="J88" s="196">
        <v>-0.0295482322</v>
      </c>
      <c r="K88" s="196">
        <v>0.0</v>
      </c>
    </row>
    <row r="89" ht="13.5" customHeight="1">
      <c r="A89" s="58" t="s">
        <v>467</v>
      </c>
      <c r="B89" s="196">
        <v>0.0</v>
      </c>
      <c r="C89" s="196">
        <v>0.0</v>
      </c>
      <c r="D89" s="196">
        <v>0.0</v>
      </c>
      <c r="E89" s="196">
        <v>3.0E-6</v>
      </c>
      <c r="F89" s="196">
        <v>0.0</v>
      </c>
      <c r="G89" s="196">
        <v>0.0</v>
      </c>
      <c r="H89" s="196">
        <v>0.0</v>
      </c>
      <c r="I89" s="196">
        <v>0.0</v>
      </c>
      <c r="J89" s="196">
        <v>0.0</v>
      </c>
      <c r="K89" s="196">
        <v>0.0</v>
      </c>
    </row>
    <row r="90" ht="13.5" customHeight="1">
      <c r="A90" s="58" t="s">
        <v>286</v>
      </c>
      <c r="B90" s="196">
        <v>0.0</v>
      </c>
      <c r="C90" s="196">
        <v>0.0</v>
      </c>
      <c r="D90" s="196">
        <v>0.0</v>
      </c>
      <c r="E90" s="196">
        <v>1.092541385E9</v>
      </c>
      <c r="F90" s="196">
        <v>0.0</v>
      </c>
      <c r="G90" s="196">
        <v>0.0</v>
      </c>
      <c r="H90" s="196">
        <v>0.0</v>
      </c>
      <c r="I90" s="196">
        <v>0.0</v>
      </c>
      <c r="J90" s="196">
        <v>0.0</v>
      </c>
      <c r="K90" s="196">
        <v>0.0</v>
      </c>
    </row>
    <row r="91" ht="13.5" customHeight="1">
      <c r="A91" s="58" t="s">
        <v>55</v>
      </c>
      <c r="B91" s="196">
        <v>3.0464732088168985E8</v>
      </c>
      <c r="C91" s="196">
        <v>1.1339955304937081E8</v>
      </c>
      <c r="D91" s="196">
        <v>0.0</v>
      </c>
      <c r="E91" s="196">
        <v>1.0951977220348277E9</v>
      </c>
      <c r="F91" s="196">
        <v>1.5194822980080018E9</v>
      </c>
      <c r="G91" s="196">
        <v>0.0</v>
      </c>
      <c r="H91" s="196">
        <v>0.03829323606997398</v>
      </c>
      <c r="I91" s="196">
        <v>0.0</v>
      </c>
      <c r="J91" s="196">
        <v>0.08743443075572943</v>
      </c>
      <c r="K91" s="196">
        <v>0.10987146718722803</v>
      </c>
    </row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1.63"/>
    <col customWidth="1" min="3" max="26" width="8.63"/>
  </cols>
  <sheetData>
    <row r="1" ht="13.5" customHeight="1">
      <c r="A1" s="77" t="s">
        <v>38</v>
      </c>
      <c r="B1" s="78" t="s">
        <v>468</v>
      </c>
    </row>
    <row r="2" ht="13.5" customHeight="1">
      <c r="A2" s="95" t="s">
        <v>77</v>
      </c>
      <c r="B2" s="195">
        <v>2.358615111</v>
      </c>
    </row>
    <row r="3" ht="13.5" customHeight="1">
      <c r="A3" s="95" t="s">
        <v>196</v>
      </c>
      <c r="B3" s="195">
        <v>1.02</v>
      </c>
    </row>
    <row r="4" ht="13.5" customHeight="1">
      <c r="A4" s="95" t="s">
        <v>70</v>
      </c>
      <c r="B4" s="195">
        <v>173.1638356</v>
      </c>
    </row>
    <row r="5" ht="13.5" customHeight="1">
      <c r="A5" s="95" t="s">
        <v>60</v>
      </c>
      <c r="B5" s="195">
        <v>1.224927047</v>
      </c>
    </row>
    <row r="6" ht="13.5" customHeight="1">
      <c r="A6" s="95" t="s">
        <v>284</v>
      </c>
      <c r="B6" s="195">
        <v>180.32</v>
      </c>
    </row>
    <row r="7" ht="13.5" customHeight="1">
      <c r="A7" s="95" t="s">
        <v>101</v>
      </c>
      <c r="B7" s="195">
        <v>0.6678409518</v>
      </c>
    </row>
    <row r="8" ht="13.5" customHeight="1">
      <c r="A8" s="95" t="s">
        <v>469</v>
      </c>
      <c r="B8" s="195">
        <v>1.0</v>
      </c>
    </row>
    <row r="9" ht="13.5" customHeight="1">
      <c r="A9" s="95" t="s">
        <v>112</v>
      </c>
      <c r="B9" s="195">
        <v>0.9086764428</v>
      </c>
    </row>
    <row r="10" ht="13.5" customHeight="1">
      <c r="A10" s="95" t="s">
        <v>111</v>
      </c>
      <c r="B10" s="195">
        <v>0.0968507155</v>
      </c>
    </row>
    <row r="11" ht="13.5" customHeight="1">
      <c r="A11" s="95" t="s">
        <v>242</v>
      </c>
      <c r="B11" s="195">
        <v>0.095818</v>
      </c>
    </row>
    <row r="12" ht="13.5" customHeight="1">
      <c r="A12" s="95" t="s">
        <v>211</v>
      </c>
      <c r="B12" s="195">
        <v>104.1704915</v>
      </c>
    </row>
    <row r="13" ht="13.5" customHeight="1">
      <c r="A13" s="95" t="s">
        <v>90</v>
      </c>
      <c r="B13" s="195">
        <v>14.44190837</v>
      </c>
    </row>
    <row r="14" ht="13.5" customHeight="1">
      <c r="A14" s="95" t="s">
        <v>103</v>
      </c>
      <c r="B14" s="195">
        <v>17.65911299</v>
      </c>
    </row>
    <row r="15" ht="13.5" customHeight="1">
      <c r="A15" s="95" t="s">
        <v>74</v>
      </c>
      <c r="B15" s="195">
        <v>1.078602899</v>
      </c>
    </row>
    <row r="16" ht="13.5" customHeight="1">
      <c r="A16" s="95" t="s">
        <v>66</v>
      </c>
      <c r="B16" s="195">
        <v>427.8766983</v>
      </c>
    </row>
    <row r="17" ht="13.5" customHeight="1">
      <c r="A17" s="95" t="s">
        <v>65</v>
      </c>
      <c r="B17" s="195">
        <v>520.1023256</v>
      </c>
    </row>
    <row r="18" ht="13.5" customHeight="1">
      <c r="A18" s="95" t="s">
        <v>79</v>
      </c>
      <c r="B18" s="195">
        <v>3.165969505</v>
      </c>
    </row>
    <row r="19" ht="13.5" customHeight="1">
      <c r="A19" s="95" t="s">
        <v>235</v>
      </c>
      <c r="B19" s="195">
        <v>3.01</v>
      </c>
    </row>
    <row r="20" ht="13.5" customHeight="1">
      <c r="A20" s="95" t="s">
        <v>113</v>
      </c>
      <c r="B20" s="195">
        <v>15.06</v>
      </c>
    </row>
    <row r="21" ht="13.5" customHeight="1">
      <c r="A21" s="95" t="s">
        <v>253</v>
      </c>
      <c r="B21" s="195">
        <v>408.09</v>
      </c>
    </row>
    <row r="22" ht="13.5" customHeight="1">
      <c r="A22" s="95" t="s">
        <v>89</v>
      </c>
      <c r="B22" s="195">
        <v>121.68</v>
      </c>
    </row>
    <row r="23" ht="13.5" customHeight="1">
      <c r="A23" s="95" t="s">
        <v>53</v>
      </c>
      <c r="B23" s="195">
        <v>46314.63028</v>
      </c>
    </row>
    <row r="24" ht="13.5" customHeight="1">
      <c r="A24" s="95" t="s">
        <v>104</v>
      </c>
      <c r="B24" s="195">
        <v>40.15750772</v>
      </c>
    </row>
    <row r="25" ht="13.5" customHeight="1">
      <c r="A25" s="95" t="s">
        <v>470</v>
      </c>
      <c r="B25" s="195">
        <v>1.001657754</v>
      </c>
    </row>
    <row r="26" ht="13.5" customHeight="1">
      <c r="A26" s="95" t="s">
        <v>56</v>
      </c>
      <c r="B26" s="195">
        <v>3.916622336</v>
      </c>
    </row>
    <row r="27" ht="13.5" customHeight="1">
      <c r="A27" s="95" t="s">
        <v>81</v>
      </c>
      <c r="B27" s="195">
        <v>187.58</v>
      </c>
    </row>
    <row r="28" ht="13.5" customHeight="1">
      <c r="A28" s="95" t="s">
        <v>279</v>
      </c>
      <c r="B28" s="195">
        <v>30.84</v>
      </c>
    </row>
    <row r="29" ht="13.5" customHeight="1">
      <c r="A29" s="95" t="s">
        <v>88</v>
      </c>
      <c r="B29" s="195">
        <v>3.991734421</v>
      </c>
    </row>
    <row r="30" ht="13.5" customHeight="1">
      <c r="A30" s="95" t="s">
        <v>83</v>
      </c>
      <c r="B30" s="195">
        <v>30.31</v>
      </c>
    </row>
    <row r="31" ht="13.5" customHeight="1">
      <c r="A31" s="95" t="s">
        <v>76</v>
      </c>
      <c r="B31" s="195">
        <v>127.3985472</v>
      </c>
    </row>
    <row r="32" ht="13.5" customHeight="1">
      <c r="A32" s="95" t="s">
        <v>95</v>
      </c>
      <c r="B32" s="195">
        <v>35192.45221</v>
      </c>
    </row>
    <row r="33" ht="13.5" customHeight="1">
      <c r="A33" s="95" t="s">
        <v>72</v>
      </c>
      <c r="B33" s="195">
        <v>24.25242304</v>
      </c>
    </row>
    <row r="34" ht="13.5" customHeight="1">
      <c r="A34" s="95" t="s">
        <v>73</v>
      </c>
      <c r="B34" s="195">
        <v>3.224794378</v>
      </c>
    </row>
    <row r="35" ht="13.5" customHeight="1">
      <c r="A35" s="95" t="s">
        <v>82</v>
      </c>
      <c r="B35" s="195">
        <v>34.29459694</v>
      </c>
    </row>
    <row r="36" ht="13.5" customHeight="1">
      <c r="A36" s="95" t="s">
        <v>54</v>
      </c>
      <c r="B36" s="195">
        <v>3819.675532</v>
      </c>
    </row>
    <row r="37" ht="13.5" customHeight="1">
      <c r="A37" s="95" t="s">
        <v>107</v>
      </c>
      <c r="B37" s="195">
        <v>88.74747431</v>
      </c>
    </row>
    <row r="38" ht="13.5" customHeight="1">
      <c r="A38" s="95" t="s">
        <v>108</v>
      </c>
      <c r="B38" s="195">
        <v>1.12</v>
      </c>
    </row>
    <row r="39" ht="13.5" customHeight="1">
      <c r="A39" s="95" t="s">
        <v>243</v>
      </c>
      <c r="B39" s="195">
        <v>1.362562138</v>
      </c>
    </row>
    <row r="40" ht="13.5" customHeight="1">
      <c r="A40" s="95" t="s">
        <v>59</v>
      </c>
      <c r="B40" s="195">
        <v>39.51861627</v>
      </c>
    </row>
    <row r="41" ht="13.5" customHeight="1">
      <c r="A41" s="95" t="s">
        <v>471</v>
      </c>
      <c r="B41" s="195">
        <v>0.9964788368</v>
      </c>
    </row>
    <row r="42" ht="13.5" customHeight="1">
      <c r="A42" s="95" t="s">
        <v>93</v>
      </c>
      <c r="B42" s="195">
        <v>1.235585033</v>
      </c>
    </row>
    <row r="43" ht="13.5" customHeight="1">
      <c r="A43" s="95" t="s">
        <v>94</v>
      </c>
      <c r="B43" s="195">
        <v>2.57</v>
      </c>
    </row>
    <row r="44" ht="13.5" customHeight="1">
      <c r="A44" s="95" t="s">
        <v>61</v>
      </c>
      <c r="B44" s="195">
        <v>18.51308692</v>
      </c>
    </row>
    <row r="45" ht="13.5" customHeight="1">
      <c r="A45" s="95" t="s">
        <v>100</v>
      </c>
      <c r="B45" s="195">
        <v>33.46970838</v>
      </c>
    </row>
    <row r="46" ht="13.5" customHeight="1">
      <c r="A46" s="95" t="s">
        <v>117</v>
      </c>
      <c r="B46" s="195">
        <v>5.37</v>
      </c>
    </row>
    <row r="47" ht="13.5" customHeight="1">
      <c r="A47" s="95" t="s">
        <v>64</v>
      </c>
      <c r="B47" s="195">
        <v>150.2184313</v>
      </c>
    </row>
    <row r="48" ht="13.5" customHeight="1">
      <c r="A48" s="95" t="s">
        <v>63</v>
      </c>
      <c r="B48" s="195">
        <v>75.53490033</v>
      </c>
    </row>
    <row r="49" ht="13.5" customHeight="1">
      <c r="A49" s="95" t="s">
        <v>472</v>
      </c>
      <c r="B49" s="195">
        <v>1.003574996</v>
      </c>
    </row>
    <row r="50" ht="13.5" customHeight="1">
      <c r="A50" s="95" t="s">
        <v>473</v>
      </c>
      <c r="B50" s="195">
        <v>0.989661</v>
      </c>
    </row>
    <row r="51" ht="13.5" customHeight="1">
      <c r="A51" s="95" t="s">
        <v>71</v>
      </c>
      <c r="B51" s="195">
        <v>3.162748017</v>
      </c>
    </row>
    <row r="52" ht="13.5" customHeight="1">
      <c r="A52" s="95" t="s">
        <v>57</v>
      </c>
      <c r="B52" s="195">
        <v>2.097607594</v>
      </c>
    </row>
    <row r="53" ht="13.5" customHeight="1">
      <c r="A53" s="95" t="s">
        <v>474</v>
      </c>
      <c r="B53" s="195">
        <v>1.0</v>
      </c>
    </row>
    <row r="54" ht="13.5" customHeight="1">
      <c r="A54" s="95" t="s">
        <v>109</v>
      </c>
      <c r="B54" s="195">
        <v>2294.480115</v>
      </c>
    </row>
    <row r="55" ht="13.5" customHeight="1">
      <c r="A55" s="95" t="s">
        <v>86</v>
      </c>
      <c r="B55" s="195">
        <v>5.762180134</v>
      </c>
    </row>
    <row r="56" ht="13.5" customHeight="1">
      <c r="A56" s="95" t="s">
        <v>114</v>
      </c>
      <c r="B56" s="195">
        <v>0.4084922851</v>
      </c>
    </row>
    <row r="57" ht="13.5" customHeight="1">
      <c r="A57" s="95" t="s">
        <v>110</v>
      </c>
      <c r="B57" s="195">
        <v>0.08548063118</v>
      </c>
    </row>
    <row r="58" ht="13.5" customHeight="1">
      <c r="A58" s="95" t="s">
        <v>475</v>
      </c>
      <c r="B58" s="195">
        <v>1.000273384</v>
      </c>
    </row>
    <row r="59" ht="13.5" customHeight="1">
      <c r="A59" s="95" t="s">
        <v>78</v>
      </c>
      <c r="B59" s="195">
        <v>1806.139252</v>
      </c>
    </row>
    <row r="60" ht="13.5" customHeight="1">
      <c r="A60" s="95" t="s">
        <v>106</v>
      </c>
      <c r="B60" s="195">
        <v>0.9224738405</v>
      </c>
    </row>
    <row r="61" ht="13.5" customHeight="1">
      <c r="A61" s="95" t="s">
        <v>244</v>
      </c>
      <c r="B61" s="195">
        <v>0.146055</v>
      </c>
    </row>
    <row r="62" ht="13.5" customHeight="1">
      <c r="A62" s="95" t="s">
        <v>237</v>
      </c>
      <c r="B62" s="195">
        <v>7.029018914</v>
      </c>
    </row>
    <row r="63" ht="13.5" customHeight="1">
      <c r="A63" s="95" t="s">
        <v>99</v>
      </c>
      <c r="B63" s="195">
        <v>0.4805839748</v>
      </c>
    </row>
    <row r="64" ht="13.5" customHeight="1">
      <c r="A64" s="95" t="s">
        <v>116</v>
      </c>
      <c r="B64" s="195">
        <v>144.3431868</v>
      </c>
    </row>
    <row r="65" ht="13.5" customHeight="1">
      <c r="A65" s="95" t="s">
        <v>464</v>
      </c>
      <c r="B65" s="195">
        <v>0.0</v>
      </c>
    </row>
    <row r="66" ht="13.5" customHeight="1">
      <c r="A66" s="95" t="s">
        <v>465</v>
      </c>
      <c r="B66" s="195">
        <v>0.2071167817</v>
      </c>
    </row>
    <row r="67" ht="13.5" customHeight="1">
      <c r="A67" s="95" t="s">
        <v>115</v>
      </c>
      <c r="B67" s="195">
        <v>1.214643649</v>
      </c>
    </row>
    <row r="68" ht="13.5" customHeight="1">
      <c r="A68" s="95" t="s">
        <v>67</v>
      </c>
      <c r="B68" s="195">
        <v>4.960176782</v>
      </c>
    </row>
    <row r="69" ht="13.5" customHeight="1">
      <c r="A69" s="95" t="s">
        <v>209</v>
      </c>
      <c r="B69" s="195">
        <v>175.6196177</v>
      </c>
    </row>
    <row r="70" ht="13.5" customHeight="1">
      <c r="A70" s="95" t="s">
        <v>466</v>
      </c>
      <c r="B70" s="195">
        <v>0.0</v>
      </c>
    </row>
    <row r="71" ht="13.5" customHeight="1">
      <c r="A71" s="95" t="s">
        <v>58</v>
      </c>
      <c r="B71" s="195">
        <v>3.325319692</v>
      </c>
    </row>
    <row r="72" ht="13.5" customHeight="1">
      <c r="A72" s="95" t="s">
        <v>476</v>
      </c>
      <c r="B72" s="195">
        <v>0.995462</v>
      </c>
    </row>
    <row r="73" ht="13.5" customHeight="1">
      <c r="A73" s="95" t="s">
        <v>87</v>
      </c>
      <c r="B73" s="195">
        <v>5.23640161</v>
      </c>
    </row>
    <row r="74" ht="13.5" customHeight="1">
      <c r="A74" s="95" t="s">
        <v>85</v>
      </c>
      <c r="B74" s="195">
        <v>0.7098</v>
      </c>
    </row>
    <row r="75" ht="13.5" customHeight="1">
      <c r="A75" s="95" t="s">
        <v>91</v>
      </c>
      <c r="B75" s="195">
        <v>0.7738</v>
      </c>
    </row>
    <row r="76" ht="13.5" customHeight="1">
      <c r="A76" s="95" t="s">
        <v>84</v>
      </c>
      <c r="B76" s="195">
        <v>1.3207</v>
      </c>
    </row>
    <row r="77" ht="13.5" customHeight="1">
      <c r="A77" s="95" t="s">
        <v>92</v>
      </c>
      <c r="B77" s="195">
        <v>0.1282</v>
      </c>
    </row>
    <row r="78" ht="13.5" customHeight="1">
      <c r="A78" s="95" t="s">
        <v>246</v>
      </c>
      <c r="B78" s="195">
        <v>0.341427</v>
      </c>
    </row>
    <row r="79" ht="13.5" customHeight="1">
      <c r="A79" s="95" t="s">
        <v>477</v>
      </c>
      <c r="B79" s="195">
        <v>0.99811</v>
      </c>
    </row>
    <row r="80" ht="13.5" customHeight="1">
      <c r="A80" s="95" t="s">
        <v>97</v>
      </c>
      <c r="B80" s="195">
        <v>8.569450724</v>
      </c>
    </row>
    <row r="81" ht="13.5" customHeight="1">
      <c r="A81" s="95" t="s">
        <v>69</v>
      </c>
      <c r="B81" s="195">
        <v>14.44022362</v>
      </c>
    </row>
    <row r="82" ht="13.5" customHeight="1">
      <c r="A82" s="95" t="s">
        <v>323</v>
      </c>
      <c r="B82" s="195">
        <v>1.0</v>
      </c>
    </row>
    <row r="83" ht="13.5" customHeight="1">
      <c r="A83" s="95" t="s">
        <v>478</v>
      </c>
      <c r="B83" s="195">
        <v>1.001215616</v>
      </c>
    </row>
    <row r="84" ht="13.5" customHeight="1">
      <c r="A84" s="95" t="s">
        <v>479</v>
      </c>
      <c r="B84" s="195">
        <v>1.001801906</v>
      </c>
    </row>
    <row r="85" ht="13.5" customHeight="1">
      <c r="A85" s="95" t="s">
        <v>105</v>
      </c>
      <c r="B85" s="195">
        <v>3.47</v>
      </c>
    </row>
    <row r="86" ht="13.5" customHeight="1">
      <c r="A86" s="95" t="s">
        <v>146</v>
      </c>
      <c r="B86" s="195">
        <v>46304.83329</v>
      </c>
    </row>
    <row r="87" ht="13.5" customHeight="1">
      <c r="A87" s="95" t="s">
        <v>102</v>
      </c>
      <c r="B87" s="195">
        <v>175.96</v>
      </c>
    </row>
    <row r="88" ht="13.5" customHeight="1">
      <c r="A88" s="95" t="s">
        <v>98</v>
      </c>
      <c r="B88" s="195">
        <v>1801.374258</v>
      </c>
    </row>
    <row r="89" ht="13.5" customHeight="1">
      <c r="A89" s="95" t="s">
        <v>68</v>
      </c>
      <c r="B89" s="195">
        <v>0.270127</v>
      </c>
    </row>
    <row r="90" ht="13.5" customHeight="1">
      <c r="A90" s="95" t="s">
        <v>62</v>
      </c>
      <c r="B90" s="195">
        <v>0.8665334374</v>
      </c>
    </row>
    <row r="91" ht="13.5" customHeight="1">
      <c r="A91" s="95" t="s">
        <v>241</v>
      </c>
      <c r="B91" s="195">
        <v>4.033459355</v>
      </c>
    </row>
    <row r="92" ht="13.5" customHeight="1">
      <c r="A92" s="95" t="s">
        <v>96</v>
      </c>
      <c r="B92" s="195">
        <v>35357.36619</v>
      </c>
    </row>
    <row r="93" ht="13.5" customHeight="1">
      <c r="A93" s="95" t="s">
        <v>248</v>
      </c>
      <c r="B93" s="195">
        <v>208.14</v>
      </c>
    </row>
    <row r="94" ht="13.5" customHeight="1">
      <c r="A94" s="95" t="s">
        <v>257</v>
      </c>
      <c r="B94" s="195">
        <v>2.38</v>
      </c>
    </row>
    <row r="95" ht="13.5" customHeight="1">
      <c r="A95" s="95" t="s">
        <v>75</v>
      </c>
      <c r="B95" s="195">
        <v>159.5050466</v>
      </c>
    </row>
    <row r="96" ht="13.5" customHeight="1">
      <c r="A96" s="95" t="s">
        <v>80</v>
      </c>
      <c r="B96" s="195">
        <v>0.7482698139</v>
      </c>
    </row>
    <row r="97" ht="13.5" customHeight="1">
      <c r="A97" s="95" t="s">
        <v>480</v>
      </c>
      <c r="B97" s="195">
        <v>0.999594</v>
      </c>
    </row>
    <row r="98" ht="13.5" customHeight="1">
      <c r="A98" s="95" t="s">
        <v>55</v>
      </c>
      <c r="B98" s="195">
        <v>1.0</v>
      </c>
    </row>
    <row r="99" ht="13.5" customHeight="1">
      <c r="A99" s="58" t="s">
        <v>232</v>
      </c>
      <c r="B99" s="196">
        <v>3.325319692</v>
      </c>
    </row>
    <row r="100" ht="13.5" customHeight="1">
      <c r="A100" s="58" t="s">
        <v>233</v>
      </c>
      <c r="B100" s="196">
        <v>6.00855</v>
      </c>
    </row>
    <row r="101" ht="13.5" customHeight="1">
      <c r="A101" s="58" t="s">
        <v>481</v>
      </c>
      <c r="B101" s="196">
        <v>0.4121</v>
      </c>
    </row>
    <row r="102" ht="13.5" customHeight="1">
      <c r="A102" s="58" t="s">
        <v>482</v>
      </c>
      <c r="B102" s="196">
        <v>620.25</v>
      </c>
    </row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31" max="31" width="26.0"/>
  </cols>
  <sheetData>
    <row r="1">
      <c r="A1" s="58" t="s">
        <v>38</v>
      </c>
      <c r="B1" s="58" t="s">
        <v>157</v>
      </c>
      <c r="C1" s="58" t="s">
        <v>144</v>
      </c>
      <c r="D1" s="58" t="s">
        <v>158</v>
      </c>
      <c r="E1" s="58" t="s">
        <v>239</v>
      </c>
      <c r="F1" s="58" t="s">
        <v>166</v>
      </c>
      <c r="G1" s="58" t="s">
        <v>17</v>
      </c>
      <c r="H1" s="58" t="s">
        <v>16</v>
      </c>
      <c r="I1" s="58" t="s">
        <v>137</v>
      </c>
      <c r="J1" s="58" t="s">
        <v>7</v>
      </c>
      <c r="K1" s="58" t="s">
        <v>140</v>
      </c>
      <c r="L1" s="58" t="s">
        <v>147</v>
      </c>
      <c r="M1" s="58" t="s">
        <v>189</v>
      </c>
      <c r="N1" s="58" t="s">
        <v>141</v>
      </c>
      <c r="O1" s="58" t="s">
        <v>153</v>
      </c>
      <c r="P1" s="58" t="s">
        <v>183</v>
      </c>
      <c r="Q1" s="58" t="s">
        <v>159</v>
      </c>
      <c r="R1" s="58" t="s">
        <v>276</v>
      </c>
      <c r="S1" s="58" t="s">
        <v>224</v>
      </c>
      <c r="T1" s="58" t="s">
        <v>483</v>
      </c>
      <c r="U1" s="58" t="s">
        <v>184</v>
      </c>
      <c r="V1" s="58" t="s">
        <v>484</v>
      </c>
      <c r="W1" s="58" t="s">
        <v>234</v>
      </c>
      <c r="X1" s="58" t="s">
        <v>169</v>
      </c>
      <c r="Y1" s="58" t="s">
        <v>195</v>
      </c>
      <c r="Z1" s="58" t="s">
        <v>245</v>
      </c>
      <c r="AA1" s="58" t="s">
        <v>221</v>
      </c>
      <c r="AB1" s="58" t="s">
        <v>151</v>
      </c>
      <c r="AC1" s="58" t="s">
        <v>213</v>
      </c>
      <c r="AD1" s="58" t="s">
        <v>142</v>
      </c>
      <c r="AE1" s="58" t="s">
        <v>226</v>
      </c>
      <c r="AF1" s="58" t="s">
        <v>485</v>
      </c>
      <c r="AG1" s="58" t="s">
        <v>182</v>
      </c>
      <c r="AH1" s="58" t="s">
        <v>164</v>
      </c>
      <c r="AI1" s="58" t="s">
        <v>486</v>
      </c>
      <c r="AJ1" s="58" t="s">
        <v>149</v>
      </c>
      <c r="AK1" s="58" t="s">
        <v>22</v>
      </c>
      <c r="AL1" s="58" t="s">
        <v>161</v>
      </c>
      <c r="AM1" s="58" t="s">
        <v>163</v>
      </c>
      <c r="AN1" s="58" t="s">
        <v>152</v>
      </c>
      <c r="AO1" s="58" t="s">
        <v>249</v>
      </c>
      <c r="AP1" s="58" t="s">
        <v>229</v>
      </c>
      <c r="AQ1" s="58" t="s">
        <v>216</v>
      </c>
      <c r="AR1" s="58" t="s">
        <v>222</v>
      </c>
      <c r="AS1" s="58" t="s">
        <v>487</v>
      </c>
      <c r="AT1" s="58" t="s">
        <v>220</v>
      </c>
      <c r="AU1" s="58" t="s">
        <v>191</v>
      </c>
      <c r="AV1" s="58" t="s">
        <v>271</v>
      </c>
      <c r="AW1" s="58" t="s">
        <v>488</v>
      </c>
      <c r="AX1" s="58" t="s">
        <v>167</v>
      </c>
      <c r="AY1" s="58" t="s">
        <v>187</v>
      </c>
      <c r="AZ1" s="58" t="s">
        <v>255</v>
      </c>
      <c r="BA1" s="58" t="s">
        <v>207</v>
      </c>
      <c r="BB1" s="58" t="s">
        <v>171</v>
      </c>
      <c r="BC1" s="58" t="s">
        <v>168</v>
      </c>
      <c r="BD1" s="58" t="s">
        <v>277</v>
      </c>
      <c r="BE1" s="58" t="s">
        <v>160</v>
      </c>
      <c r="BF1" s="58" t="s">
        <v>180</v>
      </c>
      <c r="BG1" s="58" t="s">
        <v>174</v>
      </c>
      <c r="BH1" s="58" t="s">
        <v>210</v>
      </c>
      <c r="BI1" s="58" t="s">
        <v>254</v>
      </c>
      <c r="BJ1" s="58" t="s">
        <v>270</v>
      </c>
      <c r="BK1" s="58" t="s">
        <v>165</v>
      </c>
      <c r="BL1" s="58" t="s">
        <v>218</v>
      </c>
      <c r="BM1" s="58" t="s">
        <v>240</v>
      </c>
      <c r="BN1" s="58" t="s">
        <v>170</v>
      </c>
      <c r="BO1" s="58" t="s">
        <v>489</v>
      </c>
      <c r="BP1" s="58" t="s">
        <v>248</v>
      </c>
      <c r="BQ1" s="58" t="s">
        <v>247</v>
      </c>
      <c r="BR1" s="58" t="s">
        <v>490</v>
      </c>
      <c r="BS1" s="58" t="s">
        <v>201</v>
      </c>
      <c r="BT1" s="58" t="s">
        <v>231</v>
      </c>
      <c r="BU1" s="58" t="s">
        <v>206</v>
      </c>
      <c r="BV1" s="58" t="s">
        <v>260</v>
      </c>
      <c r="BW1" s="58" t="s">
        <v>198</v>
      </c>
      <c r="BX1" s="58" t="s">
        <v>212</v>
      </c>
      <c r="BY1" s="58" t="s">
        <v>192</v>
      </c>
      <c r="BZ1" s="58" t="s">
        <v>491</v>
      </c>
      <c r="CA1" s="58" t="s">
        <v>223</v>
      </c>
      <c r="CB1" s="58" t="s">
        <v>188</v>
      </c>
      <c r="CC1" s="58" t="s">
        <v>199</v>
      </c>
      <c r="CD1" s="58" t="s">
        <v>202</v>
      </c>
      <c r="CE1" s="58" t="s">
        <v>154</v>
      </c>
      <c r="CF1" s="58" t="s">
        <v>148</v>
      </c>
      <c r="CG1" s="58" t="s">
        <v>217</v>
      </c>
      <c r="CH1" s="58" t="s">
        <v>263</v>
      </c>
      <c r="CI1" s="58" t="s">
        <v>281</v>
      </c>
      <c r="CJ1" s="58" t="s">
        <v>256</v>
      </c>
      <c r="CK1" s="58" t="s">
        <v>492</v>
      </c>
      <c r="CL1" s="58" t="s">
        <v>493</v>
      </c>
      <c r="CM1" s="58" t="s">
        <v>494</v>
      </c>
      <c r="CN1" s="58" t="s">
        <v>238</v>
      </c>
      <c r="CO1" s="58" t="s">
        <v>282</v>
      </c>
      <c r="CP1" s="58" t="s">
        <v>274</v>
      </c>
      <c r="CQ1" s="58" t="s">
        <v>177</v>
      </c>
      <c r="CR1" s="58" t="s">
        <v>203</v>
      </c>
      <c r="CS1" s="58" t="s">
        <v>250</v>
      </c>
      <c r="CT1" s="58" t="s">
        <v>495</v>
      </c>
      <c r="CU1" s="58" t="s">
        <v>496</v>
      </c>
      <c r="CV1" s="58" t="s">
        <v>251</v>
      </c>
      <c r="CW1" s="58" t="s">
        <v>262</v>
      </c>
      <c r="CX1" s="58" t="s">
        <v>186</v>
      </c>
      <c r="CY1" s="58" t="s">
        <v>215</v>
      </c>
      <c r="CZ1" s="58" t="s">
        <v>252</v>
      </c>
      <c r="DA1" s="58" t="s">
        <v>497</v>
      </c>
      <c r="DB1" s="58" t="s">
        <v>498</v>
      </c>
      <c r="DC1" s="58" t="s">
        <v>261</v>
      </c>
      <c r="DD1" s="58" t="s">
        <v>175</v>
      </c>
      <c r="DE1" s="58" t="s">
        <v>178</v>
      </c>
      <c r="DF1" s="58" t="s">
        <v>185</v>
      </c>
      <c r="DG1" s="58" t="s">
        <v>181</v>
      </c>
      <c r="DH1" s="58" t="s">
        <v>236</v>
      </c>
      <c r="DI1" s="58" t="s">
        <v>172</v>
      </c>
      <c r="DJ1" s="58" t="s">
        <v>230</v>
      </c>
      <c r="DK1" s="58" t="s">
        <v>499</v>
      </c>
      <c r="DL1" s="58" t="s">
        <v>228</v>
      </c>
      <c r="DM1" s="58" t="s">
        <v>219</v>
      </c>
      <c r="DN1" s="58" t="s">
        <v>267</v>
      </c>
      <c r="DO1" s="58" t="s">
        <v>269</v>
      </c>
      <c r="DP1" s="58" t="s">
        <v>268</v>
      </c>
      <c r="DQ1" s="58" t="s">
        <v>275</v>
      </c>
      <c r="DR1" s="58" t="s">
        <v>266</v>
      </c>
      <c r="DS1" s="58" t="s">
        <v>194</v>
      </c>
      <c r="DT1" s="58" t="s">
        <v>280</v>
      </c>
      <c r="DU1" s="58" t="s">
        <v>208</v>
      </c>
      <c r="DV1" s="58" t="s">
        <v>259</v>
      </c>
      <c r="DW1" s="58" t="s">
        <v>264</v>
      </c>
      <c r="DX1" s="58" t="s">
        <v>265</v>
      </c>
      <c r="DY1" s="58" t="s">
        <v>272</v>
      </c>
      <c r="DZ1" s="58" t="s">
        <v>500</v>
      </c>
      <c r="EA1" s="58" t="s">
        <v>225</v>
      </c>
      <c r="EB1" s="58" t="s">
        <v>197</v>
      </c>
      <c r="EC1" s="58" t="s">
        <v>214</v>
      </c>
      <c r="ED1" s="58" t="s">
        <v>145</v>
      </c>
      <c r="EE1" s="58" t="s">
        <v>200</v>
      </c>
      <c r="EF1" s="58" t="s">
        <v>266</v>
      </c>
      <c r="EG1" s="58" t="s">
        <v>194</v>
      </c>
      <c r="EH1" s="58" t="s">
        <v>280</v>
      </c>
      <c r="EI1" s="58" t="s">
        <v>259</v>
      </c>
      <c r="EJ1" s="58" t="s">
        <v>264</v>
      </c>
      <c r="EK1" s="58" t="s">
        <v>265</v>
      </c>
      <c r="EL1" s="58" t="s">
        <v>272</v>
      </c>
      <c r="EM1" s="58" t="s">
        <v>145</v>
      </c>
      <c r="EN1" s="58" t="s">
        <v>200</v>
      </c>
      <c r="EO1" s="58" t="s">
        <v>225</v>
      </c>
      <c r="EP1" s="58" t="s">
        <v>197</v>
      </c>
      <c r="EQ1" s="58" t="s">
        <v>214</v>
      </c>
      <c r="ER1" s="58" t="s">
        <v>145</v>
      </c>
      <c r="ES1" s="58" t="s">
        <v>200</v>
      </c>
      <c r="ET1" s="58" t="s">
        <v>200</v>
      </c>
    </row>
    <row r="2">
      <c r="A2" s="58" t="s">
        <v>120</v>
      </c>
      <c r="B2" s="58" t="s">
        <v>132</v>
      </c>
      <c r="C2" s="58" t="s">
        <v>132</v>
      </c>
      <c r="D2" s="58" t="s">
        <v>132</v>
      </c>
      <c r="E2" s="58" t="s">
        <v>132</v>
      </c>
      <c r="F2" s="58" t="s">
        <v>132</v>
      </c>
      <c r="G2" s="58" t="s">
        <v>17</v>
      </c>
      <c r="H2" s="58" t="s">
        <v>16</v>
      </c>
      <c r="I2" s="58" t="s">
        <v>8</v>
      </c>
      <c r="J2" s="58" t="s">
        <v>7</v>
      </c>
      <c r="K2" s="58" t="s">
        <v>7</v>
      </c>
      <c r="L2" s="58" t="s">
        <v>7</v>
      </c>
      <c r="M2" s="58" t="s">
        <v>132</v>
      </c>
      <c r="N2" s="58" t="s">
        <v>12</v>
      </c>
      <c r="O2" s="58" t="s">
        <v>18</v>
      </c>
      <c r="P2" s="58" t="s">
        <v>18</v>
      </c>
      <c r="Q2" s="58" t="s">
        <v>10</v>
      </c>
      <c r="R2" s="58" t="s">
        <v>7</v>
      </c>
      <c r="S2" s="58" t="s">
        <v>10</v>
      </c>
      <c r="T2" s="58" t="s">
        <v>10</v>
      </c>
      <c r="U2" s="58" t="s">
        <v>132</v>
      </c>
      <c r="V2" s="58" t="s">
        <v>10</v>
      </c>
      <c r="W2" s="58" t="s">
        <v>132</v>
      </c>
      <c r="X2" s="58" t="s">
        <v>132</v>
      </c>
      <c r="Y2" s="58" t="s">
        <v>132</v>
      </c>
      <c r="Z2" s="58" t="s">
        <v>132</v>
      </c>
      <c r="AA2" s="58" t="s">
        <v>10</v>
      </c>
      <c r="AB2" s="58" t="s">
        <v>150</v>
      </c>
      <c r="AC2" s="58" t="s">
        <v>132</v>
      </c>
      <c r="AD2" s="58" t="s">
        <v>15</v>
      </c>
      <c r="AE2" s="58" t="s">
        <v>10</v>
      </c>
      <c r="AF2" s="58" t="s">
        <v>10</v>
      </c>
      <c r="AG2" s="58" t="s">
        <v>10</v>
      </c>
      <c r="AH2" s="58" t="s">
        <v>11</v>
      </c>
      <c r="AI2" s="58" t="s">
        <v>11</v>
      </c>
      <c r="AJ2" s="58" t="s">
        <v>11</v>
      </c>
      <c r="AK2" s="58" t="s">
        <v>22</v>
      </c>
      <c r="AL2" s="58" t="s">
        <v>13</v>
      </c>
      <c r="AM2" s="58" t="s">
        <v>19</v>
      </c>
      <c r="AN2" s="58" t="s">
        <v>10</v>
      </c>
      <c r="AO2" s="58" t="s">
        <v>10</v>
      </c>
      <c r="AP2" s="58" t="s">
        <v>10</v>
      </c>
      <c r="AQ2" s="58" t="s">
        <v>10</v>
      </c>
      <c r="AR2" s="58" t="s">
        <v>10</v>
      </c>
      <c r="AS2" s="58" t="s">
        <v>10</v>
      </c>
      <c r="AT2" s="58" t="s">
        <v>9</v>
      </c>
      <c r="AU2" s="58" t="s">
        <v>190</v>
      </c>
      <c r="AV2" s="58" t="s">
        <v>9</v>
      </c>
      <c r="AW2" s="58" t="s">
        <v>9</v>
      </c>
      <c r="AX2" s="58" t="s">
        <v>14</v>
      </c>
      <c r="AY2" s="58" t="s">
        <v>9</v>
      </c>
      <c r="AZ2" s="58" t="s">
        <v>9</v>
      </c>
      <c r="BA2" s="58" t="s">
        <v>9</v>
      </c>
      <c r="BB2" s="58" t="s">
        <v>9</v>
      </c>
      <c r="BC2" s="58" t="s">
        <v>9</v>
      </c>
      <c r="BD2" s="58" t="s">
        <v>9</v>
      </c>
      <c r="BE2" s="58" t="s">
        <v>9</v>
      </c>
      <c r="BF2" s="58" t="s">
        <v>9</v>
      </c>
      <c r="BG2" s="58" t="s">
        <v>9</v>
      </c>
      <c r="BH2" s="58" t="s">
        <v>9</v>
      </c>
      <c r="BI2" s="58" t="s">
        <v>9</v>
      </c>
      <c r="BJ2" s="58" t="s">
        <v>9</v>
      </c>
      <c r="BK2" s="58" t="s">
        <v>9</v>
      </c>
      <c r="BL2" s="58" t="s">
        <v>9</v>
      </c>
      <c r="BM2" s="58" t="s">
        <v>9</v>
      </c>
      <c r="BN2" s="58" t="s">
        <v>9</v>
      </c>
      <c r="BO2" s="58" t="s">
        <v>9</v>
      </c>
      <c r="BP2" s="58" t="s">
        <v>9</v>
      </c>
      <c r="BQ2" s="58" t="s">
        <v>9</v>
      </c>
      <c r="BR2" s="58" t="s">
        <v>9</v>
      </c>
      <c r="BS2" s="58" t="s">
        <v>9</v>
      </c>
      <c r="BT2" s="58" t="s">
        <v>9</v>
      </c>
      <c r="BU2" s="58" t="s">
        <v>9</v>
      </c>
      <c r="BV2" s="58" t="s">
        <v>9</v>
      </c>
      <c r="BW2" s="58" t="s">
        <v>9</v>
      </c>
      <c r="BX2" s="58" t="s">
        <v>9</v>
      </c>
      <c r="BY2" s="58" t="s">
        <v>9</v>
      </c>
      <c r="BZ2" s="58" t="s">
        <v>9</v>
      </c>
      <c r="CA2" s="58" t="s">
        <v>9</v>
      </c>
      <c r="CB2" s="58" t="s">
        <v>9</v>
      </c>
      <c r="CC2" s="58" t="s">
        <v>9</v>
      </c>
      <c r="CD2" s="58" t="s">
        <v>9</v>
      </c>
      <c r="CE2" s="58" t="s">
        <v>9</v>
      </c>
      <c r="CF2" s="58" t="s">
        <v>9</v>
      </c>
      <c r="CG2" s="58" t="s">
        <v>11</v>
      </c>
      <c r="CH2" s="58" t="s">
        <v>9</v>
      </c>
      <c r="CI2" s="58" t="s">
        <v>9</v>
      </c>
      <c r="CJ2" s="58" t="s">
        <v>9</v>
      </c>
      <c r="CK2" s="58" t="s">
        <v>9</v>
      </c>
      <c r="CL2" s="58" t="s">
        <v>9</v>
      </c>
      <c r="CM2" s="58" t="s">
        <v>9</v>
      </c>
      <c r="CN2" s="58" t="s">
        <v>9</v>
      </c>
      <c r="CO2" s="58" t="s">
        <v>9</v>
      </c>
      <c r="CP2" s="58" t="s">
        <v>9</v>
      </c>
      <c r="CQ2" s="58" t="s">
        <v>9</v>
      </c>
      <c r="CR2" s="58" t="s">
        <v>9</v>
      </c>
      <c r="CS2" s="58" t="s">
        <v>9</v>
      </c>
      <c r="CT2" s="58" t="s">
        <v>9</v>
      </c>
      <c r="CU2" s="58" t="s">
        <v>10</v>
      </c>
      <c r="CV2" s="58" t="s">
        <v>9</v>
      </c>
      <c r="CW2" s="58" t="s">
        <v>9</v>
      </c>
      <c r="CX2" s="58" t="s">
        <v>9</v>
      </c>
      <c r="CY2" s="58" t="s">
        <v>9</v>
      </c>
      <c r="CZ2" s="58" t="s">
        <v>9</v>
      </c>
      <c r="DA2" s="58" t="s">
        <v>9</v>
      </c>
      <c r="DB2" s="58" t="s">
        <v>9</v>
      </c>
      <c r="DC2" s="58" t="s">
        <v>9</v>
      </c>
      <c r="DD2" s="58" t="s">
        <v>11</v>
      </c>
      <c r="DE2" s="58" t="s">
        <v>9</v>
      </c>
      <c r="DF2" s="58" t="s">
        <v>9</v>
      </c>
      <c r="DG2" s="58" t="s">
        <v>9</v>
      </c>
      <c r="DH2" s="58" t="s">
        <v>9</v>
      </c>
      <c r="DI2" s="58" t="s">
        <v>9</v>
      </c>
      <c r="DJ2" s="58" t="s">
        <v>190</v>
      </c>
      <c r="DK2" s="58" t="s">
        <v>190</v>
      </c>
      <c r="DL2" s="58" t="s">
        <v>227</v>
      </c>
      <c r="DM2" s="58" t="s">
        <v>190</v>
      </c>
      <c r="DN2" s="58" t="s">
        <v>190</v>
      </c>
      <c r="DO2" s="58" t="s">
        <v>190</v>
      </c>
      <c r="DP2" s="58" t="s">
        <v>190</v>
      </c>
      <c r="DQ2" s="58" t="s">
        <v>190</v>
      </c>
      <c r="DR2" s="58" t="s">
        <v>190</v>
      </c>
      <c r="DS2" s="58" t="s">
        <v>190</v>
      </c>
      <c r="DT2" s="58" t="s">
        <v>190</v>
      </c>
      <c r="DU2" s="58" t="s">
        <v>190</v>
      </c>
      <c r="DV2" s="58" t="s">
        <v>258</v>
      </c>
      <c r="DW2" s="58" t="s">
        <v>258</v>
      </c>
      <c r="DX2" s="58" t="s">
        <v>190</v>
      </c>
      <c r="DY2" s="58" t="s">
        <v>190</v>
      </c>
      <c r="DZ2" s="58" t="s">
        <v>190</v>
      </c>
      <c r="EA2" s="58" t="s">
        <v>190</v>
      </c>
      <c r="EB2" s="58" t="s">
        <v>190</v>
      </c>
      <c r="EC2" s="58" t="s">
        <v>190</v>
      </c>
      <c r="ED2" s="58" t="s">
        <v>15</v>
      </c>
      <c r="EE2" s="58" t="s">
        <v>15</v>
      </c>
      <c r="EF2" s="58" t="s">
        <v>190</v>
      </c>
      <c r="EG2" s="58" t="s">
        <v>190</v>
      </c>
      <c r="EH2" s="58" t="s">
        <v>190</v>
      </c>
      <c r="EI2" s="58" t="s">
        <v>258</v>
      </c>
      <c r="EJ2" s="58" t="s">
        <v>258</v>
      </c>
      <c r="EK2" s="58" t="s">
        <v>190</v>
      </c>
      <c r="EL2" s="58" t="s">
        <v>190</v>
      </c>
      <c r="EM2" s="58" t="s">
        <v>15</v>
      </c>
      <c r="EN2" s="58" t="s">
        <v>15</v>
      </c>
      <c r="EO2" s="58" t="s">
        <v>190</v>
      </c>
      <c r="EP2" s="58" t="s">
        <v>190</v>
      </c>
      <c r="EQ2" s="58" t="s">
        <v>190</v>
      </c>
      <c r="ER2" s="58" t="s">
        <v>15</v>
      </c>
      <c r="ES2" s="58" t="s">
        <v>15</v>
      </c>
      <c r="ET2" s="58" t="s">
        <v>15</v>
      </c>
    </row>
    <row r="3">
      <c r="A3" s="58" t="s">
        <v>122</v>
      </c>
      <c r="B3" s="197" t="s">
        <v>501</v>
      </c>
      <c r="C3" s="197" t="s">
        <v>501</v>
      </c>
      <c r="D3" s="197" t="s">
        <v>501</v>
      </c>
      <c r="E3" s="197" t="s">
        <v>501</v>
      </c>
      <c r="F3" s="197" t="s">
        <v>501</v>
      </c>
      <c r="G3" s="197" t="s">
        <v>501</v>
      </c>
      <c r="H3" s="197" t="s">
        <v>501</v>
      </c>
      <c r="I3" s="197" t="s">
        <v>502</v>
      </c>
      <c r="J3" s="197" t="s">
        <v>503</v>
      </c>
      <c r="K3" s="197" t="s">
        <v>503</v>
      </c>
      <c r="L3" s="197" t="s">
        <v>502</v>
      </c>
      <c r="M3" s="197" t="s">
        <v>503</v>
      </c>
      <c r="N3" s="197" t="s">
        <v>503</v>
      </c>
      <c r="O3" s="197" t="s">
        <v>503</v>
      </c>
      <c r="P3" s="197" t="s">
        <v>503</v>
      </c>
      <c r="Q3" s="197" t="s">
        <v>502</v>
      </c>
      <c r="R3" s="197" t="s">
        <v>502</v>
      </c>
      <c r="S3" s="197" t="s">
        <v>502</v>
      </c>
      <c r="T3" s="197" t="s">
        <v>502</v>
      </c>
      <c r="U3" s="197" t="s">
        <v>502</v>
      </c>
      <c r="V3" s="197" t="s">
        <v>502</v>
      </c>
      <c r="W3" s="197" t="s">
        <v>502</v>
      </c>
      <c r="X3" s="58">
        <v>2.0</v>
      </c>
      <c r="Y3" s="58">
        <v>2.0</v>
      </c>
      <c r="Z3" s="197" t="s">
        <v>502</v>
      </c>
      <c r="AA3" s="197" t="s">
        <v>502</v>
      </c>
      <c r="AB3" s="58">
        <v>5.0</v>
      </c>
      <c r="AC3" s="58">
        <v>2.0</v>
      </c>
      <c r="AD3" s="58">
        <v>2.0</v>
      </c>
      <c r="AE3" s="58">
        <v>4.0</v>
      </c>
      <c r="AF3" s="197" t="s">
        <v>502</v>
      </c>
      <c r="AG3" s="197" t="s">
        <v>502</v>
      </c>
      <c r="AH3" s="197" t="s">
        <v>503</v>
      </c>
      <c r="AI3" s="58">
        <v>2.0</v>
      </c>
      <c r="AJ3" s="197" t="s">
        <v>503</v>
      </c>
      <c r="AK3" s="197" t="s">
        <v>503</v>
      </c>
      <c r="AL3" s="197" t="s">
        <v>502</v>
      </c>
      <c r="AM3" s="197" t="s">
        <v>503</v>
      </c>
      <c r="AN3" s="58">
        <v>4.0</v>
      </c>
      <c r="AO3" s="197" t="s">
        <v>503</v>
      </c>
      <c r="AP3" s="197" t="s">
        <v>503</v>
      </c>
      <c r="AQ3" s="197" t="s">
        <v>503</v>
      </c>
      <c r="AR3" s="197" t="s">
        <v>502</v>
      </c>
      <c r="AS3" s="197" t="s">
        <v>503</v>
      </c>
      <c r="AT3" s="197" t="s">
        <v>504</v>
      </c>
      <c r="AU3" s="197" t="s">
        <v>503</v>
      </c>
      <c r="AV3" s="197" t="s">
        <v>504</v>
      </c>
      <c r="AW3" s="197" t="s">
        <v>504</v>
      </c>
      <c r="AX3" s="197" t="s">
        <v>501</v>
      </c>
      <c r="AY3" s="197" t="s">
        <v>503</v>
      </c>
      <c r="AZ3" s="197" t="s">
        <v>503</v>
      </c>
      <c r="BA3" s="197" t="s">
        <v>504</v>
      </c>
      <c r="BB3" s="197" t="s">
        <v>504</v>
      </c>
      <c r="BC3" s="197" t="s">
        <v>503</v>
      </c>
      <c r="BD3" s="197" t="s">
        <v>504</v>
      </c>
      <c r="BE3" s="197" t="s">
        <v>504</v>
      </c>
      <c r="BF3" s="197" t="s">
        <v>504</v>
      </c>
      <c r="BG3" s="197" t="s">
        <v>504</v>
      </c>
      <c r="BH3" s="197" t="s">
        <v>504</v>
      </c>
      <c r="BI3" s="197" t="s">
        <v>504</v>
      </c>
      <c r="BJ3" s="197" t="s">
        <v>504</v>
      </c>
      <c r="BK3" s="197" t="s">
        <v>504</v>
      </c>
      <c r="BL3" s="197" t="s">
        <v>504</v>
      </c>
      <c r="BM3" s="197" t="s">
        <v>504</v>
      </c>
      <c r="BN3" s="58">
        <v>5.0</v>
      </c>
      <c r="BO3" s="197" t="s">
        <v>504</v>
      </c>
      <c r="BP3" s="58">
        <v>3.0</v>
      </c>
      <c r="BQ3" s="197" t="s">
        <v>504</v>
      </c>
      <c r="BR3" s="197" t="s">
        <v>504</v>
      </c>
      <c r="BS3" s="197" t="s">
        <v>504</v>
      </c>
      <c r="BT3" s="197" t="s">
        <v>504</v>
      </c>
      <c r="BU3" s="58">
        <v>4.0</v>
      </c>
      <c r="BV3" s="197" t="s">
        <v>504</v>
      </c>
      <c r="BW3" s="197" t="s">
        <v>504</v>
      </c>
      <c r="BX3" s="197" t="s">
        <v>504</v>
      </c>
      <c r="BY3" s="197" t="s">
        <v>504</v>
      </c>
      <c r="BZ3" s="197" t="s">
        <v>504</v>
      </c>
      <c r="CA3" s="197" t="s">
        <v>504</v>
      </c>
      <c r="CB3" s="197" t="s">
        <v>504</v>
      </c>
      <c r="CC3" s="58">
        <v>4.0</v>
      </c>
      <c r="CD3" s="197" t="s">
        <v>504</v>
      </c>
      <c r="CE3" s="197" t="s">
        <v>504</v>
      </c>
      <c r="CF3" s="197" t="s">
        <v>504</v>
      </c>
      <c r="CG3" s="197" t="s">
        <v>503</v>
      </c>
      <c r="CH3" s="197" t="s">
        <v>504</v>
      </c>
      <c r="CI3" s="197" t="s">
        <v>504</v>
      </c>
      <c r="CJ3" s="197" t="s">
        <v>504</v>
      </c>
      <c r="CK3" s="197" t="s">
        <v>504</v>
      </c>
      <c r="CL3" s="197" t="s">
        <v>504</v>
      </c>
      <c r="CM3" s="197" t="s">
        <v>504</v>
      </c>
      <c r="CN3" s="197" t="s">
        <v>504</v>
      </c>
      <c r="CO3" s="58">
        <v>3.0</v>
      </c>
      <c r="CP3" s="197" t="s">
        <v>503</v>
      </c>
      <c r="CQ3" s="197" t="s">
        <v>504</v>
      </c>
      <c r="CR3" s="197" t="s">
        <v>504</v>
      </c>
      <c r="CS3" s="197" t="s">
        <v>504</v>
      </c>
      <c r="CT3" s="197" t="s">
        <v>504</v>
      </c>
      <c r="CU3" s="58">
        <v>5.0</v>
      </c>
      <c r="CV3" s="58">
        <v>2.0</v>
      </c>
      <c r="CW3" s="58">
        <v>2.0</v>
      </c>
      <c r="CX3" s="58">
        <v>2.0</v>
      </c>
      <c r="CY3" s="58">
        <v>2.0</v>
      </c>
      <c r="CZ3" s="58">
        <v>2.0</v>
      </c>
      <c r="DA3" s="58">
        <v>2.0</v>
      </c>
      <c r="DB3" s="58">
        <v>2.0</v>
      </c>
      <c r="DC3" s="58">
        <v>2.0</v>
      </c>
      <c r="DD3" s="58">
        <v>3.0</v>
      </c>
      <c r="DE3" s="58">
        <v>2.0</v>
      </c>
      <c r="DF3" s="58">
        <v>5.0</v>
      </c>
      <c r="DG3" s="58">
        <v>5.0</v>
      </c>
      <c r="DH3" s="58">
        <v>5.0</v>
      </c>
      <c r="DI3" s="58">
        <v>4.0</v>
      </c>
      <c r="DJ3" s="58">
        <v>2.0</v>
      </c>
      <c r="DK3" s="58">
        <v>2.0</v>
      </c>
      <c r="DL3" s="58">
        <v>4.0</v>
      </c>
      <c r="DM3" s="58">
        <v>2.0</v>
      </c>
      <c r="DN3" s="58">
        <v>2.0</v>
      </c>
      <c r="DO3" s="58">
        <v>2.0</v>
      </c>
      <c r="DP3" s="58">
        <v>2.0</v>
      </c>
      <c r="DQ3" s="58">
        <v>1.0</v>
      </c>
      <c r="DR3" s="58">
        <v>2.0</v>
      </c>
      <c r="DS3" s="58">
        <v>2.0</v>
      </c>
      <c r="DT3" s="58">
        <v>2.0</v>
      </c>
      <c r="DU3" s="58">
        <v>2.0</v>
      </c>
      <c r="DV3" s="58">
        <v>2.0</v>
      </c>
      <c r="DW3" s="58">
        <v>2.0</v>
      </c>
      <c r="DX3" s="58">
        <v>2.0</v>
      </c>
      <c r="DY3" s="58">
        <v>2.0</v>
      </c>
      <c r="DZ3" s="58">
        <v>2.0</v>
      </c>
      <c r="EA3" s="58">
        <v>2.0</v>
      </c>
      <c r="EB3" s="58">
        <v>2.0</v>
      </c>
      <c r="EC3" s="58">
        <v>2.0</v>
      </c>
      <c r="ED3" s="58">
        <v>2.0</v>
      </c>
      <c r="EE3" s="58">
        <v>2.0</v>
      </c>
      <c r="EF3" s="58">
        <v>2.0</v>
      </c>
      <c r="EG3" s="58">
        <v>2.0</v>
      </c>
      <c r="EH3" s="58">
        <v>2.0</v>
      </c>
      <c r="EI3" s="58">
        <v>2.0</v>
      </c>
      <c r="EJ3" s="58">
        <v>2.0</v>
      </c>
      <c r="EK3" s="58">
        <v>2.0</v>
      </c>
      <c r="EL3" s="58">
        <v>2.0</v>
      </c>
      <c r="EM3" s="58">
        <v>2.0</v>
      </c>
      <c r="EN3" s="58">
        <v>2.0</v>
      </c>
      <c r="EO3" s="58">
        <v>2.0</v>
      </c>
      <c r="EP3" s="58">
        <v>2.0</v>
      </c>
      <c r="EQ3" s="58">
        <v>2.0</v>
      </c>
      <c r="ER3" s="58">
        <v>2.0</v>
      </c>
      <c r="ES3" s="58">
        <v>2.0</v>
      </c>
      <c r="ET3" s="58">
        <v>2.0</v>
      </c>
    </row>
    <row r="4">
      <c r="A4" s="58" t="s">
        <v>505</v>
      </c>
      <c r="B4" s="58">
        <v>0.0</v>
      </c>
      <c r="C4" s="58">
        <v>0.0</v>
      </c>
      <c r="D4" s="58">
        <v>0.0</v>
      </c>
      <c r="E4" s="58">
        <v>0.0</v>
      </c>
      <c r="F4" s="58">
        <v>0.0</v>
      </c>
      <c r="G4" s="58">
        <v>0.0</v>
      </c>
      <c r="H4" s="58">
        <v>0.0</v>
      </c>
      <c r="I4" s="58" t="s">
        <v>134</v>
      </c>
      <c r="J4" s="58">
        <v>0.0</v>
      </c>
      <c r="K4" s="58" t="s">
        <v>134</v>
      </c>
      <c r="L4" s="58" t="s">
        <v>134</v>
      </c>
      <c r="M4" s="58">
        <v>0.0</v>
      </c>
      <c r="N4" s="58">
        <v>0.034</v>
      </c>
      <c r="O4" s="58">
        <v>0.0</v>
      </c>
      <c r="P4" s="58">
        <v>0.0</v>
      </c>
      <c r="Q4" s="58">
        <v>0.04294812889</v>
      </c>
      <c r="R4" s="58">
        <v>0.0</v>
      </c>
      <c r="S4" s="58" t="s">
        <v>134</v>
      </c>
      <c r="T4" s="58" t="s">
        <v>134</v>
      </c>
      <c r="U4" s="58">
        <v>0.0</v>
      </c>
      <c r="V4" s="58">
        <v>0.0</v>
      </c>
      <c r="W4" s="58" t="s">
        <v>134</v>
      </c>
      <c r="X4" s="58">
        <v>0.0</v>
      </c>
      <c r="Y4" s="58">
        <v>0.0</v>
      </c>
      <c r="Z4" s="58">
        <v>0.0</v>
      </c>
      <c r="AA4" s="58">
        <v>-0.0295482322</v>
      </c>
      <c r="AB4" s="58" t="s">
        <v>134</v>
      </c>
      <c r="AC4" s="58">
        <v>0.0</v>
      </c>
      <c r="AD4" s="58" t="s">
        <v>134</v>
      </c>
      <c r="AE4" s="58">
        <v>0.002526818828</v>
      </c>
      <c r="AF4" s="58" t="s">
        <v>134</v>
      </c>
      <c r="AG4" s="58" t="s">
        <v>134</v>
      </c>
      <c r="AH4" s="58" t="s">
        <v>134</v>
      </c>
      <c r="AI4" s="58" t="s">
        <v>134</v>
      </c>
      <c r="AJ4" s="58" t="s">
        <v>134</v>
      </c>
      <c r="AK4" s="58" t="s">
        <v>134</v>
      </c>
      <c r="AL4" s="58" t="s">
        <v>134</v>
      </c>
      <c r="AM4" s="58">
        <v>0.0</v>
      </c>
      <c r="AN4" s="58" t="s">
        <v>134</v>
      </c>
      <c r="AO4" s="58">
        <v>0.0</v>
      </c>
      <c r="AP4" s="58">
        <v>0.0</v>
      </c>
      <c r="AQ4" s="58">
        <v>0.0</v>
      </c>
      <c r="AR4" s="58">
        <v>0.0</v>
      </c>
      <c r="AS4" s="58">
        <v>0.0</v>
      </c>
      <c r="AT4" s="58">
        <v>0.0</v>
      </c>
      <c r="AU4" s="58">
        <v>0.0</v>
      </c>
      <c r="AV4" s="58">
        <v>0.0</v>
      </c>
      <c r="AW4" s="58">
        <v>0.0</v>
      </c>
      <c r="AX4" s="58">
        <v>0.0</v>
      </c>
      <c r="AY4" s="58">
        <v>0.0</v>
      </c>
      <c r="AZ4" s="58">
        <v>0.0</v>
      </c>
      <c r="BA4" s="58">
        <v>0.0</v>
      </c>
      <c r="BB4" s="58">
        <v>0.0</v>
      </c>
      <c r="BC4" s="58">
        <v>0.0</v>
      </c>
      <c r="BD4" s="58">
        <v>0.0</v>
      </c>
      <c r="BE4" s="58">
        <v>0.0</v>
      </c>
      <c r="BF4" s="58">
        <v>0.0</v>
      </c>
      <c r="BG4" s="58">
        <v>0.0</v>
      </c>
      <c r="BH4" s="58">
        <v>0.0</v>
      </c>
      <c r="BI4" s="58">
        <v>0.0</v>
      </c>
      <c r="BJ4" s="58">
        <v>0.0</v>
      </c>
      <c r="BK4" s="58">
        <v>0.0</v>
      </c>
      <c r="BL4" s="58">
        <v>0.0</v>
      </c>
      <c r="BM4" s="58">
        <v>0.0</v>
      </c>
      <c r="BN4" s="58">
        <v>0.0</v>
      </c>
      <c r="BO4" s="58">
        <v>0.0</v>
      </c>
      <c r="BP4" s="58">
        <v>0.0</v>
      </c>
      <c r="BQ4" s="58">
        <v>0.0</v>
      </c>
      <c r="BR4" s="58">
        <v>0.0</v>
      </c>
      <c r="BS4" s="58">
        <v>0.0</v>
      </c>
      <c r="BT4" s="58">
        <v>0.0</v>
      </c>
      <c r="BU4" s="58">
        <v>0.0</v>
      </c>
      <c r="BV4" s="58">
        <v>0.0</v>
      </c>
      <c r="BW4" s="58">
        <v>0.0</v>
      </c>
      <c r="BX4" s="58">
        <v>0.0</v>
      </c>
      <c r="BY4" s="58">
        <v>0.0</v>
      </c>
      <c r="BZ4" s="58">
        <v>0.0</v>
      </c>
      <c r="CA4" s="58">
        <v>0.0</v>
      </c>
      <c r="CB4" s="58">
        <v>0.0</v>
      </c>
      <c r="CC4" s="58">
        <v>0.0</v>
      </c>
      <c r="CD4" s="58">
        <v>0.0</v>
      </c>
      <c r="CE4" s="58">
        <v>0.0</v>
      </c>
      <c r="CF4" s="58">
        <v>0.0</v>
      </c>
      <c r="CG4" s="58">
        <v>0.0</v>
      </c>
      <c r="CH4" s="58">
        <v>0.0</v>
      </c>
      <c r="CI4" s="58">
        <v>0.0</v>
      </c>
      <c r="CJ4" s="58">
        <v>0.0</v>
      </c>
      <c r="CK4" s="58">
        <v>0.0</v>
      </c>
      <c r="CL4" s="58">
        <v>0.0</v>
      </c>
      <c r="CM4" s="58">
        <v>0.0</v>
      </c>
      <c r="CN4" s="58">
        <v>0.0</v>
      </c>
      <c r="CO4" s="58">
        <v>0.0</v>
      </c>
      <c r="CP4" s="58">
        <v>0.0</v>
      </c>
      <c r="CQ4" s="58">
        <v>0.0</v>
      </c>
      <c r="CR4" s="58">
        <v>0.0</v>
      </c>
      <c r="CS4" s="58">
        <v>0.0</v>
      </c>
      <c r="CT4" s="58">
        <v>0.0</v>
      </c>
      <c r="CU4" s="58">
        <v>0.0</v>
      </c>
      <c r="CV4" s="58">
        <v>0.0</v>
      </c>
      <c r="CW4" s="58">
        <v>0.0</v>
      </c>
      <c r="CX4" s="58">
        <v>0.0</v>
      </c>
      <c r="CY4" s="58">
        <v>0.0</v>
      </c>
      <c r="CZ4" s="58">
        <v>0.0</v>
      </c>
      <c r="DA4" s="58">
        <v>0.0</v>
      </c>
      <c r="DB4" s="58">
        <v>0.0</v>
      </c>
      <c r="DC4" s="58">
        <v>0.0</v>
      </c>
      <c r="DD4" s="58">
        <v>0.0</v>
      </c>
      <c r="DE4" s="58">
        <v>0.0</v>
      </c>
      <c r="DF4" s="58">
        <v>0.0</v>
      </c>
      <c r="DG4" s="58">
        <v>0.0</v>
      </c>
      <c r="DH4" s="58">
        <v>0.0</v>
      </c>
      <c r="DI4" s="58">
        <v>0.0</v>
      </c>
      <c r="DJ4" s="58">
        <v>0.0</v>
      </c>
      <c r="DK4" s="58">
        <v>0.0</v>
      </c>
      <c r="DL4" s="58">
        <v>0.0</v>
      </c>
      <c r="DM4" s="58">
        <v>0.0</v>
      </c>
      <c r="DN4" s="58">
        <v>0.0</v>
      </c>
      <c r="DO4" s="58">
        <v>0.0</v>
      </c>
      <c r="DP4" s="58">
        <v>0.0</v>
      </c>
      <c r="DQ4" s="58">
        <v>0.0</v>
      </c>
      <c r="DR4" s="58">
        <v>0.0</v>
      </c>
      <c r="DS4" s="58">
        <v>0.0</v>
      </c>
      <c r="DT4" s="58">
        <v>0.0</v>
      </c>
      <c r="DU4" s="58">
        <v>0.0</v>
      </c>
      <c r="DV4" s="58">
        <v>0.0</v>
      </c>
      <c r="DW4" s="58">
        <v>0.0</v>
      </c>
      <c r="DX4" s="58">
        <v>0.0</v>
      </c>
      <c r="DY4" s="58">
        <v>0.0</v>
      </c>
      <c r="DZ4" s="58">
        <v>0.0</v>
      </c>
      <c r="EA4" s="58">
        <v>0.0</v>
      </c>
      <c r="EB4" s="58">
        <v>0.0</v>
      </c>
      <c r="EC4" s="58">
        <v>0.0</v>
      </c>
      <c r="ED4" s="58">
        <v>0.003</v>
      </c>
      <c r="EE4" s="58">
        <v>0.003</v>
      </c>
      <c r="EF4" s="58" t="s">
        <v>134</v>
      </c>
      <c r="EG4" s="58" t="s">
        <v>134</v>
      </c>
      <c r="EH4" s="58" t="s">
        <v>134</v>
      </c>
      <c r="EI4" s="58" t="s">
        <v>134</v>
      </c>
      <c r="EJ4" s="58" t="s">
        <v>134</v>
      </c>
      <c r="EK4" s="58" t="s">
        <v>134</v>
      </c>
      <c r="EL4" s="58" t="s">
        <v>134</v>
      </c>
      <c r="EM4" s="58">
        <v>0.0385</v>
      </c>
      <c r="EN4" s="58">
        <v>0.0385</v>
      </c>
      <c r="EO4" s="58" t="s">
        <v>134</v>
      </c>
      <c r="EP4" s="58" t="s">
        <v>134</v>
      </c>
      <c r="EQ4" s="58" t="s">
        <v>134</v>
      </c>
      <c r="ER4" s="58">
        <v>0.003</v>
      </c>
      <c r="ES4" s="58">
        <v>0.003</v>
      </c>
      <c r="ET4" s="58">
        <v>0.003</v>
      </c>
    </row>
    <row r="5">
      <c r="A5" s="58" t="s">
        <v>506</v>
      </c>
      <c r="B5" s="58" t="s">
        <v>507</v>
      </c>
      <c r="C5" s="58" t="s">
        <v>507</v>
      </c>
      <c r="D5" s="58" t="s">
        <v>507</v>
      </c>
      <c r="E5" s="58" t="s">
        <v>507</v>
      </c>
      <c r="F5" s="58" t="s">
        <v>507</v>
      </c>
      <c r="G5" s="58" t="s">
        <v>507</v>
      </c>
      <c r="H5" s="58" t="s">
        <v>507</v>
      </c>
      <c r="I5" s="58" t="s">
        <v>507</v>
      </c>
      <c r="J5" s="58" t="s">
        <v>507</v>
      </c>
      <c r="K5" s="58" t="s">
        <v>508</v>
      </c>
      <c r="L5" s="58" t="s">
        <v>508</v>
      </c>
      <c r="M5" s="58" t="s">
        <v>507</v>
      </c>
      <c r="N5" s="58" t="s">
        <v>507</v>
      </c>
      <c r="O5" s="58" t="s">
        <v>507</v>
      </c>
      <c r="P5" s="58" t="s">
        <v>507</v>
      </c>
      <c r="Q5" s="58" t="s">
        <v>507</v>
      </c>
      <c r="R5" s="58" t="s">
        <v>507</v>
      </c>
      <c r="S5" s="58" t="s">
        <v>507</v>
      </c>
      <c r="T5" s="58" t="s">
        <v>507</v>
      </c>
      <c r="U5" s="58" t="s">
        <v>507</v>
      </c>
      <c r="V5" s="58" t="s">
        <v>507</v>
      </c>
      <c r="W5" s="58" t="s">
        <v>507</v>
      </c>
      <c r="X5" s="58" t="s">
        <v>507</v>
      </c>
      <c r="Y5" s="58" t="s">
        <v>507</v>
      </c>
      <c r="Z5" s="58" t="s">
        <v>507</v>
      </c>
      <c r="AA5" s="58" t="s">
        <v>507</v>
      </c>
      <c r="AB5" s="58" t="s">
        <v>507</v>
      </c>
      <c r="AC5" s="58" t="s">
        <v>507</v>
      </c>
      <c r="AD5" s="58" t="s">
        <v>507</v>
      </c>
      <c r="AE5" s="58" t="s">
        <v>507</v>
      </c>
      <c r="AF5" s="58" t="s">
        <v>507</v>
      </c>
      <c r="AG5" s="58" t="s">
        <v>507</v>
      </c>
      <c r="AH5" s="58" t="s">
        <v>507</v>
      </c>
      <c r="AI5" s="58" t="s">
        <v>507</v>
      </c>
      <c r="AJ5" s="58" t="s">
        <v>507</v>
      </c>
      <c r="AK5" s="58" t="s">
        <v>507</v>
      </c>
      <c r="AL5" s="58" t="s">
        <v>508</v>
      </c>
      <c r="AM5" s="58" t="s">
        <v>507</v>
      </c>
      <c r="AN5" s="58" t="s">
        <v>507</v>
      </c>
      <c r="AO5" s="58" t="s">
        <v>507</v>
      </c>
      <c r="AP5" s="58" t="s">
        <v>507</v>
      </c>
      <c r="AQ5" s="58" t="s">
        <v>507</v>
      </c>
      <c r="AR5" s="58" t="s">
        <v>507</v>
      </c>
      <c r="AS5" s="58" t="s">
        <v>507</v>
      </c>
      <c r="AT5" s="58" t="s">
        <v>509</v>
      </c>
      <c r="AU5" s="58" t="s">
        <v>508</v>
      </c>
      <c r="AV5" s="58" t="s">
        <v>508</v>
      </c>
      <c r="AW5" s="58" t="s">
        <v>508</v>
      </c>
      <c r="AX5" s="58" t="s">
        <v>508</v>
      </c>
      <c r="AY5" s="58" t="s">
        <v>508</v>
      </c>
      <c r="AZ5" s="58" t="s">
        <v>508</v>
      </c>
      <c r="BA5" s="58" t="s">
        <v>508</v>
      </c>
      <c r="BB5" s="58" t="s">
        <v>508</v>
      </c>
      <c r="BC5" s="58" t="s">
        <v>508</v>
      </c>
      <c r="BD5" s="58" t="s">
        <v>508</v>
      </c>
      <c r="BE5" s="58" t="s">
        <v>508</v>
      </c>
      <c r="BF5" s="58" t="s">
        <v>508</v>
      </c>
      <c r="BG5" s="58" t="s">
        <v>508</v>
      </c>
      <c r="BH5" s="58" t="s">
        <v>508</v>
      </c>
      <c r="BI5" s="58" t="s">
        <v>508</v>
      </c>
      <c r="BJ5" s="58" t="s">
        <v>508</v>
      </c>
      <c r="BK5" s="58" t="s">
        <v>508</v>
      </c>
      <c r="BL5" s="58" t="s">
        <v>508</v>
      </c>
      <c r="BM5" s="58" t="s">
        <v>508</v>
      </c>
      <c r="BN5" s="58" t="s">
        <v>508</v>
      </c>
      <c r="BO5" s="58" t="s">
        <v>508</v>
      </c>
      <c r="BP5" s="58" t="s">
        <v>508</v>
      </c>
      <c r="BQ5" s="58" t="s">
        <v>508</v>
      </c>
      <c r="BR5" s="58" t="s">
        <v>508</v>
      </c>
      <c r="BS5" s="58" t="s">
        <v>508</v>
      </c>
      <c r="BT5" s="58" t="s">
        <v>508</v>
      </c>
      <c r="BU5" s="58" t="s">
        <v>508</v>
      </c>
      <c r="BV5" s="58" t="s">
        <v>508</v>
      </c>
      <c r="BW5" s="58" t="s">
        <v>508</v>
      </c>
      <c r="BX5" s="58" t="s">
        <v>508</v>
      </c>
      <c r="BY5" s="58" t="s">
        <v>508</v>
      </c>
      <c r="BZ5" s="58" t="s">
        <v>508</v>
      </c>
      <c r="CA5" s="58" t="s">
        <v>508</v>
      </c>
      <c r="CB5" s="58" t="s">
        <v>508</v>
      </c>
      <c r="CC5" s="58" t="s">
        <v>508</v>
      </c>
      <c r="CD5" s="58" t="s">
        <v>508</v>
      </c>
      <c r="CE5" s="58" t="s">
        <v>508</v>
      </c>
      <c r="CF5" s="58" t="s">
        <v>508</v>
      </c>
      <c r="CG5" s="58" t="s">
        <v>508</v>
      </c>
      <c r="CH5" s="58" t="s">
        <v>508</v>
      </c>
      <c r="CI5" s="58" t="s">
        <v>508</v>
      </c>
      <c r="CJ5" s="58" t="s">
        <v>508</v>
      </c>
      <c r="CK5" s="58" t="s">
        <v>508</v>
      </c>
      <c r="CL5" s="58" t="s">
        <v>508</v>
      </c>
      <c r="CM5" s="58" t="s">
        <v>508</v>
      </c>
      <c r="CN5" s="58" t="s">
        <v>508</v>
      </c>
      <c r="CO5" s="58" t="s">
        <v>508</v>
      </c>
      <c r="CP5" s="58" t="s">
        <v>508</v>
      </c>
      <c r="CQ5" s="58" t="s">
        <v>508</v>
      </c>
      <c r="CR5" s="58" t="s">
        <v>508</v>
      </c>
      <c r="CS5" s="58" t="s">
        <v>508</v>
      </c>
      <c r="CT5" s="58" t="s">
        <v>508</v>
      </c>
      <c r="CU5" s="58" t="s">
        <v>507</v>
      </c>
      <c r="CV5" s="58" t="s">
        <v>508</v>
      </c>
      <c r="CW5" s="58" t="s">
        <v>508</v>
      </c>
      <c r="CX5" s="58" t="s">
        <v>508</v>
      </c>
      <c r="CY5" s="58" t="s">
        <v>508</v>
      </c>
      <c r="CZ5" s="58" t="s">
        <v>508</v>
      </c>
      <c r="DA5" s="58" t="s">
        <v>508</v>
      </c>
      <c r="DB5" s="58" t="s">
        <v>508</v>
      </c>
      <c r="DC5" s="58" t="s">
        <v>508</v>
      </c>
      <c r="DD5" s="58" t="s">
        <v>507</v>
      </c>
      <c r="DE5" s="58" t="s">
        <v>508</v>
      </c>
      <c r="DF5" s="58" t="s">
        <v>508</v>
      </c>
      <c r="DG5" s="58" t="s">
        <v>508</v>
      </c>
      <c r="DH5" s="58" t="s">
        <v>508</v>
      </c>
      <c r="DI5" s="58" t="s">
        <v>507</v>
      </c>
      <c r="DJ5" s="58" t="s">
        <v>508</v>
      </c>
      <c r="DK5" s="58" t="s">
        <v>508</v>
      </c>
      <c r="DL5" s="58" t="s">
        <v>510</v>
      </c>
      <c r="DM5" s="58" t="s">
        <v>507</v>
      </c>
      <c r="DN5" s="58" t="s">
        <v>508</v>
      </c>
      <c r="DO5" s="58" t="s">
        <v>508</v>
      </c>
      <c r="DP5" s="58" t="s">
        <v>507</v>
      </c>
      <c r="DQ5" s="58" t="s">
        <v>507</v>
      </c>
      <c r="DR5" s="58" t="s">
        <v>507</v>
      </c>
      <c r="DS5" s="58" t="s">
        <v>508</v>
      </c>
      <c r="DT5" s="58" t="s">
        <v>508</v>
      </c>
      <c r="DU5" s="58" t="s">
        <v>508</v>
      </c>
      <c r="DV5" s="58" t="s">
        <v>507</v>
      </c>
      <c r="DW5" s="58" t="s">
        <v>507</v>
      </c>
      <c r="DX5" s="58" t="s">
        <v>507</v>
      </c>
      <c r="DY5" s="58" t="s">
        <v>507</v>
      </c>
      <c r="DZ5" s="58" t="s">
        <v>507</v>
      </c>
      <c r="EA5" s="58" t="s">
        <v>507</v>
      </c>
      <c r="EB5" s="58" t="s">
        <v>507</v>
      </c>
      <c r="EC5" s="58" t="s">
        <v>507</v>
      </c>
      <c r="ED5" s="58" t="s">
        <v>507</v>
      </c>
      <c r="EE5" s="58" t="s">
        <v>507</v>
      </c>
      <c r="EF5" s="58" t="s">
        <v>507</v>
      </c>
      <c r="EG5" s="58" t="s">
        <v>508</v>
      </c>
      <c r="EH5" s="58" t="s">
        <v>508</v>
      </c>
      <c r="EI5" s="58" t="s">
        <v>507</v>
      </c>
      <c r="EJ5" s="58" t="s">
        <v>507</v>
      </c>
      <c r="EK5" s="58" t="s">
        <v>507</v>
      </c>
      <c r="EL5" s="58" t="s">
        <v>507</v>
      </c>
      <c r="EM5" s="58" t="s">
        <v>507</v>
      </c>
      <c r="EN5" s="58" t="s">
        <v>507</v>
      </c>
      <c r="EO5" s="58" t="s">
        <v>507</v>
      </c>
      <c r="EP5" s="58" t="s">
        <v>507</v>
      </c>
      <c r="EQ5" s="58" t="s">
        <v>507</v>
      </c>
      <c r="ER5" s="58" t="s">
        <v>507</v>
      </c>
      <c r="ES5" s="58" t="s">
        <v>507</v>
      </c>
      <c r="ET5" s="58" t="s">
        <v>507</v>
      </c>
    </row>
    <row r="6">
      <c r="A6" s="58" t="s">
        <v>77</v>
      </c>
      <c r="B6" s="58" t="s">
        <v>134</v>
      </c>
      <c r="C6" s="58" t="s">
        <v>134</v>
      </c>
      <c r="D6" s="58" t="s">
        <v>134</v>
      </c>
      <c r="E6" s="58" t="s">
        <v>134</v>
      </c>
      <c r="F6" s="58" t="s">
        <v>134</v>
      </c>
      <c r="G6" s="58" t="s">
        <v>134</v>
      </c>
      <c r="H6" s="58" t="s">
        <v>134</v>
      </c>
      <c r="I6" s="58" t="s">
        <v>134</v>
      </c>
      <c r="J6" s="58" t="s">
        <v>134</v>
      </c>
      <c r="K6" s="58">
        <v>0.0</v>
      </c>
      <c r="L6" s="58">
        <v>0.0</v>
      </c>
      <c r="M6" s="58" t="s">
        <v>134</v>
      </c>
      <c r="N6" s="58" t="s">
        <v>134</v>
      </c>
      <c r="O6" s="58" t="s">
        <v>134</v>
      </c>
      <c r="P6" s="58" t="s">
        <v>134</v>
      </c>
      <c r="Q6" s="58" t="s">
        <v>134</v>
      </c>
      <c r="R6" s="58" t="s">
        <v>134</v>
      </c>
      <c r="S6" s="58" t="s">
        <v>134</v>
      </c>
      <c r="T6" s="58" t="s">
        <v>134</v>
      </c>
      <c r="U6" s="58" t="s">
        <v>134</v>
      </c>
      <c r="V6" s="58" t="s">
        <v>134</v>
      </c>
      <c r="W6" s="58" t="s">
        <v>134</v>
      </c>
      <c r="X6" s="58" t="s">
        <v>134</v>
      </c>
      <c r="Y6" s="58" t="s">
        <v>134</v>
      </c>
      <c r="Z6" s="58" t="s">
        <v>134</v>
      </c>
      <c r="AA6" s="58" t="s">
        <v>134</v>
      </c>
      <c r="AB6" s="58" t="s">
        <v>134</v>
      </c>
      <c r="AC6" s="58" t="s">
        <v>134</v>
      </c>
      <c r="AD6" s="58" t="s">
        <v>134</v>
      </c>
      <c r="AE6" s="58" t="s">
        <v>134</v>
      </c>
      <c r="AF6" s="58" t="s">
        <v>134</v>
      </c>
      <c r="AG6" s="58" t="s">
        <v>134</v>
      </c>
      <c r="AH6" s="58" t="s">
        <v>134</v>
      </c>
      <c r="AI6" s="58" t="s">
        <v>134</v>
      </c>
      <c r="AJ6" s="58" t="s">
        <v>134</v>
      </c>
      <c r="AK6" s="58" t="s">
        <v>134</v>
      </c>
      <c r="AL6" s="58" t="s">
        <v>134</v>
      </c>
      <c r="AM6" s="58" t="s">
        <v>134</v>
      </c>
      <c r="AN6" s="58">
        <v>0.0</v>
      </c>
      <c r="AO6" s="58" t="s">
        <v>134</v>
      </c>
      <c r="AP6" s="58" t="s">
        <v>134</v>
      </c>
      <c r="AQ6" s="58" t="s">
        <v>134</v>
      </c>
      <c r="AR6" s="58" t="s">
        <v>134</v>
      </c>
      <c r="AS6" s="58" t="s">
        <v>134</v>
      </c>
      <c r="AT6" s="58" t="s">
        <v>134</v>
      </c>
      <c r="AU6" s="58" t="s">
        <v>134</v>
      </c>
      <c r="AV6" s="58" t="s">
        <v>134</v>
      </c>
      <c r="AW6" s="58" t="s">
        <v>134</v>
      </c>
      <c r="AX6" s="58" t="s">
        <v>134</v>
      </c>
      <c r="AY6" s="58" t="s">
        <v>134</v>
      </c>
      <c r="AZ6" s="58" t="s">
        <v>134</v>
      </c>
      <c r="BA6" s="58" t="s">
        <v>134</v>
      </c>
      <c r="BB6" s="58" t="s">
        <v>134</v>
      </c>
      <c r="BC6" s="58" t="s">
        <v>134</v>
      </c>
      <c r="BD6" s="58" t="s">
        <v>134</v>
      </c>
      <c r="BE6" s="58" t="s">
        <v>134</v>
      </c>
      <c r="BF6" s="58" t="s">
        <v>134</v>
      </c>
      <c r="BG6" s="58" t="s">
        <v>134</v>
      </c>
      <c r="BH6" s="58" t="s">
        <v>134</v>
      </c>
      <c r="BI6" s="58" t="s">
        <v>134</v>
      </c>
      <c r="BJ6" s="58" t="s">
        <v>134</v>
      </c>
      <c r="BK6" s="58" t="s">
        <v>134</v>
      </c>
      <c r="BL6" s="58" t="s">
        <v>134</v>
      </c>
      <c r="BM6" s="58" t="s">
        <v>134</v>
      </c>
      <c r="BN6" s="58" t="s">
        <v>134</v>
      </c>
      <c r="BO6" s="58" t="s">
        <v>134</v>
      </c>
      <c r="BP6" s="58" t="s">
        <v>134</v>
      </c>
      <c r="BQ6" s="58" t="s">
        <v>134</v>
      </c>
      <c r="BR6" s="58" t="s">
        <v>134</v>
      </c>
      <c r="BS6" s="58" t="s">
        <v>134</v>
      </c>
      <c r="BT6" s="58" t="s">
        <v>134</v>
      </c>
      <c r="BU6" s="58" t="s">
        <v>134</v>
      </c>
      <c r="BV6" s="58" t="s">
        <v>134</v>
      </c>
      <c r="BW6" s="58" t="s">
        <v>134</v>
      </c>
      <c r="BX6" s="58" t="s">
        <v>134</v>
      </c>
      <c r="BY6" s="58" t="s">
        <v>134</v>
      </c>
      <c r="BZ6" s="58" t="s">
        <v>134</v>
      </c>
      <c r="CA6" s="58" t="s">
        <v>134</v>
      </c>
      <c r="CB6" s="58" t="s">
        <v>134</v>
      </c>
      <c r="CC6" s="58" t="s">
        <v>134</v>
      </c>
      <c r="CD6" s="58" t="s">
        <v>134</v>
      </c>
      <c r="CE6" s="58" t="s">
        <v>134</v>
      </c>
      <c r="CF6" s="58" t="s">
        <v>134</v>
      </c>
      <c r="CG6" s="58" t="s">
        <v>134</v>
      </c>
      <c r="CH6" s="58" t="s">
        <v>134</v>
      </c>
      <c r="CI6" s="58" t="s">
        <v>134</v>
      </c>
      <c r="CJ6" s="58" t="s">
        <v>134</v>
      </c>
      <c r="CK6" s="58" t="s">
        <v>134</v>
      </c>
      <c r="CL6" s="58" t="s">
        <v>134</v>
      </c>
      <c r="CM6" s="58">
        <v>0.1011</v>
      </c>
      <c r="CN6" s="58" t="s">
        <v>134</v>
      </c>
      <c r="CO6" s="58" t="s">
        <v>134</v>
      </c>
      <c r="CP6" s="58" t="s">
        <v>134</v>
      </c>
      <c r="CQ6" s="58" t="s">
        <v>134</v>
      </c>
      <c r="CR6" s="58" t="s">
        <v>134</v>
      </c>
      <c r="CS6" s="58" t="s">
        <v>134</v>
      </c>
      <c r="CT6" s="58" t="s">
        <v>134</v>
      </c>
      <c r="CU6" s="58" t="s">
        <v>134</v>
      </c>
      <c r="CV6" s="58" t="s">
        <v>134</v>
      </c>
      <c r="CW6" s="58" t="s">
        <v>134</v>
      </c>
      <c r="CX6" s="58" t="s">
        <v>134</v>
      </c>
      <c r="CY6" s="58" t="s">
        <v>134</v>
      </c>
      <c r="CZ6" s="58" t="s">
        <v>134</v>
      </c>
      <c r="DA6" s="58" t="s">
        <v>134</v>
      </c>
      <c r="DB6" s="58" t="s">
        <v>134</v>
      </c>
      <c r="DC6" s="58" t="s">
        <v>134</v>
      </c>
      <c r="DD6" s="58" t="s">
        <v>134</v>
      </c>
      <c r="DE6" s="58" t="s">
        <v>134</v>
      </c>
      <c r="DF6" s="58" t="s">
        <v>134</v>
      </c>
      <c r="DG6" s="58" t="s">
        <v>134</v>
      </c>
      <c r="DH6" s="58" t="s">
        <v>134</v>
      </c>
      <c r="DI6" s="58" t="s">
        <v>134</v>
      </c>
      <c r="DJ6" s="58" t="s">
        <v>134</v>
      </c>
      <c r="DK6" s="58" t="s">
        <v>134</v>
      </c>
      <c r="DL6" s="58" t="s">
        <v>134</v>
      </c>
      <c r="DM6" s="58" t="s">
        <v>134</v>
      </c>
      <c r="DN6" s="58" t="s">
        <v>134</v>
      </c>
      <c r="DO6" s="58" t="s">
        <v>134</v>
      </c>
      <c r="DP6" s="58" t="s">
        <v>134</v>
      </c>
      <c r="DQ6" s="58" t="s">
        <v>134</v>
      </c>
      <c r="DR6" s="58" t="s">
        <v>134</v>
      </c>
      <c r="DS6" s="58" t="s">
        <v>134</v>
      </c>
      <c r="DT6" s="58">
        <v>0.1008</v>
      </c>
      <c r="DU6" s="58" t="s">
        <v>134</v>
      </c>
      <c r="DV6" s="58" t="s">
        <v>134</v>
      </c>
      <c r="DW6" s="58" t="s">
        <v>134</v>
      </c>
      <c r="DX6" s="58" t="s">
        <v>134</v>
      </c>
      <c r="DY6" s="58" t="s">
        <v>134</v>
      </c>
      <c r="DZ6" s="58" t="s">
        <v>134</v>
      </c>
      <c r="EA6" s="58" t="s">
        <v>134</v>
      </c>
      <c r="EB6" s="58" t="s">
        <v>134</v>
      </c>
      <c r="EC6" s="58" t="s">
        <v>134</v>
      </c>
      <c r="ED6" s="58" t="s">
        <v>134</v>
      </c>
      <c r="EE6" s="58" t="s">
        <v>134</v>
      </c>
      <c r="EF6" s="58" t="s">
        <v>134</v>
      </c>
      <c r="EG6" s="58" t="s">
        <v>134</v>
      </c>
      <c r="EH6" s="58">
        <v>0.1008</v>
      </c>
      <c r="EI6" s="58" t="s">
        <v>134</v>
      </c>
      <c r="EJ6" s="58" t="s">
        <v>134</v>
      </c>
      <c r="EK6" s="58" t="s">
        <v>134</v>
      </c>
      <c r="EL6" s="58" t="s">
        <v>134</v>
      </c>
      <c r="EM6" s="58" t="s">
        <v>134</v>
      </c>
      <c r="EN6" s="58" t="s">
        <v>134</v>
      </c>
      <c r="EO6" s="58">
        <v>0.0</v>
      </c>
      <c r="EP6" s="58">
        <v>0.0</v>
      </c>
      <c r="EQ6" s="58">
        <v>0.0</v>
      </c>
      <c r="ER6" s="58" t="s">
        <v>134</v>
      </c>
      <c r="ES6" s="58" t="s">
        <v>134</v>
      </c>
      <c r="ET6" s="58" t="s">
        <v>134</v>
      </c>
    </row>
    <row r="7">
      <c r="A7" s="58" t="s">
        <v>196</v>
      </c>
      <c r="B7" s="58" t="s">
        <v>134</v>
      </c>
      <c r="C7" s="58" t="s">
        <v>134</v>
      </c>
      <c r="D7" s="58" t="s">
        <v>134</v>
      </c>
      <c r="E7" s="58" t="s">
        <v>134</v>
      </c>
      <c r="F7" s="58" t="s">
        <v>134</v>
      </c>
      <c r="G7" s="58" t="s">
        <v>134</v>
      </c>
      <c r="H7" s="58" t="s">
        <v>134</v>
      </c>
      <c r="I7" s="58" t="s">
        <v>134</v>
      </c>
      <c r="J7" s="58" t="s">
        <v>134</v>
      </c>
      <c r="K7" s="58">
        <v>0.0</v>
      </c>
      <c r="L7" s="58">
        <v>0.0</v>
      </c>
      <c r="M7" s="58" t="s">
        <v>134</v>
      </c>
      <c r="N7" s="58" t="s">
        <v>134</v>
      </c>
      <c r="O7" s="58" t="s">
        <v>134</v>
      </c>
      <c r="P7" s="58" t="s">
        <v>134</v>
      </c>
      <c r="Q7" s="58" t="s">
        <v>134</v>
      </c>
      <c r="R7" s="58" t="s">
        <v>134</v>
      </c>
      <c r="S7" s="58" t="s">
        <v>134</v>
      </c>
      <c r="T7" s="58" t="s">
        <v>134</v>
      </c>
      <c r="U7" s="58" t="s">
        <v>134</v>
      </c>
      <c r="V7" s="58" t="s">
        <v>134</v>
      </c>
      <c r="W7" s="58" t="s">
        <v>134</v>
      </c>
      <c r="X7" s="58" t="s">
        <v>134</v>
      </c>
      <c r="Y7" s="58" t="s">
        <v>134</v>
      </c>
      <c r="Z7" s="58" t="s">
        <v>134</v>
      </c>
      <c r="AA7" s="58" t="s">
        <v>134</v>
      </c>
      <c r="AB7" s="58" t="s">
        <v>134</v>
      </c>
      <c r="AC7" s="58" t="s">
        <v>134</v>
      </c>
      <c r="AD7" s="58" t="s">
        <v>134</v>
      </c>
      <c r="AE7" s="58" t="s">
        <v>134</v>
      </c>
      <c r="AF7" s="58" t="s">
        <v>134</v>
      </c>
      <c r="AG7" s="58" t="s">
        <v>134</v>
      </c>
      <c r="AH7" s="58" t="s">
        <v>134</v>
      </c>
      <c r="AI7" s="58" t="s">
        <v>134</v>
      </c>
      <c r="AJ7" s="58" t="s">
        <v>134</v>
      </c>
      <c r="AK7" s="58" t="s">
        <v>134</v>
      </c>
      <c r="AL7" s="58" t="s">
        <v>134</v>
      </c>
      <c r="AM7" s="58" t="s">
        <v>134</v>
      </c>
      <c r="AN7" s="58">
        <v>0.0</v>
      </c>
      <c r="AO7" s="58" t="s">
        <v>134</v>
      </c>
      <c r="AP7" s="58" t="s">
        <v>134</v>
      </c>
      <c r="AQ7" s="58" t="s">
        <v>134</v>
      </c>
      <c r="AR7" s="58" t="s">
        <v>134</v>
      </c>
      <c r="AS7" s="58" t="s">
        <v>134</v>
      </c>
      <c r="AT7" s="58" t="s">
        <v>134</v>
      </c>
      <c r="AU7" s="58" t="s">
        <v>134</v>
      </c>
      <c r="AV7" s="58" t="s">
        <v>134</v>
      </c>
      <c r="AW7" s="58" t="s">
        <v>134</v>
      </c>
      <c r="AX7" s="58" t="s">
        <v>134</v>
      </c>
      <c r="AY7" s="58" t="s">
        <v>134</v>
      </c>
      <c r="AZ7" s="58" t="s">
        <v>134</v>
      </c>
      <c r="BA7" s="58" t="s">
        <v>134</v>
      </c>
      <c r="BB7" s="58" t="s">
        <v>134</v>
      </c>
      <c r="BC7" s="58" t="s">
        <v>134</v>
      </c>
      <c r="BD7" s="58" t="s">
        <v>134</v>
      </c>
      <c r="BE7" s="58" t="s">
        <v>134</v>
      </c>
      <c r="BF7" s="58" t="s">
        <v>134</v>
      </c>
      <c r="BG7" s="58" t="s">
        <v>134</v>
      </c>
      <c r="BH7" s="58" t="s">
        <v>134</v>
      </c>
      <c r="BI7" s="58" t="s">
        <v>134</v>
      </c>
      <c r="BJ7" s="58" t="s">
        <v>134</v>
      </c>
      <c r="BK7" s="58" t="s">
        <v>134</v>
      </c>
      <c r="BL7" s="58" t="s">
        <v>134</v>
      </c>
      <c r="BM7" s="58" t="s">
        <v>134</v>
      </c>
      <c r="BN7" s="58" t="s">
        <v>134</v>
      </c>
      <c r="BO7" s="58" t="s">
        <v>134</v>
      </c>
      <c r="BP7" s="58" t="s">
        <v>134</v>
      </c>
      <c r="BQ7" s="58" t="s">
        <v>134</v>
      </c>
      <c r="BR7" s="58" t="s">
        <v>134</v>
      </c>
      <c r="BS7" s="58" t="s">
        <v>134</v>
      </c>
      <c r="BT7" s="58" t="s">
        <v>134</v>
      </c>
      <c r="BU7" s="58" t="s">
        <v>134</v>
      </c>
      <c r="BV7" s="58" t="s">
        <v>134</v>
      </c>
      <c r="BW7" s="58" t="s">
        <v>134</v>
      </c>
      <c r="BX7" s="58" t="s">
        <v>134</v>
      </c>
      <c r="BY7" s="58" t="s">
        <v>134</v>
      </c>
      <c r="BZ7" s="58" t="s">
        <v>134</v>
      </c>
      <c r="CA7" s="58" t="s">
        <v>134</v>
      </c>
      <c r="CB7" s="58" t="s">
        <v>134</v>
      </c>
      <c r="CC7" s="58" t="s">
        <v>134</v>
      </c>
      <c r="CD7" s="58" t="s">
        <v>134</v>
      </c>
      <c r="CE7" s="58" t="s">
        <v>134</v>
      </c>
      <c r="CF7" s="58" t="s">
        <v>134</v>
      </c>
      <c r="CG7" s="58" t="s">
        <v>134</v>
      </c>
      <c r="CH7" s="58" t="s">
        <v>134</v>
      </c>
      <c r="CI7" s="58" t="s">
        <v>134</v>
      </c>
      <c r="CJ7" s="58" t="s">
        <v>134</v>
      </c>
      <c r="CK7" s="58" t="s">
        <v>134</v>
      </c>
      <c r="CL7" s="58" t="s">
        <v>134</v>
      </c>
      <c r="CM7" s="58" t="s">
        <v>134</v>
      </c>
      <c r="CN7" s="58" t="s">
        <v>134</v>
      </c>
      <c r="CO7" s="58" t="s">
        <v>134</v>
      </c>
      <c r="CP7" s="58" t="s">
        <v>134</v>
      </c>
      <c r="CQ7" s="58" t="s">
        <v>134</v>
      </c>
      <c r="CR7" s="58" t="s">
        <v>134</v>
      </c>
      <c r="CS7" s="58" t="s">
        <v>134</v>
      </c>
      <c r="CT7" s="58" t="s">
        <v>134</v>
      </c>
      <c r="CU7" s="58" t="s">
        <v>134</v>
      </c>
      <c r="CV7" s="58" t="s">
        <v>134</v>
      </c>
      <c r="CW7" s="58" t="s">
        <v>134</v>
      </c>
      <c r="CX7" s="58" t="s">
        <v>134</v>
      </c>
      <c r="CY7" s="58" t="s">
        <v>134</v>
      </c>
      <c r="CZ7" s="58" t="s">
        <v>134</v>
      </c>
      <c r="DA7" s="58" t="s">
        <v>134</v>
      </c>
      <c r="DB7" s="58" t="s">
        <v>134</v>
      </c>
      <c r="DC7" s="58" t="s">
        <v>134</v>
      </c>
      <c r="DD7" s="58" t="s">
        <v>134</v>
      </c>
      <c r="DE7" s="58" t="s">
        <v>134</v>
      </c>
      <c r="DF7" s="58" t="s">
        <v>134</v>
      </c>
      <c r="DG7" s="58" t="s">
        <v>134</v>
      </c>
      <c r="DH7" s="58" t="s">
        <v>134</v>
      </c>
      <c r="DI7" s="58" t="s">
        <v>134</v>
      </c>
      <c r="DJ7" s="58" t="s">
        <v>134</v>
      </c>
      <c r="DK7" s="58" t="s">
        <v>134</v>
      </c>
      <c r="DL7" s="58" t="s">
        <v>134</v>
      </c>
      <c r="DM7" s="58" t="s">
        <v>134</v>
      </c>
      <c r="DN7" s="58" t="s">
        <v>134</v>
      </c>
      <c r="DO7" s="58" t="s">
        <v>134</v>
      </c>
      <c r="DP7" s="58" t="s">
        <v>134</v>
      </c>
      <c r="DQ7" s="58" t="s">
        <v>134</v>
      </c>
      <c r="DR7" s="58" t="s">
        <v>134</v>
      </c>
      <c r="DS7" s="58" t="s">
        <v>134</v>
      </c>
      <c r="DT7" s="58" t="s">
        <v>134</v>
      </c>
      <c r="DU7" s="58" t="s">
        <v>134</v>
      </c>
      <c r="DV7" s="58" t="s">
        <v>134</v>
      </c>
      <c r="DW7" s="58" t="s">
        <v>134</v>
      </c>
      <c r="DX7" s="58" t="s">
        <v>134</v>
      </c>
      <c r="DY7" s="58" t="s">
        <v>134</v>
      </c>
      <c r="DZ7" s="58" t="s">
        <v>134</v>
      </c>
      <c r="EA7" s="58" t="s">
        <v>134</v>
      </c>
      <c r="EB7" s="58" t="s">
        <v>134</v>
      </c>
      <c r="EC7" s="58" t="s">
        <v>134</v>
      </c>
      <c r="ED7" s="58" t="s">
        <v>134</v>
      </c>
      <c r="EE7" s="58" t="s">
        <v>134</v>
      </c>
      <c r="EF7" s="58" t="s">
        <v>134</v>
      </c>
      <c r="EG7" s="58" t="s">
        <v>134</v>
      </c>
      <c r="EH7" s="58" t="s">
        <v>134</v>
      </c>
      <c r="EI7" s="58" t="s">
        <v>134</v>
      </c>
      <c r="EJ7" s="58" t="s">
        <v>134</v>
      </c>
      <c r="EK7" s="58" t="s">
        <v>134</v>
      </c>
      <c r="EL7" s="58" t="s">
        <v>134</v>
      </c>
      <c r="EM7" s="58" t="s">
        <v>134</v>
      </c>
      <c r="EN7" s="58" t="s">
        <v>134</v>
      </c>
      <c r="EO7" s="58">
        <v>0.0</v>
      </c>
      <c r="EP7" s="58">
        <v>0.0</v>
      </c>
      <c r="EQ7" s="58">
        <v>0.0</v>
      </c>
      <c r="ER7" s="58" t="s">
        <v>134</v>
      </c>
      <c r="ES7" s="58" t="s">
        <v>134</v>
      </c>
      <c r="ET7" s="58" t="s">
        <v>134</v>
      </c>
    </row>
    <row r="8">
      <c r="A8" s="58" t="s">
        <v>70</v>
      </c>
      <c r="B8" s="58" t="s">
        <v>134</v>
      </c>
      <c r="C8" s="58" t="s">
        <v>134</v>
      </c>
      <c r="D8" s="58" t="s">
        <v>134</v>
      </c>
      <c r="E8" s="58" t="s">
        <v>134</v>
      </c>
      <c r="F8" s="58" t="s">
        <v>134</v>
      </c>
      <c r="G8" s="58" t="s">
        <v>134</v>
      </c>
      <c r="H8" s="58" t="s">
        <v>134</v>
      </c>
      <c r="I8" s="58">
        <v>0.0659</v>
      </c>
      <c r="J8" s="58" t="s">
        <v>134</v>
      </c>
      <c r="K8" s="58">
        <v>0.001</v>
      </c>
      <c r="L8" s="58">
        <v>0.0</v>
      </c>
      <c r="M8" s="58" t="s">
        <v>134</v>
      </c>
      <c r="N8" s="58" t="s">
        <v>134</v>
      </c>
      <c r="O8" s="58" t="s">
        <v>134</v>
      </c>
      <c r="P8" s="58" t="s">
        <v>134</v>
      </c>
      <c r="Q8" s="58" t="s">
        <v>134</v>
      </c>
      <c r="R8" s="58" t="s">
        <v>134</v>
      </c>
      <c r="S8" s="58" t="s">
        <v>134</v>
      </c>
      <c r="T8" s="58" t="s">
        <v>134</v>
      </c>
      <c r="U8" s="58" t="s">
        <v>134</v>
      </c>
      <c r="V8" s="58" t="s">
        <v>134</v>
      </c>
      <c r="W8" s="58" t="s">
        <v>134</v>
      </c>
      <c r="X8" s="58" t="s">
        <v>134</v>
      </c>
      <c r="Y8" s="58" t="s">
        <v>134</v>
      </c>
      <c r="Z8" s="58" t="s">
        <v>134</v>
      </c>
      <c r="AA8" s="58" t="s">
        <v>134</v>
      </c>
      <c r="AB8" s="58" t="s">
        <v>134</v>
      </c>
      <c r="AC8" s="58" t="s">
        <v>134</v>
      </c>
      <c r="AD8" s="58" t="s">
        <v>134</v>
      </c>
      <c r="AE8" s="58" t="s">
        <v>134</v>
      </c>
      <c r="AF8" s="58" t="s">
        <v>134</v>
      </c>
      <c r="AG8" s="58" t="s">
        <v>134</v>
      </c>
      <c r="AH8" s="58" t="s">
        <v>134</v>
      </c>
      <c r="AI8" s="58" t="s">
        <v>134</v>
      </c>
      <c r="AJ8" s="58" t="s">
        <v>134</v>
      </c>
      <c r="AK8" s="58" t="s">
        <v>134</v>
      </c>
      <c r="AL8" s="58" t="s">
        <v>134</v>
      </c>
      <c r="AM8" s="58" t="s">
        <v>134</v>
      </c>
      <c r="AN8" s="58">
        <v>0.0</v>
      </c>
      <c r="AO8" s="58" t="s">
        <v>134</v>
      </c>
      <c r="AP8" s="58" t="s">
        <v>134</v>
      </c>
      <c r="AQ8" s="58" t="s">
        <v>134</v>
      </c>
      <c r="AR8" s="58" t="s">
        <v>134</v>
      </c>
      <c r="AS8" s="58" t="s">
        <v>134</v>
      </c>
      <c r="AT8" s="58" t="s">
        <v>134</v>
      </c>
      <c r="AU8" s="58">
        <v>0.0643</v>
      </c>
      <c r="AV8" s="58" t="s">
        <v>134</v>
      </c>
      <c r="AW8" s="58">
        <v>0.0115</v>
      </c>
      <c r="AX8" s="58" t="s">
        <v>134</v>
      </c>
      <c r="AY8" s="58" t="s">
        <v>134</v>
      </c>
      <c r="AZ8" s="58">
        <v>0.0676</v>
      </c>
      <c r="BA8" s="58" t="s">
        <v>134</v>
      </c>
      <c r="BB8" s="58" t="s">
        <v>134</v>
      </c>
      <c r="BC8" s="58" t="s">
        <v>134</v>
      </c>
      <c r="BD8" s="58" t="s">
        <v>134</v>
      </c>
      <c r="BE8" s="58" t="s">
        <v>134</v>
      </c>
      <c r="BF8" s="58" t="s">
        <v>134</v>
      </c>
      <c r="BG8" s="58" t="s">
        <v>134</v>
      </c>
      <c r="BH8" s="58" t="s">
        <v>134</v>
      </c>
      <c r="BI8" s="58" t="s">
        <v>134</v>
      </c>
      <c r="BJ8" s="58" t="s">
        <v>134</v>
      </c>
      <c r="BK8" s="58" t="s">
        <v>134</v>
      </c>
      <c r="BL8" s="58" t="s">
        <v>134</v>
      </c>
      <c r="BM8" s="58" t="s">
        <v>134</v>
      </c>
      <c r="BN8" s="58" t="s">
        <v>134</v>
      </c>
      <c r="BO8" s="58" t="s">
        <v>134</v>
      </c>
      <c r="BP8" s="58" t="s">
        <v>134</v>
      </c>
      <c r="BQ8" s="58" t="s">
        <v>134</v>
      </c>
      <c r="BR8" s="58" t="s">
        <v>134</v>
      </c>
      <c r="BS8" s="58" t="s">
        <v>134</v>
      </c>
      <c r="BT8" s="58" t="s">
        <v>134</v>
      </c>
      <c r="BU8" s="58" t="s">
        <v>134</v>
      </c>
      <c r="BV8" s="58" t="s">
        <v>134</v>
      </c>
      <c r="BW8" s="58" t="s">
        <v>134</v>
      </c>
      <c r="BX8" s="58" t="s">
        <v>134</v>
      </c>
      <c r="BY8" s="58" t="s">
        <v>134</v>
      </c>
      <c r="BZ8" s="58" t="s">
        <v>134</v>
      </c>
      <c r="CA8" s="58" t="s">
        <v>134</v>
      </c>
      <c r="CB8" s="58" t="s">
        <v>134</v>
      </c>
      <c r="CC8" s="58" t="s">
        <v>134</v>
      </c>
      <c r="CD8" s="58" t="s">
        <v>134</v>
      </c>
      <c r="CE8" s="58" t="s">
        <v>134</v>
      </c>
      <c r="CF8" s="58" t="s">
        <v>134</v>
      </c>
      <c r="CG8" s="58" t="s">
        <v>134</v>
      </c>
      <c r="CH8" s="58" t="s">
        <v>134</v>
      </c>
      <c r="CI8" s="58" t="s">
        <v>134</v>
      </c>
      <c r="CJ8" s="58" t="s">
        <v>134</v>
      </c>
      <c r="CK8" s="58" t="s">
        <v>134</v>
      </c>
      <c r="CL8" s="58" t="s">
        <v>134</v>
      </c>
      <c r="CM8" s="58" t="s">
        <v>134</v>
      </c>
      <c r="CN8" s="58" t="s">
        <v>134</v>
      </c>
      <c r="CO8" s="58" t="s">
        <v>134</v>
      </c>
      <c r="CP8" s="58" t="s">
        <v>134</v>
      </c>
      <c r="CQ8" s="58" t="s">
        <v>134</v>
      </c>
      <c r="CR8" s="58" t="s">
        <v>134</v>
      </c>
      <c r="CS8" s="58" t="s">
        <v>134</v>
      </c>
      <c r="CT8" s="58" t="s">
        <v>134</v>
      </c>
      <c r="CU8" s="58" t="s">
        <v>134</v>
      </c>
      <c r="CV8" s="58" t="s">
        <v>134</v>
      </c>
      <c r="CW8" s="58" t="s">
        <v>134</v>
      </c>
      <c r="CX8" s="58" t="s">
        <v>134</v>
      </c>
      <c r="CY8" s="58" t="s">
        <v>134</v>
      </c>
      <c r="CZ8" s="58" t="s">
        <v>134</v>
      </c>
      <c r="DA8" s="58" t="s">
        <v>134</v>
      </c>
      <c r="DB8" s="58" t="s">
        <v>134</v>
      </c>
      <c r="DC8" s="58" t="s">
        <v>134</v>
      </c>
      <c r="DD8" s="58" t="s">
        <v>134</v>
      </c>
      <c r="DE8" s="58" t="s">
        <v>134</v>
      </c>
      <c r="DF8" s="58" t="s">
        <v>134</v>
      </c>
      <c r="DG8" s="58" t="s">
        <v>134</v>
      </c>
      <c r="DH8" s="58" t="s">
        <v>134</v>
      </c>
      <c r="DI8" s="58" t="s">
        <v>134</v>
      </c>
      <c r="DJ8" s="58">
        <v>0.0094</v>
      </c>
      <c r="DK8" s="58" t="s">
        <v>134</v>
      </c>
      <c r="DL8" s="58" t="s">
        <v>134</v>
      </c>
      <c r="DM8" s="58" t="s">
        <v>134</v>
      </c>
      <c r="DN8" s="58" t="s">
        <v>134</v>
      </c>
      <c r="DO8" s="58" t="s">
        <v>134</v>
      </c>
      <c r="DP8" s="58" t="s">
        <v>134</v>
      </c>
      <c r="DQ8" s="58" t="s">
        <v>134</v>
      </c>
      <c r="DR8" s="58" t="s">
        <v>134</v>
      </c>
      <c r="DS8" s="58" t="s">
        <v>134</v>
      </c>
      <c r="DT8" s="58" t="s">
        <v>134</v>
      </c>
      <c r="DU8" s="58" t="s">
        <v>134</v>
      </c>
      <c r="DV8" s="58" t="s">
        <v>134</v>
      </c>
      <c r="DW8" s="58" t="s">
        <v>134</v>
      </c>
      <c r="DX8" s="58" t="s">
        <v>134</v>
      </c>
      <c r="DY8" s="58" t="s">
        <v>134</v>
      </c>
      <c r="DZ8" s="58" t="s">
        <v>134</v>
      </c>
      <c r="EA8" s="58" t="s">
        <v>134</v>
      </c>
      <c r="EB8" s="58" t="s">
        <v>134</v>
      </c>
      <c r="EC8" s="58" t="s">
        <v>134</v>
      </c>
      <c r="ED8" s="58" t="s">
        <v>134</v>
      </c>
      <c r="EE8" s="58" t="s">
        <v>134</v>
      </c>
      <c r="EF8" s="58" t="s">
        <v>134</v>
      </c>
      <c r="EG8" s="58" t="s">
        <v>134</v>
      </c>
      <c r="EH8" s="58" t="s">
        <v>134</v>
      </c>
      <c r="EI8" s="58" t="s">
        <v>134</v>
      </c>
      <c r="EJ8" s="58" t="s">
        <v>134</v>
      </c>
      <c r="EK8" s="58" t="s">
        <v>134</v>
      </c>
      <c r="EL8" s="58" t="s">
        <v>134</v>
      </c>
      <c r="EM8" s="58" t="s">
        <v>134</v>
      </c>
      <c r="EN8" s="58" t="s">
        <v>134</v>
      </c>
      <c r="EO8" s="58">
        <v>0.0</v>
      </c>
      <c r="EP8" s="58">
        <v>0.0</v>
      </c>
      <c r="EQ8" s="58">
        <v>0.0</v>
      </c>
      <c r="ER8" s="58" t="s">
        <v>134</v>
      </c>
      <c r="ES8" s="58" t="s">
        <v>134</v>
      </c>
      <c r="ET8" s="58" t="s">
        <v>134</v>
      </c>
    </row>
    <row r="9">
      <c r="A9" s="58" t="s">
        <v>60</v>
      </c>
      <c r="B9" s="58" t="s">
        <v>134</v>
      </c>
      <c r="C9" s="58" t="s">
        <v>134</v>
      </c>
      <c r="D9" s="58" t="s">
        <v>134</v>
      </c>
      <c r="E9" s="58" t="s">
        <v>134</v>
      </c>
      <c r="F9" s="58" t="s">
        <v>134</v>
      </c>
      <c r="G9" s="58" t="s">
        <v>134</v>
      </c>
      <c r="H9" s="58" t="s">
        <v>134</v>
      </c>
      <c r="I9" s="58">
        <v>0.0747</v>
      </c>
      <c r="J9" s="58" t="s">
        <v>134</v>
      </c>
      <c r="K9" s="58">
        <v>0.0</v>
      </c>
      <c r="L9" s="58">
        <v>0.0</v>
      </c>
      <c r="M9" s="58" t="s">
        <v>134</v>
      </c>
      <c r="N9" s="58" t="s">
        <v>134</v>
      </c>
      <c r="O9" s="58" t="s">
        <v>134</v>
      </c>
      <c r="P9" s="58" t="s">
        <v>134</v>
      </c>
      <c r="Q9" s="58" t="s">
        <v>134</v>
      </c>
      <c r="R9" s="58" t="s">
        <v>134</v>
      </c>
      <c r="S9" s="58" t="s">
        <v>134</v>
      </c>
      <c r="T9" s="58" t="s">
        <v>134</v>
      </c>
      <c r="U9" s="58" t="s">
        <v>134</v>
      </c>
      <c r="V9" s="58" t="s">
        <v>134</v>
      </c>
      <c r="W9" s="58" t="s">
        <v>134</v>
      </c>
      <c r="X9" s="58" t="s">
        <v>134</v>
      </c>
      <c r="Y9" s="58" t="s">
        <v>134</v>
      </c>
      <c r="Z9" s="58" t="s">
        <v>134</v>
      </c>
      <c r="AA9" s="58" t="s">
        <v>134</v>
      </c>
      <c r="AB9" s="58" t="s">
        <v>134</v>
      </c>
      <c r="AC9" s="58" t="s">
        <v>134</v>
      </c>
      <c r="AD9" s="58" t="s">
        <v>134</v>
      </c>
      <c r="AE9" s="58" t="s">
        <v>134</v>
      </c>
      <c r="AF9" s="58" t="s">
        <v>134</v>
      </c>
      <c r="AG9" s="58" t="s">
        <v>134</v>
      </c>
      <c r="AH9" s="58" t="s">
        <v>134</v>
      </c>
      <c r="AI9" s="58" t="s">
        <v>134</v>
      </c>
      <c r="AJ9" s="58">
        <v>0.045</v>
      </c>
      <c r="AK9" s="58" t="s">
        <v>134</v>
      </c>
      <c r="AL9" s="58" t="s">
        <v>134</v>
      </c>
      <c r="AM9" s="58" t="s">
        <v>134</v>
      </c>
      <c r="AN9" s="58">
        <v>0.0</v>
      </c>
      <c r="AO9" s="58" t="s">
        <v>134</v>
      </c>
      <c r="AP9" s="58" t="s">
        <v>134</v>
      </c>
      <c r="AQ9" s="58" t="s">
        <v>134</v>
      </c>
      <c r="AR9" s="58" t="s">
        <v>134</v>
      </c>
      <c r="AS9" s="58" t="s">
        <v>134</v>
      </c>
      <c r="AT9" s="58" t="s">
        <v>134</v>
      </c>
      <c r="AU9" s="58" t="s">
        <v>134</v>
      </c>
      <c r="AV9" s="58" t="s">
        <v>134</v>
      </c>
      <c r="AW9" s="58" t="s">
        <v>134</v>
      </c>
      <c r="AX9" s="58" t="s">
        <v>134</v>
      </c>
      <c r="AY9" s="58" t="s">
        <v>134</v>
      </c>
      <c r="AZ9" s="58" t="s">
        <v>134</v>
      </c>
      <c r="BA9" s="58" t="s">
        <v>134</v>
      </c>
      <c r="BB9" s="58" t="s">
        <v>134</v>
      </c>
      <c r="BC9" s="58" t="s">
        <v>134</v>
      </c>
      <c r="BD9" s="58" t="s">
        <v>134</v>
      </c>
      <c r="BE9" s="58" t="s">
        <v>134</v>
      </c>
      <c r="BF9" s="58" t="s">
        <v>134</v>
      </c>
      <c r="BG9" s="58" t="s">
        <v>134</v>
      </c>
      <c r="BH9" s="58" t="s">
        <v>134</v>
      </c>
      <c r="BI9" s="58" t="s">
        <v>134</v>
      </c>
      <c r="BJ9" s="58" t="s">
        <v>134</v>
      </c>
      <c r="BK9" s="58" t="s">
        <v>134</v>
      </c>
      <c r="BL9" s="58" t="s">
        <v>134</v>
      </c>
      <c r="BM9" s="58" t="s">
        <v>134</v>
      </c>
      <c r="BN9" s="58" t="s">
        <v>134</v>
      </c>
      <c r="BO9" s="58" t="s">
        <v>134</v>
      </c>
      <c r="BP9" s="58" t="s">
        <v>134</v>
      </c>
      <c r="BQ9" s="58" t="s">
        <v>134</v>
      </c>
      <c r="BR9" s="58" t="s">
        <v>134</v>
      </c>
      <c r="BS9" s="58" t="s">
        <v>134</v>
      </c>
      <c r="BT9" s="58" t="s">
        <v>134</v>
      </c>
      <c r="BU9" s="58" t="s">
        <v>134</v>
      </c>
      <c r="BV9" s="58" t="s">
        <v>134</v>
      </c>
      <c r="BW9" s="58" t="s">
        <v>134</v>
      </c>
      <c r="BX9" s="58" t="s">
        <v>134</v>
      </c>
      <c r="BY9" s="58" t="s">
        <v>134</v>
      </c>
      <c r="BZ9" s="58" t="s">
        <v>134</v>
      </c>
      <c r="CA9" s="58" t="s">
        <v>134</v>
      </c>
      <c r="CB9" s="58" t="s">
        <v>134</v>
      </c>
      <c r="CC9" s="58" t="s">
        <v>134</v>
      </c>
      <c r="CD9" s="58" t="s">
        <v>134</v>
      </c>
      <c r="CE9" s="58" t="s">
        <v>134</v>
      </c>
      <c r="CF9" s="58" t="s">
        <v>134</v>
      </c>
      <c r="CG9" s="58" t="s">
        <v>134</v>
      </c>
      <c r="CH9" s="58" t="s">
        <v>134</v>
      </c>
      <c r="CI9" s="58" t="s">
        <v>134</v>
      </c>
      <c r="CJ9" s="58" t="s">
        <v>134</v>
      </c>
      <c r="CK9" s="58" t="s">
        <v>134</v>
      </c>
      <c r="CL9" s="58" t="s">
        <v>134</v>
      </c>
      <c r="CM9" s="58" t="s">
        <v>134</v>
      </c>
      <c r="CN9" s="58" t="s">
        <v>134</v>
      </c>
      <c r="CO9" s="58" t="s">
        <v>134</v>
      </c>
      <c r="CP9" s="58" t="s">
        <v>134</v>
      </c>
      <c r="CQ9" s="58" t="s">
        <v>134</v>
      </c>
      <c r="CR9" s="58" t="s">
        <v>134</v>
      </c>
      <c r="CS9" s="58" t="s">
        <v>134</v>
      </c>
      <c r="CT9" s="58" t="s">
        <v>134</v>
      </c>
      <c r="CU9" s="58" t="s">
        <v>134</v>
      </c>
      <c r="CV9" s="58" t="s">
        <v>134</v>
      </c>
      <c r="CW9" s="58" t="s">
        <v>134</v>
      </c>
      <c r="CX9" s="58" t="s">
        <v>134</v>
      </c>
      <c r="CY9" s="58" t="s">
        <v>134</v>
      </c>
      <c r="CZ9" s="58" t="s">
        <v>134</v>
      </c>
      <c r="DA9" s="58" t="s">
        <v>134</v>
      </c>
      <c r="DB9" s="58" t="s">
        <v>134</v>
      </c>
      <c r="DC9" s="58" t="s">
        <v>134</v>
      </c>
      <c r="DD9" s="58" t="s">
        <v>134</v>
      </c>
      <c r="DE9" s="58" t="s">
        <v>134</v>
      </c>
      <c r="DF9" s="58" t="s">
        <v>134</v>
      </c>
      <c r="DG9" s="58" t="s">
        <v>134</v>
      </c>
      <c r="DH9" s="58" t="s">
        <v>134</v>
      </c>
      <c r="DI9" s="58" t="s">
        <v>134</v>
      </c>
      <c r="DJ9" s="58" t="s">
        <v>134</v>
      </c>
      <c r="DK9" s="58" t="s">
        <v>134</v>
      </c>
      <c r="DL9" s="58" t="s">
        <v>134</v>
      </c>
      <c r="DM9" s="58" t="s">
        <v>134</v>
      </c>
      <c r="DN9" s="58" t="s">
        <v>134</v>
      </c>
      <c r="DO9" s="58" t="s">
        <v>134</v>
      </c>
      <c r="DP9" s="58" t="s">
        <v>134</v>
      </c>
      <c r="DQ9" s="58" t="s">
        <v>134</v>
      </c>
      <c r="DR9" s="58" t="s">
        <v>134</v>
      </c>
      <c r="DS9" s="58" t="s">
        <v>134</v>
      </c>
      <c r="DT9" s="58" t="s">
        <v>134</v>
      </c>
      <c r="DU9" s="58" t="s">
        <v>134</v>
      </c>
      <c r="DV9" s="58" t="s">
        <v>134</v>
      </c>
      <c r="DW9" s="58" t="s">
        <v>134</v>
      </c>
      <c r="DX9" s="58" t="s">
        <v>134</v>
      </c>
      <c r="DY9" s="58" t="s">
        <v>134</v>
      </c>
      <c r="DZ9" s="58" t="s">
        <v>134</v>
      </c>
      <c r="EA9" s="58" t="s">
        <v>134</v>
      </c>
      <c r="EB9" s="58" t="s">
        <v>134</v>
      </c>
      <c r="EC9" s="58" t="s">
        <v>134</v>
      </c>
      <c r="ED9" s="58" t="s">
        <v>134</v>
      </c>
      <c r="EE9" s="58" t="s">
        <v>134</v>
      </c>
      <c r="EF9" s="58" t="s">
        <v>134</v>
      </c>
      <c r="EG9" s="58" t="s">
        <v>134</v>
      </c>
      <c r="EH9" s="58" t="s">
        <v>134</v>
      </c>
      <c r="EI9" s="58" t="s">
        <v>134</v>
      </c>
      <c r="EJ9" s="58" t="s">
        <v>134</v>
      </c>
      <c r="EK9" s="58" t="s">
        <v>134</v>
      </c>
      <c r="EL9" s="58" t="s">
        <v>134</v>
      </c>
      <c r="EM9" s="58" t="s">
        <v>134</v>
      </c>
      <c r="EN9" s="58" t="s">
        <v>134</v>
      </c>
      <c r="EO9" s="58">
        <v>0.0</v>
      </c>
      <c r="EP9" s="58">
        <v>0.0</v>
      </c>
      <c r="EQ9" s="58">
        <v>0.0</v>
      </c>
      <c r="ER9" s="58" t="s">
        <v>134</v>
      </c>
      <c r="ES9" s="58" t="s">
        <v>134</v>
      </c>
      <c r="ET9" s="58" t="s">
        <v>134</v>
      </c>
    </row>
    <row r="10">
      <c r="A10" s="58" t="s">
        <v>284</v>
      </c>
      <c r="B10" s="58" t="s">
        <v>134</v>
      </c>
      <c r="C10" s="58" t="s">
        <v>134</v>
      </c>
      <c r="D10" s="58" t="s">
        <v>134</v>
      </c>
      <c r="E10" s="58" t="s">
        <v>134</v>
      </c>
      <c r="F10" s="58" t="s">
        <v>134</v>
      </c>
      <c r="G10" s="58" t="s">
        <v>134</v>
      </c>
      <c r="H10" s="58" t="s">
        <v>134</v>
      </c>
      <c r="I10" s="58" t="s">
        <v>134</v>
      </c>
      <c r="J10" s="58" t="s">
        <v>134</v>
      </c>
      <c r="K10" s="58">
        <v>0.0</v>
      </c>
      <c r="L10" s="58">
        <v>0.0</v>
      </c>
      <c r="M10" s="58" t="s">
        <v>134</v>
      </c>
      <c r="N10" s="58" t="s">
        <v>134</v>
      </c>
      <c r="O10" s="58" t="s">
        <v>134</v>
      </c>
      <c r="P10" s="58" t="s">
        <v>134</v>
      </c>
      <c r="Q10" s="58" t="s">
        <v>134</v>
      </c>
      <c r="R10" s="58" t="s">
        <v>134</v>
      </c>
      <c r="S10" s="58" t="s">
        <v>134</v>
      </c>
      <c r="T10" s="58" t="s">
        <v>134</v>
      </c>
      <c r="U10" s="58" t="s">
        <v>134</v>
      </c>
      <c r="V10" s="58" t="s">
        <v>134</v>
      </c>
      <c r="W10" s="58" t="s">
        <v>134</v>
      </c>
      <c r="X10" s="58" t="s">
        <v>134</v>
      </c>
      <c r="Y10" s="58" t="s">
        <v>134</v>
      </c>
      <c r="Z10" s="58" t="s">
        <v>134</v>
      </c>
      <c r="AA10" s="58" t="s">
        <v>134</v>
      </c>
      <c r="AB10" s="58" t="s">
        <v>134</v>
      </c>
      <c r="AC10" s="58" t="s">
        <v>134</v>
      </c>
      <c r="AD10" s="58" t="s">
        <v>134</v>
      </c>
      <c r="AE10" s="58" t="s">
        <v>134</v>
      </c>
      <c r="AF10" s="58" t="s">
        <v>134</v>
      </c>
      <c r="AG10" s="58" t="s">
        <v>134</v>
      </c>
      <c r="AH10" s="58" t="s">
        <v>134</v>
      </c>
      <c r="AI10" s="58" t="s">
        <v>134</v>
      </c>
      <c r="AJ10" s="58" t="s">
        <v>134</v>
      </c>
      <c r="AK10" s="58" t="s">
        <v>134</v>
      </c>
      <c r="AL10" s="58" t="s">
        <v>134</v>
      </c>
      <c r="AM10" s="58" t="s">
        <v>134</v>
      </c>
      <c r="AN10" s="58">
        <v>0.0</v>
      </c>
      <c r="AO10" s="58" t="s">
        <v>134</v>
      </c>
      <c r="AP10" s="58" t="s">
        <v>134</v>
      </c>
      <c r="AQ10" s="58" t="s">
        <v>134</v>
      </c>
      <c r="AR10" s="58" t="s">
        <v>134</v>
      </c>
      <c r="AS10" s="58" t="s">
        <v>134</v>
      </c>
      <c r="AT10" s="58" t="s">
        <v>134</v>
      </c>
      <c r="AU10" s="58" t="s">
        <v>134</v>
      </c>
      <c r="AV10" s="58" t="s">
        <v>134</v>
      </c>
      <c r="AW10" s="58" t="s">
        <v>134</v>
      </c>
      <c r="AX10" s="58" t="s">
        <v>134</v>
      </c>
      <c r="AY10" s="58" t="s">
        <v>134</v>
      </c>
      <c r="AZ10" s="58" t="s">
        <v>134</v>
      </c>
      <c r="BA10" s="58" t="s">
        <v>134</v>
      </c>
      <c r="BB10" s="58" t="s">
        <v>134</v>
      </c>
      <c r="BC10" s="58" t="s">
        <v>134</v>
      </c>
      <c r="BD10" s="58" t="s">
        <v>134</v>
      </c>
      <c r="BE10" s="58" t="s">
        <v>134</v>
      </c>
      <c r="BF10" s="58" t="s">
        <v>134</v>
      </c>
      <c r="BG10" s="58" t="s">
        <v>134</v>
      </c>
      <c r="BH10" s="58" t="s">
        <v>134</v>
      </c>
      <c r="BI10" s="58" t="s">
        <v>134</v>
      </c>
      <c r="BJ10" s="58" t="s">
        <v>134</v>
      </c>
      <c r="BK10" s="58" t="s">
        <v>134</v>
      </c>
      <c r="BL10" s="58" t="s">
        <v>134</v>
      </c>
      <c r="BM10" s="58" t="s">
        <v>134</v>
      </c>
      <c r="BN10" s="58" t="s">
        <v>134</v>
      </c>
      <c r="BO10" s="58" t="s">
        <v>134</v>
      </c>
      <c r="BP10" s="58" t="s">
        <v>134</v>
      </c>
      <c r="BQ10" s="58" t="s">
        <v>134</v>
      </c>
      <c r="BR10" s="58" t="s">
        <v>134</v>
      </c>
      <c r="BS10" s="58" t="s">
        <v>134</v>
      </c>
      <c r="BT10" s="58" t="s">
        <v>134</v>
      </c>
      <c r="BU10" s="58" t="s">
        <v>134</v>
      </c>
      <c r="BV10" s="58" t="s">
        <v>134</v>
      </c>
      <c r="BW10" s="58" t="s">
        <v>134</v>
      </c>
      <c r="BX10" s="58" t="s">
        <v>134</v>
      </c>
      <c r="BY10" s="58" t="s">
        <v>134</v>
      </c>
      <c r="BZ10" s="58" t="s">
        <v>134</v>
      </c>
      <c r="CA10" s="58" t="s">
        <v>134</v>
      </c>
      <c r="CB10" s="58" t="s">
        <v>134</v>
      </c>
      <c r="CC10" s="58" t="s">
        <v>134</v>
      </c>
      <c r="CD10" s="58" t="s">
        <v>134</v>
      </c>
      <c r="CE10" s="58" t="s">
        <v>134</v>
      </c>
      <c r="CF10" s="58" t="s">
        <v>134</v>
      </c>
      <c r="CG10" s="58" t="s">
        <v>134</v>
      </c>
      <c r="CH10" s="58" t="s">
        <v>134</v>
      </c>
      <c r="CI10" s="58" t="s">
        <v>134</v>
      </c>
      <c r="CJ10" s="58" t="s">
        <v>134</v>
      </c>
      <c r="CK10" s="58" t="s">
        <v>134</v>
      </c>
      <c r="CL10" s="58" t="s">
        <v>134</v>
      </c>
      <c r="CM10" s="58" t="s">
        <v>134</v>
      </c>
      <c r="CN10" s="58" t="s">
        <v>134</v>
      </c>
      <c r="CO10" s="58" t="s">
        <v>134</v>
      </c>
      <c r="CP10" s="58" t="s">
        <v>134</v>
      </c>
      <c r="CQ10" s="58" t="s">
        <v>134</v>
      </c>
      <c r="CR10" s="58" t="s">
        <v>134</v>
      </c>
      <c r="CS10" s="58" t="s">
        <v>134</v>
      </c>
      <c r="CT10" s="58" t="s">
        <v>134</v>
      </c>
      <c r="CU10" s="58" t="s">
        <v>134</v>
      </c>
      <c r="CV10" s="58" t="s">
        <v>134</v>
      </c>
      <c r="CW10" s="58" t="s">
        <v>134</v>
      </c>
      <c r="CX10" s="58" t="s">
        <v>134</v>
      </c>
      <c r="CY10" s="58" t="s">
        <v>134</v>
      </c>
      <c r="CZ10" s="58" t="s">
        <v>134</v>
      </c>
      <c r="DA10" s="58" t="s">
        <v>134</v>
      </c>
      <c r="DB10" s="58" t="s">
        <v>134</v>
      </c>
      <c r="DC10" s="58" t="s">
        <v>134</v>
      </c>
      <c r="DD10" s="58" t="s">
        <v>134</v>
      </c>
      <c r="DE10" s="58" t="s">
        <v>134</v>
      </c>
      <c r="DF10" s="58" t="s">
        <v>134</v>
      </c>
      <c r="DG10" s="58" t="s">
        <v>134</v>
      </c>
      <c r="DH10" s="58" t="s">
        <v>134</v>
      </c>
      <c r="DI10" s="58" t="s">
        <v>134</v>
      </c>
      <c r="DJ10" s="58" t="s">
        <v>134</v>
      </c>
      <c r="DK10" s="58" t="s">
        <v>134</v>
      </c>
      <c r="DL10" s="58" t="s">
        <v>134</v>
      </c>
      <c r="DM10" s="58" t="s">
        <v>134</v>
      </c>
      <c r="DN10" s="58" t="s">
        <v>134</v>
      </c>
      <c r="DO10" s="58" t="s">
        <v>134</v>
      </c>
      <c r="DP10" s="58" t="s">
        <v>134</v>
      </c>
      <c r="DQ10" s="58" t="s">
        <v>134</v>
      </c>
      <c r="DR10" s="58" t="s">
        <v>134</v>
      </c>
      <c r="DS10" s="58" t="s">
        <v>134</v>
      </c>
      <c r="DT10" s="58" t="s">
        <v>134</v>
      </c>
      <c r="DU10" s="58" t="s">
        <v>134</v>
      </c>
      <c r="DV10" s="58" t="s">
        <v>134</v>
      </c>
      <c r="DW10" s="58" t="s">
        <v>134</v>
      </c>
      <c r="DX10" s="58" t="s">
        <v>134</v>
      </c>
      <c r="DY10" s="58" t="s">
        <v>134</v>
      </c>
      <c r="DZ10" s="58" t="s">
        <v>134</v>
      </c>
      <c r="EA10" s="58" t="s">
        <v>134</v>
      </c>
      <c r="EB10" s="58" t="s">
        <v>134</v>
      </c>
      <c r="EC10" s="58" t="s">
        <v>134</v>
      </c>
      <c r="ED10" s="58" t="s">
        <v>134</v>
      </c>
      <c r="EE10" s="58" t="s">
        <v>134</v>
      </c>
      <c r="EF10" s="58" t="s">
        <v>134</v>
      </c>
      <c r="EG10" s="58" t="s">
        <v>134</v>
      </c>
      <c r="EH10" s="58" t="s">
        <v>134</v>
      </c>
      <c r="EI10" s="58" t="s">
        <v>134</v>
      </c>
      <c r="EJ10" s="58" t="s">
        <v>134</v>
      </c>
      <c r="EK10" s="58" t="s">
        <v>134</v>
      </c>
      <c r="EL10" s="58" t="s">
        <v>134</v>
      </c>
      <c r="EM10" s="58" t="s">
        <v>134</v>
      </c>
      <c r="EN10" s="58" t="s">
        <v>134</v>
      </c>
      <c r="EO10" s="58">
        <v>0.0</v>
      </c>
      <c r="EP10" s="58">
        <v>0.0</v>
      </c>
      <c r="EQ10" s="58">
        <v>0.0</v>
      </c>
      <c r="ER10" s="58" t="s">
        <v>134</v>
      </c>
      <c r="ES10" s="58" t="s">
        <v>134</v>
      </c>
      <c r="ET10" s="58" t="s">
        <v>134</v>
      </c>
    </row>
    <row r="11">
      <c r="A11" s="58" t="s">
        <v>285</v>
      </c>
      <c r="B11" s="58" t="s">
        <v>134</v>
      </c>
      <c r="C11" s="58" t="s">
        <v>134</v>
      </c>
      <c r="D11" s="58" t="s">
        <v>134</v>
      </c>
      <c r="E11" s="58" t="s">
        <v>134</v>
      </c>
      <c r="F11" s="58" t="s">
        <v>134</v>
      </c>
      <c r="G11" s="58" t="s">
        <v>134</v>
      </c>
      <c r="H11" s="58" t="s">
        <v>134</v>
      </c>
      <c r="I11" s="58" t="s">
        <v>134</v>
      </c>
      <c r="J11" s="58" t="s">
        <v>134</v>
      </c>
      <c r="K11" s="58" t="s">
        <v>134</v>
      </c>
      <c r="L11" s="58" t="s">
        <v>134</v>
      </c>
      <c r="M11" s="58" t="s">
        <v>134</v>
      </c>
      <c r="N11" s="58" t="s">
        <v>134</v>
      </c>
      <c r="O11" s="58" t="s">
        <v>134</v>
      </c>
      <c r="P11" s="58" t="s">
        <v>134</v>
      </c>
      <c r="Q11" s="58" t="s">
        <v>134</v>
      </c>
      <c r="R11" s="58" t="s">
        <v>134</v>
      </c>
      <c r="S11" s="58" t="s">
        <v>134</v>
      </c>
      <c r="T11" s="58" t="s">
        <v>134</v>
      </c>
      <c r="U11" s="58" t="s">
        <v>134</v>
      </c>
      <c r="V11" s="58" t="s">
        <v>134</v>
      </c>
      <c r="W11" s="58" t="s">
        <v>134</v>
      </c>
      <c r="X11" s="58" t="s">
        <v>134</v>
      </c>
      <c r="Y11" s="58" t="s">
        <v>134</v>
      </c>
      <c r="Z11" s="58" t="s">
        <v>134</v>
      </c>
      <c r="AA11" s="58" t="s">
        <v>134</v>
      </c>
      <c r="AB11" s="58" t="s">
        <v>134</v>
      </c>
      <c r="AC11" s="58" t="s">
        <v>134</v>
      </c>
      <c r="AD11" s="58" t="s">
        <v>134</v>
      </c>
      <c r="AE11" s="58" t="s">
        <v>134</v>
      </c>
      <c r="AF11" s="58" t="s">
        <v>134</v>
      </c>
      <c r="AG11" s="58" t="s">
        <v>134</v>
      </c>
      <c r="AH11" s="58" t="s">
        <v>134</v>
      </c>
      <c r="AI11" s="58" t="s">
        <v>134</v>
      </c>
      <c r="AJ11" s="58" t="s">
        <v>134</v>
      </c>
      <c r="AK11" s="58" t="s">
        <v>134</v>
      </c>
      <c r="AL11" s="58" t="s">
        <v>134</v>
      </c>
      <c r="AM11" s="58" t="s">
        <v>134</v>
      </c>
      <c r="AN11" s="58">
        <v>0.0</v>
      </c>
      <c r="AO11" s="58" t="s">
        <v>134</v>
      </c>
      <c r="AP11" s="58" t="s">
        <v>134</v>
      </c>
      <c r="AQ11" s="58" t="s">
        <v>134</v>
      </c>
      <c r="AR11" s="58" t="s">
        <v>134</v>
      </c>
      <c r="AS11" s="58" t="s">
        <v>134</v>
      </c>
      <c r="AT11" s="58" t="s">
        <v>134</v>
      </c>
      <c r="AU11" s="58" t="s">
        <v>134</v>
      </c>
      <c r="AV11" s="58" t="s">
        <v>134</v>
      </c>
      <c r="AW11" s="58" t="s">
        <v>134</v>
      </c>
      <c r="AX11" s="58" t="s">
        <v>134</v>
      </c>
      <c r="AY11" s="58" t="s">
        <v>134</v>
      </c>
      <c r="AZ11" s="58" t="s">
        <v>134</v>
      </c>
      <c r="BA11" s="58" t="s">
        <v>134</v>
      </c>
      <c r="BB11" s="58" t="s">
        <v>134</v>
      </c>
      <c r="BC11" s="58" t="s">
        <v>134</v>
      </c>
      <c r="BD11" s="58" t="s">
        <v>134</v>
      </c>
      <c r="BE11" s="58" t="s">
        <v>134</v>
      </c>
      <c r="BF11" s="58" t="s">
        <v>134</v>
      </c>
      <c r="BG11" s="58" t="s">
        <v>134</v>
      </c>
      <c r="BH11" s="58" t="s">
        <v>134</v>
      </c>
      <c r="BI11" s="58" t="s">
        <v>134</v>
      </c>
      <c r="BJ11" s="58" t="s">
        <v>134</v>
      </c>
      <c r="BK11" s="58" t="s">
        <v>134</v>
      </c>
      <c r="BL11" s="58" t="s">
        <v>134</v>
      </c>
      <c r="BM11" s="58" t="s">
        <v>134</v>
      </c>
      <c r="BN11" s="58" t="s">
        <v>134</v>
      </c>
      <c r="BO11" s="58" t="s">
        <v>134</v>
      </c>
      <c r="BP11" s="58" t="s">
        <v>134</v>
      </c>
      <c r="BQ11" s="58" t="s">
        <v>134</v>
      </c>
      <c r="BR11" s="58" t="s">
        <v>134</v>
      </c>
      <c r="BS11" s="58" t="s">
        <v>134</v>
      </c>
      <c r="BT11" s="58" t="s">
        <v>134</v>
      </c>
      <c r="BU11" s="58" t="s">
        <v>134</v>
      </c>
      <c r="BV11" s="58" t="s">
        <v>134</v>
      </c>
      <c r="BW11" s="58" t="s">
        <v>134</v>
      </c>
      <c r="BX11" s="58" t="s">
        <v>134</v>
      </c>
      <c r="BY11" s="58" t="s">
        <v>134</v>
      </c>
      <c r="BZ11" s="58" t="s">
        <v>134</v>
      </c>
      <c r="CA11" s="58" t="s">
        <v>134</v>
      </c>
      <c r="CB11" s="58" t="s">
        <v>134</v>
      </c>
      <c r="CC11" s="58" t="s">
        <v>134</v>
      </c>
      <c r="CD11" s="58" t="s">
        <v>134</v>
      </c>
      <c r="CE11" s="58" t="s">
        <v>134</v>
      </c>
      <c r="CF11" s="58" t="s">
        <v>134</v>
      </c>
      <c r="CG11" s="58" t="s">
        <v>134</v>
      </c>
      <c r="CH11" s="58" t="s">
        <v>134</v>
      </c>
      <c r="CI11" s="58" t="s">
        <v>134</v>
      </c>
      <c r="CJ11" s="58" t="s">
        <v>134</v>
      </c>
      <c r="CK11" s="58" t="s">
        <v>134</v>
      </c>
      <c r="CL11" s="58" t="s">
        <v>134</v>
      </c>
      <c r="CM11" s="58" t="s">
        <v>134</v>
      </c>
      <c r="CN11" s="58" t="s">
        <v>134</v>
      </c>
      <c r="CO11" s="58" t="s">
        <v>134</v>
      </c>
      <c r="CP11" s="58" t="s">
        <v>134</v>
      </c>
      <c r="CQ11" s="58" t="s">
        <v>134</v>
      </c>
      <c r="CR11" s="58" t="s">
        <v>134</v>
      </c>
      <c r="CS11" s="58" t="s">
        <v>134</v>
      </c>
      <c r="CT11" s="58" t="s">
        <v>134</v>
      </c>
      <c r="CU11" s="58" t="s">
        <v>134</v>
      </c>
      <c r="CV11" s="58" t="s">
        <v>134</v>
      </c>
      <c r="CW11" s="58" t="s">
        <v>134</v>
      </c>
      <c r="CX11" s="58" t="s">
        <v>134</v>
      </c>
      <c r="CY11" s="58" t="s">
        <v>134</v>
      </c>
      <c r="CZ11" s="58" t="s">
        <v>134</v>
      </c>
      <c r="DA11" s="58" t="s">
        <v>134</v>
      </c>
      <c r="DB11" s="58" t="s">
        <v>134</v>
      </c>
      <c r="DC11" s="58" t="s">
        <v>134</v>
      </c>
      <c r="DD11" s="58" t="s">
        <v>134</v>
      </c>
      <c r="DE11" s="58" t="s">
        <v>134</v>
      </c>
      <c r="DF11" s="58" t="s">
        <v>134</v>
      </c>
      <c r="DG11" s="58" t="s">
        <v>134</v>
      </c>
      <c r="DH11" s="58" t="s">
        <v>134</v>
      </c>
      <c r="DI11" s="58" t="s">
        <v>134</v>
      </c>
      <c r="DJ11" s="58" t="s">
        <v>134</v>
      </c>
      <c r="DK11" s="58" t="s">
        <v>134</v>
      </c>
      <c r="DL11" s="58" t="s">
        <v>134</v>
      </c>
      <c r="DM11" s="58" t="s">
        <v>134</v>
      </c>
      <c r="DN11" s="58" t="s">
        <v>134</v>
      </c>
      <c r="DO11" s="58" t="s">
        <v>134</v>
      </c>
      <c r="DP11" s="58" t="s">
        <v>134</v>
      </c>
      <c r="DQ11" s="58" t="s">
        <v>134</v>
      </c>
      <c r="DR11" s="58" t="s">
        <v>134</v>
      </c>
      <c r="DS11" s="58" t="s">
        <v>134</v>
      </c>
      <c r="DT11" s="58" t="s">
        <v>134</v>
      </c>
      <c r="DU11" s="58" t="s">
        <v>134</v>
      </c>
      <c r="DV11" s="58" t="s">
        <v>134</v>
      </c>
      <c r="DW11" s="58" t="s">
        <v>134</v>
      </c>
      <c r="DX11" s="58" t="s">
        <v>134</v>
      </c>
      <c r="DY11" s="58" t="s">
        <v>134</v>
      </c>
      <c r="DZ11" s="58" t="s">
        <v>134</v>
      </c>
      <c r="EA11" s="58" t="s">
        <v>134</v>
      </c>
      <c r="EB11" s="58" t="s">
        <v>134</v>
      </c>
      <c r="EC11" s="58" t="s">
        <v>134</v>
      </c>
      <c r="ED11" s="58" t="s">
        <v>134</v>
      </c>
      <c r="EE11" s="58" t="s">
        <v>134</v>
      </c>
      <c r="EF11" s="58" t="s">
        <v>134</v>
      </c>
      <c r="EG11" s="58" t="s">
        <v>134</v>
      </c>
      <c r="EH11" s="58" t="s">
        <v>134</v>
      </c>
      <c r="EI11" s="58" t="s">
        <v>134</v>
      </c>
      <c r="EJ11" s="58" t="s">
        <v>134</v>
      </c>
      <c r="EK11" s="58" t="s">
        <v>134</v>
      </c>
      <c r="EL11" s="58" t="s">
        <v>134</v>
      </c>
      <c r="EM11" s="58" t="s">
        <v>134</v>
      </c>
      <c r="EN11" s="58" t="s">
        <v>134</v>
      </c>
      <c r="EO11" s="58">
        <v>0.0</v>
      </c>
      <c r="EP11" s="58">
        <v>0.0</v>
      </c>
      <c r="EQ11" s="58">
        <v>0.0</v>
      </c>
      <c r="ER11" s="58" t="s">
        <v>134</v>
      </c>
      <c r="ES11" s="58" t="s">
        <v>134</v>
      </c>
      <c r="ET11" s="58" t="s">
        <v>134</v>
      </c>
    </row>
    <row r="12">
      <c r="A12" s="58" t="s">
        <v>101</v>
      </c>
      <c r="B12" s="58" t="s">
        <v>134</v>
      </c>
      <c r="C12" s="58" t="s">
        <v>134</v>
      </c>
      <c r="D12" s="58" t="s">
        <v>134</v>
      </c>
      <c r="E12" s="58" t="s">
        <v>134</v>
      </c>
      <c r="F12" s="58" t="s">
        <v>134</v>
      </c>
      <c r="G12" s="58" t="s">
        <v>134</v>
      </c>
      <c r="H12" s="58" t="s">
        <v>134</v>
      </c>
      <c r="I12" s="58" t="s">
        <v>134</v>
      </c>
      <c r="J12" s="58" t="s">
        <v>134</v>
      </c>
      <c r="K12" s="58">
        <v>0.0</v>
      </c>
      <c r="L12" s="58">
        <v>0.0</v>
      </c>
      <c r="M12" s="58" t="s">
        <v>134</v>
      </c>
      <c r="N12" s="58" t="s">
        <v>134</v>
      </c>
      <c r="O12" s="58" t="s">
        <v>134</v>
      </c>
      <c r="P12" s="58" t="s">
        <v>134</v>
      </c>
      <c r="Q12" s="58" t="s">
        <v>134</v>
      </c>
      <c r="R12" s="58" t="s">
        <v>134</v>
      </c>
      <c r="S12" s="58" t="s">
        <v>134</v>
      </c>
      <c r="T12" s="58" t="s">
        <v>134</v>
      </c>
      <c r="U12" s="58" t="s">
        <v>134</v>
      </c>
      <c r="V12" s="58" t="s">
        <v>134</v>
      </c>
      <c r="W12" s="58" t="s">
        <v>134</v>
      </c>
      <c r="X12" s="58" t="s">
        <v>134</v>
      </c>
      <c r="Y12" s="58" t="s">
        <v>134</v>
      </c>
      <c r="Z12" s="58" t="s">
        <v>134</v>
      </c>
      <c r="AA12" s="58" t="s">
        <v>134</v>
      </c>
      <c r="AB12" s="58" t="s">
        <v>134</v>
      </c>
      <c r="AC12" s="58" t="s">
        <v>134</v>
      </c>
      <c r="AD12" s="58" t="s">
        <v>134</v>
      </c>
      <c r="AE12" s="58" t="s">
        <v>134</v>
      </c>
      <c r="AF12" s="58" t="s">
        <v>134</v>
      </c>
      <c r="AG12" s="58" t="s">
        <v>134</v>
      </c>
      <c r="AH12" s="58" t="s">
        <v>134</v>
      </c>
      <c r="AI12" s="58" t="s">
        <v>134</v>
      </c>
      <c r="AJ12" s="58" t="s">
        <v>134</v>
      </c>
      <c r="AK12" s="58" t="s">
        <v>134</v>
      </c>
      <c r="AL12" s="58" t="s">
        <v>134</v>
      </c>
      <c r="AM12" s="58" t="s">
        <v>134</v>
      </c>
      <c r="AN12" s="58">
        <v>0.0</v>
      </c>
      <c r="AO12" s="58" t="s">
        <v>134</v>
      </c>
      <c r="AP12" s="58" t="s">
        <v>134</v>
      </c>
      <c r="AQ12" s="58" t="s">
        <v>134</v>
      </c>
      <c r="AR12" s="58" t="s">
        <v>134</v>
      </c>
      <c r="AS12" s="58" t="s">
        <v>134</v>
      </c>
      <c r="AT12" s="58" t="s">
        <v>134</v>
      </c>
      <c r="AU12" s="58" t="s">
        <v>134</v>
      </c>
      <c r="AV12" s="58" t="s">
        <v>134</v>
      </c>
      <c r="AW12" s="58" t="s">
        <v>134</v>
      </c>
      <c r="AX12" s="58" t="s">
        <v>134</v>
      </c>
      <c r="AY12" s="58" t="s">
        <v>134</v>
      </c>
      <c r="AZ12" s="58" t="s">
        <v>134</v>
      </c>
      <c r="BA12" s="58">
        <v>0.4706</v>
      </c>
      <c r="BB12" s="58" t="s">
        <v>134</v>
      </c>
      <c r="BC12" s="58" t="s">
        <v>134</v>
      </c>
      <c r="BD12" s="58" t="s">
        <v>134</v>
      </c>
      <c r="BE12" s="58" t="s">
        <v>134</v>
      </c>
      <c r="BF12" s="58" t="s">
        <v>134</v>
      </c>
      <c r="BG12" s="58" t="s">
        <v>134</v>
      </c>
      <c r="BH12" s="58" t="s">
        <v>134</v>
      </c>
      <c r="BI12" s="58" t="s">
        <v>134</v>
      </c>
      <c r="BJ12" s="58" t="s">
        <v>134</v>
      </c>
      <c r="BK12" s="58" t="s">
        <v>134</v>
      </c>
      <c r="BL12" s="58" t="s">
        <v>134</v>
      </c>
      <c r="BM12" s="58" t="s">
        <v>134</v>
      </c>
      <c r="BN12" s="58" t="s">
        <v>134</v>
      </c>
      <c r="BO12" s="58" t="s">
        <v>134</v>
      </c>
      <c r="BP12" s="58" t="s">
        <v>134</v>
      </c>
      <c r="BQ12" s="58" t="s">
        <v>134</v>
      </c>
      <c r="BR12" s="58" t="s">
        <v>134</v>
      </c>
      <c r="BS12" s="58" t="s">
        <v>134</v>
      </c>
      <c r="BT12" s="58" t="s">
        <v>134</v>
      </c>
      <c r="BU12" s="58" t="s">
        <v>134</v>
      </c>
      <c r="BV12" s="58" t="s">
        <v>134</v>
      </c>
      <c r="BW12" s="58" t="s">
        <v>134</v>
      </c>
      <c r="BX12" s="58" t="s">
        <v>134</v>
      </c>
      <c r="BY12" s="58" t="s">
        <v>134</v>
      </c>
      <c r="BZ12" s="58" t="s">
        <v>134</v>
      </c>
      <c r="CA12" s="58" t="s">
        <v>134</v>
      </c>
      <c r="CB12" s="58" t="s">
        <v>134</v>
      </c>
      <c r="CC12" s="58" t="s">
        <v>134</v>
      </c>
      <c r="CD12" s="58" t="s">
        <v>134</v>
      </c>
      <c r="CE12" s="58" t="s">
        <v>134</v>
      </c>
      <c r="CF12" s="58" t="s">
        <v>134</v>
      </c>
      <c r="CG12" s="58" t="s">
        <v>134</v>
      </c>
      <c r="CH12" s="58" t="s">
        <v>134</v>
      </c>
      <c r="CI12" s="58" t="s">
        <v>134</v>
      </c>
      <c r="CJ12" s="58" t="s">
        <v>134</v>
      </c>
      <c r="CK12" s="58" t="s">
        <v>134</v>
      </c>
      <c r="CL12" s="58" t="s">
        <v>134</v>
      </c>
      <c r="CM12" s="58" t="s">
        <v>134</v>
      </c>
      <c r="CN12" s="58" t="s">
        <v>134</v>
      </c>
      <c r="CO12" s="58" t="s">
        <v>134</v>
      </c>
      <c r="CP12" s="58" t="s">
        <v>134</v>
      </c>
      <c r="CQ12" s="58" t="s">
        <v>134</v>
      </c>
      <c r="CR12" s="58" t="s">
        <v>134</v>
      </c>
      <c r="CS12" s="58" t="s">
        <v>134</v>
      </c>
      <c r="CT12" s="58" t="s">
        <v>134</v>
      </c>
      <c r="CU12" s="58" t="s">
        <v>134</v>
      </c>
      <c r="CV12" s="58" t="s">
        <v>134</v>
      </c>
      <c r="CW12" s="58" t="s">
        <v>134</v>
      </c>
      <c r="CX12" s="58" t="s">
        <v>134</v>
      </c>
      <c r="CY12" s="58" t="s">
        <v>134</v>
      </c>
      <c r="CZ12" s="58" t="s">
        <v>134</v>
      </c>
      <c r="DA12" s="58" t="s">
        <v>134</v>
      </c>
      <c r="DB12" s="58" t="s">
        <v>134</v>
      </c>
      <c r="DC12" s="58" t="s">
        <v>134</v>
      </c>
      <c r="DD12" s="58" t="s">
        <v>134</v>
      </c>
      <c r="DE12" s="58" t="s">
        <v>134</v>
      </c>
      <c r="DF12" s="58" t="s">
        <v>134</v>
      </c>
      <c r="DG12" s="58" t="s">
        <v>134</v>
      </c>
      <c r="DH12" s="58" t="s">
        <v>134</v>
      </c>
      <c r="DI12" s="58" t="s">
        <v>134</v>
      </c>
      <c r="DJ12" s="58" t="s">
        <v>134</v>
      </c>
      <c r="DK12" s="58" t="s">
        <v>134</v>
      </c>
      <c r="DL12" s="58" t="s">
        <v>134</v>
      </c>
      <c r="DM12" s="58" t="s">
        <v>134</v>
      </c>
      <c r="DN12" s="58" t="s">
        <v>134</v>
      </c>
      <c r="DO12" s="58" t="s">
        <v>134</v>
      </c>
      <c r="DP12" s="58" t="s">
        <v>134</v>
      </c>
      <c r="DQ12" s="58" t="s">
        <v>134</v>
      </c>
      <c r="DR12" s="58" t="s">
        <v>134</v>
      </c>
      <c r="DS12" s="58" t="s">
        <v>134</v>
      </c>
      <c r="DT12" s="58" t="s">
        <v>134</v>
      </c>
      <c r="DU12" s="58" t="s">
        <v>134</v>
      </c>
      <c r="DV12" s="58" t="s">
        <v>134</v>
      </c>
      <c r="DW12" s="58" t="s">
        <v>134</v>
      </c>
      <c r="DX12" s="58" t="s">
        <v>134</v>
      </c>
      <c r="DY12" s="58" t="s">
        <v>134</v>
      </c>
      <c r="DZ12" s="58" t="s">
        <v>134</v>
      </c>
      <c r="EA12" s="58" t="s">
        <v>134</v>
      </c>
      <c r="EB12" s="58" t="s">
        <v>134</v>
      </c>
      <c r="EC12" s="58" t="s">
        <v>134</v>
      </c>
      <c r="ED12" s="58" t="s">
        <v>134</v>
      </c>
      <c r="EE12" s="58" t="s">
        <v>134</v>
      </c>
      <c r="EF12" s="58" t="s">
        <v>134</v>
      </c>
      <c r="EG12" s="58" t="s">
        <v>134</v>
      </c>
      <c r="EH12" s="58" t="s">
        <v>134</v>
      </c>
      <c r="EI12" s="58" t="s">
        <v>134</v>
      </c>
      <c r="EJ12" s="58" t="s">
        <v>134</v>
      </c>
      <c r="EK12" s="58" t="s">
        <v>134</v>
      </c>
      <c r="EL12" s="58" t="s">
        <v>134</v>
      </c>
      <c r="EM12" s="58" t="s">
        <v>134</v>
      </c>
      <c r="EN12" s="58" t="s">
        <v>134</v>
      </c>
      <c r="EO12" s="58">
        <v>0.0</v>
      </c>
      <c r="EP12" s="58">
        <v>0.0</v>
      </c>
      <c r="EQ12" s="58">
        <v>0.0</v>
      </c>
      <c r="ER12" s="58" t="s">
        <v>134</v>
      </c>
      <c r="ES12" s="58" t="s">
        <v>134</v>
      </c>
      <c r="ET12" s="58" t="s">
        <v>134</v>
      </c>
    </row>
    <row r="13">
      <c r="A13" s="58" t="s">
        <v>469</v>
      </c>
      <c r="B13" s="58" t="s">
        <v>134</v>
      </c>
      <c r="C13" s="58" t="s">
        <v>134</v>
      </c>
      <c r="D13" s="58" t="s">
        <v>134</v>
      </c>
      <c r="E13" s="58" t="s">
        <v>134</v>
      </c>
      <c r="F13" s="58" t="s">
        <v>134</v>
      </c>
      <c r="G13" s="58" t="s">
        <v>134</v>
      </c>
      <c r="H13" s="58" t="s">
        <v>134</v>
      </c>
      <c r="I13" s="58" t="s">
        <v>134</v>
      </c>
      <c r="J13" s="58" t="s">
        <v>134</v>
      </c>
      <c r="K13" s="58">
        <v>0.0</v>
      </c>
      <c r="L13" s="58">
        <v>0.0</v>
      </c>
      <c r="M13" s="58" t="s">
        <v>134</v>
      </c>
      <c r="N13" s="58" t="s">
        <v>134</v>
      </c>
      <c r="O13" s="58" t="s">
        <v>134</v>
      </c>
      <c r="P13" s="58" t="s">
        <v>134</v>
      </c>
      <c r="Q13" s="58" t="s">
        <v>134</v>
      </c>
      <c r="R13" s="58" t="s">
        <v>134</v>
      </c>
      <c r="S13" s="58" t="s">
        <v>134</v>
      </c>
      <c r="T13" s="58" t="s">
        <v>134</v>
      </c>
      <c r="U13" s="58" t="s">
        <v>134</v>
      </c>
      <c r="V13" s="58" t="s">
        <v>134</v>
      </c>
      <c r="W13" s="58" t="s">
        <v>134</v>
      </c>
      <c r="X13" s="58" t="s">
        <v>134</v>
      </c>
      <c r="Y13" s="58" t="s">
        <v>134</v>
      </c>
      <c r="Z13" s="58" t="s">
        <v>134</v>
      </c>
      <c r="AA13" s="58" t="s">
        <v>134</v>
      </c>
      <c r="AB13" s="58" t="s">
        <v>134</v>
      </c>
      <c r="AC13" s="58" t="s">
        <v>134</v>
      </c>
      <c r="AD13" s="58" t="s">
        <v>134</v>
      </c>
      <c r="AE13" s="58" t="s">
        <v>134</v>
      </c>
      <c r="AF13" s="58" t="s">
        <v>134</v>
      </c>
      <c r="AG13" s="58" t="s">
        <v>134</v>
      </c>
      <c r="AH13" s="58" t="s">
        <v>134</v>
      </c>
      <c r="AI13" s="58" t="s">
        <v>134</v>
      </c>
      <c r="AJ13" s="58" t="s">
        <v>134</v>
      </c>
      <c r="AK13" s="58" t="s">
        <v>134</v>
      </c>
      <c r="AL13" s="58" t="s">
        <v>134</v>
      </c>
      <c r="AM13" s="58" t="s">
        <v>134</v>
      </c>
      <c r="AN13" s="58">
        <v>0.0</v>
      </c>
      <c r="AO13" s="58" t="s">
        <v>134</v>
      </c>
      <c r="AP13" s="58" t="s">
        <v>134</v>
      </c>
      <c r="AQ13" s="58" t="s">
        <v>134</v>
      </c>
      <c r="AR13" s="58" t="s">
        <v>134</v>
      </c>
      <c r="AS13" s="58" t="s">
        <v>134</v>
      </c>
      <c r="AT13" s="58" t="s">
        <v>134</v>
      </c>
      <c r="AU13" s="58" t="s">
        <v>134</v>
      </c>
      <c r="AV13" s="58" t="s">
        <v>134</v>
      </c>
      <c r="AW13" s="58" t="s">
        <v>134</v>
      </c>
      <c r="AX13" s="58" t="s">
        <v>134</v>
      </c>
      <c r="AY13" s="58" t="s">
        <v>134</v>
      </c>
      <c r="AZ13" s="58" t="s">
        <v>134</v>
      </c>
      <c r="BA13" s="58" t="s">
        <v>134</v>
      </c>
      <c r="BB13" s="58" t="s">
        <v>134</v>
      </c>
      <c r="BC13" s="58" t="s">
        <v>134</v>
      </c>
      <c r="BD13" s="58" t="s">
        <v>134</v>
      </c>
      <c r="BE13" s="58" t="s">
        <v>134</v>
      </c>
      <c r="BF13" s="58" t="s">
        <v>134</v>
      </c>
      <c r="BG13" s="58" t="s">
        <v>134</v>
      </c>
      <c r="BH13" s="58" t="s">
        <v>134</v>
      </c>
      <c r="BI13" s="58" t="s">
        <v>134</v>
      </c>
      <c r="BJ13" s="58" t="s">
        <v>134</v>
      </c>
      <c r="BK13" s="58" t="s">
        <v>134</v>
      </c>
      <c r="BL13" s="58" t="s">
        <v>134</v>
      </c>
      <c r="BM13" s="58" t="s">
        <v>134</v>
      </c>
      <c r="BN13" s="58" t="s">
        <v>134</v>
      </c>
      <c r="BO13" s="58" t="s">
        <v>134</v>
      </c>
      <c r="BP13" s="58" t="s">
        <v>134</v>
      </c>
      <c r="BQ13" s="58" t="s">
        <v>134</v>
      </c>
      <c r="BR13" s="58" t="s">
        <v>134</v>
      </c>
      <c r="BS13" s="58" t="s">
        <v>134</v>
      </c>
      <c r="BT13" s="58" t="s">
        <v>134</v>
      </c>
      <c r="BU13" s="58" t="s">
        <v>134</v>
      </c>
      <c r="BV13" s="58" t="s">
        <v>134</v>
      </c>
      <c r="BW13" s="58" t="s">
        <v>134</v>
      </c>
      <c r="BX13" s="58" t="s">
        <v>134</v>
      </c>
      <c r="BY13" s="58" t="s">
        <v>134</v>
      </c>
      <c r="BZ13" s="58" t="s">
        <v>134</v>
      </c>
      <c r="CA13" s="58" t="s">
        <v>134</v>
      </c>
      <c r="CB13" s="58" t="s">
        <v>134</v>
      </c>
      <c r="CC13" s="58" t="s">
        <v>134</v>
      </c>
      <c r="CD13" s="58" t="s">
        <v>134</v>
      </c>
      <c r="CE13" s="58" t="s">
        <v>134</v>
      </c>
      <c r="CF13" s="58" t="s">
        <v>134</v>
      </c>
      <c r="CG13" s="58" t="s">
        <v>134</v>
      </c>
      <c r="CH13" s="58" t="s">
        <v>134</v>
      </c>
      <c r="CI13" s="58" t="s">
        <v>134</v>
      </c>
      <c r="CJ13" s="58" t="s">
        <v>134</v>
      </c>
      <c r="CK13" s="58" t="s">
        <v>134</v>
      </c>
      <c r="CL13" s="58" t="s">
        <v>134</v>
      </c>
      <c r="CM13" s="58" t="s">
        <v>134</v>
      </c>
      <c r="CN13" s="58" t="s">
        <v>134</v>
      </c>
      <c r="CO13" s="58" t="s">
        <v>134</v>
      </c>
      <c r="CP13" s="58" t="s">
        <v>134</v>
      </c>
      <c r="CQ13" s="58" t="s">
        <v>134</v>
      </c>
      <c r="CR13" s="58" t="s">
        <v>134</v>
      </c>
      <c r="CS13" s="58" t="s">
        <v>134</v>
      </c>
      <c r="CT13" s="58" t="s">
        <v>134</v>
      </c>
      <c r="CU13" s="58" t="s">
        <v>134</v>
      </c>
      <c r="CV13" s="58" t="s">
        <v>134</v>
      </c>
      <c r="CW13" s="58" t="s">
        <v>134</v>
      </c>
      <c r="CX13" s="58" t="s">
        <v>134</v>
      </c>
      <c r="CY13" s="58" t="s">
        <v>134</v>
      </c>
      <c r="CZ13" s="58" t="s">
        <v>134</v>
      </c>
      <c r="DA13" s="58" t="s">
        <v>134</v>
      </c>
      <c r="DB13" s="58" t="s">
        <v>134</v>
      </c>
      <c r="DC13" s="58" t="s">
        <v>134</v>
      </c>
      <c r="DD13" s="58" t="s">
        <v>134</v>
      </c>
      <c r="DE13" s="58" t="s">
        <v>134</v>
      </c>
      <c r="DF13" s="58" t="s">
        <v>134</v>
      </c>
      <c r="DG13" s="58" t="s">
        <v>134</v>
      </c>
      <c r="DH13" s="58" t="s">
        <v>134</v>
      </c>
      <c r="DI13" s="58" t="s">
        <v>134</v>
      </c>
      <c r="DJ13" s="58" t="s">
        <v>134</v>
      </c>
      <c r="DK13" s="58" t="s">
        <v>134</v>
      </c>
      <c r="DL13" s="58" t="s">
        <v>134</v>
      </c>
      <c r="DM13" s="58" t="s">
        <v>134</v>
      </c>
      <c r="DN13" s="58" t="s">
        <v>134</v>
      </c>
      <c r="DO13" s="58" t="s">
        <v>134</v>
      </c>
      <c r="DP13" s="58" t="s">
        <v>134</v>
      </c>
      <c r="DQ13" s="58" t="s">
        <v>134</v>
      </c>
      <c r="DR13" s="58" t="s">
        <v>134</v>
      </c>
      <c r="DS13" s="58" t="s">
        <v>134</v>
      </c>
      <c r="DT13" s="58" t="s">
        <v>134</v>
      </c>
      <c r="DU13" s="58" t="s">
        <v>134</v>
      </c>
      <c r="DV13" s="58" t="s">
        <v>134</v>
      </c>
      <c r="DW13" s="58" t="s">
        <v>134</v>
      </c>
      <c r="DX13" s="58" t="s">
        <v>134</v>
      </c>
      <c r="DY13" s="58" t="s">
        <v>134</v>
      </c>
      <c r="DZ13" s="58" t="s">
        <v>134</v>
      </c>
      <c r="EA13" s="58" t="s">
        <v>134</v>
      </c>
      <c r="EB13" s="58" t="s">
        <v>134</v>
      </c>
      <c r="EC13" s="58" t="s">
        <v>134</v>
      </c>
      <c r="ED13" s="58" t="s">
        <v>134</v>
      </c>
      <c r="EE13" s="58" t="s">
        <v>134</v>
      </c>
      <c r="EF13" s="58" t="s">
        <v>134</v>
      </c>
      <c r="EG13" s="58" t="s">
        <v>134</v>
      </c>
      <c r="EH13" s="58" t="s">
        <v>134</v>
      </c>
      <c r="EI13" s="58" t="s">
        <v>134</v>
      </c>
      <c r="EJ13" s="58" t="s">
        <v>134</v>
      </c>
      <c r="EK13" s="58" t="s">
        <v>134</v>
      </c>
      <c r="EL13" s="58" t="s">
        <v>134</v>
      </c>
      <c r="EM13" s="58" t="s">
        <v>134</v>
      </c>
      <c r="EN13" s="58" t="s">
        <v>134</v>
      </c>
      <c r="EO13" s="58">
        <v>0.0</v>
      </c>
      <c r="EP13" s="58">
        <v>0.0</v>
      </c>
      <c r="EQ13" s="58">
        <v>0.0</v>
      </c>
      <c r="ER13" s="58" t="s">
        <v>134</v>
      </c>
      <c r="ES13" s="58" t="s">
        <v>134</v>
      </c>
      <c r="ET13" s="58" t="s">
        <v>134</v>
      </c>
    </row>
    <row r="14">
      <c r="A14" s="58" t="s">
        <v>112</v>
      </c>
      <c r="B14" s="58" t="s">
        <v>134</v>
      </c>
      <c r="C14" s="58" t="s">
        <v>134</v>
      </c>
      <c r="D14" s="58" t="s">
        <v>134</v>
      </c>
      <c r="E14" s="58" t="s">
        <v>134</v>
      </c>
      <c r="F14" s="58" t="s">
        <v>134</v>
      </c>
      <c r="G14" s="58" t="s">
        <v>134</v>
      </c>
      <c r="H14" s="58" t="s">
        <v>134</v>
      </c>
      <c r="I14" s="58" t="s">
        <v>134</v>
      </c>
      <c r="J14" s="58" t="s">
        <v>134</v>
      </c>
      <c r="K14" s="58">
        <v>0.0</v>
      </c>
      <c r="L14" s="58">
        <v>0.0</v>
      </c>
      <c r="M14" s="58" t="s">
        <v>134</v>
      </c>
      <c r="N14" s="58" t="s">
        <v>134</v>
      </c>
      <c r="O14" s="58" t="s">
        <v>134</v>
      </c>
      <c r="P14" s="58" t="s">
        <v>134</v>
      </c>
      <c r="Q14" s="58" t="s">
        <v>134</v>
      </c>
      <c r="R14" s="58" t="s">
        <v>134</v>
      </c>
      <c r="S14" s="58" t="s">
        <v>134</v>
      </c>
      <c r="T14" s="58" t="s">
        <v>134</v>
      </c>
      <c r="U14" s="58" t="s">
        <v>134</v>
      </c>
      <c r="V14" s="58" t="s">
        <v>134</v>
      </c>
      <c r="W14" s="58" t="s">
        <v>134</v>
      </c>
      <c r="X14" s="58" t="s">
        <v>134</v>
      </c>
      <c r="Y14" s="58" t="s">
        <v>134</v>
      </c>
      <c r="Z14" s="58" t="s">
        <v>134</v>
      </c>
      <c r="AA14" s="58" t="s">
        <v>134</v>
      </c>
      <c r="AB14" s="58" t="s">
        <v>134</v>
      </c>
      <c r="AC14" s="58" t="s">
        <v>134</v>
      </c>
      <c r="AD14" s="58" t="s">
        <v>134</v>
      </c>
      <c r="AE14" s="58" t="s">
        <v>134</v>
      </c>
      <c r="AF14" s="58" t="s">
        <v>134</v>
      </c>
      <c r="AG14" s="58" t="s">
        <v>134</v>
      </c>
      <c r="AH14" s="58" t="s">
        <v>134</v>
      </c>
      <c r="AI14" s="58" t="s">
        <v>134</v>
      </c>
      <c r="AJ14" s="58" t="s">
        <v>134</v>
      </c>
      <c r="AK14" s="58" t="s">
        <v>134</v>
      </c>
      <c r="AL14" s="58" t="s">
        <v>134</v>
      </c>
      <c r="AM14" s="58" t="s">
        <v>134</v>
      </c>
      <c r="AN14" s="58">
        <v>0.0</v>
      </c>
      <c r="AO14" s="58" t="s">
        <v>134</v>
      </c>
      <c r="AP14" s="58" t="s">
        <v>134</v>
      </c>
      <c r="AQ14" s="58" t="s">
        <v>134</v>
      </c>
      <c r="AR14" s="58" t="s">
        <v>134</v>
      </c>
      <c r="AS14" s="58" t="s">
        <v>134</v>
      </c>
      <c r="AT14" s="58" t="s">
        <v>134</v>
      </c>
      <c r="AU14" s="58" t="s">
        <v>134</v>
      </c>
      <c r="AV14" s="58" t="s">
        <v>134</v>
      </c>
      <c r="AW14" s="58">
        <v>5.0E-4</v>
      </c>
      <c r="AX14" s="58" t="s">
        <v>134</v>
      </c>
      <c r="AY14" s="58" t="s">
        <v>134</v>
      </c>
      <c r="AZ14" s="58" t="s">
        <v>134</v>
      </c>
      <c r="BA14" s="58" t="s">
        <v>134</v>
      </c>
      <c r="BB14" s="58" t="s">
        <v>134</v>
      </c>
      <c r="BC14" s="58" t="s">
        <v>134</v>
      </c>
      <c r="BD14" s="58" t="s">
        <v>134</v>
      </c>
      <c r="BE14" s="58" t="s">
        <v>134</v>
      </c>
      <c r="BF14" s="58" t="s">
        <v>134</v>
      </c>
      <c r="BG14" s="58" t="s">
        <v>134</v>
      </c>
      <c r="BH14" s="58" t="s">
        <v>134</v>
      </c>
      <c r="BI14" s="58" t="s">
        <v>134</v>
      </c>
      <c r="BJ14" s="58" t="s">
        <v>134</v>
      </c>
      <c r="BK14" s="58" t="s">
        <v>134</v>
      </c>
      <c r="BL14" s="58" t="s">
        <v>134</v>
      </c>
      <c r="BM14" s="58" t="s">
        <v>134</v>
      </c>
      <c r="BN14" s="58" t="s">
        <v>134</v>
      </c>
      <c r="BO14" s="58" t="s">
        <v>134</v>
      </c>
      <c r="BP14" s="58" t="s">
        <v>134</v>
      </c>
      <c r="BQ14" s="58" t="s">
        <v>134</v>
      </c>
      <c r="BR14" s="58" t="s">
        <v>134</v>
      </c>
      <c r="BS14" s="58" t="s">
        <v>134</v>
      </c>
      <c r="BT14" s="58" t="s">
        <v>134</v>
      </c>
      <c r="BU14" s="58" t="s">
        <v>134</v>
      </c>
      <c r="BV14" s="58" t="s">
        <v>134</v>
      </c>
      <c r="BW14" s="58" t="s">
        <v>134</v>
      </c>
      <c r="BX14" s="58" t="s">
        <v>134</v>
      </c>
      <c r="BY14" s="58" t="s">
        <v>134</v>
      </c>
      <c r="BZ14" s="58" t="s">
        <v>134</v>
      </c>
      <c r="CA14" s="58" t="s">
        <v>134</v>
      </c>
      <c r="CB14" s="58" t="s">
        <v>134</v>
      </c>
      <c r="CC14" s="58" t="s">
        <v>134</v>
      </c>
      <c r="CD14" s="58" t="s">
        <v>134</v>
      </c>
      <c r="CE14" s="58" t="s">
        <v>134</v>
      </c>
      <c r="CF14" s="58" t="s">
        <v>134</v>
      </c>
      <c r="CG14" s="58" t="s">
        <v>134</v>
      </c>
      <c r="CH14" s="58" t="s">
        <v>134</v>
      </c>
      <c r="CI14" s="58" t="s">
        <v>134</v>
      </c>
      <c r="CJ14" s="58" t="s">
        <v>134</v>
      </c>
      <c r="CK14" s="58" t="s">
        <v>134</v>
      </c>
      <c r="CL14" s="58" t="s">
        <v>134</v>
      </c>
      <c r="CM14" s="58" t="s">
        <v>134</v>
      </c>
      <c r="CN14" s="58" t="s">
        <v>134</v>
      </c>
      <c r="CO14" s="58" t="s">
        <v>134</v>
      </c>
      <c r="CP14" s="58" t="s">
        <v>134</v>
      </c>
      <c r="CQ14" s="58" t="s">
        <v>134</v>
      </c>
      <c r="CR14" s="58" t="s">
        <v>134</v>
      </c>
      <c r="CS14" s="58" t="s">
        <v>134</v>
      </c>
      <c r="CT14" s="58" t="s">
        <v>134</v>
      </c>
      <c r="CU14" s="58" t="s">
        <v>134</v>
      </c>
      <c r="CV14" s="58" t="s">
        <v>134</v>
      </c>
      <c r="CW14" s="58" t="s">
        <v>134</v>
      </c>
      <c r="CX14" s="58" t="s">
        <v>134</v>
      </c>
      <c r="CY14" s="58" t="s">
        <v>134</v>
      </c>
      <c r="CZ14" s="58" t="s">
        <v>134</v>
      </c>
      <c r="DA14" s="58" t="s">
        <v>134</v>
      </c>
      <c r="DB14" s="58" t="s">
        <v>134</v>
      </c>
      <c r="DC14" s="58" t="s">
        <v>134</v>
      </c>
      <c r="DD14" s="58" t="s">
        <v>134</v>
      </c>
      <c r="DE14" s="58" t="s">
        <v>134</v>
      </c>
      <c r="DF14" s="58" t="s">
        <v>134</v>
      </c>
      <c r="DG14" s="58" t="s">
        <v>134</v>
      </c>
      <c r="DH14" s="58" t="s">
        <v>134</v>
      </c>
      <c r="DI14" s="58" t="s">
        <v>134</v>
      </c>
      <c r="DJ14" s="58" t="s">
        <v>134</v>
      </c>
      <c r="DK14" s="58" t="s">
        <v>134</v>
      </c>
      <c r="DL14" s="58" t="s">
        <v>134</v>
      </c>
      <c r="DM14" s="58" t="s">
        <v>134</v>
      </c>
      <c r="DN14" s="58" t="s">
        <v>134</v>
      </c>
      <c r="DO14" s="58" t="s">
        <v>134</v>
      </c>
      <c r="DP14" s="58" t="s">
        <v>134</v>
      </c>
      <c r="DQ14" s="58" t="s">
        <v>134</v>
      </c>
      <c r="DR14" s="58" t="s">
        <v>134</v>
      </c>
      <c r="DS14" s="58" t="s">
        <v>134</v>
      </c>
      <c r="DT14" s="58" t="s">
        <v>134</v>
      </c>
      <c r="DU14" s="58" t="s">
        <v>134</v>
      </c>
      <c r="DV14" s="58" t="s">
        <v>134</v>
      </c>
      <c r="DW14" s="58" t="s">
        <v>134</v>
      </c>
      <c r="DX14" s="58" t="s">
        <v>134</v>
      </c>
      <c r="DY14" s="58" t="s">
        <v>134</v>
      </c>
      <c r="DZ14" s="58" t="s">
        <v>134</v>
      </c>
      <c r="EA14" s="58" t="s">
        <v>134</v>
      </c>
      <c r="EB14" s="58" t="s">
        <v>134</v>
      </c>
      <c r="EC14" s="58" t="s">
        <v>134</v>
      </c>
      <c r="ED14" s="58" t="s">
        <v>134</v>
      </c>
      <c r="EE14" s="58" t="s">
        <v>134</v>
      </c>
      <c r="EF14" s="58" t="s">
        <v>134</v>
      </c>
      <c r="EG14" s="58" t="s">
        <v>134</v>
      </c>
      <c r="EH14" s="58" t="s">
        <v>134</v>
      </c>
      <c r="EI14" s="58" t="s">
        <v>134</v>
      </c>
      <c r="EJ14" s="58" t="s">
        <v>134</v>
      </c>
      <c r="EK14" s="58" t="s">
        <v>134</v>
      </c>
      <c r="EL14" s="58" t="s">
        <v>134</v>
      </c>
      <c r="EM14" s="58" t="s">
        <v>134</v>
      </c>
      <c r="EN14" s="58" t="s">
        <v>134</v>
      </c>
      <c r="EO14" s="58">
        <v>0.0</v>
      </c>
      <c r="EP14" s="58">
        <v>0.0</v>
      </c>
      <c r="EQ14" s="58">
        <v>0.0</v>
      </c>
      <c r="ER14" s="58" t="s">
        <v>134</v>
      </c>
      <c r="ES14" s="58" t="s">
        <v>134</v>
      </c>
      <c r="ET14" s="58" t="s">
        <v>134</v>
      </c>
    </row>
    <row r="15">
      <c r="A15" s="58" t="s">
        <v>111</v>
      </c>
      <c r="B15" s="58" t="s">
        <v>134</v>
      </c>
      <c r="C15" s="58" t="s">
        <v>134</v>
      </c>
      <c r="D15" s="58" t="s">
        <v>134</v>
      </c>
      <c r="E15" s="58" t="s">
        <v>134</v>
      </c>
      <c r="F15" s="58" t="s">
        <v>134</v>
      </c>
      <c r="G15" s="58" t="s">
        <v>134</v>
      </c>
      <c r="H15" s="58" t="s">
        <v>134</v>
      </c>
      <c r="I15" s="58" t="s">
        <v>134</v>
      </c>
      <c r="J15" s="58" t="s">
        <v>134</v>
      </c>
      <c r="K15" s="58">
        <v>0.0</v>
      </c>
      <c r="L15" s="58">
        <v>0.0</v>
      </c>
      <c r="M15" s="58" t="s">
        <v>134</v>
      </c>
      <c r="N15" s="58" t="s">
        <v>134</v>
      </c>
      <c r="O15" s="58" t="s">
        <v>134</v>
      </c>
      <c r="P15" s="58" t="s">
        <v>134</v>
      </c>
      <c r="Q15" s="58" t="s">
        <v>134</v>
      </c>
      <c r="R15" s="58" t="s">
        <v>134</v>
      </c>
      <c r="S15" s="58" t="s">
        <v>134</v>
      </c>
      <c r="T15" s="58" t="s">
        <v>134</v>
      </c>
      <c r="U15" s="58" t="s">
        <v>134</v>
      </c>
      <c r="V15" s="58" t="s">
        <v>134</v>
      </c>
      <c r="W15" s="58" t="s">
        <v>134</v>
      </c>
      <c r="X15" s="58" t="s">
        <v>134</v>
      </c>
      <c r="Y15" s="58" t="s">
        <v>134</v>
      </c>
      <c r="Z15" s="58" t="s">
        <v>134</v>
      </c>
      <c r="AA15" s="58" t="s">
        <v>134</v>
      </c>
      <c r="AB15" s="58" t="s">
        <v>134</v>
      </c>
      <c r="AC15" s="58" t="s">
        <v>134</v>
      </c>
      <c r="AD15" s="58" t="s">
        <v>134</v>
      </c>
      <c r="AE15" s="58" t="s">
        <v>134</v>
      </c>
      <c r="AF15" s="58" t="s">
        <v>134</v>
      </c>
      <c r="AG15" s="58" t="s">
        <v>134</v>
      </c>
      <c r="AH15" s="58" t="s">
        <v>134</v>
      </c>
      <c r="AI15" s="58" t="s">
        <v>134</v>
      </c>
      <c r="AJ15" s="58" t="s">
        <v>134</v>
      </c>
      <c r="AK15" s="58" t="s">
        <v>134</v>
      </c>
      <c r="AL15" s="58" t="s">
        <v>134</v>
      </c>
      <c r="AM15" s="58" t="s">
        <v>134</v>
      </c>
      <c r="AN15" s="58">
        <v>0.0</v>
      </c>
      <c r="AO15" s="58" t="s">
        <v>134</v>
      </c>
      <c r="AP15" s="58" t="s">
        <v>134</v>
      </c>
      <c r="AQ15" s="58" t="s">
        <v>134</v>
      </c>
      <c r="AR15" s="58" t="s">
        <v>134</v>
      </c>
      <c r="AS15" s="58" t="s">
        <v>134</v>
      </c>
      <c r="AT15" s="58" t="s">
        <v>134</v>
      </c>
      <c r="AU15" s="58" t="s">
        <v>134</v>
      </c>
      <c r="AV15" s="58" t="s">
        <v>134</v>
      </c>
      <c r="AW15" s="58" t="s">
        <v>134</v>
      </c>
      <c r="AX15" s="58" t="s">
        <v>134</v>
      </c>
      <c r="AY15" s="58" t="s">
        <v>134</v>
      </c>
      <c r="AZ15" s="58" t="s">
        <v>134</v>
      </c>
      <c r="BA15" s="58" t="s">
        <v>134</v>
      </c>
      <c r="BB15" s="58" t="s">
        <v>134</v>
      </c>
      <c r="BC15" s="58" t="s">
        <v>134</v>
      </c>
      <c r="BD15" s="58" t="s">
        <v>134</v>
      </c>
      <c r="BE15" s="58" t="s">
        <v>134</v>
      </c>
      <c r="BF15" s="58" t="s">
        <v>134</v>
      </c>
      <c r="BG15" s="58" t="s">
        <v>134</v>
      </c>
      <c r="BH15" s="58" t="s">
        <v>134</v>
      </c>
      <c r="BI15" s="58" t="s">
        <v>134</v>
      </c>
      <c r="BJ15" s="58" t="s">
        <v>134</v>
      </c>
      <c r="BK15" s="58" t="s">
        <v>134</v>
      </c>
      <c r="BL15" s="58" t="s">
        <v>134</v>
      </c>
      <c r="BM15" s="58" t="s">
        <v>134</v>
      </c>
      <c r="BN15" s="58" t="s">
        <v>134</v>
      </c>
      <c r="BO15" s="58" t="s">
        <v>134</v>
      </c>
      <c r="BP15" s="58" t="s">
        <v>134</v>
      </c>
      <c r="BQ15" s="58" t="s">
        <v>134</v>
      </c>
      <c r="BR15" s="58" t="s">
        <v>134</v>
      </c>
      <c r="BS15" s="58" t="s">
        <v>134</v>
      </c>
      <c r="BT15" s="58" t="s">
        <v>134</v>
      </c>
      <c r="BU15" s="58" t="s">
        <v>134</v>
      </c>
      <c r="BV15" s="58" t="s">
        <v>134</v>
      </c>
      <c r="BW15" s="58" t="s">
        <v>134</v>
      </c>
      <c r="BX15" s="58" t="s">
        <v>134</v>
      </c>
      <c r="BY15" s="58" t="s">
        <v>134</v>
      </c>
      <c r="BZ15" s="58" t="s">
        <v>134</v>
      </c>
      <c r="CA15" s="58" t="s">
        <v>134</v>
      </c>
      <c r="CB15" s="58" t="s">
        <v>134</v>
      </c>
      <c r="CC15" s="58" t="s">
        <v>134</v>
      </c>
      <c r="CD15" s="58" t="s">
        <v>134</v>
      </c>
      <c r="CE15" s="58" t="s">
        <v>134</v>
      </c>
      <c r="CF15" s="58" t="s">
        <v>134</v>
      </c>
      <c r="CG15" s="58" t="s">
        <v>134</v>
      </c>
      <c r="CH15" s="58" t="s">
        <v>134</v>
      </c>
      <c r="CI15" s="58" t="s">
        <v>134</v>
      </c>
      <c r="CJ15" s="58" t="s">
        <v>134</v>
      </c>
      <c r="CK15" s="58" t="s">
        <v>134</v>
      </c>
      <c r="CL15" s="58" t="s">
        <v>134</v>
      </c>
      <c r="CM15" s="58" t="s">
        <v>134</v>
      </c>
      <c r="CN15" s="58" t="s">
        <v>134</v>
      </c>
      <c r="CO15" s="58" t="s">
        <v>134</v>
      </c>
      <c r="CP15" s="58" t="s">
        <v>134</v>
      </c>
      <c r="CQ15" s="58" t="s">
        <v>134</v>
      </c>
      <c r="CR15" s="58" t="s">
        <v>134</v>
      </c>
      <c r="CS15" s="58" t="s">
        <v>134</v>
      </c>
      <c r="CT15" s="58" t="s">
        <v>134</v>
      </c>
      <c r="CU15" s="58" t="s">
        <v>134</v>
      </c>
      <c r="CV15" s="58" t="s">
        <v>134</v>
      </c>
      <c r="CW15" s="58" t="s">
        <v>134</v>
      </c>
      <c r="CX15" s="58" t="s">
        <v>134</v>
      </c>
      <c r="CY15" s="58" t="s">
        <v>134</v>
      </c>
      <c r="CZ15" s="58" t="s">
        <v>134</v>
      </c>
      <c r="DA15" s="58" t="s">
        <v>134</v>
      </c>
      <c r="DB15" s="58" t="s">
        <v>134</v>
      </c>
      <c r="DC15" s="58" t="s">
        <v>134</v>
      </c>
      <c r="DD15" s="58" t="s">
        <v>134</v>
      </c>
      <c r="DE15" s="58" t="s">
        <v>134</v>
      </c>
      <c r="DF15" s="58" t="s">
        <v>134</v>
      </c>
      <c r="DG15" s="58" t="s">
        <v>134</v>
      </c>
      <c r="DH15" s="58" t="s">
        <v>134</v>
      </c>
      <c r="DI15" s="58" t="s">
        <v>134</v>
      </c>
      <c r="DJ15" s="58" t="s">
        <v>134</v>
      </c>
      <c r="DK15" s="58" t="s">
        <v>134</v>
      </c>
      <c r="DL15" s="58" t="s">
        <v>134</v>
      </c>
      <c r="DM15" s="58" t="s">
        <v>134</v>
      </c>
      <c r="DN15" s="58" t="s">
        <v>134</v>
      </c>
      <c r="DO15" s="58" t="s">
        <v>134</v>
      </c>
      <c r="DP15" s="58" t="s">
        <v>134</v>
      </c>
      <c r="DQ15" s="58" t="s">
        <v>134</v>
      </c>
      <c r="DR15" s="58" t="s">
        <v>134</v>
      </c>
      <c r="DS15" s="58" t="s">
        <v>134</v>
      </c>
      <c r="DT15" s="58" t="s">
        <v>134</v>
      </c>
      <c r="DU15" s="58" t="s">
        <v>134</v>
      </c>
      <c r="DV15" s="58" t="s">
        <v>134</v>
      </c>
      <c r="DW15" s="58" t="s">
        <v>134</v>
      </c>
      <c r="DX15" s="58" t="s">
        <v>134</v>
      </c>
      <c r="DY15" s="58" t="s">
        <v>134</v>
      </c>
      <c r="DZ15" s="58" t="s">
        <v>134</v>
      </c>
      <c r="EA15" s="58" t="s">
        <v>134</v>
      </c>
      <c r="EB15" s="58" t="s">
        <v>134</v>
      </c>
      <c r="EC15" s="58" t="s">
        <v>134</v>
      </c>
      <c r="ED15" s="58" t="s">
        <v>134</v>
      </c>
      <c r="EE15" s="58" t="s">
        <v>134</v>
      </c>
      <c r="EF15" s="58" t="s">
        <v>134</v>
      </c>
      <c r="EG15" s="58" t="s">
        <v>134</v>
      </c>
      <c r="EH15" s="58" t="s">
        <v>134</v>
      </c>
      <c r="EI15" s="58" t="s">
        <v>134</v>
      </c>
      <c r="EJ15" s="58" t="s">
        <v>134</v>
      </c>
      <c r="EK15" s="58" t="s">
        <v>134</v>
      </c>
      <c r="EL15" s="58" t="s">
        <v>134</v>
      </c>
      <c r="EM15" s="58" t="s">
        <v>134</v>
      </c>
      <c r="EN15" s="58" t="s">
        <v>134</v>
      </c>
      <c r="EO15" s="58">
        <v>0.0</v>
      </c>
      <c r="EP15" s="58">
        <v>0.0</v>
      </c>
      <c r="EQ15" s="58">
        <v>0.0</v>
      </c>
      <c r="ER15" s="58" t="s">
        <v>134</v>
      </c>
      <c r="ES15" s="58" t="s">
        <v>134</v>
      </c>
      <c r="ET15" s="58" t="s">
        <v>134</v>
      </c>
    </row>
    <row r="16">
      <c r="A16" s="58" t="s">
        <v>242</v>
      </c>
      <c r="B16" s="58" t="s">
        <v>134</v>
      </c>
      <c r="C16" s="58" t="s">
        <v>134</v>
      </c>
      <c r="D16" s="58" t="s">
        <v>134</v>
      </c>
      <c r="E16" s="58" t="s">
        <v>134</v>
      </c>
      <c r="F16" s="58" t="s">
        <v>134</v>
      </c>
      <c r="G16" s="58" t="s">
        <v>134</v>
      </c>
      <c r="H16" s="58" t="s">
        <v>134</v>
      </c>
      <c r="I16" s="58" t="s">
        <v>134</v>
      </c>
      <c r="J16" s="58" t="s">
        <v>134</v>
      </c>
      <c r="K16" s="58">
        <v>0.0</v>
      </c>
      <c r="L16" s="58">
        <v>0.0</v>
      </c>
      <c r="M16" s="58" t="s">
        <v>134</v>
      </c>
      <c r="N16" s="58" t="s">
        <v>134</v>
      </c>
      <c r="O16" s="58" t="s">
        <v>134</v>
      </c>
      <c r="P16" s="58" t="s">
        <v>134</v>
      </c>
      <c r="Q16" s="58" t="s">
        <v>134</v>
      </c>
      <c r="R16" s="58" t="s">
        <v>134</v>
      </c>
      <c r="S16" s="58" t="s">
        <v>134</v>
      </c>
      <c r="T16" s="58" t="s">
        <v>134</v>
      </c>
      <c r="U16" s="58" t="s">
        <v>134</v>
      </c>
      <c r="V16" s="58" t="s">
        <v>134</v>
      </c>
      <c r="W16" s="58" t="s">
        <v>134</v>
      </c>
      <c r="X16" s="58" t="s">
        <v>134</v>
      </c>
      <c r="Y16" s="58" t="s">
        <v>134</v>
      </c>
      <c r="Z16" s="58" t="s">
        <v>134</v>
      </c>
      <c r="AA16" s="58" t="s">
        <v>134</v>
      </c>
      <c r="AB16" s="58" t="s">
        <v>134</v>
      </c>
      <c r="AC16" s="58" t="s">
        <v>134</v>
      </c>
      <c r="AD16" s="58" t="s">
        <v>134</v>
      </c>
      <c r="AE16" s="58" t="s">
        <v>134</v>
      </c>
      <c r="AF16" s="58" t="s">
        <v>134</v>
      </c>
      <c r="AG16" s="58" t="s">
        <v>134</v>
      </c>
      <c r="AH16" s="58" t="s">
        <v>134</v>
      </c>
      <c r="AI16" s="58" t="s">
        <v>134</v>
      </c>
      <c r="AJ16" s="58" t="s">
        <v>134</v>
      </c>
      <c r="AK16" s="58" t="s">
        <v>134</v>
      </c>
      <c r="AL16" s="58" t="s">
        <v>134</v>
      </c>
      <c r="AM16" s="58" t="s">
        <v>134</v>
      </c>
      <c r="AN16" s="58">
        <v>0.0</v>
      </c>
      <c r="AO16" s="58" t="s">
        <v>134</v>
      </c>
      <c r="AP16" s="58" t="s">
        <v>134</v>
      </c>
      <c r="AQ16" s="58" t="s">
        <v>134</v>
      </c>
      <c r="AR16" s="58" t="s">
        <v>134</v>
      </c>
      <c r="AS16" s="58" t="s">
        <v>134</v>
      </c>
      <c r="AT16" s="58" t="s">
        <v>134</v>
      </c>
      <c r="AU16" s="58" t="s">
        <v>134</v>
      </c>
      <c r="AV16" s="58" t="s">
        <v>134</v>
      </c>
      <c r="AW16" s="58" t="s">
        <v>134</v>
      </c>
      <c r="AX16" s="58" t="s">
        <v>134</v>
      </c>
      <c r="AY16" s="58" t="s">
        <v>134</v>
      </c>
      <c r="AZ16" s="58" t="s">
        <v>134</v>
      </c>
      <c r="BA16" s="58" t="s">
        <v>134</v>
      </c>
      <c r="BB16" s="58" t="s">
        <v>134</v>
      </c>
      <c r="BC16" s="58" t="s">
        <v>134</v>
      </c>
      <c r="BD16" s="58" t="s">
        <v>134</v>
      </c>
      <c r="BE16" s="58" t="s">
        <v>134</v>
      </c>
      <c r="BF16" s="58" t="s">
        <v>134</v>
      </c>
      <c r="BG16" s="58" t="s">
        <v>134</v>
      </c>
      <c r="BH16" s="58" t="s">
        <v>134</v>
      </c>
      <c r="BI16" s="58" t="s">
        <v>134</v>
      </c>
      <c r="BJ16" s="58" t="s">
        <v>134</v>
      </c>
      <c r="BK16" s="58" t="s">
        <v>134</v>
      </c>
      <c r="BL16" s="58" t="s">
        <v>134</v>
      </c>
      <c r="BM16" s="58" t="s">
        <v>134</v>
      </c>
      <c r="BN16" s="58" t="s">
        <v>134</v>
      </c>
      <c r="BO16" s="58" t="s">
        <v>134</v>
      </c>
      <c r="BP16" s="58" t="s">
        <v>134</v>
      </c>
      <c r="BQ16" s="58" t="s">
        <v>134</v>
      </c>
      <c r="BR16" s="58" t="s">
        <v>134</v>
      </c>
      <c r="BS16" s="58" t="s">
        <v>134</v>
      </c>
      <c r="BT16" s="58" t="s">
        <v>134</v>
      </c>
      <c r="BU16" s="58" t="s">
        <v>134</v>
      </c>
      <c r="BV16" s="58" t="s">
        <v>134</v>
      </c>
      <c r="BW16" s="58" t="s">
        <v>134</v>
      </c>
      <c r="BX16" s="58" t="s">
        <v>134</v>
      </c>
      <c r="BY16" s="58" t="s">
        <v>134</v>
      </c>
      <c r="BZ16" s="58" t="s">
        <v>134</v>
      </c>
      <c r="CA16" s="58" t="s">
        <v>134</v>
      </c>
      <c r="CB16" s="58" t="s">
        <v>134</v>
      </c>
      <c r="CC16" s="58" t="s">
        <v>134</v>
      </c>
      <c r="CD16" s="58" t="s">
        <v>134</v>
      </c>
      <c r="CE16" s="58" t="s">
        <v>134</v>
      </c>
      <c r="CF16" s="58" t="s">
        <v>134</v>
      </c>
      <c r="CG16" s="58" t="s">
        <v>134</v>
      </c>
      <c r="CH16" s="58" t="s">
        <v>134</v>
      </c>
      <c r="CI16" s="58" t="s">
        <v>134</v>
      </c>
      <c r="CJ16" s="58" t="s">
        <v>134</v>
      </c>
      <c r="CK16" s="58" t="s">
        <v>134</v>
      </c>
      <c r="CL16" s="58" t="s">
        <v>134</v>
      </c>
      <c r="CM16" s="58" t="s">
        <v>134</v>
      </c>
      <c r="CN16" s="58" t="s">
        <v>134</v>
      </c>
      <c r="CO16" s="58" t="s">
        <v>134</v>
      </c>
      <c r="CP16" s="58" t="s">
        <v>134</v>
      </c>
      <c r="CQ16" s="58" t="s">
        <v>134</v>
      </c>
      <c r="CR16" s="58" t="s">
        <v>134</v>
      </c>
      <c r="CS16" s="58" t="s">
        <v>134</v>
      </c>
      <c r="CT16" s="58" t="s">
        <v>134</v>
      </c>
      <c r="CU16" s="58" t="s">
        <v>134</v>
      </c>
      <c r="CV16" s="58" t="s">
        <v>134</v>
      </c>
      <c r="CW16" s="58" t="s">
        <v>134</v>
      </c>
      <c r="CX16" s="58" t="s">
        <v>134</v>
      </c>
      <c r="CY16" s="58" t="s">
        <v>134</v>
      </c>
      <c r="CZ16" s="58" t="s">
        <v>134</v>
      </c>
      <c r="DA16" s="58" t="s">
        <v>134</v>
      </c>
      <c r="DB16" s="58" t="s">
        <v>134</v>
      </c>
      <c r="DC16" s="58" t="s">
        <v>134</v>
      </c>
      <c r="DD16" s="58" t="s">
        <v>134</v>
      </c>
      <c r="DE16" s="58" t="s">
        <v>134</v>
      </c>
      <c r="DF16" s="58" t="s">
        <v>134</v>
      </c>
      <c r="DG16" s="58" t="s">
        <v>134</v>
      </c>
      <c r="DH16" s="58" t="s">
        <v>134</v>
      </c>
      <c r="DI16" s="58" t="s">
        <v>134</v>
      </c>
      <c r="DJ16" s="58" t="s">
        <v>134</v>
      </c>
      <c r="DK16" s="58" t="s">
        <v>134</v>
      </c>
      <c r="DL16" s="58" t="s">
        <v>134</v>
      </c>
      <c r="DM16" s="58" t="s">
        <v>134</v>
      </c>
      <c r="DN16" s="58" t="s">
        <v>134</v>
      </c>
      <c r="DO16" s="58" t="s">
        <v>134</v>
      </c>
      <c r="DP16" s="58" t="s">
        <v>134</v>
      </c>
      <c r="DQ16" s="58" t="s">
        <v>134</v>
      </c>
      <c r="DR16" s="58" t="s">
        <v>134</v>
      </c>
      <c r="DS16" s="58" t="s">
        <v>134</v>
      </c>
      <c r="DT16" s="58" t="s">
        <v>134</v>
      </c>
      <c r="DU16" s="58" t="s">
        <v>134</v>
      </c>
      <c r="DV16" s="58" t="s">
        <v>134</v>
      </c>
      <c r="DW16" s="58" t="s">
        <v>134</v>
      </c>
      <c r="DX16" s="58" t="s">
        <v>134</v>
      </c>
      <c r="DY16" s="58" t="s">
        <v>134</v>
      </c>
      <c r="DZ16" s="58" t="s">
        <v>134</v>
      </c>
      <c r="EA16" s="58" t="s">
        <v>134</v>
      </c>
      <c r="EB16" s="58" t="s">
        <v>134</v>
      </c>
      <c r="EC16" s="58" t="s">
        <v>134</v>
      </c>
      <c r="ED16" s="58" t="s">
        <v>134</v>
      </c>
      <c r="EE16" s="58" t="s">
        <v>134</v>
      </c>
      <c r="EF16" s="58" t="s">
        <v>134</v>
      </c>
      <c r="EG16" s="58" t="s">
        <v>134</v>
      </c>
      <c r="EH16" s="58" t="s">
        <v>134</v>
      </c>
      <c r="EI16" s="58" t="s">
        <v>134</v>
      </c>
      <c r="EJ16" s="58" t="s">
        <v>134</v>
      </c>
      <c r="EK16" s="58" t="s">
        <v>134</v>
      </c>
      <c r="EL16" s="58" t="s">
        <v>134</v>
      </c>
      <c r="EM16" s="58" t="s">
        <v>134</v>
      </c>
      <c r="EN16" s="58" t="s">
        <v>134</v>
      </c>
      <c r="EO16" s="58">
        <v>0.0</v>
      </c>
      <c r="EP16" s="58">
        <v>0.0</v>
      </c>
      <c r="EQ16" s="58">
        <v>0.0</v>
      </c>
      <c r="ER16" s="58" t="s">
        <v>134</v>
      </c>
      <c r="ES16" s="58" t="s">
        <v>134</v>
      </c>
      <c r="ET16" s="58" t="s">
        <v>134</v>
      </c>
    </row>
    <row r="17">
      <c r="A17" s="58" t="s">
        <v>211</v>
      </c>
      <c r="B17" s="58" t="s">
        <v>134</v>
      </c>
      <c r="C17" s="58" t="s">
        <v>134</v>
      </c>
      <c r="D17" s="58" t="s">
        <v>134</v>
      </c>
      <c r="E17" s="58" t="s">
        <v>134</v>
      </c>
      <c r="F17" s="58" t="s">
        <v>134</v>
      </c>
      <c r="G17" s="58" t="s">
        <v>134</v>
      </c>
      <c r="H17" s="58" t="s">
        <v>134</v>
      </c>
      <c r="I17" s="58" t="s">
        <v>134</v>
      </c>
      <c r="J17" s="58" t="s">
        <v>134</v>
      </c>
      <c r="K17" s="58">
        <v>0.0</v>
      </c>
      <c r="L17" s="58">
        <v>0.0</v>
      </c>
      <c r="M17" s="58" t="s">
        <v>134</v>
      </c>
      <c r="N17" s="58" t="s">
        <v>134</v>
      </c>
      <c r="O17" s="58" t="s">
        <v>134</v>
      </c>
      <c r="P17" s="58" t="s">
        <v>134</v>
      </c>
      <c r="Q17" s="58" t="s">
        <v>134</v>
      </c>
      <c r="R17" s="58" t="s">
        <v>134</v>
      </c>
      <c r="S17" s="58" t="s">
        <v>134</v>
      </c>
      <c r="T17" s="58" t="s">
        <v>134</v>
      </c>
      <c r="U17" s="58" t="s">
        <v>134</v>
      </c>
      <c r="V17" s="58" t="s">
        <v>134</v>
      </c>
      <c r="W17" s="58" t="s">
        <v>134</v>
      </c>
      <c r="X17" s="58" t="s">
        <v>134</v>
      </c>
      <c r="Y17" s="58" t="s">
        <v>134</v>
      </c>
      <c r="Z17" s="58" t="s">
        <v>134</v>
      </c>
      <c r="AA17" s="58" t="s">
        <v>134</v>
      </c>
      <c r="AB17" s="58" t="s">
        <v>134</v>
      </c>
      <c r="AC17" s="58" t="s">
        <v>134</v>
      </c>
      <c r="AD17" s="58" t="s">
        <v>134</v>
      </c>
      <c r="AE17" s="58" t="s">
        <v>134</v>
      </c>
      <c r="AF17" s="58" t="s">
        <v>134</v>
      </c>
      <c r="AG17" s="58" t="s">
        <v>134</v>
      </c>
      <c r="AH17" s="58" t="s">
        <v>134</v>
      </c>
      <c r="AI17" s="58" t="s">
        <v>134</v>
      </c>
      <c r="AJ17" s="58" t="s">
        <v>134</v>
      </c>
      <c r="AK17" s="58" t="s">
        <v>134</v>
      </c>
      <c r="AL17" s="58" t="s">
        <v>134</v>
      </c>
      <c r="AM17" s="58" t="s">
        <v>134</v>
      </c>
      <c r="AN17" s="58">
        <v>0.0</v>
      </c>
      <c r="AO17" s="58" t="s">
        <v>134</v>
      </c>
      <c r="AP17" s="58" t="s">
        <v>134</v>
      </c>
      <c r="AQ17" s="58" t="s">
        <v>134</v>
      </c>
      <c r="AR17" s="58" t="s">
        <v>134</v>
      </c>
      <c r="AS17" s="58" t="s">
        <v>134</v>
      </c>
      <c r="AT17" s="58" t="s">
        <v>134</v>
      </c>
      <c r="AU17" s="58" t="s">
        <v>134</v>
      </c>
      <c r="AV17" s="58" t="s">
        <v>134</v>
      </c>
      <c r="AW17" s="58" t="s">
        <v>134</v>
      </c>
      <c r="AX17" s="58" t="s">
        <v>134</v>
      </c>
      <c r="AY17" s="58" t="s">
        <v>134</v>
      </c>
      <c r="AZ17" s="58" t="s">
        <v>134</v>
      </c>
      <c r="BA17" s="58" t="s">
        <v>134</v>
      </c>
      <c r="BB17" s="58" t="s">
        <v>134</v>
      </c>
      <c r="BC17" s="58" t="s">
        <v>134</v>
      </c>
      <c r="BD17" s="58" t="s">
        <v>134</v>
      </c>
      <c r="BE17" s="58" t="s">
        <v>134</v>
      </c>
      <c r="BF17" s="58" t="s">
        <v>134</v>
      </c>
      <c r="BG17" s="58" t="s">
        <v>134</v>
      </c>
      <c r="BH17" s="58" t="s">
        <v>134</v>
      </c>
      <c r="BI17" s="58" t="s">
        <v>134</v>
      </c>
      <c r="BJ17" s="58" t="s">
        <v>134</v>
      </c>
      <c r="BK17" s="58" t="s">
        <v>134</v>
      </c>
      <c r="BL17" s="58" t="s">
        <v>134</v>
      </c>
      <c r="BM17" s="58" t="s">
        <v>134</v>
      </c>
      <c r="BN17" s="58" t="s">
        <v>134</v>
      </c>
      <c r="BO17" s="58" t="s">
        <v>134</v>
      </c>
      <c r="BP17" s="58" t="s">
        <v>134</v>
      </c>
      <c r="BQ17" s="58" t="s">
        <v>134</v>
      </c>
      <c r="BR17" s="58" t="s">
        <v>134</v>
      </c>
      <c r="BS17" s="58" t="s">
        <v>134</v>
      </c>
      <c r="BT17" s="58" t="s">
        <v>134</v>
      </c>
      <c r="BU17" s="58" t="s">
        <v>134</v>
      </c>
      <c r="BV17" s="58" t="s">
        <v>134</v>
      </c>
      <c r="BW17" s="58" t="s">
        <v>134</v>
      </c>
      <c r="BX17" s="58" t="s">
        <v>134</v>
      </c>
      <c r="BY17" s="58" t="s">
        <v>134</v>
      </c>
      <c r="BZ17" s="58" t="s">
        <v>134</v>
      </c>
      <c r="CA17" s="58" t="s">
        <v>134</v>
      </c>
      <c r="CB17" s="58" t="s">
        <v>134</v>
      </c>
      <c r="CC17" s="58" t="s">
        <v>134</v>
      </c>
      <c r="CD17" s="58" t="s">
        <v>134</v>
      </c>
      <c r="CE17" s="58" t="s">
        <v>134</v>
      </c>
      <c r="CF17" s="58" t="s">
        <v>134</v>
      </c>
      <c r="CG17" s="58" t="s">
        <v>134</v>
      </c>
      <c r="CH17" s="58" t="s">
        <v>134</v>
      </c>
      <c r="CI17" s="58" t="s">
        <v>134</v>
      </c>
      <c r="CJ17" s="58" t="s">
        <v>134</v>
      </c>
      <c r="CK17" s="58" t="s">
        <v>134</v>
      </c>
      <c r="CL17" s="58" t="s">
        <v>134</v>
      </c>
      <c r="CM17" s="58" t="s">
        <v>134</v>
      </c>
      <c r="CN17" s="58" t="s">
        <v>134</v>
      </c>
      <c r="CO17" s="58" t="s">
        <v>134</v>
      </c>
      <c r="CP17" s="58" t="s">
        <v>134</v>
      </c>
      <c r="CQ17" s="58" t="s">
        <v>134</v>
      </c>
      <c r="CR17" s="58" t="s">
        <v>134</v>
      </c>
      <c r="CS17" s="58" t="s">
        <v>134</v>
      </c>
      <c r="CT17" s="58" t="s">
        <v>134</v>
      </c>
      <c r="CU17" s="58" t="s">
        <v>134</v>
      </c>
      <c r="CV17" s="58" t="s">
        <v>134</v>
      </c>
      <c r="CW17" s="58" t="s">
        <v>134</v>
      </c>
      <c r="CX17" s="58" t="s">
        <v>134</v>
      </c>
      <c r="CY17" s="58" t="s">
        <v>134</v>
      </c>
      <c r="CZ17" s="58" t="s">
        <v>134</v>
      </c>
      <c r="DA17" s="58" t="s">
        <v>134</v>
      </c>
      <c r="DB17" s="58" t="s">
        <v>134</v>
      </c>
      <c r="DC17" s="58" t="s">
        <v>134</v>
      </c>
      <c r="DD17" s="58" t="s">
        <v>134</v>
      </c>
      <c r="DE17" s="58" t="s">
        <v>134</v>
      </c>
      <c r="DF17" s="58" t="s">
        <v>134</v>
      </c>
      <c r="DG17" s="58" t="s">
        <v>134</v>
      </c>
      <c r="DH17" s="58" t="s">
        <v>134</v>
      </c>
      <c r="DI17" s="58" t="s">
        <v>134</v>
      </c>
      <c r="DJ17" s="58" t="s">
        <v>134</v>
      </c>
      <c r="DK17" s="58" t="s">
        <v>134</v>
      </c>
      <c r="DL17" s="58" t="s">
        <v>134</v>
      </c>
      <c r="DM17" s="58" t="s">
        <v>134</v>
      </c>
      <c r="DN17" s="58" t="s">
        <v>134</v>
      </c>
      <c r="DO17" s="58" t="s">
        <v>134</v>
      </c>
      <c r="DP17" s="58" t="s">
        <v>134</v>
      </c>
      <c r="DQ17" s="58" t="s">
        <v>134</v>
      </c>
      <c r="DR17" s="58" t="s">
        <v>134</v>
      </c>
      <c r="DS17" s="58" t="s">
        <v>134</v>
      </c>
      <c r="DT17" s="58" t="s">
        <v>134</v>
      </c>
      <c r="DU17" s="58" t="s">
        <v>134</v>
      </c>
      <c r="DV17" s="58" t="s">
        <v>134</v>
      </c>
      <c r="DW17" s="58" t="s">
        <v>134</v>
      </c>
      <c r="DX17" s="58" t="s">
        <v>134</v>
      </c>
      <c r="DY17" s="58" t="s">
        <v>134</v>
      </c>
      <c r="DZ17" s="58" t="s">
        <v>134</v>
      </c>
      <c r="EA17" s="58" t="s">
        <v>134</v>
      </c>
      <c r="EB17" s="58" t="s">
        <v>134</v>
      </c>
      <c r="EC17" s="58" t="s">
        <v>134</v>
      </c>
      <c r="ED17" s="58" t="s">
        <v>134</v>
      </c>
      <c r="EE17" s="58" t="s">
        <v>134</v>
      </c>
      <c r="EF17" s="58" t="s">
        <v>134</v>
      </c>
      <c r="EG17" s="58" t="s">
        <v>134</v>
      </c>
      <c r="EH17" s="58" t="s">
        <v>134</v>
      </c>
      <c r="EI17" s="58" t="s">
        <v>134</v>
      </c>
      <c r="EJ17" s="58" t="s">
        <v>134</v>
      </c>
      <c r="EK17" s="58" t="s">
        <v>134</v>
      </c>
      <c r="EL17" s="58" t="s">
        <v>134</v>
      </c>
      <c r="EM17" s="58" t="s">
        <v>134</v>
      </c>
      <c r="EN17" s="58" t="s">
        <v>134</v>
      </c>
      <c r="EO17" s="58">
        <v>0.0</v>
      </c>
      <c r="EP17" s="58">
        <v>0.0</v>
      </c>
      <c r="EQ17" s="58">
        <v>0.0</v>
      </c>
      <c r="ER17" s="58" t="s">
        <v>134</v>
      </c>
      <c r="ES17" s="58" t="s">
        <v>134</v>
      </c>
      <c r="ET17" s="58" t="s">
        <v>134</v>
      </c>
    </row>
    <row r="18">
      <c r="A18" s="58" t="s">
        <v>90</v>
      </c>
      <c r="B18" s="58" t="s">
        <v>134</v>
      </c>
      <c r="C18" s="58" t="s">
        <v>134</v>
      </c>
      <c r="D18" s="58" t="s">
        <v>134</v>
      </c>
      <c r="E18" s="58" t="s">
        <v>134</v>
      </c>
      <c r="F18" s="58" t="s">
        <v>134</v>
      </c>
      <c r="G18" s="58" t="s">
        <v>134</v>
      </c>
      <c r="H18" s="58" t="s">
        <v>134</v>
      </c>
      <c r="I18" s="58">
        <v>0.55</v>
      </c>
      <c r="J18" s="58" t="s">
        <v>134</v>
      </c>
      <c r="K18" s="58">
        <v>0.0</v>
      </c>
      <c r="L18" s="58">
        <v>0.0</v>
      </c>
      <c r="M18" s="58" t="s">
        <v>134</v>
      </c>
      <c r="N18" s="58" t="s">
        <v>134</v>
      </c>
      <c r="O18" s="58" t="s">
        <v>134</v>
      </c>
      <c r="P18" s="58" t="s">
        <v>134</v>
      </c>
      <c r="Q18" s="58" t="s">
        <v>134</v>
      </c>
      <c r="R18" s="58" t="s">
        <v>134</v>
      </c>
      <c r="S18" s="58" t="s">
        <v>134</v>
      </c>
      <c r="T18" s="58" t="s">
        <v>134</v>
      </c>
      <c r="U18" s="58" t="s">
        <v>134</v>
      </c>
      <c r="V18" s="58" t="s">
        <v>134</v>
      </c>
      <c r="W18" s="58" t="s">
        <v>134</v>
      </c>
      <c r="X18" s="58" t="s">
        <v>134</v>
      </c>
      <c r="Y18" s="58" t="s">
        <v>134</v>
      </c>
      <c r="Z18" s="58" t="s">
        <v>134</v>
      </c>
      <c r="AA18" s="58" t="s">
        <v>134</v>
      </c>
      <c r="AB18" s="58" t="s">
        <v>134</v>
      </c>
      <c r="AC18" s="58" t="s">
        <v>134</v>
      </c>
      <c r="AD18" s="58" t="s">
        <v>134</v>
      </c>
      <c r="AE18" s="58" t="s">
        <v>134</v>
      </c>
      <c r="AF18" s="58" t="s">
        <v>134</v>
      </c>
      <c r="AG18" s="58" t="s">
        <v>134</v>
      </c>
      <c r="AH18" s="58" t="s">
        <v>134</v>
      </c>
      <c r="AI18" s="58" t="s">
        <v>134</v>
      </c>
      <c r="AJ18" s="58" t="s">
        <v>134</v>
      </c>
      <c r="AK18" s="58" t="s">
        <v>134</v>
      </c>
      <c r="AL18" s="58" t="s">
        <v>134</v>
      </c>
      <c r="AM18" s="58" t="s">
        <v>134</v>
      </c>
      <c r="AN18" s="58">
        <v>0.0</v>
      </c>
      <c r="AO18" s="58" t="s">
        <v>134</v>
      </c>
      <c r="AP18" s="58" t="s">
        <v>134</v>
      </c>
      <c r="AQ18" s="58" t="s">
        <v>134</v>
      </c>
      <c r="AR18" s="58" t="s">
        <v>134</v>
      </c>
      <c r="AS18" s="58" t="s">
        <v>134</v>
      </c>
      <c r="AT18" s="58" t="s">
        <v>134</v>
      </c>
      <c r="AU18" s="58" t="s">
        <v>134</v>
      </c>
      <c r="AV18" s="58" t="s">
        <v>134</v>
      </c>
      <c r="AW18" s="58" t="s">
        <v>134</v>
      </c>
      <c r="AX18" s="58" t="s">
        <v>134</v>
      </c>
      <c r="AY18" s="58" t="s">
        <v>134</v>
      </c>
      <c r="AZ18" s="58" t="s">
        <v>134</v>
      </c>
      <c r="BA18" s="58" t="s">
        <v>134</v>
      </c>
      <c r="BB18" s="58" t="s">
        <v>134</v>
      </c>
      <c r="BC18" s="58" t="s">
        <v>134</v>
      </c>
      <c r="BD18" s="58" t="s">
        <v>134</v>
      </c>
      <c r="BE18" s="58" t="s">
        <v>134</v>
      </c>
      <c r="BF18" s="58" t="s">
        <v>134</v>
      </c>
      <c r="BG18" s="58" t="s">
        <v>134</v>
      </c>
      <c r="BH18" s="58" t="s">
        <v>134</v>
      </c>
      <c r="BI18" s="58" t="s">
        <v>134</v>
      </c>
      <c r="BJ18" s="58" t="s">
        <v>134</v>
      </c>
      <c r="BK18" s="58" t="s">
        <v>134</v>
      </c>
      <c r="BL18" s="58" t="s">
        <v>134</v>
      </c>
      <c r="BM18" s="58" t="s">
        <v>134</v>
      </c>
      <c r="BN18" s="58" t="s">
        <v>134</v>
      </c>
      <c r="BO18" s="58" t="s">
        <v>134</v>
      </c>
      <c r="BP18" s="58" t="s">
        <v>134</v>
      </c>
      <c r="BQ18" s="58" t="s">
        <v>134</v>
      </c>
      <c r="BR18" s="58" t="s">
        <v>134</v>
      </c>
      <c r="BS18" s="58" t="s">
        <v>134</v>
      </c>
      <c r="BT18" s="58" t="s">
        <v>134</v>
      </c>
      <c r="BU18" s="58" t="s">
        <v>134</v>
      </c>
      <c r="BV18" s="58" t="s">
        <v>134</v>
      </c>
      <c r="BW18" s="58" t="s">
        <v>134</v>
      </c>
      <c r="BX18" s="58" t="s">
        <v>134</v>
      </c>
      <c r="BY18" s="58" t="s">
        <v>134</v>
      </c>
      <c r="BZ18" s="58" t="s">
        <v>134</v>
      </c>
      <c r="CA18" s="58" t="s">
        <v>134</v>
      </c>
      <c r="CB18" s="58" t="s">
        <v>134</v>
      </c>
      <c r="CC18" s="58" t="s">
        <v>134</v>
      </c>
      <c r="CD18" s="58" t="s">
        <v>134</v>
      </c>
      <c r="CE18" s="58" t="s">
        <v>134</v>
      </c>
      <c r="CF18" s="58" t="s">
        <v>134</v>
      </c>
      <c r="CG18" s="58" t="s">
        <v>134</v>
      </c>
      <c r="CH18" s="58" t="s">
        <v>134</v>
      </c>
      <c r="CI18" s="58" t="s">
        <v>134</v>
      </c>
      <c r="CJ18" s="58" t="s">
        <v>134</v>
      </c>
      <c r="CK18" s="58" t="s">
        <v>134</v>
      </c>
      <c r="CL18" s="58" t="s">
        <v>134</v>
      </c>
      <c r="CM18" s="58" t="s">
        <v>134</v>
      </c>
      <c r="CN18" s="58" t="s">
        <v>134</v>
      </c>
      <c r="CO18" s="58" t="s">
        <v>134</v>
      </c>
      <c r="CP18" s="58" t="s">
        <v>134</v>
      </c>
      <c r="CQ18" s="58" t="s">
        <v>134</v>
      </c>
      <c r="CR18" s="58" t="s">
        <v>134</v>
      </c>
      <c r="CS18" s="58" t="s">
        <v>134</v>
      </c>
      <c r="CT18" s="58" t="s">
        <v>134</v>
      </c>
      <c r="CU18" s="58" t="s">
        <v>134</v>
      </c>
      <c r="CV18" s="58" t="s">
        <v>134</v>
      </c>
      <c r="CW18" s="58" t="s">
        <v>134</v>
      </c>
      <c r="CX18" s="58" t="s">
        <v>134</v>
      </c>
      <c r="CY18" s="58" t="s">
        <v>134</v>
      </c>
      <c r="CZ18" s="58" t="s">
        <v>134</v>
      </c>
      <c r="DA18" s="58" t="s">
        <v>134</v>
      </c>
      <c r="DB18" s="58" t="s">
        <v>134</v>
      </c>
      <c r="DC18" s="58" t="s">
        <v>134</v>
      </c>
      <c r="DD18" s="58" t="s">
        <v>134</v>
      </c>
      <c r="DE18" s="58" t="s">
        <v>134</v>
      </c>
      <c r="DF18" s="58" t="s">
        <v>134</v>
      </c>
      <c r="DG18" s="58" t="s">
        <v>134</v>
      </c>
      <c r="DH18" s="58" t="s">
        <v>134</v>
      </c>
      <c r="DI18" s="58" t="s">
        <v>134</v>
      </c>
      <c r="DJ18" s="58" t="s">
        <v>134</v>
      </c>
      <c r="DK18" s="58" t="s">
        <v>134</v>
      </c>
      <c r="DL18" s="58" t="s">
        <v>134</v>
      </c>
      <c r="DM18" s="58" t="s">
        <v>134</v>
      </c>
      <c r="DN18" s="58" t="s">
        <v>134</v>
      </c>
      <c r="DO18" s="58" t="s">
        <v>134</v>
      </c>
      <c r="DP18" s="58" t="s">
        <v>134</v>
      </c>
      <c r="DQ18" s="58" t="s">
        <v>134</v>
      </c>
      <c r="DR18" s="58" t="s">
        <v>134</v>
      </c>
      <c r="DS18" s="58" t="s">
        <v>134</v>
      </c>
      <c r="DT18" s="58" t="s">
        <v>134</v>
      </c>
      <c r="DU18" s="58" t="s">
        <v>134</v>
      </c>
      <c r="DV18" s="58" t="s">
        <v>134</v>
      </c>
      <c r="DW18" s="58" t="s">
        <v>134</v>
      </c>
      <c r="DX18" s="58" t="s">
        <v>134</v>
      </c>
      <c r="DY18" s="58" t="s">
        <v>134</v>
      </c>
      <c r="DZ18" s="58" t="s">
        <v>134</v>
      </c>
      <c r="EA18" s="58" t="s">
        <v>134</v>
      </c>
      <c r="EB18" s="58" t="s">
        <v>134</v>
      </c>
      <c r="EC18" s="58" t="s">
        <v>134</v>
      </c>
      <c r="ED18" s="58" t="s">
        <v>134</v>
      </c>
      <c r="EE18" s="58" t="s">
        <v>134</v>
      </c>
      <c r="EF18" s="58" t="s">
        <v>134</v>
      </c>
      <c r="EG18" s="58" t="s">
        <v>134</v>
      </c>
      <c r="EH18" s="58" t="s">
        <v>134</v>
      </c>
      <c r="EI18" s="58" t="s">
        <v>134</v>
      </c>
      <c r="EJ18" s="58" t="s">
        <v>134</v>
      </c>
      <c r="EK18" s="58" t="s">
        <v>134</v>
      </c>
      <c r="EL18" s="58" t="s">
        <v>134</v>
      </c>
      <c r="EM18" s="58" t="s">
        <v>134</v>
      </c>
      <c r="EN18" s="58" t="s">
        <v>134</v>
      </c>
      <c r="EO18" s="58">
        <v>0.0</v>
      </c>
      <c r="EP18" s="58">
        <v>0.0</v>
      </c>
      <c r="EQ18" s="58">
        <v>0.0</v>
      </c>
      <c r="ER18" s="58" t="s">
        <v>134</v>
      </c>
      <c r="ES18" s="58" t="s">
        <v>134</v>
      </c>
      <c r="ET18" s="58" t="s">
        <v>134</v>
      </c>
    </row>
    <row r="19">
      <c r="A19" s="58" t="s">
        <v>103</v>
      </c>
      <c r="B19" s="58" t="s">
        <v>134</v>
      </c>
      <c r="C19" s="58" t="s">
        <v>134</v>
      </c>
      <c r="D19" s="58" t="s">
        <v>134</v>
      </c>
      <c r="E19" s="58" t="s">
        <v>134</v>
      </c>
      <c r="F19" s="58" t="s">
        <v>134</v>
      </c>
      <c r="G19" s="58" t="s">
        <v>134</v>
      </c>
      <c r="H19" s="58" t="s">
        <v>134</v>
      </c>
      <c r="I19" s="58">
        <v>0.1624</v>
      </c>
      <c r="J19" s="58" t="s">
        <v>134</v>
      </c>
      <c r="K19" s="58">
        <v>0.0</v>
      </c>
      <c r="L19" s="58">
        <v>0.0</v>
      </c>
      <c r="M19" s="58" t="s">
        <v>134</v>
      </c>
      <c r="N19" s="58" t="s">
        <v>134</v>
      </c>
      <c r="O19" s="58" t="s">
        <v>134</v>
      </c>
      <c r="P19" s="58" t="s">
        <v>134</v>
      </c>
      <c r="Q19" s="58" t="s">
        <v>134</v>
      </c>
      <c r="R19" s="58" t="s">
        <v>134</v>
      </c>
      <c r="S19" s="58" t="s">
        <v>134</v>
      </c>
      <c r="T19" s="58" t="s">
        <v>134</v>
      </c>
      <c r="U19" s="58" t="s">
        <v>134</v>
      </c>
      <c r="V19" s="58" t="s">
        <v>134</v>
      </c>
      <c r="W19" s="58" t="s">
        <v>134</v>
      </c>
      <c r="X19" s="58" t="s">
        <v>134</v>
      </c>
      <c r="Y19" s="58" t="s">
        <v>134</v>
      </c>
      <c r="Z19" s="58" t="s">
        <v>134</v>
      </c>
      <c r="AA19" s="58" t="s">
        <v>134</v>
      </c>
      <c r="AB19" s="58" t="s">
        <v>134</v>
      </c>
      <c r="AC19" s="58" t="s">
        <v>134</v>
      </c>
      <c r="AD19" s="58" t="s">
        <v>134</v>
      </c>
      <c r="AE19" s="58" t="s">
        <v>134</v>
      </c>
      <c r="AF19" s="58" t="s">
        <v>134</v>
      </c>
      <c r="AG19" s="58" t="s">
        <v>134</v>
      </c>
      <c r="AH19" s="58" t="s">
        <v>134</v>
      </c>
      <c r="AI19" s="58" t="s">
        <v>134</v>
      </c>
      <c r="AJ19" s="58" t="s">
        <v>134</v>
      </c>
      <c r="AK19" s="58" t="s">
        <v>134</v>
      </c>
      <c r="AL19" s="58" t="s">
        <v>134</v>
      </c>
      <c r="AM19" s="58" t="s">
        <v>134</v>
      </c>
      <c r="AN19" s="58">
        <v>0.0</v>
      </c>
      <c r="AO19" s="58" t="s">
        <v>134</v>
      </c>
      <c r="AP19" s="58" t="s">
        <v>134</v>
      </c>
      <c r="AQ19" s="58" t="s">
        <v>134</v>
      </c>
      <c r="AR19" s="58" t="s">
        <v>134</v>
      </c>
      <c r="AS19" s="58" t="s">
        <v>134</v>
      </c>
      <c r="AT19" s="58" t="s">
        <v>134</v>
      </c>
      <c r="AU19" s="58" t="s">
        <v>134</v>
      </c>
      <c r="AV19" s="58" t="s">
        <v>134</v>
      </c>
      <c r="AW19" s="58" t="s">
        <v>134</v>
      </c>
      <c r="AX19" s="58" t="s">
        <v>134</v>
      </c>
      <c r="AY19" s="58" t="s">
        <v>134</v>
      </c>
      <c r="AZ19" s="58" t="s">
        <v>134</v>
      </c>
      <c r="BA19" s="58" t="s">
        <v>134</v>
      </c>
      <c r="BB19" s="58" t="s">
        <v>134</v>
      </c>
      <c r="BC19" s="58" t="s">
        <v>134</v>
      </c>
      <c r="BD19" s="58" t="s">
        <v>134</v>
      </c>
      <c r="BE19" s="58" t="s">
        <v>134</v>
      </c>
      <c r="BF19" s="58" t="s">
        <v>134</v>
      </c>
      <c r="BG19" s="58" t="s">
        <v>134</v>
      </c>
      <c r="BH19" s="58" t="s">
        <v>134</v>
      </c>
      <c r="BI19" s="58" t="s">
        <v>134</v>
      </c>
      <c r="BJ19" s="58" t="s">
        <v>134</v>
      </c>
      <c r="BK19" s="58" t="s">
        <v>134</v>
      </c>
      <c r="BL19" s="58" t="s">
        <v>134</v>
      </c>
      <c r="BM19" s="58" t="s">
        <v>134</v>
      </c>
      <c r="BN19" s="58" t="s">
        <v>134</v>
      </c>
      <c r="BO19" s="58" t="s">
        <v>134</v>
      </c>
      <c r="BP19" s="58" t="s">
        <v>134</v>
      </c>
      <c r="BQ19" s="58" t="s">
        <v>134</v>
      </c>
      <c r="BR19" s="58" t="s">
        <v>134</v>
      </c>
      <c r="BS19" s="58" t="s">
        <v>134</v>
      </c>
      <c r="BT19" s="58" t="s">
        <v>134</v>
      </c>
      <c r="BU19" s="58" t="s">
        <v>134</v>
      </c>
      <c r="BV19" s="58" t="s">
        <v>134</v>
      </c>
      <c r="BW19" s="58" t="s">
        <v>134</v>
      </c>
      <c r="BX19" s="58" t="s">
        <v>134</v>
      </c>
      <c r="BY19" s="58" t="s">
        <v>134</v>
      </c>
      <c r="BZ19" s="58" t="s">
        <v>134</v>
      </c>
      <c r="CA19" s="58" t="s">
        <v>134</v>
      </c>
      <c r="CB19" s="58" t="s">
        <v>134</v>
      </c>
      <c r="CC19" s="58" t="s">
        <v>134</v>
      </c>
      <c r="CD19" s="58" t="s">
        <v>134</v>
      </c>
      <c r="CE19" s="58" t="s">
        <v>134</v>
      </c>
      <c r="CF19" s="58" t="s">
        <v>134</v>
      </c>
      <c r="CG19" s="58" t="s">
        <v>134</v>
      </c>
      <c r="CH19" s="58" t="s">
        <v>134</v>
      </c>
      <c r="CI19" s="58" t="s">
        <v>134</v>
      </c>
      <c r="CJ19" s="58" t="s">
        <v>134</v>
      </c>
      <c r="CK19" s="58" t="s">
        <v>134</v>
      </c>
      <c r="CL19" s="58" t="s">
        <v>134</v>
      </c>
      <c r="CM19" s="58" t="s">
        <v>134</v>
      </c>
      <c r="CN19" s="58" t="s">
        <v>134</v>
      </c>
      <c r="CO19" s="58" t="s">
        <v>134</v>
      </c>
      <c r="CP19" s="58" t="s">
        <v>134</v>
      </c>
      <c r="CQ19" s="58" t="s">
        <v>134</v>
      </c>
      <c r="CR19" s="58" t="s">
        <v>134</v>
      </c>
      <c r="CS19" s="58" t="s">
        <v>134</v>
      </c>
      <c r="CT19" s="58" t="s">
        <v>134</v>
      </c>
      <c r="CU19" s="58" t="s">
        <v>134</v>
      </c>
      <c r="CV19" s="58" t="s">
        <v>134</v>
      </c>
      <c r="CW19" s="58" t="s">
        <v>134</v>
      </c>
      <c r="CX19" s="58" t="s">
        <v>134</v>
      </c>
      <c r="CY19" s="58" t="s">
        <v>134</v>
      </c>
      <c r="CZ19" s="58" t="s">
        <v>134</v>
      </c>
      <c r="DA19" s="58" t="s">
        <v>134</v>
      </c>
      <c r="DB19" s="58" t="s">
        <v>134</v>
      </c>
      <c r="DC19" s="58" t="s">
        <v>134</v>
      </c>
      <c r="DD19" s="58" t="s">
        <v>134</v>
      </c>
      <c r="DE19" s="58" t="s">
        <v>134</v>
      </c>
      <c r="DF19" s="58" t="s">
        <v>134</v>
      </c>
      <c r="DG19" s="58" t="s">
        <v>134</v>
      </c>
      <c r="DH19" s="58" t="s">
        <v>134</v>
      </c>
      <c r="DI19" s="58" t="s">
        <v>134</v>
      </c>
      <c r="DJ19" s="58" t="s">
        <v>134</v>
      </c>
      <c r="DK19" s="58" t="s">
        <v>134</v>
      </c>
      <c r="DL19" s="58" t="s">
        <v>134</v>
      </c>
      <c r="DM19" s="58" t="s">
        <v>134</v>
      </c>
      <c r="DN19" s="58" t="s">
        <v>134</v>
      </c>
      <c r="DO19" s="58" t="s">
        <v>134</v>
      </c>
      <c r="DP19" s="58" t="s">
        <v>134</v>
      </c>
      <c r="DQ19" s="58" t="s">
        <v>134</v>
      </c>
      <c r="DR19" s="58" t="s">
        <v>134</v>
      </c>
      <c r="DS19" s="58" t="s">
        <v>134</v>
      </c>
      <c r="DT19" s="58" t="s">
        <v>134</v>
      </c>
      <c r="DU19" s="58" t="s">
        <v>134</v>
      </c>
      <c r="DV19" s="58" t="s">
        <v>134</v>
      </c>
      <c r="DW19" s="58" t="s">
        <v>134</v>
      </c>
      <c r="DX19" s="58" t="s">
        <v>134</v>
      </c>
      <c r="DY19" s="58" t="s">
        <v>134</v>
      </c>
      <c r="DZ19" s="58" t="s">
        <v>134</v>
      </c>
      <c r="EA19" s="58" t="s">
        <v>134</v>
      </c>
      <c r="EB19" s="58" t="s">
        <v>134</v>
      </c>
      <c r="EC19" s="58" t="s">
        <v>134</v>
      </c>
      <c r="ED19" s="58" t="s">
        <v>134</v>
      </c>
      <c r="EE19" s="58" t="s">
        <v>134</v>
      </c>
      <c r="EF19" s="58" t="s">
        <v>134</v>
      </c>
      <c r="EG19" s="58" t="s">
        <v>134</v>
      </c>
      <c r="EH19" s="58" t="s">
        <v>134</v>
      </c>
      <c r="EI19" s="58" t="s">
        <v>134</v>
      </c>
      <c r="EJ19" s="58" t="s">
        <v>134</v>
      </c>
      <c r="EK19" s="58" t="s">
        <v>134</v>
      </c>
      <c r="EL19" s="58" t="s">
        <v>134</v>
      </c>
      <c r="EM19" s="58" t="s">
        <v>134</v>
      </c>
      <c r="EN19" s="58" t="s">
        <v>134</v>
      </c>
      <c r="EO19" s="58">
        <v>0.0</v>
      </c>
      <c r="EP19" s="58">
        <v>0.0</v>
      </c>
      <c r="EQ19" s="58">
        <v>0.0</v>
      </c>
      <c r="ER19" s="58" t="s">
        <v>134</v>
      </c>
      <c r="ES19" s="58" t="s">
        <v>134</v>
      </c>
      <c r="ET19" s="58" t="s">
        <v>134</v>
      </c>
    </row>
    <row r="20">
      <c r="A20" s="58" t="s">
        <v>74</v>
      </c>
      <c r="B20" s="58" t="s">
        <v>134</v>
      </c>
      <c r="C20" s="58" t="s">
        <v>134</v>
      </c>
      <c r="D20" s="58" t="s">
        <v>134</v>
      </c>
      <c r="E20" s="58" t="s">
        <v>134</v>
      </c>
      <c r="F20" s="58" t="s">
        <v>134</v>
      </c>
      <c r="G20" s="58" t="s">
        <v>134</v>
      </c>
      <c r="H20" s="58" t="s">
        <v>134</v>
      </c>
      <c r="I20" s="58">
        <v>0.064</v>
      </c>
      <c r="J20" s="58" t="s">
        <v>134</v>
      </c>
      <c r="K20" s="58">
        <v>0.022</v>
      </c>
      <c r="L20" s="58">
        <v>0.0</v>
      </c>
      <c r="M20" s="58" t="s">
        <v>134</v>
      </c>
      <c r="N20" s="58" t="s">
        <v>134</v>
      </c>
      <c r="O20" s="58" t="s">
        <v>134</v>
      </c>
      <c r="P20" s="58" t="s">
        <v>134</v>
      </c>
      <c r="Q20" s="58" t="s">
        <v>134</v>
      </c>
      <c r="R20" s="58" t="s">
        <v>134</v>
      </c>
      <c r="S20" s="58" t="s">
        <v>134</v>
      </c>
      <c r="T20" s="58" t="s">
        <v>134</v>
      </c>
      <c r="U20" s="58" t="s">
        <v>134</v>
      </c>
      <c r="V20" s="58" t="s">
        <v>134</v>
      </c>
      <c r="W20" s="58" t="s">
        <v>134</v>
      </c>
      <c r="X20" s="58" t="s">
        <v>134</v>
      </c>
      <c r="Y20" s="58" t="s">
        <v>134</v>
      </c>
      <c r="Z20" s="58" t="s">
        <v>134</v>
      </c>
      <c r="AA20" s="58" t="s">
        <v>134</v>
      </c>
      <c r="AB20" s="58" t="s">
        <v>134</v>
      </c>
      <c r="AC20" s="58" t="s">
        <v>134</v>
      </c>
      <c r="AD20" s="58" t="s">
        <v>134</v>
      </c>
      <c r="AE20" s="58" t="s">
        <v>134</v>
      </c>
      <c r="AF20" s="58" t="s">
        <v>134</v>
      </c>
      <c r="AG20" s="58" t="s">
        <v>134</v>
      </c>
      <c r="AH20" s="58" t="s">
        <v>134</v>
      </c>
      <c r="AI20" s="58" t="s">
        <v>134</v>
      </c>
      <c r="AJ20" s="58" t="s">
        <v>134</v>
      </c>
      <c r="AK20" s="58" t="s">
        <v>134</v>
      </c>
      <c r="AL20" s="58" t="s">
        <v>134</v>
      </c>
      <c r="AM20" s="58" t="s">
        <v>134</v>
      </c>
      <c r="AN20" s="58">
        <v>0.0</v>
      </c>
      <c r="AO20" s="58" t="s">
        <v>134</v>
      </c>
      <c r="AP20" s="58" t="s">
        <v>134</v>
      </c>
      <c r="AQ20" s="58" t="s">
        <v>134</v>
      </c>
      <c r="AR20" s="58" t="s">
        <v>134</v>
      </c>
      <c r="AS20" s="58" t="s">
        <v>134</v>
      </c>
      <c r="AT20" s="58" t="s">
        <v>134</v>
      </c>
      <c r="AU20" s="58" t="s">
        <v>134</v>
      </c>
      <c r="AV20" s="58" t="s">
        <v>134</v>
      </c>
      <c r="AW20" s="58" t="s">
        <v>134</v>
      </c>
      <c r="AX20" s="58" t="s">
        <v>134</v>
      </c>
      <c r="AY20" s="58" t="s">
        <v>134</v>
      </c>
      <c r="AZ20" s="58" t="s">
        <v>134</v>
      </c>
      <c r="BA20" s="58" t="s">
        <v>134</v>
      </c>
      <c r="BB20" s="58" t="s">
        <v>134</v>
      </c>
      <c r="BC20" s="58">
        <v>0.0139</v>
      </c>
      <c r="BD20" s="58" t="s">
        <v>134</v>
      </c>
      <c r="BE20" s="58" t="s">
        <v>134</v>
      </c>
      <c r="BF20" s="58" t="s">
        <v>134</v>
      </c>
      <c r="BG20" s="58" t="s">
        <v>134</v>
      </c>
      <c r="BH20" s="58" t="s">
        <v>134</v>
      </c>
      <c r="BI20" s="58" t="s">
        <v>134</v>
      </c>
      <c r="BJ20" s="58" t="s">
        <v>134</v>
      </c>
      <c r="BK20" s="58" t="s">
        <v>134</v>
      </c>
      <c r="BL20" s="58" t="s">
        <v>134</v>
      </c>
      <c r="BM20" s="58" t="s">
        <v>134</v>
      </c>
      <c r="BN20" s="58" t="s">
        <v>134</v>
      </c>
      <c r="BO20" s="58" t="s">
        <v>134</v>
      </c>
      <c r="BP20" s="58" t="s">
        <v>134</v>
      </c>
      <c r="BQ20" s="58" t="s">
        <v>134</v>
      </c>
      <c r="BR20" s="58" t="s">
        <v>134</v>
      </c>
      <c r="BS20" s="58" t="s">
        <v>134</v>
      </c>
      <c r="BT20" s="58" t="s">
        <v>134</v>
      </c>
      <c r="BU20" s="58" t="s">
        <v>134</v>
      </c>
      <c r="BV20" s="58" t="s">
        <v>134</v>
      </c>
      <c r="BW20" s="58" t="s">
        <v>134</v>
      </c>
      <c r="BX20" s="58" t="s">
        <v>134</v>
      </c>
      <c r="BY20" s="58" t="s">
        <v>134</v>
      </c>
      <c r="BZ20" s="58" t="s">
        <v>134</v>
      </c>
      <c r="CA20" s="58" t="s">
        <v>134</v>
      </c>
      <c r="CB20" s="58" t="s">
        <v>134</v>
      </c>
      <c r="CC20" s="58" t="s">
        <v>134</v>
      </c>
      <c r="CD20" s="58" t="s">
        <v>134</v>
      </c>
      <c r="CE20" s="58" t="s">
        <v>134</v>
      </c>
      <c r="CF20" s="58" t="s">
        <v>134</v>
      </c>
      <c r="CG20" s="58" t="s">
        <v>134</v>
      </c>
      <c r="CH20" s="58" t="s">
        <v>134</v>
      </c>
      <c r="CI20" s="58" t="s">
        <v>134</v>
      </c>
      <c r="CJ20" s="58" t="s">
        <v>134</v>
      </c>
      <c r="CK20" s="58" t="s">
        <v>134</v>
      </c>
      <c r="CL20" s="58" t="s">
        <v>134</v>
      </c>
      <c r="CM20" s="58" t="s">
        <v>134</v>
      </c>
      <c r="CN20" s="58" t="s">
        <v>134</v>
      </c>
      <c r="CO20" s="58" t="s">
        <v>134</v>
      </c>
      <c r="CP20" s="58" t="s">
        <v>134</v>
      </c>
      <c r="CQ20" s="58" t="s">
        <v>134</v>
      </c>
      <c r="CR20" s="58" t="s">
        <v>134</v>
      </c>
      <c r="CS20" s="58" t="s">
        <v>134</v>
      </c>
      <c r="CT20" s="58" t="s">
        <v>134</v>
      </c>
      <c r="CU20" s="58" t="s">
        <v>134</v>
      </c>
      <c r="CV20" s="58" t="s">
        <v>134</v>
      </c>
      <c r="CW20" s="58" t="s">
        <v>134</v>
      </c>
      <c r="CX20" s="58" t="s">
        <v>134</v>
      </c>
      <c r="CY20" s="58" t="s">
        <v>134</v>
      </c>
      <c r="CZ20" s="58" t="s">
        <v>134</v>
      </c>
      <c r="DA20" s="58" t="s">
        <v>134</v>
      </c>
      <c r="DB20" s="58" t="s">
        <v>134</v>
      </c>
      <c r="DC20" s="58" t="s">
        <v>134</v>
      </c>
      <c r="DD20" s="58" t="s">
        <v>134</v>
      </c>
      <c r="DE20" s="58" t="s">
        <v>134</v>
      </c>
      <c r="DF20" s="58" t="s">
        <v>134</v>
      </c>
      <c r="DG20" s="58" t="s">
        <v>134</v>
      </c>
      <c r="DH20" s="58" t="s">
        <v>134</v>
      </c>
      <c r="DI20" s="58" t="s">
        <v>134</v>
      </c>
      <c r="DJ20" s="58" t="s">
        <v>134</v>
      </c>
      <c r="DK20" s="58" t="s">
        <v>134</v>
      </c>
      <c r="DL20" s="58" t="s">
        <v>134</v>
      </c>
      <c r="DM20" s="58" t="s">
        <v>134</v>
      </c>
      <c r="DN20" s="58" t="s">
        <v>134</v>
      </c>
      <c r="DO20" s="58" t="s">
        <v>134</v>
      </c>
      <c r="DP20" s="58" t="s">
        <v>134</v>
      </c>
      <c r="DQ20" s="58" t="s">
        <v>134</v>
      </c>
      <c r="DR20" s="58" t="s">
        <v>134</v>
      </c>
      <c r="DS20" s="58" t="s">
        <v>134</v>
      </c>
      <c r="DT20" s="58" t="s">
        <v>134</v>
      </c>
      <c r="DU20" s="58" t="s">
        <v>134</v>
      </c>
      <c r="DV20" s="58" t="s">
        <v>134</v>
      </c>
      <c r="DW20" s="58" t="s">
        <v>134</v>
      </c>
      <c r="DX20" s="58" t="s">
        <v>134</v>
      </c>
      <c r="DY20" s="58" t="s">
        <v>134</v>
      </c>
      <c r="DZ20" s="58" t="s">
        <v>134</v>
      </c>
      <c r="EA20" s="58" t="s">
        <v>134</v>
      </c>
      <c r="EB20" s="58" t="s">
        <v>134</v>
      </c>
      <c r="EC20" s="58" t="s">
        <v>134</v>
      </c>
      <c r="ED20" s="58" t="s">
        <v>134</v>
      </c>
      <c r="EE20" s="58" t="s">
        <v>134</v>
      </c>
      <c r="EF20" s="58" t="s">
        <v>134</v>
      </c>
      <c r="EG20" s="58" t="s">
        <v>134</v>
      </c>
      <c r="EH20" s="58" t="s">
        <v>134</v>
      </c>
      <c r="EI20" s="58" t="s">
        <v>134</v>
      </c>
      <c r="EJ20" s="58" t="s">
        <v>134</v>
      </c>
      <c r="EK20" s="58" t="s">
        <v>134</v>
      </c>
      <c r="EL20" s="58" t="s">
        <v>134</v>
      </c>
      <c r="EM20" s="58" t="s">
        <v>134</v>
      </c>
      <c r="EN20" s="58" t="s">
        <v>134</v>
      </c>
      <c r="EO20" s="58">
        <v>0.0</v>
      </c>
      <c r="EP20" s="58">
        <v>0.0</v>
      </c>
      <c r="EQ20" s="58">
        <v>0.0</v>
      </c>
      <c r="ER20" s="58" t="s">
        <v>134</v>
      </c>
      <c r="ES20" s="58" t="s">
        <v>134</v>
      </c>
      <c r="ET20" s="58" t="s">
        <v>134</v>
      </c>
    </row>
    <row r="21">
      <c r="A21" s="58" t="s">
        <v>66</v>
      </c>
      <c r="B21" s="58" t="s">
        <v>134</v>
      </c>
      <c r="C21" s="58" t="s">
        <v>134</v>
      </c>
      <c r="D21" s="58" t="s">
        <v>134</v>
      </c>
      <c r="E21" s="58" t="s">
        <v>134</v>
      </c>
      <c r="F21" s="58" t="s">
        <v>134</v>
      </c>
      <c r="G21" s="58" t="s">
        <v>134</v>
      </c>
      <c r="H21" s="58" t="s">
        <v>134</v>
      </c>
      <c r="I21" s="58">
        <v>0.041</v>
      </c>
      <c r="J21" s="58" t="s">
        <v>134</v>
      </c>
      <c r="K21" s="58">
        <v>0.0</v>
      </c>
      <c r="L21" s="58">
        <v>0.0</v>
      </c>
      <c r="M21" s="58" t="s">
        <v>134</v>
      </c>
      <c r="N21" s="58" t="s">
        <v>134</v>
      </c>
      <c r="O21" s="58" t="s">
        <v>134</v>
      </c>
      <c r="P21" s="58" t="s">
        <v>134</v>
      </c>
      <c r="Q21" s="58" t="s">
        <v>134</v>
      </c>
      <c r="R21" s="58" t="s">
        <v>134</v>
      </c>
      <c r="S21" s="58" t="s">
        <v>134</v>
      </c>
      <c r="T21" s="58" t="s">
        <v>134</v>
      </c>
      <c r="U21" s="58" t="s">
        <v>134</v>
      </c>
      <c r="V21" s="58" t="s">
        <v>134</v>
      </c>
      <c r="W21" s="58" t="s">
        <v>134</v>
      </c>
      <c r="X21" s="58" t="s">
        <v>134</v>
      </c>
      <c r="Y21" s="58" t="s">
        <v>134</v>
      </c>
      <c r="Z21" s="58" t="s">
        <v>134</v>
      </c>
      <c r="AA21" s="58" t="s">
        <v>134</v>
      </c>
      <c r="AB21" s="58" t="s">
        <v>134</v>
      </c>
      <c r="AC21" s="58" t="s">
        <v>134</v>
      </c>
      <c r="AD21" s="58" t="s">
        <v>134</v>
      </c>
      <c r="AE21" s="58" t="s">
        <v>134</v>
      </c>
      <c r="AF21" s="58" t="s">
        <v>134</v>
      </c>
      <c r="AG21" s="58" t="s">
        <v>134</v>
      </c>
      <c r="AH21" s="58" t="s">
        <v>134</v>
      </c>
      <c r="AI21" s="58" t="s">
        <v>134</v>
      </c>
      <c r="AJ21" s="58" t="s">
        <v>134</v>
      </c>
      <c r="AK21" s="58" t="s">
        <v>134</v>
      </c>
      <c r="AL21" s="58" t="s">
        <v>134</v>
      </c>
      <c r="AM21" s="58" t="s">
        <v>134</v>
      </c>
      <c r="AN21" s="58">
        <v>0.0</v>
      </c>
      <c r="AO21" s="58" t="s">
        <v>134</v>
      </c>
      <c r="AP21" s="58" t="s">
        <v>134</v>
      </c>
      <c r="AQ21" s="58" t="s">
        <v>134</v>
      </c>
      <c r="AR21" s="58" t="s">
        <v>134</v>
      </c>
      <c r="AS21" s="58" t="s">
        <v>134</v>
      </c>
      <c r="AT21" s="58" t="s">
        <v>134</v>
      </c>
      <c r="AU21" s="58" t="s">
        <v>134</v>
      </c>
      <c r="AV21" s="58" t="s">
        <v>134</v>
      </c>
      <c r="AW21" s="58" t="s">
        <v>134</v>
      </c>
      <c r="AX21" s="58" t="s">
        <v>134</v>
      </c>
      <c r="AY21" s="58" t="s">
        <v>134</v>
      </c>
      <c r="AZ21" s="58" t="s">
        <v>134</v>
      </c>
      <c r="BA21" s="58" t="s">
        <v>134</v>
      </c>
      <c r="BB21" s="58" t="s">
        <v>134</v>
      </c>
      <c r="BC21" s="58" t="s">
        <v>134</v>
      </c>
      <c r="BD21" s="58" t="s">
        <v>134</v>
      </c>
      <c r="BE21" s="58" t="s">
        <v>134</v>
      </c>
      <c r="BF21" s="58" t="s">
        <v>134</v>
      </c>
      <c r="BG21" s="58" t="s">
        <v>134</v>
      </c>
      <c r="BH21" s="58" t="s">
        <v>134</v>
      </c>
      <c r="BI21" s="58" t="s">
        <v>134</v>
      </c>
      <c r="BJ21" s="58" t="s">
        <v>134</v>
      </c>
      <c r="BK21" s="58" t="s">
        <v>134</v>
      </c>
      <c r="BL21" s="58" t="s">
        <v>134</v>
      </c>
      <c r="BM21" s="58" t="s">
        <v>134</v>
      </c>
      <c r="BN21" s="58" t="s">
        <v>134</v>
      </c>
      <c r="BO21" s="58" t="s">
        <v>134</v>
      </c>
      <c r="BP21" s="58" t="s">
        <v>134</v>
      </c>
      <c r="BQ21" s="58" t="s">
        <v>134</v>
      </c>
      <c r="BR21" s="58" t="s">
        <v>134</v>
      </c>
      <c r="BS21" s="58" t="s">
        <v>134</v>
      </c>
      <c r="BT21" s="58" t="s">
        <v>134</v>
      </c>
      <c r="BU21" s="58" t="s">
        <v>134</v>
      </c>
      <c r="BV21" s="58" t="s">
        <v>134</v>
      </c>
      <c r="BW21" s="58" t="s">
        <v>134</v>
      </c>
      <c r="BX21" s="58" t="s">
        <v>134</v>
      </c>
      <c r="BY21" s="58" t="s">
        <v>134</v>
      </c>
      <c r="BZ21" s="58" t="s">
        <v>134</v>
      </c>
      <c r="CA21" s="58" t="s">
        <v>134</v>
      </c>
      <c r="CB21" s="58" t="s">
        <v>134</v>
      </c>
      <c r="CC21" s="58" t="s">
        <v>134</v>
      </c>
      <c r="CD21" s="58" t="s">
        <v>134</v>
      </c>
      <c r="CE21" s="58" t="s">
        <v>134</v>
      </c>
      <c r="CF21" s="58" t="s">
        <v>134</v>
      </c>
      <c r="CG21" s="58" t="s">
        <v>134</v>
      </c>
      <c r="CH21" s="58" t="s">
        <v>134</v>
      </c>
      <c r="CI21" s="58" t="s">
        <v>134</v>
      </c>
      <c r="CJ21" s="58" t="s">
        <v>134</v>
      </c>
      <c r="CK21" s="58" t="s">
        <v>134</v>
      </c>
      <c r="CL21" s="58" t="s">
        <v>134</v>
      </c>
      <c r="CM21" s="58" t="s">
        <v>134</v>
      </c>
      <c r="CN21" s="58" t="s">
        <v>134</v>
      </c>
      <c r="CO21" s="58" t="s">
        <v>134</v>
      </c>
      <c r="CP21" s="58" t="s">
        <v>134</v>
      </c>
      <c r="CQ21" s="58" t="s">
        <v>134</v>
      </c>
      <c r="CR21" s="58" t="s">
        <v>134</v>
      </c>
      <c r="CS21" s="58" t="s">
        <v>134</v>
      </c>
      <c r="CT21" s="58" t="s">
        <v>134</v>
      </c>
      <c r="CU21" s="58" t="s">
        <v>134</v>
      </c>
      <c r="CV21" s="58" t="s">
        <v>134</v>
      </c>
      <c r="CW21" s="58" t="s">
        <v>134</v>
      </c>
      <c r="CX21" s="58" t="s">
        <v>134</v>
      </c>
      <c r="CY21" s="58" t="s">
        <v>134</v>
      </c>
      <c r="CZ21" s="58" t="s">
        <v>134</v>
      </c>
      <c r="DA21" s="58" t="s">
        <v>134</v>
      </c>
      <c r="DB21" s="58" t="s">
        <v>134</v>
      </c>
      <c r="DC21" s="58" t="s">
        <v>134</v>
      </c>
      <c r="DD21" s="58" t="s">
        <v>134</v>
      </c>
      <c r="DE21" s="58" t="s">
        <v>134</v>
      </c>
      <c r="DF21" s="58" t="s">
        <v>134</v>
      </c>
      <c r="DG21" s="58" t="s">
        <v>134</v>
      </c>
      <c r="DH21" s="58" t="s">
        <v>134</v>
      </c>
      <c r="DI21" s="58" t="s">
        <v>134</v>
      </c>
      <c r="DJ21" s="58" t="s">
        <v>134</v>
      </c>
      <c r="DK21" s="58" t="s">
        <v>134</v>
      </c>
      <c r="DL21" s="58" t="s">
        <v>134</v>
      </c>
      <c r="DM21" s="58" t="s">
        <v>134</v>
      </c>
      <c r="DN21" s="58" t="s">
        <v>134</v>
      </c>
      <c r="DO21" s="58" t="s">
        <v>134</v>
      </c>
      <c r="DP21" s="58" t="s">
        <v>134</v>
      </c>
      <c r="DQ21" s="58" t="s">
        <v>134</v>
      </c>
      <c r="DR21" s="58" t="s">
        <v>134</v>
      </c>
      <c r="DS21" s="58" t="s">
        <v>134</v>
      </c>
      <c r="DT21" s="58" t="s">
        <v>134</v>
      </c>
      <c r="DU21" s="58" t="s">
        <v>134</v>
      </c>
      <c r="DV21" s="58" t="s">
        <v>134</v>
      </c>
      <c r="DW21" s="58" t="s">
        <v>134</v>
      </c>
      <c r="DX21" s="58" t="s">
        <v>134</v>
      </c>
      <c r="DY21" s="58" t="s">
        <v>134</v>
      </c>
      <c r="DZ21" s="58" t="s">
        <v>134</v>
      </c>
      <c r="EA21" s="58" t="s">
        <v>134</v>
      </c>
      <c r="EB21" s="58" t="s">
        <v>134</v>
      </c>
      <c r="EC21" s="58" t="s">
        <v>134</v>
      </c>
      <c r="ED21" s="58" t="s">
        <v>134</v>
      </c>
      <c r="EE21" s="58" t="s">
        <v>134</v>
      </c>
      <c r="EF21" s="58" t="s">
        <v>134</v>
      </c>
      <c r="EG21" s="58" t="s">
        <v>134</v>
      </c>
      <c r="EH21" s="58" t="s">
        <v>134</v>
      </c>
      <c r="EI21" s="58" t="s">
        <v>134</v>
      </c>
      <c r="EJ21" s="58" t="s">
        <v>134</v>
      </c>
      <c r="EK21" s="58" t="s">
        <v>134</v>
      </c>
      <c r="EL21" s="58" t="s">
        <v>134</v>
      </c>
      <c r="EM21" s="58" t="s">
        <v>134</v>
      </c>
      <c r="EN21" s="58" t="s">
        <v>134</v>
      </c>
      <c r="EO21" s="58">
        <v>0.0</v>
      </c>
      <c r="EP21" s="58">
        <v>0.0</v>
      </c>
      <c r="EQ21" s="58">
        <v>0.0</v>
      </c>
      <c r="ER21" s="58" t="s">
        <v>134</v>
      </c>
      <c r="ES21" s="58" t="s">
        <v>134</v>
      </c>
      <c r="ET21" s="58" t="s">
        <v>134</v>
      </c>
    </row>
    <row r="22">
      <c r="A22" s="58" t="s">
        <v>65</v>
      </c>
      <c r="B22" s="58" t="s">
        <v>134</v>
      </c>
      <c r="C22" s="58" t="s">
        <v>134</v>
      </c>
      <c r="D22" s="58" t="s">
        <v>134</v>
      </c>
      <c r="E22" s="58" t="s">
        <v>134</v>
      </c>
      <c r="F22" s="58" t="s">
        <v>134</v>
      </c>
      <c r="G22" s="58" t="s">
        <v>134</v>
      </c>
      <c r="H22" s="58" t="s">
        <v>134</v>
      </c>
      <c r="I22" s="58">
        <v>0.0726</v>
      </c>
      <c r="J22" s="58" t="s">
        <v>134</v>
      </c>
      <c r="K22" s="58">
        <v>0.0</v>
      </c>
      <c r="L22" s="58">
        <v>0.0</v>
      </c>
      <c r="M22" s="58" t="s">
        <v>134</v>
      </c>
      <c r="N22" s="58" t="s">
        <v>134</v>
      </c>
      <c r="O22" s="58" t="s">
        <v>134</v>
      </c>
      <c r="P22" s="58" t="s">
        <v>134</v>
      </c>
      <c r="Q22" s="58" t="s">
        <v>134</v>
      </c>
      <c r="R22" s="58" t="s">
        <v>134</v>
      </c>
      <c r="S22" s="58" t="s">
        <v>134</v>
      </c>
      <c r="T22" s="58" t="s">
        <v>134</v>
      </c>
      <c r="U22" s="58" t="s">
        <v>134</v>
      </c>
      <c r="V22" s="58" t="s">
        <v>134</v>
      </c>
      <c r="W22" s="58" t="s">
        <v>134</v>
      </c>
      <c r="X22" s="58" t="s">
        <v>134</v>
      </c>
      <c r="Y22" s="58" t="s">
        <v>134</v>
      </c>
      <c r="Z22" s="58" t="s">
        <v>134</v>
      </c>
      <c r="AA22" s="58" t="s">
        <v>134</v>
      </c>
      <c r="AB22" s="58" t="s">
        <v>134</v>
      </c>
      <c r="AC22" s="58" t="s">
        <v>134</v>
      </c>
      <c r="AD22" s="58" t="s">
        <v>134</v>
      </c>
      <c r="AE22" s="58" t="s">
        <v>134</v>
      </c>
      <c r="AF22" s="58" t="s">
        <v>134</v>
      </c>
      <c r="AG22" s="58" t="s">
        <v>134</v>
      </c>
      <c r="AH22" s="58" t="s">
        <v>134</v>
      </c>
      <c r="AI22" s="58" t="s">
        <v>134</v>
      </c>
      <c r="AJ22" s="58">
        <v>0.12</v>
      </c>
      <c r="AK22" s="58" t="s">
        <v>134</v>
      </c>
      <c r="AL22" s="58" t="s">
        <v>134</v>
      </c>
      <c r="AM22" s="58" t="s">
        <v>134</v>
      </c>
      <c r="AN22" s="58">
        <v>0.0</v>
      </c>
      <c r="AO22" s="58" t="s">
        <v>134</v>
      </c>
      <c r="AP22" s="58" t="s">
        <v>134</v>
      </c>
      <c r="AQ22" s="58" t="s">
        <v>134</v>
      </c>
      <c r="AR22" s="58" t="s">
        <v>134</v>
      </c>
      <c r="AS22" s="58" t="s">
        <v>134</v>
      </c>
      <c r="AT22" s="58" t="s">
        <v>134</v>
      </c>
      <c r="AU22" s="58" t="s">
        <v>134</v>
      </c>
      <c r="AV22" s="58" t="s">
        <v>134</v>
      </c>
      <c r="AW22" s="58" t="s">
        <v>134</v>
      </c>
      <c r="AX22" s="58" t="s">
        <v>134</v>
      </c>
      <c r="AY22" s="58" t="s">
        <v>134</v>
      </c>
      <c r="AZ22" s="58" t="s">
        <v>134</v>
      </c>
      <c r="BA22" s="58" t="s">
        <v>134</v>
      </c>
      <c r="BB22" s="58" t="s">
        <v>134</v>
      </c>
      <c r="BC22" s="58" t="s">
        <v>134</v>
      </c>
      <c r="BD22" s="58" t="s">
        <v>134</v>
      </c>
      <c r="BE22" s="58" t="s">
        <v>134</v>
      </c>
      <c r="BF22" s="58" t="s">
        <v>134</v>
      </c>
      <c r="BG22" s="58" t="s">
        <v>134</v>
      </c>
      <c r="BH22" s="58" t="s">
        <v>134</v>
      </c>
      <c r="BI22" s="58" t="s">
        <v>134</v>
      </c>
      <c r="BJ22" s="58" t="s">
        <v>134</v>
      </c>
      <c r="BK22" s="58" t="s">
        <v>134</v>
      </c>
      <c r="BL22" s="58" t="s">
        <v>134</v>
      </c>
      <c r="BM22" s="58" t="s">
        <v>134</v>
      </c>
      <c r="BN22" s="58" t="s">
        <v>134</v>
      </c>
      <c r="BO22" s="58" t="s">
        <v>134</v>
      </c>
      <c r="BP22" s="58" t="s">
        <v>134</v>
      </c>
      <c r="BQ22" s="58" t="s">
        <v>134</v>
      </c>
      <c r="BR22" s="58" t="s">
        <v>134</v>
      </c>
      <c r="BS22" s="58" t="s">
        <v>134</v>
      </c>
      <c r="BT22" s="58" t="s">
        <v>134</v>
      </c>
      <c r="BU22" s="58" t="s">
        <v>134</v>
      </c>
      <c r="BV22" s="58" t="s">
        <v>134</v>
      </c>
      <c r="BW22" s="58" t="s">
        <v>134</v>
      </c>
      <c r="BX22" s="58" t="s">
        <v>134</v>
      </c>
      <c r="BY22" s="58" t="s">
        <v>134</v>
      </c>
      <c r="BZ22" s="58" t="s">
        <v>134</v>
      </c>
      <c r="CA22" s="58" t="s">
        <v>134</v>
      </c>
      <c r="CB22" s="58" t="s">
        <v>134</v>
      </c>
      <c r="CC22" s="58" t="s">
        <v>134</v>
      </c>
      <c r="CD22" s="58" t="s">
        <v>134</v>
      </c>
      <c r="CE22" s="58" t="s">
        <v>134</v>
      </c>
      <c r="CF22" s="58" t="s">
        <v>134</v>
      </c>
      <c r="CG22" s="58" t="s">
        <v>134</v>
      </c>
      <c r="CH22" s="58" t="s">
        <v>134</v>
      </c>
      <c r="CI22" s="58" t="s">
        <v>134</v>
      </c>
      <c r="CJ22" s="58" t="s">
        <v>134</v>
      </c>
      <c r="CK22" s="58" t="s">
        <v>134</v>
      </c>
      <c r="CL22" s="58" t="s">
        <v>134</v>
      </c>
      <c r="CM22" s="58" t="s">
        <v>134</v>
      </c>
      <c r="CN22" s="58" t="s">
        <v>134</v>
      </c>
      <c r="CO22" s="58" t="s">
        <v>134</v>
      </c>
      <c r="CP22" s="58" t="s">
        <v>134</v>
      </c>
      <c r="CQ22" s="58" t="s">
        <v>134</v>
      </c>
      <c r="CR22" s="58" t="s">
        <v>134</v>
      </c>
      <c r="CS22" s="58" t="s">
        <v>134</v>
      </c>
      <c r="CT22" s="58" t="s">
        <v>134</v>
      </c>
      <c r="CU22" s="58" t="s">
        <v>134</v>
      </c>
      <c r="CV22" s="58" t="s">
        <v>134</v>
      </c>
      <c r="CW22" s="58" t="s">
        <v>134</v>
      </c>
      <c r="CX22" s="58" t="s">
        <v>134</v>
      </c>
      <c r="CY22" s="58" t="s">
        <v>134</v>
      </c>
      <c r="CZ22" s="58" t="s">
        <v>134</v>
      </c>
      <c r="DA22" s="58" t="s">
        <v>134</v>
      </c>
      <c r="DB22" s="58" t="s">
        <v>134</v>
      </c>
      <c r="DC22" s="58" t="s">
        <v>134</v>
      </c>
      <c r="DD22" s="58" t="s">
        <v>134</v>
      </c>
      <c r="DE22" s="58" t="s">
        <v>134</v>
      </c>
      <c r="DF22" s="58" t="s">
        <v>134</v>
      </c>
      <c r="DG22" s="58" t="s">
        <v>134</v>
      </c>
      <c r="DH22" s="58" t="s">
        <v>134</v>
      </c>
      <c r="DI22" s="58" t="s">
        <v>134</v>
      </c>
      <c r="DJ22" s="58" t="s">
        <v>134</v>
      </c>
      <c r="DK22" s="58" t="s">
        <v>134</v>
      </c>
      <c r="DL22" s="58" t="s">
        <v>134</v>
      </c>
      <c r="DM22" s="58" t="s">
        <v>134</v>
      </c>
      <c r="DN22" s="58" t="s">
        <v>134</v>
      </c>
      <c r="DO22" s="58" t="s">
        <v>134</v>
      </c>
      <c r="DP22" s="58" t="s">
        <v>134</v>
      </c>
      <c r="DQ22" s="58" t="s">
        <v>134</v>
      </c>
      <c r="DR22" s="58" t="s">
        <v>134</v>
      </c>
      <c r="DS22" s="58" t="s">
        <v>134</v>
      </c>
      <c r="DT22" s="58" t="s">
        <v>134</v>
      </c>
      <c r="DU22" s="58" t="s">
        <v>134</v>
      </c>
      <c r="DV22" s="58" t="s">
        <v>134</v>
      </c>
      <c r="DW22" s="58" t="s">
        <v>134</v>
      </c>
      <c r="DX22" s="58" t="s">
        <v>134</v>
      </c>
      <c r="DY22" s="58" t="s">
        <v>134</v>
      </c>
      <c r="DZ22" s="58" t="s">
        <v>134</v>
      </c>
      <c r="EA22" s="58" t="s">
        <v>134</v>
      </c>
      <c r="EB22" s="58" t="s">
        <v>134</v>
      </c>
      <c r="EC22" s="58" t="s">
        <v>134</v>
      </c>
      <c r="ED22" s="58" t="s">
        <v>134</v>
      </c>
      <c r="EE22" s="58" t="s">
        <v>134</v>
      </c>
      <c r="EF22" s="58" t="s">
        <v>134</v>
      </c>
      <c r="EG22" s="58" t="s">
        <v>134</v>
      </c>
      <c r="EH22" s="58" t="s">
        <v>134</v>
      </c>
      <c r="EI22" s="58" t="s">
        <v>134</v>
      </c>
      <c r="EJ22" s="58" t="s">
        <v>134</v>
      </c>
      <c r="EK22" s="58" t="s">
        <v>134</v>
      </c>
      <c r="EL22" s="58" t="s">
        <v>134</v>
      </c>
      <c r="EM22" s="58" t="s">
        <v>134</v>
      </c>
      <c r="EN22" s="58" t="s">
        <v>134</v>
      </c>
      <c r="EO22" s="58">
        <v>0.0</v>
      </c>
      <c r="EP22" s="58">
        <v>0.0</v>
      </c>
      <c r="EQ22" s="58">
        <v>0.0</v>
      </c>
      <c r="ER22" s="58" t="s">
        <v>134</v>
      </c>
      <c r="ES22" s="58" t="s">
        <v>134</v>
      </c>
      <c r="ET22" s="58" t="s">
        <v>134</v>
      </c>
    </row>
    <row r="23">
      <c r="A23" s="58" t="s">
        <v>79</v>
      </c>
      <c r="B23" s="58" t="s">
        <v>134</v>
      </c>
      <c r="C23" s="58" t="s">
        <v>134</v>
      </c>
      <c r="D23" s="58" t="s">
        <v>134</v>
      </c>
      <c r="E23" s="58" t="s">
        <v>134</v>
      </c>
      <c r="F23" s="58" t="s">
        <v>134</v>
      </c>
      <c r="G23" s="58" t="s">
        <v>134</v>
      </c>
      <c r="H23" s="58" t="s">
        <v>134</v>
      </c>
      <c r="I23" s="58">
        <v>0.0716</v>
      </c>
      <c r="J23" s="58" t="s">
        <v>134</v>
      </c>
      <c r="K23" s="58">
        <v>0.0</v>
      </c>
      <c r="L23" s="58">
        <v>0.0</v>
      </c>
      <c r="M23" s="58" t="s">
        <v>134</v>
      </c>
      <c r="N23" s="58" t="s">
        <v>134</v>
      </c>
      <c r="O23" s="58" t="s">
        <v>134</v>
      </c>
      <c r="P23" s="58" t="s">
        <v>134</v>
      </c>
      <c r="Q23" s="58" t="s">
        <v>134</v>
      </c>
      <c r="R23" s="58" t="s">
        <v>134</v>
      </c>
      <c r="S23" s="58" t="s">
        <v>134</v>
      </c>
      <c r="T23" s="58" t="s">
        <v>134</v>
      </c>
      <c r="U23" s="58" t="s">
        <v>134</v>
      </c>
      <c r="V23" s="58" t="s">
        <v>134</v>
      </c>
      <c r="W23" s="58" t="s">
        <v>134</v>
      </c>
      <c r="X23" s="58" t="s">
        <v>134</v>
      </c>
      <c r="Y23" s="58" t="s">
        <v>134</v>
      </c>
      <c r="Z23" s="58" t="s">
        <v>134</v>
      </c>
      <c r="AA23" s="58" t="s">
        <v>134</v>
      </c>
      <c r="AB23" s="58" t="s">
        <v>134</v>
      </c>
      <c r="AC23" s="58" t="s">
        <v>134</v>
      </c>
      <c r="AD23" s="58">
        <v>0.24966</v>
      </c>
      <c r="AE23" s="58" t="s">
        <v>134</v>
      </c>
      <c r="AF23" s="58" t="s">
        <v>134</v>
      </c>
      <c r="AG23" s="58" t="s">
        <v>134</v>
      </c>
      <c r="AH23" s="58" t="s">
        <v>134</v>
      </c>
      <c r="AI23" s="58" t="s">
        <v>134</v>
      </c>
      <c r="AJ23" s="58" t="s">
        <v>134</v>
      </c>
      <c r="AK23" s="58" t="s">
        <v>134</v>
      </c>
      <c r="AL23" s="58" t="s">
        <v>134</v>
      </c>
      <c r="AM23" s="58" t="s">
        <v>134</v>
      </c>
      <c r="AN23" s="58">
        <v>0.0</v>
      </c>
      <c r="AO23" s="58" t="s">
        <v>134</v>
      </c>
      <c r="AP23" s="58" t="s">
        <v>134</v>
      </c>
      <c r="AQ23" s="58" t="s">
        <v>134</v>
      </c>
      <c r="AR23" s="58" t="s">
        <v>134</v>
      </c>
      <c r="AS23" s="58" t="s">
        <v>134</v>
      </c>
      <c r="AT23" s="58" t="s">
        <v>134</v>
      </c>
      <c r="AU23" s="58" t="s">
        <v>134</v>
      </c>
      <c r="AV23" s="58" t="s">
        <v>134</v>
      </c>
      <c r="AW23" s="58" t="s">
        <v>134</v>
      </c>
      <c r="AX23" s="58" t="s">
        <v>134</v>
      </c>
      <c r="AY23" s="58" t="s">
        <v>134</v>
      </c>
      <c r="AZ23" s="58" t="s">
        <v>134</v>
      </c>
      <c r="BA23" s="58" t="s">
        <v>134</v>
      </c>
      <c r="BB23" s="58" t="s">
        <v>134</v>
      </c>
      <c r="BC23" s="58" t="s">
        <v>134</v>
      </c>
      <c r="BD23" s="58" t="s">
        <v>134</v>
      </c>
      <c r="BE23" s="58" t="s">
        <v>134</v>
      </c>
      <c r="BF23" s="58" t="s">
        <v>134</v>
      </c>
      <c r="BG23" s="58">
        <v>0.4801</v>
      </c>
      <c r="BH23" s="58" t="s">
        <v>134</v>
      </c>
      <c r="BI23" s="58" t="s">
        <v>134</v>
      </c>
      <c r="BJ23" s="58" t="s">
        <v>134</v>
      </c>
      <c r="BK23" s="58" t="s">
        <v>134</v>
      </c>
      <c r="BL23" s="58" t="s">
        <v>134</v>
      </c>
      <c r="BM23" s="58" t="s">
        <v>134</v>
      </c>
      <c r="BN23" s="58" t="s">
        <v>134</v>
      </c>
      <c r="BO23" s="58" t="s">
        <v>134</v>
      </c>
      <c r="BP23" s="58" t="s">
        <v>134</v>
      </c>
      <c r="BQ23" s="58" t="s">
        <v>134</v>
      </c>
      <c r="BR23" s="58" t="s">
        <v>134</v>
      </c>
      <c r="BS23" s="58" t="s">
        <v>134</v>
      </c>
      <c r="BT23" s="58" t="s">
        <v>134</v>
      </c>
      <c r="BU23" s="58" t="s">
        <v>134</v>
      </c>
      <c r="BV23" s="58" t="s">
        <v>134</v>
      </c>
      <c r="BW23" s="58" t="s">
        <v>134</v>
      </c>
      <c r="BX23" s="58" t="s">
        <v>134</v>
      </c>
      <c r="BY23" s="58" t="s">
        <v>134</v>
      </c>
      <c r="BZ23" s="58" t="s">
        <v>134</v>
      </c>
      <c r="CA23" s="58" t="s">
        <v>134</v>
      </c>
      <c r="CB23" s="58" t="s">
        <v>134</v>
      </c>
      <c r="CC23" s="58" t="s">
        <v>134</v>
      </c>
      <c r="CD23" s="58" t="s">
        <v>134</v>
      </c>
      <c r="CE23" s="58" t="s">
        <v>134</v>
      </c>
      <c r="CF23" s="58" t="s">
        <v>134</v>
      </c>
      <c r="CG23" s="58" t="s">
        <v>134</v>
      </c>
      <c r="CH23" s="58" t="s">
        <v>134</v>
      </c>
      <c r="CI23" s="58" t="s">
        <v>134</v>
      </c>
      <c r="CJ23" s="58" t="s">
        <v>134</v>
      </c>
      <c r="CK23" s="58" t="s">
        <v>134</v>
      </c>
      <c r="CL23" s="58" t="s">
        <v>134</v>
      </c>
      <c r="CM23" s="58" t="s">
        <v>134</v>
      </c>
      <c r="CN23" s="58" t="s">
        <v>134</v>
      </c>
      <c r="CO23" s="58" t="s">
        <v>134</v>
      </c>
      <c r="CP23" s="58" t="s">
        <v>134</v>
      </c>
      <c r="CQ23" s="58" t="s">
        <v>134</v>
      </c>
      <c r="CR23" s="58" t="s">
        <v>134</v>
      </c>
      <c r="CS23" s="58" t="s">
        <v>134</v>
      </c>
      <c r="CT23" s="58" t="s">
        <v>134</v>
      </c>
      <c r="CU23" s="58" t="s">
        <v>134</v>
      </c>
      <c r="CV23" s="58" t="s">
        <v>134</v>
      </c>
      <c r="CW23" s="58" t="s">
        <v>134</v>
      </c>
      <c r="CX23" s="58" t="s">
        <v>134</v>
      </c>
      <c r="CY23" s="58" t="s">
        <v>134</v>
      </c>
      <c r="CZ23" s="58" t="s">
        <v>134</v>
      </c>
      <c r="DA23" s="58" t="s">
        <v>134</v>
      </c>
      <c r="DB23" s="58" t="s">
        <v>134</v>
      </c>
      <c r="DC23" s="58" t="s">
        <v>134</v>
      </c>
      <c r="DD23" s="58" t="s">
        <v>134</v>
      </c>
      <c r="DE23" s="58" t="s">
        <v>134</v>
      </c>
      <c r="DF23" s="58" t="s">
        <v>134</v>
      </c>
      <c r="DG23" s="58" t="s">
        <v>134</v>
      </c>
      <c r="DH23" s="58" t="s">
        <v>134</v>
      </c>
      <c r="DI23" s="58" t="s">
        <v>134</v>
      </c>
      <c r="DJ23" s="58" t="s">
        <v>134</v>
      </c>
      <c r="DK23" s="58" t="s">
        <v>134</v>
      </c>
      <c r="DL23" s="58" t="s">
        <v>134</v>
      </c>
      <c r="DM23" s="58" t="s">
        <v>134</v>
      </c>
      <c r="DN23" s="58" t="s">
        <v>134</v>
      </c>
      <c r="DO23" s="58" t="s">
        <v>134</v>
      </c>
      <c r="DP23" s="58" t="s">
        <v>134</v>
      </c>
      <c r="DQ23" s="58" t="s">
        <v>134</v>
      </c>
      <c r="DR23" s="58" t="s">
        <v>134</v>
      </c>
      <c r="DS23" s="58" t="s">
        <v>134</v>
      </c>
      <c r="DT23" s="58" t="s">
        <v>134</v>
      </c>
      <c r="DU23" s="58" t="s">
        <v>134</v>
      </c>
      <c r="DV23" s="58" t="s">
        <v>134</v>
      </c>
      <c r="DW23" s="58" t="s">
        <v>134</v>
      </c>
      <c r="DX23" s="58" t="s">
        <v>134</v>
      </c>
      <c r="DY23" s="58" t="s">
        <v>134</v>
      </c>
      <c r="DZ23" s="58" t="s">
        <v>134</v>
      </c>
      <c r="EA23" s="58" t="s">
        <v>134</v>
      </c>
      <c r="EB23" s="58" t="s">
        <v>134</v>
      </c>
      <c r="EC23" s="58" t="s">
        <v>134</v>
      </c>
      <c r="ED23" s="58" t="s">
        <v>134</v>
      </c>
      <c r="EE23" s="58" t="s">
        <v>134</v>
      </c>
      <c r="EF23" s="58" t="s">
        <v>134</v>
      </c>
      <c r="EG23" s="58" t="s">
        <v>134</v>
      </c>
      <c r="EH23" s="58" t="s">
        <v>134</v>
      </c>
      <c r="EI23" s="58" t="s">
        <v>134</v>
      </c>
      <c r="EJ23" s="58" t="s">
        <v>134</v>
      </c>
      <c r="EK23" s="58" t="s">
        <v>134</v>
      </c>
      <c r="EL23" s="58" t="s">
        <v>134</v>
      </c>
      <c r="EM23" s="58" t="s">
        <v>134</v>
      </c>
      <c r="EN23" s="58" t="s">
        <v>134</v>
      </c>
      <c r="EO23" s="58">
        <v>0.0</v>
      </c>
      <c r="EP23" s="58">
        <v>0.0</v>
      </c>
      <c r="EQ23" s="58">
        <v>0.0</v>
      </c>
      <c r="ER23" s="58" t="s">
        <v>134</v>
      </c>
      <c r="ES23" s="58" t="s">
        <v>134</v>
      </c>
      <c r="ET23" s="58" t="s">
        <v>134</v>
      </c>
    </row>
    <row r="24">
      <c r="A24" s="58" t="s">
        <v>235</v>
      </c>
      <c r="B24" s="58" t="s">
        <v>134</v>
      </c>
      <c r="C24" s="58" t="s">
        <v>134</v>
      </c>
      <c r="D24" s="58" t="s">
        <v>134</v>
      </c>
      <c r="E24" s="58" t="s">
        <v>134</v>
      </c>
      <c r="F24" s="58" t="s">
        <v>134</v>
      </c>
      <c r="G24" s="58" t="s">
        <v>134</v>
      </c>
      <c r="H24" s="58" t="s">
        <v>134</v>
      </c>
      <c r="I24" s="58" t="s">
        <v>134</v>
      </c>
      <c r="J24" s="58" t="s">
        <v>134</v>
      </c>
      <c r="K24" s="58">
        <v>0.0</v>
      </c>
      <c r="L24" s="58">
        <v>0.0</v>
      </c>
      <c r="M24" s="58" t="s">
        <v>134</v>
      </c>
      <c r="N24" s="58" t="s">
        <v>134</v>
      </c>
      <c r="O24" s="58" t="s">
        <v>134</v>
      </c>
      <c r="P24" s="58" t="s">
        <v>134</v>
      </c>
      <c r="Q24" s="58" t="s">
        <v>134</v>
      </c>
      <c r="R24" s="58" t="s">
        <v>134</v>
      </c>
      <c r="S24" s="58" t="s">
        <v>134</v>
      </c>
      <c r="T24" s="58" t="s">
        <v>134</v>
      </c>
      <c r="U24" s="58" t="s">
        <v>134</v>
      </c>
      <c r="V24" s="58" t="s">
        <v>134</v>
      </c>
      <c r="W24" s="58" t="s">
        <v>134</v>
      </c>
      <c r="X24" s="58" t="s">
        <v>134</v>
      </c>
      <c r="Y24" s="58" t="s">
        <v>134</v>
      </c>
      <c r="Z24" s="58" t="s">
        <v>134</v>
      </c>
      <c r="AA24" s="58" t="s">
        <v>134</v>
      </c>
      <c r="AB24" s="58" t="s">
        <v>134</v>
      </c>
      <c r="AC24" s="58" t="s">
        <v>134</v>
      </c>
      <c r="AD24" s="58" t="s">
        <v>134</v>
      </c>
      <c r="AE24" s="58" t="s">
        <v>134</v>
      </c>
      <c r="AF24" s="58" t="s">
        <v>134</v>
      </c>
      <c r="AG24" s="58" t="s">
        <v>134</v>
      </c>
      <c r="AH24" s="58" t="s">
        <v>134</v>
      </c>
      <c r="AI24" s="58" t="s">
        <v>134</v>
      </c>
      <c r="AJ24" s="58" t="s">
        <v>134</v>
      </c>
      <c r="AK24" s="58" t="s">
        <v>134</v>
      </c>
      <c r="AL24" s="58" t="s">
        <v>134</v>
      </c>
      <c r="AM24" s="58" t="s">
        <v>134</v>
      </c>
      <c r="AN24" s="58">
        <v>0.0</v>
      </c>
      <c r="AO24" s="58" t="s">
        <v>134</v>
      </c>
      <c r="AP24" s="58" t="s">
        <v>134</v>
      </c>
      <c r="AQ24" s="58" t="s">
        <v>134</v>
      </c>
      <c r="AR24" s="58" t="s">
        <v>134</v>
      </c>
      <c r="AS24" s="58" t="s">
        <v>134</v>
      </c>
      <c r="AT24" s="58" t="s">
        <v>134</v>
      </c>
      <c r="AU24" s="58" t="s">
        <v>134</v>
      </c>
      <c r="AV24" s="58" t="s">
        <v>134</v>
      </c>
      <c r="AW24" s="58" t="s">
        <v>134</v>
      </c>
      <c r="AX24" s="58" t="s">
        <v>134</v>
      </c>
      <c r="AY24" s="58" t="s">
        <v>134</v>
      </c>
      <c r="AZ24" s="58" t="s">
        <v>134</v>
      </c>
      <c r="BA24" s="58" t="s">
        <v>134</v>
      </c>
      <c r="BB24" s="58" t="s">
        <v>134</v>
      </c>
      <c r="BC24" s="58" t="s">
        <v>134</v>
      </c>
      <c r="BD24" s="58" t="s">
        <v>134</v>
      </c>
      <c r="BE24" s="58" t="s">
        <v>134</v>
      </c>
      <c r="BF24" s="58" t="s">
        <v>134</v>
      </c>
      <c r="BG24" s="58" t="s">
        <v>134</v>
      </c>
      <c r="BH24" s="58" t="s">
        <v>134</v>
      </c>
      <c r="BI24" s="58" t="s">
        <v>134</v>
      </c>
      <c r="BJ24" s="58" t="s">
        <v>134</v>
      </c>
      <c r="BK24" s="58" t="s">
        <v>134</v>
      </c>
      <c r="BL24" s="58" t="s">
        <v>134</v>
      </c>
      <c r="BM24" s="58" t="s">
        <v>134</v>
      </c>
      <c r="BN24" s="58" t="s">
        <v>134</v>
      </c>
      <c r="BO24" s="58" t="s">
        <v>134</v>
      </c>
      <c r="BP24" s="58" t="s">
        <v>134</v>
      </c>
      <c r="BQ24" s="58" t="s">
        <v>134</v>
      </c>
      <c r="BR24" s="58" t="s">
        <v>134</v>
      </c>
      <c r="BS24" s="58" t="s">
        <v>134</v>
      </c>
      <c r="BT24" s="58" t="s">
        <v>134</v>
      </c>
      <c r="BU24" s="58" t="s">
        <v>134</v>
      </c>
      <c r="BV24" s="58" t="s">
        <v>134</v>
      </c>
      <c r="BW24" s="58" t="s">
        <v>134</v>
      </c>
      <c r="BX24" s="58" t="s">
        <v>134</v>
      </c>
      <c r="BY24" s="58" t="s">
        <v>134</v>
      </c>
      <c r="BZ24" s="58" t="s">
        <v>134</v>
      </c>
      <c r="CA24" s="58" t="s">
        <v>134</v>
      </c>
      <c r="CB24" s="58" t="s">
        <v>134</v>
      </c>
      <c r="CC24" s="58" t="s">
        <v>134</v>
      </c>
      <c r="CD24" s="58" t="s">
        <v>134</v>
      </c>
      <c r="CE24" s="58" t="s">
        <v>134</v>
      </c>
      <c r="CF24" s="58" t="s">
        <v>134</v>
      </c>
      <c r="CG24" s="58" t="s">
        <v>134</v>
      </c>
      <c r="CH24" s="58" t="s">
        <v>134</v>
      </c>
      <c r="CI24" s="58" t="s">
        <v>134</v>
      </c>
      <c r="CJ24" s="58" t="s">
        <v>134</v>
      </c>
      <c r="CK24" s="58" t="s">
        <v>134</v>
      </c>
      <c r="CL24" s="58" t="s">
        <v>134</v>
      </c>
      <c r="CM24" s="58" t="s">
        <v>134</v>
      </c>
      <c r="CN24" s="58" t="s">
        <v>134</v>
      </c>
      <c r="CO24" s="58" t="s">
        <v>134</v>
      </c>
      <c r="CP24" s="58" t="s">
        <v>134</v>
      </c>
      <c r="CQ24" s="58" t="s">
        <v>134</v>
      </c>
      <c r="CR24" s="58" t="s">
        <v>134</v>
      </c>
      <c r="CS24" s="58" t="s">
        <v>134</v>
      </c>
      <c r="CT24" s="58" t="s">
        <v>134</v>
      </c>
      <c r="CU24" s="58" t="s">
        <v>134</v>
      </c>
      <c r="CV24" s="58" t="s">
        <v>134</v>
      </c>
      <c r="CW24" s="58" t="s">
        <v>134</v>
      </c>
      <c r="CX24" s="58" t="s">
        <v>134</v>
      </c>
      <c r="CY24" s="58" t="s">
        <v>134</v>
      </c>
      <c r="CZ24" s="58" t="s">
        <v>134</v>
      </c>
      <c r="DA24" s="58" t="s">
        <v>134</v>
      </c>
      <c r="DB24" s="58" t="s">
        <v>134</v>
      </c>
      <c r="DC24" s="58" t="s">
        <v>134</v>
      </c>
      <c r="DD24" s="58" t="s">
        <v>134</v>
      </c>
      <c r="DE24" s="58" t="s">
        <v>134</v>
      </c>
      <c r="DF24" s="58" t="s">
        <v>134</v>
      </c>
      <c r="DG24" s="58" t="s">
        <v>134</v>
      </c>
      <c r="DH24" s="58" t="s">
        <v>134</v>
      </c>
      <c r="DI24" s="58" t="s">
        <v>134</v>
      </c>
      <c r="DJ24" s="58" t="s">
        <v>134</v>
      </c>
      <c r="DK24" s="58" t="s">
        <v>134</v>
      </c>
      <c r="DL24" s="58" t="s">
        <v>134</v>
      </c>
      <c r="DM24" s="58" t="s">
        <v>134</v>
      </c>
      <c r="DN24" s="58" t="s">
        <v>134</v>
      </c>
      <c r="DO24" s="58" t="s">
        <v>134</v>
      </c>
      <c r="DP24" s="58" t="s">
        <v>134</v>
      </c>
      <c r="DQ24" s="58" t="s">
        <v>134</v>
      </c>
      <c r="DR24" s="58" t="s">
        <v>134</v>
      </c>
      <c r="DS24" s="58" t="s">
        <v>134</v>
      </c>
      <c r="DT24" s="58" t="s">
        <v>134</v>
      </c>
      <c r="DU24" s="58" t="s">
        <v>134</v>
      </c>
      <c r="DV24" s="58" t="s">
        <v>134</v>
      </c>
      <c r="DW24" s="58" t="s">
        <v>134</v>
      </c>
      <c r="DX24" s="58" t="s">
        <v>134</v>
      </c>
      <c r="DY24" s="58" t="s">
        <v>134</v>
      </c>
      <c r="DZ24" s="58" t="s">
        <v>134</v>
      </c>
      <c r="EA24" s="58" t="s">
        <v>134</v>
      </c>
      <c r="EB24" s="58" t="s">
        <v>134</v>
      </c>
      <c r="EC24" s="58" t="s">
        <v>134</v>
      </c>
      <c r="ED24" s="58" t="s">
        <v>134</v>
      </c>
      <c r="EE24" s="58" t="s">
        <v>134</v>
      </c>
      <c r="EF24" s="58" t="s">
        <v>134</v>
      </c>
      <c r="EG24" s="58" t="s">
        <v>134</v>
      </c>
      <c r="EH24" s="58" t="s">
        <v>134</v>
      </c>
      <c r="EI24" s="58" t="s">
        <v>134</v>
      </c>
      <c r="EJ24" s="58" t="s">
        <v>134</v>
      </c>
      <c r="EK24" s="58" t="s">
        <v>134</v>
      </c>
      <c r="EL24" s="58" t="s">
        <v>134</v>
      </c>
      <c r="EM24" s="58" t="s">
        <v>134</v>
      </c>
      <c r="EN24" s="58" t="s">
        <v>134</v>
      </c>
      <c r="EO24" s="58">
        <v>0.0</v>
      </c>
      <c r="EP24" s="58">
        <v>0.0</v>
      </c>
      <c r="EQ24" s="58">
        <v>0.0</v>
      </c>
      <c r="ER24" s="58" t="s">
        <v>134</v>
      </c>
      <c r="ES24" s="58" t="s">
        <v>134</v>
      </c>
      <c r="ET24" s="58" t="s">
        <v>134</v>
      </c>
    </row>
    <row r="25">
      <c r="A25" s="58" t="s">
        <v>113</v>
      </c>
      <c r="B25" s="58" t="s">
        <v>134</v>
      </c>
      <c r="C25" s="58" t="s">
        <v>134</v>
      </c>
      <c r="D25" s="58" t="s">
        <v>134</v>
      </c>
      <c r="E25" s="58" t="s">
        <v>134</v>
      </c>
      <c r="F25" s="58" t="s">
        <v>134</v>
      </c>
      <c r="G25" s="58" t="s">
        <v>134</v>
      </c>
      <c r="H25" s="58" t="s">
        <v>134</v>
      </c>
      <c r="I25" s="58" t="s">
        <v>134</v>
      </c>
      <c r="J25" s="58" t="s">
        <v>134</v>
      </c>
      <c r="K25" s="58">
        <v>0.0</v>
      </c>
      <c r="L25" s="58">
        <v>0.0</v>
      </c>
      <c r="M25" s="58" t="s">
        <v>134</v>
      </c>
      <c r="N25" s="58" t="s">
        <v>134</v>
      </c>
      <c r="O25" s="58" t="s">
        <v>134</v>
      </c>
      <c r="P25" s="58" t="s">
        <v>134</v>
      </c>
      <c r="Q25" s="58" t="s">
        <v>134</v>
      </c>
      <c r="R25" s="58" t="s">
        <v>134</v>
      </c>
      <c r="S25" s="58" t="s">
        <v>134</v>
      </c>
      <c r="T25" s="58" t="s">
        <v>134</v>
      </c>
      <c r="U25" s="58" t="s">
        <v>134</v>
      </c>
      <c r="V25" s="58" t="s">
        <v>134</v>
      </c>
      <c r="W25" s="58" t="s">
        <v>134</v>
      </c>
      <c r="X25" s="58" t="s">
        <v>134</v>
      </c>
      <c r="Y25" s="58" t="s">
        <v>134</v>
      </c>
      <c r="Z25" s="58" t="s">
        <v>134</v>
      </c>
      <c r="AA25" s="58" t="s">
        <v>134</v>
      </c>
      <c r="AB25" s="58" t="s">
        <v>134</v>
      </c>
      <c r="AC25" s="58" t="s">
        <v>134</v>
      </c>
      <c r="AD25" s="58" t="s">
        <v>134</v>
      </c>
      <c r="AE25" s="58" t="s">
        <v>134</v>
      </c>
      <c r="AF25" s="58" t="s">
        <v>134</v>
      </c>
      <c r="AG25" s="58" t="s">
        <v>134</v>
      </c>
      <c r="AH25" s="58" t="s">
        <v>134</v>
      </c>
      <c r="AI25" s="58" t="s">
        <v>134</v>
      </c>
      <c r="AJ25" s="58" t="s">
        <v>134</v>
      </c>
      <c r="AK25" s="58" t="s">
        <v>134</v>
      </c>
      <c r="AL25" s="58" t="s">
        <v>134</v>
      </c>
      <c r="AM25" s="58" t="s">
        <v>134</v>
      </c>
      <c r="AN25" s="58">
        <v>0.0</v>
      </c>
      <c r="AO25" s="58" t="s">
        <v>134</v>
      </c>
      <c r="AP25" s="58" t="s">
        <v>134</v>
      </c>
      <c r="AQ25" s="58" t="s">
        <v>134</v>
      </c>
      <c r="AR25" s="58" t="s">
        <v>134</v>
      </c>
      <c r="AS25" s="58" t="s">
        <v>134</v>
      </c>
      <c r="AT25" s="58" t="s">
        <v>134</v>
      </c>
      <c r="AU25" s="58" t="s">
        <v>134</v>
      </c>
      <c r="AV25" s="58" t="s">
        <v>134</v>
      </c>
      <c r="AW25" s="58" t="s">
        <v>134</v>
      </c>
      <c r="AX25" s="58" t="s">
        <v>134</v>
      </c>
      <c r="AY25" s="58" t="s">
        <v>134</v>
      </c>
      <c r="AZ25" s="58" t="s">
        <v>134</v>
      </c>
      <c r="BA25" s="58" t="s">
        <v>134</v>
      </c>
      <c r="BB25" s="58" t="s">
        <v>134</v>
      </c>
      <c r="BC25" s="58" t="s">
        <v>134</v>
      </c>
      <c r="BD25" s="58" t="s">
        <v>134</v>
      </c>
      <c r="BE25" s="58" t="s">
        <v>134</v>
      </c>
      <c r="BF25" s="58" t="s">
        <v>134</v>
      </c>
      <c r="BG25" s="58" t="s">
        <v>134</v>
      </c>
      <c r="BH25" s="58" t="s">
        <v>134</v>
      </c>
      <c r="BI25" s="58" t="s">
        <v>134</v>
      </c>
      <c r="BJ25" s="58" t="s">
        <v>134</v>
      </c>
      <c r="BK25" s="58" t="s">
        <v>134</v>
      </c>
      <c r="BL25" s="58" t="s">
        <v>134</v>
      </c>
      <c r="BM25" s="58" t="s">
        <v>134</v>
      </c>
      <c r="BN25" s="58" t="s">
        <v>134</v>
      </c>
      <c r="BO25" s="58" t="s">
        <v>134</v>
      </c>
      <c r="BP25" s="58" t="s">
        <v>134</v>
      </c>
      <c r="BQ25" s="58" t="s">
        <v>134</v>
      </c>
      <c r="BR25" s="58" t="s">
        <v>134</v>
      </c>
      <c r="BS25" s="58" t="s">
        <v>134</v>
      </c>
      <c r="BT25" s="58" t="s">
        <v>134</v>
      </c>
      <c r="BU25" s="58" t="s">
        <v>134</v>
      </c>
      <c r="BV25" s="58" t="s">
        <v>134</v>
      </c>
      <c r="BW25" s="58" t="s">
        <v>134</v>
      </c>
      <c r="BX25" s="58" t="s">
        <v>134</v>
      </c>
      <c r="BY25" s="58" t="s">
        <v>134</v>
      </c>
      <c r="BZ25" s="58" t="s">
        <v>134</v>
      </c>
      <c r="CA25" s="58" t="s">
        <v>134</v>
      </c>
      <c r="CB25" s="58" t="s">
        <v>134</v>
      </c>
      <c r="CC25" s="58" t="s">
        <v>134</v>
      </c>
      <c r="CD25" s="58" t="s">
        <v>134</v>
      </c>
      <c r="CE25" s="58" t="s">
        <v>134</v>
      </c>
      <c r="CF25" s="58" t="s">
        <v>134</v>
      </c>
      <c r="CG25" s="58" t="s">
        <v>134</v>
      </c>
      <c r="CH25" s="58" t="s">
        <v>134</v>
      </c>
      <c r="CI25" s="58" t="s">
        <v>134</v>
      </c>
      <c r="CJ25" s="58" t="s">
        <v>134</v>
      </c>
      <c r="CK25" s="58" t="s">
        <v>134</v>
      </c>
      <c r="CL25" s="58" t="s">
        <v>134</v>
      </c>
      <c r="CM25" s="58" t="s">
        <v>134</v>
      </c>
      <c r="CN25" s="58" t="s">
        <v>134</v>
      </c>
      <c r="CO25" s="58" t="s">
        <v>134</v>
      </c>
      <c r="CP25" s="58" t="s">
        <v>134</v>
      </c>
      <c r="CQ25" s="58" t="s">
        <v>134</v>
      </c>
      <c r="CR25" s="58" t="s">
        <v>134</v>
      </c>
      <c r="CS25" s="58" t="s">
        <v>134</v>
      </c>
      <c r="CT25" s="58" t="s">
        <v>134</v>
      </c>
      <c r="CU25" s="58" t="s">
        <v>134</v>
      </c>
      <c r="CV25" s="58" t="s">
        <v>134</v>
      </c>
      <c r="CW25" s="58" t="s">
        <v>134</v>
      </c>
      <c r="CX25" s="58" t="s">
        <v>134</v>
      </c>
      <c r="CY25" s="58" t="s">
        <v>134</v>
      </c>
      <c r="CZ25" s="58" t="s">
        <v>134</v>
      </c>
      <c r="DA25" s="58" t="s">
        <v>134</v>
      </c>
      <c r="DB25" s="58" t="s">
        <v>134</v>
      </c>
      <c r="DC25" s="58" t="s">
        <v>134</v>
      </c>
      <c r="DD25" s="58" t="s">
        <v>134</v>
      </c>
      <c r="DE25" s="58" t="s">
        <v>134</v>
      </c>
      <c r="DF25" s="58" t="s">
        <v>134</v>
      </c>
      <c r="DG25" s="58" t="s">
        <v>134</v>
      </c>
      <c r="DH25" s="58" t="s">
        <v>134</v>
      </c>
      <c r="DI25" s="58" t="s">
        <v>134</v>
      </c>
      <c r="DJ25" s="58" t="s">
        <v>134</v>
      </c>
      <c r="DK25" s="58" t="s">
        <v>134</v>
      </c>
      <c r="DL25" s="58" t="s">
        <v>134</v>
      </c>
      <c r="DM25" s="58" t="s">
        <v>134</v>
      </c>
      <c r="DN25" s="58" t="s">
        <v>134</v>
      </c>
      <c r="DO25" s="58" t="s">
        <v>134</v>
      </c>
      <c r="DP25" s="58" t="s">
        <v>134</v>
      </c>
      <c r="DQ25" s="58" t="s">
        <v>134</v>
      </c>
      <c r="DR25" s="58" t="s">
        <v>134</v>
      </c>
      <c r="DS25" s="58" t="s">
        <v>134</v>
      </c>
      <c r="DT25" s="58" t="s">
        <v>134</v>
      </c>
      <c r="DU25" s="58" t="s">
        <v>134</v>
      </c>
      <c r="DV25" s="58" t="s">
        <v>134</v>
      </c>
      <c r="DW25" s="58" t="s">
        <v>134</v>
      </c>
      <c r="DX25" s="58" t="s">
        <v>134</v>
      </c>
      <c r="DY25" s="58" t="s">
        <v>134</v>
      </c>
      <c r="DZ25" s="58" t="s">
        <v>134</v>
      </c>
      <c r="EA25" s="58" t="s">
        <v>134</v>
      </c>
      <c r="EB25" s="58" t="s">
        <v>134</v>
      </c>
      <c r="EC25" s="58" t="s">
        <v>134</v>
      </c>
      <c r="ED25" s="58" t="s">
        <v>134</v>
      </c>
      <c r="EE25" s="58" t="s">
        <v>134</v>
      </c>
      <c r="EF25" s="58" t="s">
        <v>134</v>
      </c>
      <c r="EG25" s="58" t="s">
        <v>134</v>
      </c>
      <c r="EH25" s="58" t="s">
        <v>134</v>
      </c>
      <c r="EI25" s="58" t="s">
        <v>134</v>
      </c>
      <c r="EJ25" s="58" t="s">
        <v>134</v>
      </c>
      <c r="EK25" s="58" t="s">
        <v>134</v>
      </c>
      <c r="EL25" s="58" t="s">
        <v>134</v>
      </c>
      <c r="EM25" s="58" t="s">
        <v>134</v>
      </c>
      <c r="EN25" s="58" t="s">
        <v>134</v>
      </c>
      <c r="EO25" s="58">
        <v>0.0</v>
      </c>
      <c r="EP25" s="58">
        <v>0.0</v>
      </c>
      <c r="EQ25" s="58">
        <v>0.0</v>
      </c>
      <c r="ER25" s="58" t="s">
        <v>134</v>
      </c>
      <c r="ES25" s="58" t="s">
        <v>134</v>
      </c>
      <c r="ET25" s="58" t="s">
        <v>134</v>
      </c>
    </row>
    <row r="26">
      <c r="A26" s="58" t="s">
        <v>253</v>
      </c>
      <c r="B26" s="58" t="s">
        <v>134</v>
      </c>
      <c r="C26" s="58" t="s">
        <v>134</v>
      </c>
      <c r="D26" s="58" t="s">
        <v>134</v>
      </c>
      <c r="E26" s="58" t="s">
        <v>134</v>
      </c>
      <c r="F26" s="58" t="s">
        <v>134</v>
      </c>
      <c r="G26" s="58" t="s">
        <v>134</v>
      </c>
      <c r="H26" s="58" t="s">
        <v>134</v>
      </c>
      <c r="I26" s="58" t="s">
        <v>134</v>
      </c>
      <c r="J26" s="58" t="s">
        <v>134</v>
      </c>
      <c r="K26" s="58">
        <v>0.0</v>
      </c>
      <c r="L26" s="58">
        <v>0.0</v>
      </c>
      <c r="M26" s="58" t="s">
        <v>134</v>
      </c>
      <c r="N26" s="58" t="s">
        <v>134</v>
      </c>
      <c r="O26" s="58" t="s">
        <v>134</v>
      </c>
      <c r="P26" s="58" t="s">
        <v>134</v>
      </c>
      <c r="Q26" s="58" t="s">
        <v>134</v>
      </c>
      <c r="R26" s="58" t="s">
        <v>134</v>
      </c>
      <c r="S26" s="58" t="s">
        <v>134</v>
      </c>
      <c r="T26" s="58" t="s">
        <v>134</v>
      </c>
      <c r="U26" s="58" t="s">
        <v>134</v>
      </c>
      <c r="V26" s="58" t="s">
        <v>134</v>
      </c>
      <c r="W26" s="58" t="s">
        <v>134</v>
      </c>
      <c r="X26" s="58" t="s">
        <v>134</v>
      </c>
      <c r="Y26" s="58" t="s">
        <v>134</v>
      </c>
      <c r="Z26" s="58" t="s">
        <v>134</v>
      </c>
      <c r="AA26" s="58" t="s">
        <v>134</v>
      </c>
      <c r="AB26" s="58" t="s">
        <v>134</v>
      </c>
      <c r="AC26" s="58" t="s">
        <v>134</v>
      </c>
      <c r="AD26" s="58" t="s">
        <v>134</v>
      </c>
      <c r="AE26" s="58" t="s">
        <v>134</v>
      </c>
      <c r="AF26" s="58" t="s">
        <v>134</v>
      </c>
      <c r="AG26" s="58" t="s">
        <v>134</v>
      </c>
      <c r="AH26" s="58" t="s">
        <v>134</v>
      </c>
      <c r="AI26" s="58" t="s">
        <v>134</v>
      </c>
      <c r="AJ26" s="58" t="s">
        <v>134</v>
      </c>
      <c r="AK26" s="58" t="s">
        <v>134</v>
      </c>
      <c r="AL26" s="58" t="s">
        <v>134</v>
      </c>
      <c r="AM26" s="58" t="s">
        <v>134</v>
      </c>
      <c r="AN26" s="58">
        <v>0.0</v>
      </c>
      <c r="AO26" s="58" t="s">
        <v>134</v>
      </c>
      <c r="AP26" s="58" t="s">
        <v>134</v>
      </c>
      <c r="AQ26" s="58" t="s">
        <v>134</v>
      </c>
      <c r="AR26" s="58" t="s">
        <v>134</v>
      </c>
      <c r="AS26" s="58" t="s">
        <v>134</v>
      </c>
      <c r="AT26" s="58" t="s">
        <v>134</v>
      </c>
      <c r="AU26" s="58" t="s">
        <v>134</v>
      </c>
      <c r="AV26" s="58" t="s">
        <v>134</v>
      </c>
      <c r="AW26" s="58" t="s">
        <v>134</v>
      </c>
      <c r="AX26" s="58" t="s">
        <v>134</v>
      </c>
      <c r="AY26" s="58" t="s">
        <v>134</v>
      </c>
      <c r="AZ26" s="58" t="s">
        <v>134</v>
      </c>
      <c r="BA26" s="58" t="s">
        <v>134</v>
      </c>
      <c r="BB26" s="58" t="s">
        <v>134</v>
      </c>
      <c r="BC26" s="58" t="s">
        <v>134</v>
      </c>
      <c r="BD26" s="58" t="s">
        <v>134</v>
      </c>
      <c r="BE26" s="58" t="s">
        <v>134</v>
      </c>
      <c r="BF26" s="58" t="s">
        <v>134</v>
      </c>
      <c r="BG26" s="58" t="s">
        <v>134</v>
      </c>
      <c r="BH26" s="58" t="s">
        <v>134</v>
      </c>
      <c r="BI26" s="58" t="s">
        <v>134</v>
      </c>
      <c r="BJ26" s="58" t="s">
        <v>134</v>
      </c>
      <c r="BK26" s="58" t="s">
        <v>134</v>
      </c>
      <c r="BL26" s="58" t="s">
        <v>134</v>
      </c>
      <c r="BM26" s="58" t="s">
        <v>134</v>
      </c>
      <c r="BN26" s="58" t="s">
        <v>134</v>
      </c>
      <c r="BO26" s="58" t="s">
        <v>134</v>
      </c>
      <c r="BP26" s="58" t="s">
        <v>134</v>
      </c>
      <c r="BQ26" s="58" t="s">
        <v>134</v>
      </c>
      <c r="BR26" s="58" t="s">
        <v>134</v>
      </c>
      <c r="BS26" s="58" t="s">
        <v>134</v>
      </c>
      <c r="BT26" s="58" t="s">
        <v>134</v>
      </c>
      <c r="BU26" s="58" t="s">
        <v>134</v>
      </c>
      <c r="BV26" s="58" t="s">
        <v>134</v>
      </c>
      <c r="BW26" s="58" t="s">
        <v>134</v>
      </c>
      <c r="BX26" s="58" t="s">
        <v>134</v>
      </c>
      <c r="BY26" s="58" t="s">
        <v>134</v>
      </c>
      <c r="BZ26" s="58" t="s">
        <v>134</v>
      </c>
      <c r="CA26" s="58" t="s">
        <v>134</v>
      </c>
      <c r="CB26" s="58" t="s">
        <v>134</v>
      </c>
      <c r="CC26" s="58" t="s">
        <v>134</v>
      </c>
      <c r="CD26" s="58" t="s">
        <v>134</v>
      </c>
      <c r="CE26" s="58" t="s">
        <v>134</v>
      </c>
      <c r="CF26" s="58" t="s">
        <v>134</v>
      </c>
      <c r="CG26" s="58" t="s">
        <v>134</v>
      </c>
      <c r="CH26" s="58" t="s">
        <v>134</v>
      </c>
      <c r="CI26" s="58" t="s">
        <v>134</v>
      </c>
      <c r="CJ26" s="58" t="s">
        <v>134</v>
      </c>
      <c r="CK26" s="58" t="s">
        <v>134</v>
      </c>
      <c r="CL26" s="58" t="s">
        <v>134</v>
      </c>
      <c r="CM26" s="58" t="s">
        <v>134</v>
      </c>
      <c r="CN26" s="58" t="s">
        <v>134</v>
      </c>
      <c r="CO26" s="58" t="s">
        <v>134</v>
      </c>
      <c r="CP26" s="58" t="s">
        <v>134</v>
      </c>
      <c r="CQ26" s="58" t="s">
        <v>134</v>
      </c>
      <c r="CR26" s="58" t="s">
        <v>134</v>
      </c>
      <c r="CS26" s="58" t="s">
        <v>134</v>
      </c>
      <c r="CT26" s="58" t="s">
        <v>134</v>
      </c>
      <c r="CU26" s="58" t="s">
        <v>134</v>
      </c>
      <c r="CV26" s="58" t="s">
        <v>134</v>
      </c>
      <c r="CW26" s="58" t="s">
        <v>134</v>
      </c>
      <c r="CX26" s="58" t="s">
        <v>134</v>
      </c>
      <c r="CY26" s="58" t="s">
        <v>134</v>
      </c>
      <c r="CZ26" s="58" t="s">
        <v>134</v>
      </c>
      <c r="DA26" s="58" t="s">
        <v>134</v>
      </c>
      <c r="DB26" s="58" t="s">
        <v>134</v>
      </c>
      <c r="DC26" s="58" t="s">
        <v>134</v>
      </c>
      <c r="DD26" s="58" t="s">
        <v>134</v>
      </c>
      <c r="DE26" s="58" t="s">
        <v>134</v>
      </c>
      <c r="DF26" s="58" t="s">
        <v>134</v>
      </c>
      <c r="DG26" s="58" t="s">
        <v>134</v>
      </c>
      <c r="DH26" s="58" t="s">
        <v>134</v>
      </c>
      <c r="DI26" s="58" t="s">
        <v>134</v>
      </c>
      <c r="DJ26" s="58" t="s">
        <v>134</v>
      </c>
      <c r="DK26" s="58" t="s">
        <v>134</v>
      </c>
      <c r="DL26" s="58" t="s">
        <v>134</v>
      </c>
      <c r="DM26" s="58" t="s">
        <v>134</v>
      </c>
      <c r="DN26" s="58" t="s">
        <v>134</v>
      </c>
      <c r="DO26" s="58" t="s">
        <v>134</v>
      </c>
      <c r="DP26" s="58" t="s">
        <v>134</v>
      </c>
      <c r="DQ26" s="58" t="s">
        <v>134</v>
      </c>
      <c r="DR26" s="58" t="s">
        <v>134</v>
      </c>
      <c r="DS26" s="58" t="s">
        <v>134</v>
      </c>
      <c r="DT26" s="58" t="s">
        <v>134</v>
      </c>
      <c r="DU26" s="58" t="s">
        <v>134</v>
      </c>
      <c r="DV26" s="58" t="s">
        <v>134</v>
      </c>
      <c r="DW26" s="58" t="s">
        <v>134</v>
      </c>
      <c r="DX26" s="58" t="s">
        <v>134</v>
      </c>
      <c r="DY26" s="58" t="s">
        <v>134</v>
      </c>
      <c r="DZ26" s="58" t="s">
        <v>134</v>
      </c>
      <c r="EA26" s="58" t="s">
        <v>134</v>
      </c>
      <c r="EB26" s="58" t="s">
        <v>134</v>
      </c>
      <c r="EC26" s="58" t="s">
        <v>134</v>
      </c>
      <c r="ED26" s="58" t="s">
        <v>134</v>
      </c>
      <c r="EE26" s="58" t="s">
        <v>134</v>
      </c>
      <c r="EF26" s="58" t="s">
        <v>134</v>
      </c>
      <c r="EG26" s="58">
        <v>0.0151</v>
      </c>
      <c r="EH26" s="58" t="s">
        <v>134</v>
      </c>
      <c r="EI26" s="58" t="s">
        <v>134</v>
      </c>
      <c r="EJ26" s="58" t="s">
        <v>134</v>
      </c>
      <c r="EK26" s="58" t="s">
        <v>134</v>
      </c>
      <c r="EL26" s="58" t="s">
        <v>134</v>
      </c>
      <c r="EM26" s="58" t="s">
        <v>134</v>
      </c>
      <c r="EN26" s="58" t="s">
        <v>134</v>
      </c>
      <c r="EO26" s="58">
        <v>0.0</v>
      </c>
      <c r="EP26" s="58">
        <v>0.0</v>
      </c>
      <c r="EQ26" s="58">
        <v>0.0</v>
      </c>
      <c r="ER26" s="58" t="s">
        <v>134</v>
      </c>
      <c r="ES26" s="58" t="s">
        <v>134</v>
      </c>
      <c r="ET26" s="58" t="s">
        <v>134</v>
      </c>
    </row>
    <row r="27">
      <c r="A27" s="58" t="s">
        <v>89</v>
      </c>
      <c r="B27" s="58" t="s">
        <v>134</v>
      </c>
      <c r="C27" s="58" t="s">
        <v>134</v>
      </c>
      <c r="D27" s="58" t="s">
        <v>134</v>
      </c>
      <c r="E27" s="58" t="s">
        <v>134</v>
      </c>
      <c r="F27" s="58" t="s">
        <v>134</v>
      </c>
      <c r="G27" s="58" t="s">
        <v>134</v>
      </c>
      <c r="H27" s="58" t="s">
        <v>134</v>
      </c>
      <c r="I27" s="58" t="s">
        <v>134</v>
      </c>
      <c r="J27" s="58" t="s">
        <v>134</v>
      </c>
      <c r="K27" s="58">
        <v>0.0</v>
      </c>
      <c r="L27" s="58">
        <v>0.0</v>
      </c>
      <c r="M27" s="58" t="s">
        <v>134</v>
      </c>
      <c r="N27" s="58" t="s">
        <v>134</v>
      </c>
      <c r="O27" s="58" t="s">
        <v>134</v>
      </c>
      <c r="P27" s="58" t="s">
        <v>134</v>
      </c>
      <c r="Q27" s="58" t="s">
        <v>134</v>
      </c>
      <c r="R27" s="58" t="s">
        <v>134</v>
      </c>
      <c r="S27" s="58" t="s">
        <v>134</v>
      </c>
      <c r="T27" s="58" t="s">
        <v>134</v>
      </c>
      <c r="U27" s="58" t="s">
        <v>134</v>
      </c>
      <c r="V27" s="58" t="s">
        <v>134</v>
      </c>
      <c r="W27" s="58" t="s">
        <v>134</v>
      </c>
      <c r="X27" s="58" t="s">
        <v>134</v>
      </c>
      <c r="Y27" s="58" t="s">
        <v>134</v>
      </c>
      <c r="Z27" s="58" t="s">
        <v>134</v>
      </c>
      <c r="AA27" s="58" t="s">
        <v>134</v>
      </c>
      <c r="AB27" s="58" t="s">
        <v>134</v>
      </c>
      <c r="AC27" s="58" t="s">
        <v>134</v>
      </c>
      <c r="AD27" s="58" t="s">
        <v>134</v>
      </c>
      <c r="AE27" s="58" t="s">
        <v>134</v>
      </c>
      <c r="AF27" s="58" t="s">
        <v>134</v>
      </c>
      <c r="AG27" s="58" t="s">
        <v>134</v>
      </c>
      <c r="AH27" s="58" t="s">
        <v>134</v>
      </c>
      <c r="AI27" s="58" t="s">
        <v>134</v>
      </c>
      <c r="AJ27" s="58" t="s">
        <v>134</v>
      </c>
      <c r="AK27" s="58" t="s">
        <v>134</v>
      </c>
      <c r="AL27" s="58" t="s">
        <v>134</v>
      </c>
      <c r="AM27" s="58" t="s">
        <v>134</v>
      </c>
      <c r="AN27" s="58">
        <v>0.0489</v>
      </c>
      <c r="AO27" s="58" t="s">
        <v>134</v>
      </c>
      <c r="AP27" s="58" t="s">
        <v>134</v>
      </c>
      <c r="AQ27" s="58" t="s">
        <v>134</v>
      </c>
      <c r="AR27" s="58" t="s">
        <v>134</v>
      </c>
      <c r="AS27" s="58" t="s">
        <v>134</v>
      </c>
      <c r="AT27" s="58" t="s">
        <v>134</v>
      </c>
      <c r="AU27" s="58" t="s">
        <v>134</v>
      </c>
      <c r="AV27" s="58" t="s">
        <v>134</v>
      </c>
      <c r="AW27" s="58" t="s">
        <v>134</v>
      </c>
      <c r="AX27" s="58" t="s">
        <v>134</v>
      </c>
      <c r="AY27" s="58" t="s">
        <v>134</v>
      </c>
      <c r="AZ27" s="58" t="s">
        <v>134</v>
      </c>
      <c r="BA27" s="58" t="s">
        <v>134</v>
      </c>
      <c r="BB27" s="58" t="s">
        <v>134</v>
      </c>
      <c r="BC27" s="58" t="s">
        <v>134</v>
      </c>
      <c r="BD27" s="58" t="s">
        <v>134</v>
      </c>
      <c r="BE27" s="58" t="s">
        <v>134</v>
      </c>
      <c r="BF27" s="58" t="s">
        <v>134</v>
      </c>
      <c r="BG27" s="58" t="s">
        <v>134</v>
      </c>
      <c r="BH27" s="58" t="s">
        <v>134</v>
      </c>
      <c r="BI27" s="58" t="s">
        <v>134</v>
      </c>
      <c r="BJ27" s="58" t="s">
        <v>134</v>
      </c>
      <c r="BK27" s="58" t="s">
        <v>134</v>
      </c>
      <c r="BL27" s="58" t="s">
        <v>134</v>
      </c>
      <c r="BM27" s="58" t="s">
        <v>134</v>
      </c>
      <c r="BN27" s="58" t="s">
        <v>134</v>
      </c>
      <c r="BO27" s="58" t="s">
        <v>134</v>
      </c>
      <c r="BP27" s="58" t="s">
        <v>134</v>
      </c>
      <c r="BQ27" s="58" t="s">
        <v>134</v>
      </c>
      <c r="BR27" s="58" t="s">
        <v>134</v>
      </c>
      <c r="BS27" s="58" t="s">
        <v>134</v>
      </c>
      <c r="BT27" s="58" t="s">
        <v>134</v>
      </c>
      <c r="BU27" s="58" t="s">
        <v>134</v>
      </c>
      <c r="BV27" s="58" t="s">
        <v>134</v>
      </c>
      <c r="BW27" s="58" t="s">
        <v>134</v>
      </c>
      <c r="BX27" s="58" t="s">
        <v>134</v>
      </c>
      <c r="BY27" s="58" t="s">
        <v>134</v>
      </c>
      <c r="BZ27" s="58" t="s">
        <v>134</v>
      </c>
      <c r="CA27" s="58" t="s">
        <v>134</v>
      </c>
      <c r="CB27" s="58" t="s">
        <v>134</v>
      </c>
      <c r="CC27" s="58" t="s">
        <v>134</v>
      </c>
      <c r="CD27" s="58" t="s">
        <v>134</v>
      </c>
      <c r="CE27" s="58" t="s">
        <v>134</v>
      </c>
      <c r="CF27" s="58" t="s">
        <v>134</v>
      </c>
      <c r="CG27" s="58" t="s">
        <v>134</v>
      </c>
      <c r="CH27" s="58" t="s">
        <v>134</v>
      </c>
      <c r="CI27" s="58" t="s">
        <v>134</v>
      </c>
      <c r="CJ27" s="58" t="s">
        <v>134</v>
      </c>
      <c r="CK27" s="58" t="s">
        <v>134</v>
      </c>
      <c r="CL27" s="58" t="s">
        <v>134</v>
      </c>
      <c r="CM27" s="58" t="s">
        <v>134</v>
      </c>
      <c r="CN27" s="58" t="s">
        <v>134</v>
      </c>
      <c r="CO27" s="58" t="s">
        <v>134</v>
      </c>
      <c r="CP27" s="58" t="s">
        <v>134</v>
      </c>
      <c r="CQ27" s="58" t="s">
        <v>134</v>
      </c>
      <c r="CR27" s="58" t="s">
        <v>134</v>
      </c>
      <c r="CS27" s="58" t="s">
        <v>134</v>
      </c>
      <c r="CT27" s="58" t="s">
        <v>134</v>
      </c>
      <c r="CU27" s="58" t="s">
        <v>134</v>
      </c>
      <c r="CV27" s="58" t="s">
        <v>134</v>
      </c>
      <c r="CW27" s="58" t="s">
        <v>134</v>
      </c>
      <c r="CX27" s="58" t="s">
        <v>134</v>
      </c>
      <c r="CY27" s="58" t="s">
        <v>134</v>
      </c>
      <c r="CZ27" s="58" t="s">
        <v>134</v>
      </c>
      <c r="DA27" s="58" t="s">
        <v>134</v>
      </c>
      <c r="DB27" s="58" t="s">
        <v>134</v>
      </c>
      <c r="DC27" s="58" t="s">
        <v>134</v>
      </c>
      <c r="DD27" s="58" t="s">
        <v>134</v>
      </c>
      <c r="DE27" s="58" t="s">
        <v>134</v>
      </c>
      <c r="DF27" s="58" t="s">
        <v>134</v>
      </c>
      <c r="DG27" s="58" t="s">
        <v>134</v>
      </c>
      <c r="DH27" s="58" t="s">
        <v>134</v>
      </c>
      <c r="DI27" s="58" t="s">
        <v>134</v>
      </c>
      <c r="DJ27" s="58" t="s">
        <v>134</v>
      </c>
      <c r="DK27" s="58" t="s">
        <v>134</v>
      </c>
      <c r="DL27" s="58" t="s">
        <v>134</v>
      </c>
      <c r="DM27" s="58" t="s">
        <v>134</v>
      </c>
      <c r="DN27" s="58" t="s">
        <v>134</v>
      </c>
      <c r="DO27" s="58" t="s">
        <v>134</v>
      </c>
      <c r="DP27" s="58" t="s">
        <v>134</v>
      </c>
      <c r="DQ27" s="58" t="s">
        <v>134</v>
      </c>
      <c r="DR27" s="58" t="s">
        <v>134</v>
      </c>
      <c r="DS27" s="58" t="s">
        <v>134</v>
      </c>
      <c r="DT27" s="58" t="s">
        <v>134</v>
      </c>
      <c r="DU27" s="58" t="s">
        <v>134</v>
      </c>
      <c r="DV27" s="58" t="s">
        <v>134</v>
      </c>
      <c r="DW27" s="58" t="s">
        <v>134</v>
      </c>
      <c r="DX27" s="58" t="s">
        <v>134</v>
      </c>
      <c r="DY27" s="58" t="s">
        <v>134</v>
      </c>
      <c r="DZ27" s="58" t="s">
        <v>134</v>
      </c>
      <c r="EA27" s="58" t="s">
        <v>134</v>
      </c>
      <c r="EB27" s="58" t="s">
        <v>134</v>
      </c>
      <c r="EC27" s="58" t="s">
        <v>134</v>
      </c>
      <c r="ED27" s="58" t="s">
        <v>134</v>
      </c>
      <c r="EE27" s="58" t="s">
        <v>134</v>
      </c>
      <c r="EF27" s="58" t="s">
        <v>134</v>
      </c>
      <c r="EG27" s="58" t="s">
        <v>134</v>
      </c>
      <c r="EH27" s="58" t="s">
        <v>134</v>
      </c>
      <c r="EI27" s="58" t="s">
        <v>134</v>
      </c>
      <c r="EJ27" s="58" t="s">
        <v>134</v>
      </c>
      <c r="EK27" s="58" t="s">
        <v>134</v>
      </c>
      <c r="EL27" s="58" t="s">
        <v>134</v>
      </c>
      <c r="EM27" s="58" t="s">
        <v>134</v>
      </c>
      <c r="EN27" s="58" t="s">
        <v>134</v>
      </c>
      <c r="EO27" s="58">
        <v>0.0</v>
      </c>
      <c r="EP27" s="58">
        <v>0.0</v>
      </c>
      <c r="EQ27" s="58">
        <v>0.0</v>
      </c>
      <c r="ER27" s="58" t="s">
        <v>134</v>
      </c>
      <c r="ES27" s="58" t="s">
        <v>134</v>
      </c>
      <c r="ET27" s="58" t="s">
        <v>134</v>
      </c>
    </row>
    <row r="28">
      <c r="A28" s="58" t="s">
        <v>53</v>
      </c>
      <c r="B28" s="58" t="s">
        <v>134</v>
      </c>
      <c r="C28" s="58" t="s">
        <v>134</v>
      </c>
      <c r="D28" s="58" t="s">
        <v>134</v>
      </c>
      <c r="E28" s="58" t="s">
        <v>134</v>
      </c>
      <c r="F28" s="58" t="s">
        <v>134</v>
      </c>
      <c r="G28" s="58" t="s">
        <v>134</v>
      </c>
      <c r="H28" s="58" t="s">
        <v>134</v>
      </c>
      <c r="I28" s="58">
        <v>0.0295</v>
      </c>
      <c r="J28" s="58" t="s">
        <v>134</v>
      </c>
      <c r="K28" s="58">
        <v>0.0096</v>
      </c>
      <c r="L28" s="58">
        <v>0.0</v>
      </c>
      <c r="M28" s="58" t="s">
        <v>134</v>
      </c>
      <c r="N28" s="58" t="s">
        <v>134</v>
      </c>
      <c r="O28" s="58" t="s">
        <v>134</v>
      </c>
      <c r="P28" s="58" t="s">
        <v>134</v>
      </c>
      <c r="Q28" s="58" t="s">
        <v>134</v>
      </c>
      <c r="R28" s="58" t="s">
        <v>134</v>
      </c>
      <c r="S28" s="58" t="s">
        <v>134</v>
      </c>
      <c r="T28" s="58" t="s">
        <v>134</v>
      </c>
      <c r="U28" s="58" t="s">
        <v>134</v>
      </c>
      <c r="V28" s="58" t="s">
        <v>134</v>
      </c>
      <c r="W28" s="58" t="s">
        <v>134</v>
      </c>
      <c r="X28" s="58" t="s">
        <v>134</v>
      </c>
      <c r="Y28" s="58" t="s">
        <v>134</v>
      </c>
      <c r="Z28" s="58" t="s">
        <v>134</v>
      </c>
      <c r="AA28" s="58" t="s">
        <v>134</v>
      </c>
      <c r="AB28" s="58" t="s">
        <v>134</v>
      </c>
      <c r="AC28" s="58" t="s">
        <v>134</v>
      </c>
      <c r="AD28" s="58">
        <v>0.00876</v>
      </c>
      <c r="AE28" s="58" t="s">
        <v>134</v>
      </c>
      <c r="AF28" s="58" t="s">
        <v>134</v>
      </c>
      <c r="AG28" s="58" t="s">
        <v>134</v>
      </c>
      <c r="AH28" s="58" t="s">
        <v>134</v>
      </c>
      <c r="AI28" s="58" t="s">
        <v>134</v>
      </c>
      <c r="AJ28" s="58" t="s">
        <v>134</v>
      </c>
      <c r="AK28" s="58">
        <v>0.3</v>
      </c>
      <c r="AL28" s="58" t="s">
        <v>134</v>
      </c>
      <c r="AM28" s="58" t="s">
        <v>134</v>
      </c>
      <c r="AN28" s="58">
        <v>0.0</v>
      </c>
      <c r="AO28" s="58" t="s">
        <v>134</v>
      </c>
      <c r="AP28" s="58" t="s">
        <v>134</v>
      </c>
      <c r="AQ28" s="58" t="s">
        <v>134</v>
      </c>
      <c r="AR28" s="58" t="s">
        <v>134</v>
      </c>
      <c r="AS28" s="58" t="s">
        <v>134</v>
      </c>
      <c r="AT28" s="58" t="s">
        <v>134</v>
      </c>
      <c r="AU28" s="58" t="s">
        <v>134</v>
      </c>
      <c r="AV28" s="58" t="s">
        <v>134</v>
      </c>
      <c r="AW28" s="58" t="s">
        <v>134</v>
      </c>
      <c r="AX28" s="58" t="s">
        <v>134</v>
      </c>
      <c r="AY28" s="58" t="s">
        <v>134</v>
      </c>
      <c r="AZ28" s="58" t="s">
        <v>134</v>
      </c>
      <c r="BA28" s="58" t="s">
        <v>134</v>
      </c>
      <c r="BB28" s="58">
        <v>0.0322</v>
      </c>
      <c r="BC28" s="58">
        <v>0.0801</v>
      </c>
      <c r="BD28" s="58" t="s">
        <v>134</v>
      </c>
      <c r="BE28" s="58">
        <v>0.0074</v>
      </c>
      <c r="BF28" s="58">
        <v>0.0063</v>
      </c>
      <c r="BG28" s="58">
        <v>0.0549</v>
      </c>
      <c r="BH28" s="58">
        <v>0.1383</v>
      </c>
      <c r="BI28" s="58">
        <v>0.0022</v>
      </c>
      <c r="BJ28" s="58">
        <v>2.0E-4</v>
      </c>
      <c r="BK28" s="58">
        <v>0.0483</v>
      </c>
      <c r="BL28" s="58">
        <v>0.0376</v>
      </c>
      <c r="BM28" s="58" t="s">
        <v>134</v>
      </c>
      <c r="BN28" s="58">
        <v>0.0064</v>
      </c>
      <c r="BO28" s="58" t="s">
        <v>134</v>
      </c>
      <c r="BP28" s="58" t="s">
        <v>134</v>
      </c>
      <c r="BQ28" s="58" t="s">
        <v>134</v>
      </c>
      <c r="BR28" s="58" t="s">
        <v>134</v>
      </c>
      <c r="BS28" s="58">
        <v>0.0151</v>
      </c>
      <c r="BT28" s="58">
        <v>0.0357</v>
      </c>
      <c r="BU28" s="58">
        <v>0.0081</v>
      </c>
      <c r="BV28" s="58">
        <v>0.1248</v>
      </c>
      <c r="BW28" s="58" t="s">
        <v>134</v>
      </c>
      <c r="BX28" s="58">
        <v>0.0068</v>
      </c>
      <c r="BY28" s="58">
        <v>0.0197</v>
      </c>
      <c r="BZ28" s="58" t="s">
        <v>134</v>
      </c>
      <c r="CA28" s="58" t="s">
        <v>134</v>
      </c>
      <c r="CB28" s="58" t="s">
        <v>134</v>
      </c>
      <c r="CC28" s="58" t="s">
        <v>134</v>
      </c>
      <c r="CD28" s="58">
        <v>0.0063</v>
      </c>
      <c r="CE28" s="58">
        <v>0.0091</v>
      </c>
      <c r="CF28" s="58">
        <v>0.0673</v>
      </c>
      <c r="CG28" s="58" t="s">
        <v>134</v>
      </c>
      <c r="CH28" s="58" t="s">
        <v>134</v>
      </c>
      <c r="CI28" s="58" t="s">
        <v>134</v>
      </c>
      <c r="CJ28" s="58" t="s">
        <v>134</v>
      </c>
      <c r="CK28" s="58" t="s">
        <v>134</v>
      </c>
      <c r="CL28" s="58" t="s">
        <v>134</v>
      </c>
      <c r="CM28" s="58" t="s">
        <v>134</v>
      </c>
      <c r="CN28" s="58" t="s">
        <v>134</v>
      </c>
      <c r="CO28" s="58" t="s">
        <v>134</v>
      </c>
      <c r="CP28" s="58" t="s">
        <v>134</v>
      </c>
      <c r="CQ28" s="58" t="s">
        <v>134</v>
      </c>
      <c r="CR28" s="58" t="s">
        <v>134</v>
      </c>
      <c r="CS28" s="58" t="s">
        <v>134</v>
      </c>
      <c r="CT28" s="58" t="s">
        <v>134</v>
      </c>
      <c r="CU28" s="58" t="s">
        <v>134</v>
      </c>
      <c r="CV28" s="58" t="s">
        <v>134</v>
      </c>
      <c r="CW28" s="58" t="s">
        <v>134</v>
      </c>
      <c r="CX28" s="58">
        <v>0.029</v>
      </c>
      <c r="CY28" s="58">
        <v>0.1682</v>
      </c>
      <c r="CZ28" s="58">
        <v>0.0335</v>
      </c>
      <c r="DA28" s="58" t="s">
        <v>134</v>
      </c>
      <c r="DB28" s="58" t="s">
        <v>134</v>
      </c>
      <c r="DC28" s="58" t="s">
        <v>134</v>
      </c>
      <c r="DD28" s="58" t="s">
        <v>134</v>
      </c>
      <c r="DE28" s="58">
        <v>0.0074</v>
      </c>
      <c r="DF28" s="58" t="s">
        <v>134</v>
      </c>
      <c r="DG28" s="58" t="s">
        <v>134</v>
      </c>
      <c r="DH28" s="58" t="s">
        <v>134</v>
      </c>
      <c r="DI28" s="58">
        <v>0.0186</v>
      </c>
      <c r="DJ28" s="58" t="s">
        <v>134</v>
      </c>
      <c r="DK28" s="58" t="s">
        <v>134</v>
      </c>
      <c r="DL28" s="58" t="s">
        <v>134</v>
      </c>
      <c r="DM28" s="58" t="s">
        <v>134</v>
      </c>
      <c r="DN28" s="58">
        <v>0.22</v>
      </c>
      <c r="DO28" s="58">
        <v>0.00801</v>
      </c>
      <c r="DP28" s="58" t="s">
        <v>134</v>
      </c>
      <c r="DQ28" s="58" t="s">
        <v>134</v>
      </c>
      <c r="DR28" s="58" t="s">
        <v>134</v>
      </c>
      <c r="DS28" s="58">
        <v>0.0151</v>
      </c>
      <c r="DT28" s="58" t="s">
        <v>134</v>
      </c>
      <c r="DU28" s="58">
        <v>0.1682</v>
      </c>
      <c r="DV28" s="58" t="s">
        <v>134</v>
      </c>
      <c r="DW28" s="58" t="s">
        <v>134</v>
      </c>
      <c r="DX28" s="58" t="s">
        <v>134</v>
      </c>
      <c r="DY28" s="58" t="s">
        <v>134</v>
      </c>
      <c r="DZ28" s="58" t="s">
        <v>134</v>
      </c>
      <c r="EA28" s="58" t="s">
        <v>134</v>
      </c>
      <c r="EB28" s="58" t="s">
        <v>134</v>
      </c>
      <c r="EC28" s="58" t="s">
        <v>134</v>
      </c>
      <c r="ED28" s="58" t="s">
        <v>134</v>
      </c>
      <c r="EE28" s="58" t="s">
        <v>134</v>
      </c>
      <c r="EF28" s="58" t="s">
        <v>134</v>
      </c>
      <c r="EG28" s="58" t="s">
        <v>134</v>
      </c>
      <c r="EH28" s="58" t="s">
        <v>134</v>
      </c>
      <c r="EI28" s="58" t="s">
        <v>134</v>
      </c>
      <c r="EJ28" s="58" t="s">
        <v>134</v>
      </c>
      <c r="EK28" s="58" t="s">
        <v>134</v>
      </c>
      <c r="EL28" s="58" t="s">
        <v>134</v>
      </c>
      <c r="EM28" s="58" t="s">
        <v>134</v>
      </c>
      <c r="EN28" s="58" t="s">
        <v>134</v>
      </c>
      <c r="EO28" s="58">
        <v>0.0</v>
      </c>
      <c r="EP28" s="58">
        <v>0.0</v>
      </c>
      <c r="EQ28" s="58">
        <v>0.0</v>
      </c>
      <c r="ER28" s="58" t="s">
        <v>134</v>
      </c>
      <c r="ES28" s="58" t="s">
        <v>134</v>
      </c>
      <c r="ET28" s="58" t="s">
        <v>134</v>
      </c>
    </row>
    <row r="29">
      <c r="A29" s="58" t="s">
        <v>146</v>
      </c>
      <c r="B29" s="58" t="s">
        <v>134</v>
      </c>
      <c r="C29" s="58" t="s">
        <v>134</v>
      </c>
      <c r="D29" s="58" t="s">
        <v>134</v>
      </c>
      <c r="E29" s="58" t="s">
        <v>134</v>
      </c>
      <c r="F29" s="58" t="s">
        <v>134</v>
      </c>
      <c r="G29" s="58" t="s">
        <v>134</v>
      </c>
      <c r="H29" s="58" t="s">
        <v>134</v>
      </c>
      <c r="I29" s="58">
        <v>0.01</v>
      </c>
      <c r="J29" s="58" t="s">
        <v>134</v>
      </c>
      <c r="K29" s="58">
        <v>0.0096</v>
      </c>
      <c r="L29" s="58">
        <v>0.0</v>
      </c>
      <c r="M29" s="58" t="s">
        <v>134</v>
      </c>
      <c r="N29" s="58" t="s">
        <v>134</v>
      </c>
      <c r="O29" s="58" t="s">
        <v>134</v>
      </c>
      <c r="P29" s="58" t="s">
        <v>134</v>
      </c>
      <c r="Q29" s="58" t="s">
        <v>134</v>
      </c>
      <c r="R29" s="58" t="s">
        <v>134</v>
      </c>
      <c r="S29" s="58" t="s">
        <v>134</v>
      </c>
      <c r="T29" s="58" t="s">
        <v>134</v>
      </c>
      <c r="U29" s="58" t="s">
        <v>134</v>
      </c>
      <c r="V29" s="58" t="s">
        <v>134</v>
      </c>
      <c r="W29" s="58" t="s">
        <v>134</v>
      </c>
      <c r="X29" s="58" t="s">
        <v>134</v>
      </c>
      <c r="Y29" s="58" t="s">
        <v>134</v>
      </c>
      <c r="Z29" s="58" t="s">
        <v>134</v>
      </c>
      <c r="AA29" s="58" t="s">
        <v>134</v>
      </c>
      <c r="AB29" s="58" t="s">
        <v>134</v>
      </c>
      <c r="AC29" s="58" t="s">
        <v>134</v>
      </c>
      <c r="AD29" s="58">
        <v>0.00876</v>
      </c>
      <c r="AE29" s="58" t="s">
        <v>134</v>
      </c>
      <c r="AF29" s="58" t="s">
        <v>134</v>
      </c>
      <c r="AG29" s="58" t="s">
        <v>134</v>
      </c>
      <c r="AH29" s="58" t="s">
        <v>134</v>
      </c>
      <c r="AI29" s="58" t="s">
        <v>134</v>
      </c>
      <c r="AJ29" s="58" t="s">
        <v>134</v>
      </c>
      <c r="AK29" s="58">
        <v>0.3</v>
      </c>
      <c r="AL29" s="58">
        <v>0.0478698103</v>
      </c>
      <c r="AM29" s="58" t="s">
        <v>134</v>
      </c>
      <c r="AN29" s="58">
        <v>0.0</v>
      </c>
      <c r="AO29" s="58" t="s">
        <v>134</v>
      </c>
      <c r="AP29" s="58" t="s">
        <v>134</v>
      </c>
      <c r="AQ29" s="58" t="s">
        <v>134</v>
      </c>
      <c r="AR29" s="58" t="s">
        <v>134</v>
      </c>
      <c r="AS29" s="58" t="s">
        <v>134</v>
      </c>
      <c r="AT29" s="58" t="s">
        <v>134</v>
      </c>
      <c r="AU29" s="58" t="s">
        <v>134</v>
      </c>
      <c r="AV29" s="58" t="s">
        <v>134</v>
      </c>
      <c r="AW29" s="58" t="s">
        <v>134</v>
      </c>
      <c r="AX29" s="58" t="s">
        <v>134</v>
      </c>
      <c r="AY29" s="58" t="s">
        <v>134</v>
      </c>
      <c r="AZ29" s="58" t="s">
        <v>134</v>
      </c>
      <c r="BA29" s="58" t="s">
        <v>134</v>
      </c>
      <c r="BB29" s="58">
        <v>0.0322</v>
      </c>
      <c r="BC29" s="58">
        <v>0.0801</v>
      </c>
      <c r="BD29" s="58" t="s">
        <v>134</v>
      </c>
      <c r="BE29" s="58">
        <v>0.0074</v>
      </c>
      <c r="BF29" s="58">
        <v>0.0063</v>
      </c>
      <c r="BG29" s="58">
        <v>0.0549</v>
      </c>
      <c r="BH29" s="58">
        <v>0.1383</v>
      </c>
      <c r="BI29" s="58">
        <v>0.0022</v>
      </c>
      <c r="BJ29" s="58">
        <v>2.0E-4</v>
      </c>
      <c r="BK29" s="58">
        <v>0.0483</v>
      </c>
      <c r="BL29" s="58">
        <v>0.0376</v>
      </c>
      <c r="BM29" s="58" t="s">
        <v>134</v>
      </c>
      <c r="BN29" s="58">
        <v>0.0064</v>
      </c>
      <c r="BO29" s="58" t="s">
        <v>134</v>
      </c>
      <c r="BP29" s="58" t="s">
        <v>134</v>
      </c>
      <c r="BQ29" s="58" t="s">
        <v>134</v>
      </c>
      <c r="BR29" s="58" t="s">
        <v>134</v>
      </c>
      <c r="BS29" s="58">
        <v>0.0151</v>
      </c>
      <c r="BT29" s="58">
        <v>0.0357</v>
      </c>
      <c r="BU29" s="58">
        <v>0.0081</v>
      </c>
      <c r="BV29" s="58">
        <v>0.1248</v>
      </c>
      <c r="BW29" s="58" t="s">
        <v>134</v>
      </c>
      <c r="BX29" s="58">
        <v>0.0068</v>
      </c>
      <c r="BY29" s="58">
        <v>0.0197</v>
      </c>
      <c r="BZ29" s="58" t="s">
        <v>134</v>
      </c>
      <c r="CA29" s="58" t="s">
        <v>134</v>
      </c>
      <c r="CB29" s="58" t="s">
        <v>134</v>
      </c>
      <c r="CC29" s="58" t="s">
        <v>134</v>
      </c>
      <c r="CD29" s="58">
        <v>0.0063</v>
      </c>
      <c r="CE29" s="58">
        <v>0.0091</v>
      </c>
      <c r="CF29" s="58">
        <v>0.0673</v>
      </c>
      <c r="CG29" s="58" t="s">
        <v>134</v>
      </c>
      <c r="CH29" s="58" t="s">
        <v>134</v>
      </c>
      <c r="CI29" s="58" t="s">
        <v>134</v>
      </c>
      <c r="CJ29" s="58" t="s">
        <v>134</v>
      </c>
      <c r="CK29" s="58" t="s">
        <v>134</v>
      </c>
      <c r="CL29" s="58" t="s">
        <v>134</v>
      </c>
      <c r="CM29" s="58" t="s">
        <v>134</v>
      </c>
      <c r="CN29" s="58" t="s">
        <v>134</v>
      </c>
      <c r="CO29" s="58" t="s">
        <v>134</v>
      </c>
      <c r="CP29" s="58" t="s">
        <v>134</v>
      </c>
      <c r="CQ29" s="58" t="s">
        <v>134</v>
      </c>
      <c r="CR29" s="58" t="s">
        <v>134</v>
      </c>
      <c r="CS29" s="58" t="s">
        <v>134</v>
      </c>
      <c r="CT29" s="58" t="s">
        <v>134</v>
      </c>
      <c r="CU29" s="58" t="s">
        <v>134</v>
      </c>
      <c r="CV29" s="58" t="s">
        <v>134</v>
      </c>
      <c r="CW29" s="58" t="s">
        <v>134</v>
      </c>
      <c r="CX29" s="58">
        <v>0.029</v>
      </c>
      <c r="CY29" s="58">
        <v>0.1682</v>
      </c>
      <c r="CZ29" s="58">
        <v>0.0335</v>
      </c>
      <c r="DA29" s="58" t="s">
        <v>134</v>
      </c>
      <c r="DB29" s="58" t="s">
        <v>134</v>
      </c>
      <c r="DC29" s="58" t="s">
        <v>134</v>
      </c>
      <c r="DD29" s="58" t="s">
        <v>134</v>
      </c>
      <c r="DE29" s="58">
        <v>0.0074</v>
      </c>
      <c r="DF29" s="58" t="s">
        <v>134</v>
      </c>
      <c r="DG29" s="58" t="s">
        <v>134</v>
      </c>
      <c r="DH29" s="58" t="s">
        <v>134</v>
      </c>
      <c r="DI29" s="58">
        <v>0.0186</v>
      </c>
      <c r="DJ29" s="58" t="s">
        <v>134</v>
      </c>
      <c r="DK29" s="58" t="s">
        <v>134</v>
      </c>
      <c r="DL29" s="58" t="s">
        <v>134</v>
      </c>
      <c r="DM29" s="58" t="s">
        <v>134</v>
      </c>
      <c r="DN29" s="58">
        <v>0.22</v>
      </c>
      <c r="DO29" s="58">
        <v>0.00801</v>
      </c>
      <c r="DP29" s="58" t="s">
        <v>134</v>
      </c>
      <c r="DQ29" s="58" t="s">
        <v>134</v>
      </c>
      <c r="DR29" s="58" t="s">
        <v>134</v>
      </c>
      <c r="DS29" s="58">
        <v>0.0151</v>
      </c>
      <c r="DT29" s="58" t="s">
        <v>134</v>
      </c>
      <c r="DU29" s="58">
        <v>0.1682</v>
      </c>
      <c r="DV29" s="58" t="s">
        <v>134</v>
      </c>
      <c r="DW29" s="58" t="s">
        <v>134</v>
      </c>
      <c r="DX29" s="58" t="s">
        <v>134</v>
      </c>
      <c r="DY29" s="58" t="s">
        <v>134</v>
      </c>
      <c r="DZ29" s="58" t="s">
        <v>134</v>
      </c>
      <c r="EA29" s="58" t="s">
        <v>134</v>
      </c>
      <c r="EB29" s="58" t="s">
        <v>134</v>
      </c>
      <c r="EC29" s="58" t="s">
        <v>134</v>
      </c>
      <c r="ED29" s="58" t="s">
        <v>134</v>
      </c>
      <c r="EE29" s="58" t="s">
        <v>134</v>
      </c>
      <c r="EF29" s="58" t="s">
        <v>134</v>
      </c>
      <c r="EG29" s="58" t="s">
        <v>134</v>
      </c>
      <c r="EH29" s="58" t="s">
        <v>134</v>
      </c>
      <c r="EI29" s="58" t="s">
        <v>134</v>
      </c>
      <c r="EJ29" s="58" t="s">
        <v>134</v>
      </c>
      <c r="EK29" s="58" t="s">
        <v>134</v>
      </c>
      <c r="EL29" s="58" t="s">
        <v>134</v>
      </c>
      <c r="EM29" s="58" t="s">
        <v>134</v>
      </c>
      <c r="EN29" s="58" t="s">
        <v>134</v>
      </c>
      <c r="EO29" s="58">
        <v>0.0</v>
      </c>
      <c r="EP29" s="58">
        <v>0.0</v>
      </c>
      <c r="EQ29" s="58">
        <v>0.0</v>
      </c>
      <c r="ER29" s="58" t="s">
        <v>134</v>
      </c>
      <c r="ES29" s="58" t="s">
        <v>134</v>
      </c>
      <c r="ET29" s="58" t="s">
        <v>134</v>
      </c>
    </row>
    <row r="30">
      <c r="A30" s="58" t="s">
        <v>104</v>
      </c>
      <c r="B30" s="58" t="s">
        <v>134</v>
      </c>
      <c r="C30" s="58" t="s">
        <v>134</v>
      </c>
      <c r="D30" s="58" t="s">
        <v>134</v>
      </c>
      <c r="E30" s="58" t="s">
        <v>134</v>
      </c>
      <c r="F30" s="58" t="s">
        <v>134</v>
      </c>
      <c r="G30" s="58" t="s">
        <v>134</v>
      </c>
      <c r="H30" s="58" t="s">
        <v>134</v>
      </c>
      <c r="I30" s="58" t="s">
        <v>134</v>
      </c>
      <c r="J30" s="58" t="s">
        <v>134</v>
      </c>
      <c r="K30" s="58">
        <v>0.0</v>
      </c>
      <c r="L30" s="58">
        <v>0.0</v>
      </c>
      <c r="M30" s="58" t="s">
        <v>134</v>
      </c>
      <c r="N30" s="58" t="s">
        <v>134</v>
      </c>
      <c r="O30" s="58" t="s">
        <v>134</v>
      </c>
      <c r="P30" s="58" t="s">
        <v>134</v>
      </c>
      <c r="Q30" s="58" t="s">
        <v>134</v>
      </c>
      <c r="R30" s="58" t="s">
        <v>134</v>
      </c>
      <c r="S30" s="58" t="s">
        <v>134</v>
      </c>
      <c r="T30" s="58" t="s">
        <v>134</v>
      </c>
      <c r="U30" s="58" t="s">
        <v>134</v>
      </c>
      <c r="V30" s="58" t="s">
        <v>134</v>
      </c>
      <c r="W30" s="58" t="s">
        <v>134</v>
      </c>
      <c r="X30" s="58" t="s">
        <v>134</v>
      </c>
      <c r="Y30" s="58" t="s">
        <v>134</v>
      </c>
      <c r="Z30" s="58" t="s">
        <v>134</v>
      </c>
      <c r="AA30" s="58" t="s">
        <v>134</v>
      </c>
      <c r="AB30" s="58" t="s">
        <v>134</v>
      </c>
      <c r="AC30" s="58" t="s">
        <v>134</v>
      </c>
      <c r="AD30" s="58" t="s">
        <v>134</v>
      </c>
      <c r="AE30" s="58" t="s">
        <v>134</v>
      </c>
      <c r="AF30" s="58" t="s">
        <v>134</v>
      </c>
      <c r="AG30" s="58" t="s">
        <v>134</v>
      </c>
      <c r="AH30" s="58" t="s">
        <v>134</v>
      </c>
      <c r="AI30" s="58" t="s">
        <v>134</v>
      </c>
      <c r="AJ30" s="58" t="s">
        <v>134</v>
      </c>
      <c r="AK30" s="58" t="s">
        <v>134</v>
      </c>
      <c r="AL30" s="58" t="s">
        <v>134</v>
      </c>
      <c r="AM30" s="58" t="s">
        <v>134</v>
      </c>
      <c r="AN30" s="58">
        <v>0.071</v>
      </c>
      <c r="AO30" s="58" t="s">
        <v>134</v>
      </c>
      <c r="AP30" s="58" t="s">
        <v>134</v>
      </c>
      <c r="AQ30" s="58" t="s">
        <v>134</v>
      </c>
      <c r="AR30" s="58" t="s">
        <v>134</v>
      </c>
      <c r="AS30" s="58" t="s">
        <v>134</v>
      </c>
      <c r="AT30" s="58" t="s">
        <v>134</v>
      </c>
      <c r="AU30" s="58" t="s">
        <v>134</v>
      </c>
      <c r="AV30" s="58" t="s">
        <v>134</v>
      </c>
      <c r="AW30" s="58" t="s">
        <v>134</v>
      </c>
      <c r="AX30" s="58" t="s">
        <v>134</v>
      </c>
      <c r="AY30" s="58" t="s">
        <v>134</v>
      </c>
      <c r="AZ30" s="58" t="s">
        <v>134</v>
      </c>
      <c r="BA30" s="58" t="s">
        <v>134</v>
      </c>
      <c r="BB30" s="58" t="s">
        <v>134</v>
      </c>
      <c r="BC30" s="58" t="s">
        <v>134</v>
      </c>
      <c r="BD30" s="58" t="s">
        <v>134</v>
      </c>
      <c r="BE30" s="58" t="s">
        <v>134</v>
      </c>
      <c r="BF30" s="58" t="s">
        <v>134</v>
      </c>
      <c r="BG30" s="58" t="s">
        <v>134</v>
      </c>
      <c r="BH30" s="58" t="s">
        <v>134</v>
      </c>
      <c r="BI30" s="58" t="s">
        <v>134</v>
      </c>
      <c r="BJ30" s="58" t="s">
        <v>134</v>
      </c>
      <c r="BK30" s="58" t="s">
        <v>134</v>
      </c>
      <c r="BL30" s="58" t="s">
        <v>134</v>
      </c>
      <c r="BM30" s="58" t="s">
        <v>134</v>
      </c>
      <c r="BN30" s="58" t="s">
        <v>134</v>
      </c>
      <c r="BO30" s="58" t="s">
        <v>134</v>
      </c>
      <c r="BP30" s="58" t="s">
        <v>134</v>
      </c>
      <c r="BQ30" s="58" t="s">
        <v>134</v>
      </c>
      <c r="BR30" s="58" t="s">
        <v>134</v>
      </c>
      <c r="BS30" s="58" t="s">
        <v>134</v>
      </c>
      <c r="BT30" s="58" t="s">
        <v>134</v>
      </c>
      <c r="BU30" s="58" t="s">
        <v>134</v>
      </c>
      <c r="BV30" s="58" t="s">
        <v>134</v>
      </c>
      <c r="BW30" s="58" t="s">
        <v>134</v>
      </c>
      <c r="BX30" s="58" t="s">
        <v>134</v>
      </c>
      <c r="BY30" s="58" t="s">
        <v>134</v>
      </c>
      <c r="BZ30" s="58" t="s">
        <v>134</v>
      </c>
      <c r="CA30" s="58" t="s">
        <v>134</v>
      </c>
      <c r="CB30" s="58" t="s">
        <v>134</v>
      </c>
      <c r="CC30" s="58" t="s">
        <v>134</v>
      </c>
      <c r="CD30" s="58" t="s">
        <v>134</v>
      </c>
      <c r="CE30" s="58" t="s">
        <v>134</v>
      </c>
      <c r="CF30" s="58" t="s">
        <v>134</v>
      </c>
      <c r="CG30" s="58" t="s">
        <v>134</v>
      </c>
      <c r="CH30" s="58" t="s">
        <v>134</v>
      </c>
      <c r="CI30" s="58" t="s">
        <v>134</v>
      </c>
      <c r="CJ30" s="58" t="s">
        <v>134</v>
      </c>
      <c r="CK30" s="58" t="s">
        <v>134</v>
      </c>
      <c r="CL30" s="58" t="s">
        <v>134</v>
      </c>
      <c r="CM30" s="58" t="s">
        <v>134</v>
      </c>
      <c r="CN30" s="58" t="s">
        <v>134</v>
      </c>
      <c r="CO30" s="58" t="s">
        <v>134</v>
      </c>
      <c r="CP30" s="58" t="s">
        <v>134</v>
      </c>
      <c r="CQ30" s="58" t="s">
        <v>134</v>
      </c>
      <c r="CR30" s="58" t="s">
        <v>134</v>
      </c>
      <c r="CS30" s="58" t="s">
        <v>134</v>
      </c>
      <c r="CT30" s="58" t="s">
        <v>134</v>
      </c>
      <c r="CU30" s="58" t="s">
        <v>134</v>
      </c>
      <c r="CV30" s="58" t="s">
        <v>134</v>
      </c>
      <c r="CW30" s="58" t="s">
        <v>134</v>
      </c>
      <c r="CX30" s="58" t="s">
        <v>134</v>
      </c>
      <c r="CY30" s="58" t="s">
        <v>134</v>
      </c>
      <c r="CZ30" s="58" t="s">
        <v>134</v>
      </c>
      <c r="DA30" s="58" t="s">
        <v>134</v>
      </c>
      <c r="DB30" s="58" t="s">
        <v>134</v>
      </c>
      <c r="DC30" s="58" t="s">
        <v>134</v>
      </c>
      <c r="DD30" s="58" t="s">
        <v>134</v>
      </c>
      <c r="DE30" s="58" t="s">
        <v>134</v>
      </c>
      <c r="DF30" s="58" t="s">
        <v>134</v>
      </c>
      <c r="DG30" s="58" t="s">
        <v>134</v>
      </c>
      <c r="DH30" s="58" t="s">
        <v>134</v>
      </c>
      <c r="DI30" s="58" t="s">
        <v>134</v>
      </c>
      <c r="DJ30" s="58" t="s">
        <v>134</v>
      </c>
      <c r="DK30" s="58" t="s">
        <v>134</v>
      </c>
      <c r="DL30" s="58" t="s">
        <v>134</v>
      </c>
      <c r="DM30" s="58" t="s">
        <v>134</v>
      </c>
      <c r="DN30" s="58" t="s">
        <v>134</v>
      </c>
      <c r="DO30" s="58" t="s">
        <v>134</v>
      </c>
      <c r="DP30" s="58" t="s">
        <v>134</v>
      </c>
      <c r="DQ30" s="58" t="s">
        <v>134</v>
      </c>
      <c r="DR30" s="58" t="s">
        <v>134</v>
      </c>
      <c r="DS30" s="58" t="s">
        <v>134</v>
      </c>
      <c r="DT30" s="58" t="s">
        <v>134</v>
      </c>
      <c r="DU30" s="58" t="s">
        <v>134</v>
      </c>
      <c r="DV30" s="58" t="s">
        <v>134</v>
      </c>
      <c r="DW30" s="58" t="s">
        <v>134</v>
      </c>
      <c r="DX30" s="58" t="s">
        <v>134</v>
      </c>
      <c r="DY30" s="58" t="s">
        <v>134</v>
      </c>
      <c r="DZ30" s="58" t="s">
        <v>134</v>
      </c>
      <c r="EA30" s="58" t="s">
        <v>134</v>
      </c>
      <c r="EB30" s="58" t="s">
        <v>134</v>
      </c>
      <c r="EC30" s="58" t="s">
        <v>134</v>
      </c>
      <c r="ED30" s="58" t="s">
        <v>134</v>
      </c>
      <c r="EE30" s="58" t="s">
        <v>134</v>
      </c>
      <c r="EF30" s="58" t="s">
        <v>134</v>
      </c>
      <c r="EG30" s="58" t="s">
        <v>134</v>
      </c>
      <c r="EH30" s="58" t="s">
        <v>134</v>
      </c>
      <c r="EI30" s="58" t="s">
        <v>134</v>
      </c>
      <c r="EJ30" s="58" t="s">
        <v>134</v>
      </c>
      <c r="EK30" s="58" t="s">
        <v>134</v>
      </c>
      <c r="EL30" s="58" t="s">
        <v>134</v>
      </c>
      <c r="EM30" s="58" t="s">
        <v>134</v>
      </c>
      <c r="EN30" s="58" t="s">
        <v>134</v>
      </c>
      <c r="EO30" s="58">
        <v>0.0</v>
      </c>
      <c r="EP30" s="58">
        <v>0.0</v>
      </c>
      <c r="EQ30" s="58">
        <v>0.0</v>
      </c>
      <c r="ER30" s="58" t="s">
        <v>134</v>
      </c>
      <c r="ES30" s="58" t="s">
        <v>134</v>
      </c>
      <c r="ET30" s="58" t="s">
        <v>134</v>
      </c>
    </row>
    <row r="31">
      <c r="A31" s="58" t="s">
        <v>470</v>
      </c>
      <c r="B31" s="58" t="s">
        <v>134</v>
      </c>
      <c r="C31" s="58" t="s">
        <v>134</v>
      </c>
      <c r="D31" s="58" t="s">
        <v>134</v>
      </c>
      <c r="E31" s="58" t="s">
        <v>134</v>
      </c>
      <c r="F31" s="58" t="s">
        <v>134</v>
      </c>
      <c r="G31" s="58" t="s">
        <v>134</v>
      </c>
      <c r="H31" s="58" t="s">
        <v>134</v>
      </c>
      <c r="I31" s="58" t="s">
        <v>134</v>
      </c>
      <c r="J31" s="58" t="s">
        <v>134</v>
      </c>
      <c r="K31" s="58">
        <v>0.0</v>
      </c>
      <c r="L31" s="58">
        <v>0.0</v>
      </c>
      <c r="M31" s="58" t="s">
        <v>134</v>
      </c>
      <c r="N31" s="58" t="s">
        <v>134</v>
      </c>
      <c r="O31" s="58" t="s">
        <v>134</v>
      </c>
      <c r="P31" s="58" t="s">
        <v>134</v>
      </c>
      <c r="Q31" s="58" t="s">
        <v>134</v>
      </c>
      <c r="R31" s="58" t="s">
        <v>134</v>
      </c>
      <c r="S31" s="58" t="s">
        <v>134</v>
      </c>
      <c r="T31" s="58" t="s">
        <v>134</v>
      </c>
      <c r="U31" s="58" t="s">
        <v>134</v>
      </c>
      <c r="V31" s="58" t="s">
        <v>134</v>
      </c>
      <c r="W31" s="58" t="s">
        <v>134</v>
      </c>
      <c r="X31" s="58" t="s">
        <v>134</v>
      </c>
      <c r="Y31" s="58" t="s">
        <v>134</v>
      </c>
      <c r="Z31" s="58" t="s">
        <v>134</v>
      </c>
      <c r="AA31" s="58" t="s">
        <v>134</v>
      </c>
      <c r="AB31" s="58" t="s">
        <v>134</v>
      </c>
      <c r="AC31" s="58" t="s">
        <v>134</v>
      </c>
      <c r="AD31" s="58" t="s">
        <v>134</v>
      </c>
      <c r="AE31" s="58" t="s">
        <v>134</v>
      </c>
      <c r="AF31" s="58" t="s">
        <v>134</v>
      </c>
      <c r="AG31" s="58" t="s">
        <v>134</v>
      </c>
      <c r="AH31" s="58" t="s">
        <v>134</v>
      </c>
      <c r="AI31" s="58" t="s">
        <v>134</v>
      </c>
      <c r="AJ31" s="58" t="s">
        <v>134</v>
      </c>
      <c r="AK31" s="58" t="s">
        <v>134</v>
      </c>
      <c r="AL31" s="58" t="s">
        <v>134</v>
      </c>
      <c r="AM31" s="58" t="s">
        <v>134</v>
      </c>
      <c r="AN31" s="58">
        <v>0.0</v>
      </c>
      <c r="AO31" s="58" t="s">
        <v>134</v>
      </c>
      <c r="AP31" s="58" t="s">
        <v>134</v>
      </c>
      <c r="AQ31" s="58" t="s">
        <v>134</v>
      </c>
      <c r="AR31" s="58" t="s">
        <v>134</v>
      </c>
      <c r="AS31" s="58" t="s">
        <v>134</v>
      </c>
      <c r="AT31" s="58">
        <v>0.0502</v>
      </c>
      <c r="AU31" s="58" t="s">
        <v>134</v>
      </c>
      <c r="AV31" s="58" t="s">
        <v>134</v>
      </c>
      <c r="AW31" s="58">
        <v>0.0277</v>
      </c>
      <c r="AX31" s="58" t="s">
        <v>134</v>
      </c>
      <c r="AY31" s="58" t="s">
        <v>134</v>
      </c>
      <c r="AZ31" s="58" t="s">
        <v>134</v>
      </c>
      <c r="BA31" s="58" t="s">
        <v>134</v>
      </c>
      <c r="BB31" s="58" t="s">
        <v>134</v>
      </c>
      <c r="BC31" s="58" t="s">
        <v>134</v>
      </c>
      <c r="BD31" s="58" t="s">
        <v>134</v>
      </c>
      <c r="BE31" s="58" t="s">
        <v>134</v>
      </c>
      <c r="BF31" s="58" t="s">
        <v>134</v>
      </c>
      <c r="BG31" s="58" t="s">
        <v>134</v>
      </c>
      <c r="BH31" s="58" t="s">
        <v>134</v>
      </c>
      <c r="BI31" s="58" t="s">
        <v>134</v>
      </c>
      <c r="BJ31" s="58" t="s">
        <v>134</v>
      </c>
      <c r="BK31" s="58" t="s">
        <v>134</v>
      </c>
      <c r="BL31" s="58" t="s">
        <v>134</v>
      </c>
      <c r="BM31" s="58" t="s">
        <v>134</v>
      </c>
      <c r="BN31" s="58" t="s">
        <v>134</v>
      </c>
      <c r="BO31" s="58" t="s">
        <v>134</v>
      </c>
      <c r="BP31" s="58" t="s">
        <v>134</v>
      </c>
      <c r="BQ31" s="58" t="s">
        <v>134</v>
      </c>
      <c r="BR31" s="58" t="s">
        <v>134</v>
      </c>
      <c r="BS31" s="58" t="s">
        <v>134</v>
      </c>
      <c r="BT31" s="58" t="s">
        <v>134</v>
      </c>
      <c r="BU31" s="58" t="s">
        <v>134</v>
      </c>
      <c r="BV31" s="58" t="s">
        <v>134</v>
      </c>
      <c r="BW31" s="58" t="s">
        <v>134</v>
      </c>
      <c r="BX31" s="58" t="s">
        <v>134</v>
      </c>
      <c r="BY31" s="58" t="s">
        <v>134</v>
      </c>
      <c r="BZ31" s="58" t="s">
        <v>134</v>
      </c>
      <c r="CA31" s="58" t="s">
        <v>134</v>
      </c>
      <c r="CB31" s="58" t="s">
        <v>134</v>
      </c>
      <c r="CC31" s="58" t="s">
        <v>134</v>
      </c>
      <c r="CD31" s="58" t="s">
        <v>134</v>
      </c>
      <c r="CE31" s="58" t="s">
        <v>134</v>
      </c>
      <c r="CF31" s="58" t="s">
        <v>134</v>
      </c>
      <c r="CG31" s="58" t="s">
        <v>134</v>
      </c>
      <c r="CH31" s="58" t="s">
        <v>134</v>
      </c>
      <c r="CI31" s="58" t="s">
        <v>134</v>
      </c>
      <c r="CJ31" s="58" t="s">
        <v>134</v>
      </c>
      <c r="CK31" s="58" t="s">
        <v>134</v>
      </c>
      <c r="CL31" s="58" t="s">
        <v>134</v>
      </c>
      <c r="CM31" s="58" t="s">
        <v>134</v>
      </c>
      <c r="CN31" s="58" t="s">
        <v>134</v>
      </c>
      <c r="CO31" s="58" t="s">
        <v>134</v>
      </c>
      <c r="CP31" s="58" t="s">
        <v>134</v>
      </c>
      <c r="CQ31" s="58" t="s">
        <v>134</v>
      </c>
      <c r="CR31" s="58" t="s">
        <v>134</v>
      </c>
      <c r="CS31" s="58" t="s">
        <v>134</v>
      </c>
      <c r="CT31" s="58" t="s">
        <v>134</v>
      </c>
      <c r="CU31" s="58" t="s">
        <v>134</v>
      </c>
      <c r="CV31" s="58" t="s">
        <v>134</v>
      </c>
      <c r="CW31" s="58" t="s">
        <v>134</v>
      </c>
      <c r="CX31" s="58" t="s">
        <v>134</v>
      </c>
      <c r="CY31" s="58" t="s">
        <v>134</v>
      </c>
      <c r="CZ31" s="58" t="s">
        <v>134</v>
      </c>
      <c r="DA31" s="58" t="s">
        <v>134</v>
      </c>
      <c r="DB31" s="58" t="s">
        <v>134</v>
      </c>
      <c r="DC31" s="58" t="s">
        <v>134</v>
      </c>
      <c r="DD31" s="58" t="s">
        <v>134</v>
      </c>
      <c r="DE31" s="58" t="s">
        <v>134</v>
      </c>
      <c r="DF31" s="58" t="s">
        <v>134</v>
      </c>
      <c r="DG31" s="58" t="s">
        <v>134</v>
      </c>
      <c r="DH31" s="58" t="s">
        <v>134</v>
      </c>
      <c r="DI31" s="58" t="s">
        <v>134</v>
      </c>
      <c r="DJ31" s="58" t="s">
        <v>134</v>
      </c>
      <c r="DK31" s="58" t="s">
        <v>134</v>
      </c>
      <c r="DL31" s="58" t="s">
        <v>134</v>
      </c>
      <c r="DM31" s="58" t="s">
        <v>134</v>
      </c>
      <c r="DN31" s="58" t="s">
        <v>134</v>
      </c>
      <c r="DO31" s="58" t="s">
        <v>134</v>
      </c>
      <c r="DP31" s="58" t="s">
        <v>134</v>
      </c>
      <c r="DQ31" s="58" t="s">
        <v>134</v>
      </c>
      <c r="DR31" s="58" t="s">
        <v>134</v>
      </c>
      <c r="DS31" s="58" t="s">
        <v>134</v>
      </c>
      <c r="DT31" s="58" t="s">
        <v>134</v>
      </c>
      <c r="DU31" s="58" t="s">
        <v>134</v>
      </c>
      <c r="DV31" s="58" t="s">
        <v>134</v>
      </c>
      <c r="DW31" s="58" t="s">
        <v>134</v>
      </c>
      <c r="DX31" s="58" t="s">
        <v>134</v>
      </c>
      <c r="DY31" s="58" t="s">
        <v>134</v>
      </c>
      <c r="DZ31" s="58" t="s">
        <v>134</v>
      </c>
      <c r="EA31" s="58" t="s">
        <v>134</v>
      </c>
      <c r="EB31" s="58" t="s">
        <v>134</v>
      </c>
      <c r="EC31" s="58" t="s">
        <v>134</v>
      </c>
      <c r="ED31" s="58" t="s">
        <v>134</v>
      </c>
      <c r="EE31" s="58" t="s">
        <v>134</v>
      </c>
      <c r="EF31" s="58" t="s">
        <v>134</v>
      </c>
      <c r="EG31" s="58" t="s">
        <v>134</v>
      </c>
      <c r="EH31" s="58" t="s">
        <v>134</v>
      </c>
      <c r="EI31" s="58" t="s">
        <v>134</v>
      </c>
      <c r="EJ31" s="58" t="s">
        <v>134</v>
      </c>
      <c r="EK31" s="58" t="s">
        <v>134</v>
      </c>
      <c r="EL31" s="58" t="s">
        <v>134</v>
      </c>
      <c r="EM31" s="58" t="s">
        <v>134</v>
      </c>
      <c r="EN31" s="58" t="s">
        <v>134</v>
      </c>
      <c r="EO31" s="58">
        <v>0.0</v>
      </c>
      <c r="EP31" s="58">
        <v>0.0</v>
      </c>
      <c r="EQ31" s="58">
        <v>0.0</v>
      </c>
      <c r="ER31" s="58" t="s">
        <v>134</v>
      </c>
      <c r="ES31" s="58" t="s">
        <v>134</v>
      </c>
      <c r="ET31" s="58" t="s">
        <v>134</v>
      </c>
    </row>
    <row r="32">
      <c r="A32" s="58" t="s">
        <v>56</v>
      </c>
      <c r="B32" s="58" t="s">
        <v>134</v>
      </c>
      <c r="C32" s="58" t="s">
        <v>134</v>
      </c>
      <c r="D32" s="58" t="s">
        <v>134</v>
      </c>
      <c r="E32" s="58" t="s">
        <v>134</v>
      </c>
      <c r="F32" s="58" t="s">
        <v>134</v>
      </c>
      <c r="G32" s="58" t="s">
        <v>134</v>
      </c>
      <c r="H32" s="58" t="s">
        <v>134</v>
      </c>
      <c r="I32" s="58">
        <v>0.0</v>
      </c>
      <c r="J32" s="58" t="s">
        <v>134</v>
      </c>
      <c r="K32" s="58">
        <v>0.0</v>
      </c>
      <c r="L32" s="58">
        <v>0.0</v>
      </c>
      <c r="M32" s="58" t="s">
        <v>134</v>
      </c>
      <c r="N32" s="58" t="s">
        <v>134</v>
      </c>
      <c r="O32" s="58" t="s">
        <v>134</v>
      </c>
      <c r="P32" s="58" t="s">
        <v>134</v>
      </c>
      <c r="Q32" s="58" t="s">
        <v>134</v>
      </c>
      <c r="R32" s="58" t="s">
        <v>134</v>
      </c>
      <c r="S32" s="58" t="s">
        <v>134</v>
      </c>
      <c r="T32" s="58" t="s">
        <v>134</v>
      </c>
      <c r="U32" s="58" t="s">
        <v>134</v>
      </c>
      <c r="V32" s="58" t="s">
        <v>134</v>
      </c>
      <c r="W32" s="58" t="s">
        <v>134</v>
      </c>
      <c r="X32" s="58" t="s">
        <v>134</v>
      </c>
      <c r="Y32" s="58" t="s">
        <v>134</v>
      </c>
      <c r="Z32" s="58" t="s">
        <v>134</v>
      </c>
      <c r="AA32" s="58" t="s">
        <v>134</v>
      </c>
      <c r="AB32" s="58" t="s">
        <v>134</v>
      </c>
      <c r="AC32" s="58" t="s">
        <v>134</v>
      </c>
      <c r="AD32" s="58" t="s">
        <v>134</v>
      </c>
      <c r="AE32" s="58" t="s">
        <v>134</v>
      </c>
      <c r="AF32" s="58" t="s">
        <v>134</v>
      </c>
      <c r="AG32" s="58" t="s">
        <v>134</v>
      </c>
      <c r="AH32" s="58" t="s">
        <v>134</v>
      </c>
      <c r="AI32" s="58" t="s">
        <v>134</v>
      </c>
      <c r="AJ32" s="58" t="s">
        <v>134</v>
      </c>
      <c r="AK32" s="58" t="s">
        <v>134</v>
      </c>
      <c r="AL32" s="58" t="s">
        <v>134</v>
      </c>
      <c r="AM32" s="58" t="s">
        <v>134</v>
      </c>
      <c r="AN32" s="58">
        <v>0.0</v>
      </c>
      <c r="AO32" s="58" t="s">
        <v>134</v>
      </c>
      <c r="AP32" s="58" t="s">
        <v>134</v>
      </c>
      <c r="AQ32" s="58" t="s">
        <v>134</v>
      </c>
      <c r="AR32" s="58" t="s">
        <v>134</v>
      </c>
      <c r="AS32" s="58" t="s">
        <v>134</v>
      </c>
      <c r="AT32" s="58" t="s">
        <v>134</v>
      </c>
      <c r="AU32" s="58" t="s">
        <v>134</v>
      </c>
      <c r="AV32" s="58" t="s">
        <v>134</v>
      </c>
      <c r="AW32" s="58" t="s">
        <v>134</v>
      </c>
      <c r="AX32" s="58" t="s">
        <v>134</v>
      </c>
      <c r="AY32" s="58" t="s">
        <v>134</v>
      </c>
      <c r="AZ32" s="58" t="s">
        <v>134</v>
      </c>
      <c r="BA32" s="58" t="s">
        <v>134</v>
      </c>
      <c r="BB32" s="58" t="s">
        <v>134</v>
      </c>
      <c r="BC32" s="58" t="s">
        <v>134</v>
      </c>
      <c r="BD32" s="58" t="s">
        <v>134</v>
      </c>
      <c r="BE32" s="58" t="s">
        <v>134</v>
      </c>
      <c r="BF32" s="58" t="s">
        <v>134</v>
      </c>
      <c r="BG32" s="58" t="s">
        <v>134</v>
      </c>
      <c r="BH32" s="58" t="s">
        <v>134</v>
      </c>
      <c r="BI32" s="58" t="s">
        <v>134</v>
      </c>
      <c r="BJ32" s="58" t="s">
        <v>134</v>
      </c>
      <c r="BK32" s="58" t="s">
        <v>134</v>
      </c>
      <c r="BL32" s="58" t="s">
        <v>134</v>
      </c>
      <c r="BM32" s="58" t="s">
        <v>134</v>
      </c>
      <c r="BN32" s="58" t="s">
        <v>134</v>
      </c>
      <c r="BO32" s="58" t="s">
        <v>134</v>
      </c>
      <c r="BP32" s="58" t="s">
        <v>134</v>
      </c>
      <c r="BQ32" s="58" t="s">
        <v>134</v>
      </c>
      <c r="BR32" s="58" t="s">
        <v>134</v>
      </c>
      <c r="BS32" s="58" t="s">
        <v>134</v>
      </c>
      <c r="BT32" s="58" t="s">
        <v>134</v>
      </c>
      <c r="BU32" s="58" t="s">
        <v>134</v>
      </c>
      <c r="BV32" s="58" t="s">
        <v>134</v>
      </c>
      <c r="BW32" s="58" t="s">
        <v>134</v>
      </c>
      <c r="BX32" s="58" t="s">
        <v>134</v>
      </c>
      <c r="BY32" s="58" t="s">
        <v>134</v>
      </c>
      <c r="BZ32" s="58" t="s">
        <v>134</v>
      </c>
      <c r="CA32" s="58" t="s">
        <v>134</v>
      </c>
      <c r="CB32" s="58" t="s">
        <v>134</v>
      </c>
      <c r="CC32" s="58" t="s">
        <v>134</v>
      </c>
      <c r="CD32" s="58" t="s">
        <v>134</v>
      </c>
      <c r="CE32" s="58" t="s">
        <v>134</v>
      </c>
      <c r="CF32" s="58" t="s">
        <v>134</v>
      </c>
      <c r="CG32" s="58" t="s">
        <v>134</v>
      </c>
      <c r="CH32" s="58" t="s">
        <v>134</v>
      </c>
      <c r="CI32" s="58" t="s">
        <v>134</v>
      </c>
      <c r="CJ32" s="58" t="s">
        <v>134</v>
      </c>
      <c r="CK32" s="58" t="s">
        <v>134</v>
      </c>
      <c r="CL32" s="58" t="s">
        <v>134</v>
      </c>
      <c r="CM32" s="58" t="s">
        <v>134</v>
      </c>
      <c r="CN32" s="58" t="s">
        <v>134</v>
      </c>
      <c r="CO32" s="58" t="s">
        <v>134</v>
      </c>
      <c r="CP32" s="58" t="s">
        <v>134</v>
      </c>
      <c r="CQ32" s="58" t="s">
        <v>134</v>
      </c>
      <c r="CR32" s="58" t="s">
        <v>134</v>
      </c>
      <c r="CS32" s="58" t="s">
        <v>134</v>
      </c>
      <c r="CT32" s="58" t="s">
        <v>134</v>
      </c>
      <c r="CU32" s="58" t="s">
        <v>134</v>
      </c>
      <c r="CV32" s="58" t="s">
        <v>134</v>
      </c>
      <c r="CW32" s="58" t="s">
        <v>134</v>
      </c>
      <c r="CX32" s="58" t="s">
        <v>134</v>
      </c>
      <c r="CY32" s="58" t="s">
        <v>134</v>
      </c>
      <c r="CZ32" s="58" t="s">
        <v>134</v>
      </c>
      <c r="DA32" s="58" t="s">
        <v>134</v>
      </c>
      <c r="DB32" s="58" t="s">
        <v>134</v>
      </c>
      <c r="DC32" s="58" t="s">
        <v>134</v>
      </c>
      <c r="DD32" s="58" t="s">
        <v>134</v>
      </c>
      <c r="DE32" s="58" t="s">
        <v>134</v>
      </c>
      <c r="DF32" s="58" t="s">
        <v>134</v>
      </c>
      <c r="DG32" s="58" t="s">
        <v>134</v>
      </c>
      <c r="DH32" s="58" t="s">
        <v>134</v>
      </c>
      <c r="DI32" s="58" t="s">
        <v>134</v>
      </c>
      <c r="DJ32" s="58" t="s">
        <v>134</v>
      </c>
      <c r="DK32" s="58" t="s">
        <v>134</v>
      </c>
      <c r="DL32" s="58" t="s">
        <v>134</v>
      </c>
      <c r="DM32" s="58" t="s">
        <v>134</v>
      </c>
      <c r="DN32" s="58" t="s">
        <v>134</v>
      </c>
      <c r="DO32" s="58" t="s">
        <v>134</v>
      </c>
      <c r="DP32" s="58" t="s">
        <v>134</v>
      </c>
      <c r="DQ32" s="58" t="s">
        <v>134</v>
      </c>
      <c r="DR32" s="58" t="s">
        <v>134</v>
      </c>
      <c r="DS32" s="58" t="s">
        <v>134</v>
      </c>
      <c r="DT32" s="58" t="s">
        <v>134</v>
      </c>
      <c r="DU32" s="58" t="s">
        <v>134</v>
      </c>
      <c r="DV32" s="58" t="s">
        <v>134</v>
      </c>
      <c r="DW32" s="58" t="s">
        <v>134</v>
      </c>
      <c r="DX32" s="58" t="s">
        <v>134</v>
      </c>
      <c r="DY32" s="58" t="s">
        <v>134</v>
      </c>
      <c r="DZ32" s="58" t="s">
        <v>134</v>
      </c>
      <c r="EA32" s="58" t="s">
        <v>134</v>
      </c>
      <c r="EB32" s="58" t="s">
        <v>134</v>
      </c>
      <c r="EC32" s="58" t="s">
        <v>134</v>
      </c>
      <c r="ED32" s="58" t="s">
        <v>134</v>
      </c>
      <c r="EE32" s="58" t="s">
        <v>134</v>
      </c>
      <c r="EF32" s="58" t="s">
        <v>134</v>
      </c>
      <c r="EG32" s="58" t="s">
        <v>134</v>
      </c>
      <c r="EH32" s="58" t="s">
        <v>134</v>
      </c>
      <c r="EI32" s="58" t="s">
        <v>134</v>
      </c>
      <c r="EJ32" s="58" t="s">
        <v>134</v>
      </c>
      <c r="EK32" s="58" t="s">
        <v>134</v>
      </c>
      <c r="EL32" s="58" t="s">
        <v>134</v>
      </c>
      <c r="EM32" s="58" t="s">
        <v>134</v>
      </c>
      <c r="EN32" s="58" t="s">
        <v>134</v>
      </c>
      <c r="EO32" s="58">
        <v>0.0</v>
      </c>
      <c r="EP32" s="58">
        <v>0.0</v>
      </c>
      <c r="EQ32" s="58">
        <v>0.0</v>
      </c>
      <c r="ER32" s="58" t="s">
        <v>134</v>
      </c>
      <c r="ES32" s="58" t="s">
        <v>134</v>
      </c>
      <c r="ET32" s="58" t="s">
        <v>134</v>
      </c>
    </row>
    <row r="33">
      <c r="A33" s="58" t="s">
        <v>81</v>
      </c>
      <c r="B33" s="58" t="s">
        <v>134</v>
      </c>
      <c r="C33" s="58" t="s">
        <v>134</v>
      </c>
      <c r="D33" s="58" t="s">
        <v>134</v>
      </c>
      <c r="E33" s="58" t="s">
        <v>134</v>
      </c>
      <c r="F33" s="58" t="s">
        <v>134</v>
      </c>
      <c r="G33" s="58" t="s">
        <v>134</v>
      </c>
      <c r="H33" s="58" t="s">
        <v>134</v>
      </c>
      <c r="I33" s="58">
        <v>0.0704</v>
      </c>
      <c r="J33" s="58" t="s">
        <v>134</v>
      </c>
      <c r="K33" s="58">
        <v>0.031</v>
      </c>
      <c r="L33" s="58">
        <v>0.0</v>
      </c>
      <c r="M33" s="58" t="s">
        <v>134</v>
      </c>
      <c r="N33" s="58" t="s">
        <v>134</v>
      </c>
      <c r="O33" s="58" t="s">
        <v>134</v>
      </c>
      <c r="P33" s="58" t="s">
        <v>134</v>
      </c>
      <c r="Q33" s="58" t="s">
        <v>134</v>
      </c>
      <c r="R33" s="58" t="s">
        <v>134</v>
      </c>
      <c r="S33" s="58" t="s">
        <v>134</v>
      </c>
      <c r="T33" s="58" t="s">
        <v>134</v>
      </c>
      <c r="U33" s="58" t="s">
        <v>134</v>
      </c>
      <c r="V33" s="58" t="s">
        <v>134</v>
      </c>
      <c r="W33" s="58" t="s">
        <v>134</v>
      </c>
      <c r="X33" s="58" t="s">
        <v>134</v>
      </c>
      <c r="Y33" s="58" t="s">
        <v>134</v>
      </c>
      <c r="Z33" s="58" t="s">
        <v>134</v>
      </c>
      <c r="AA33" s="58" t="s">
        <v>134</v>
      </c>
      <c r="AB33" s="58" t="s">
        <v>134</v>
      </c>
      <c r="AC33" s="58" t="s">
        <v>134</v>
      </c>
      <c r="AD33" s="58" t="s">
        <v>134</v>
      </c>
      <c r="AE33" s="58" t="s">
        <v>134</v>
      </c>
      <c r="AF33" s="58" t="s">
        <v>134</v>
      </c>
      <c r="AG33" s="58" t="s">
        <v>134</v>
      </c>
      <c r="AH33" s="58" t="s">
        <v>134</v>
      </c>
      <c r="AI33" s="58" t="s">
        <v>134</v>
      </c>
      <c r="AJ33" s="58" t="s">
        <v>134</v>
      </c>
      <c r="AK33" s="58" t="s">
        <v>134</v>
      </c>
      <c r="AL33" s="58" t="s">
        <v>134</v>
      </c>
      <c r="AM33" s="58" t="s">
        <v>134</v>
      </c>
      <c r="AN33" s="58">
        <v>0.2426</v>
      </c>
      <c r="AO33" s="58" t="s">
        <v>134</v>
      </c>
      <c r="AP33" s="58" t="s">
        <v>134</v>
      </c>
      <c r="AQ33" s="58" t="s">
        <v>134</v>
      </c>
      <c r="AR33" s="58" t="s">
        <v>134</v>
      </c>
      <c r="AS33" s="58" t="s">
        <v>134</v>
      </c>
      <c r="AT33" s="58" t="s">
        <v>134</v>
      </c>
      <c r="AU33" s="58" t="s">
        <v>134</v>
      </c>
      <c r="AV33" s="58" t="s">
        <v>134</v>
      </c>
      <c r="AW33" s="58">
        <v>0.0313</v>
      </c>
      <c r="AX33" s="58" t="s">
        <v>134</v>
      </c>
      <c r="AY33" s="58" t="s">
        <v>134</v>
      </c>
      <c r="AZ33" s="58" t="s">
        <v>134</v>
      </c>
      <c r="BA33" s="58" t="s">
        <v>134</v>
      </c>
      <c r="BB33" s="58" t="s">
        <v>134</v>
      </c>
      <c r="BC33" s="58" t="s">
        <v>134</v>
      </c>
      <c r="BD33" s="58" t="s">
        <v>134</v>
      </c>
      <c r="BE33" s="58" t="s">
        <v>134</v>
      </c>
      <c r="BF33" s="58" t="s">
        <v>134</v>
      </c>
      <c r="BG33" s="58" t="s">
        <v>134</v>
      </c>
      <c r="BH33" s="58" t="s">
        <v>134</v>
      </c>
      <c r="BI33" s="58" t="s">
        <v>134</v>
      </c>
      <c r="BJ33" s="58" t="s">
        <v>134</v>
      </c>
      <c r="BK33" s="58" t="s">
        <v>134</v>
      </c>
      <c r="BL33" s="58" t="s">
        <v>134</v>
      </c>
      <c r="BM33" s="58" t="s">
        <v>134</v>
      </c>
      <c r="BN33" s="58" t="s">
        <v>134</v>
      </c>
      <c r="BO33" s="58" t="s">
        <v>134</v>
      </c>
      <c r="BP33" s="58" t="s">
        <v>134</v>
      </c>
      <c r="BQ33" s="58" t="s">
        <v>134</v>
      </c>
      <c r="BR33" s="58" t="s">
        <v>134</v>
      </c>
      <c r="BS33" s="58" t="s">
        <v>134</v>
      </c>
      <c r="BT33" s="58" t="s">
        <v>134</v>
      </c>
      <c r="BU33" s="58" t="s">
        <v>134</v>
      </c>
      <c r="BV33" s="58" t="s">
        <v>134</v>
      </c>
      <c r="BW33" s="58" t="s">
        <v>134</v>
      </c>
      <c r="BX33" s="58" t="s">
        <v>134</v>
      </c>
      <c r="BY33" s="58" t="s">
        <v>134</v>
      </c>
      <c r="BZ33" s="58" t="s">
        <v>134</v>
      </c>
      <c r="CA33" s="58" t="s">
        <v>134</v>
      </c>
      <c r="CB33" s="58" t="s">
        <v>134</v>
      </c>
      <c r="CC33" s="58" t="s">
        <v>134</v>
      </c>
      <c r="CD33" s="58" t="s">
        <v>134</v>
      </c>
      <c r="CE33" s="58" t="s">
        <v>134</v>
      </c>
      <c r="CF33" s="58" t="s">
        <v>134</v>
      </c>
      <c r="CG33" s="58" t="s">
        <v>134</v>
      </c>
      <c r="CH33" s="58" t="s">
        <v>134</v>
      </c>
      <c r="CI33" s="58" t="s">
        <v>134</v>
      </c>
      <c r="CJ33" s="58" t="s">
        <v>134</v>
      </c>
      <c r="CK33" s="58" t="s">
        <v>134</v>
      </c>
      <c r="CL33" s="58" t="s">
        <v>134</v>
      </c>
      <c r="CM33" s="58" t="s">
        <v>134</v>
      </c>
      <c r="CN33" s="58" t="s">
        <v>134</v>
      </c>
      <c r="CO33" s="58" t="s">
        <v>134</v>
      </c>
      <c r="CP33" s="58" t="s">
        <v>134</v>
      </c>
      <c r="CQ33" s="58" t="s">
        <v>134</v>
      </c>
      <c r="CR33" s="58" t="s">
        <v>134</v>
      </c>
      <c r="CS33" s="58" t="s">
        <v>134</v>
      </c>
      <c r="CT33" s="58" t="s">
        <v>134</v>
      </c>
      <c r="CU33" s="58" t="s">
        <v>134</v>
      </c>
      <c r="CV33" s="58" t="s">
        <v>134</v>
      </c>
      <c r="CW33" s="58" t="s">
        <v>134</v>
      </c>
      <c r="CX33" s="58" t="s">
        <v>134</v>
      </c>
      <c r="CY33" s="58" t="s">
        <v>134</v>
      </c>
      <c r="CZ33" s="58" t="s">
        <v>134</v>
      </c>
      <c r="DA33" s="58" t="s">
        <v>134</v>
      </c>
      <c r="DB33" s="58" t="s">
        <v>134</v>
      </c>
      <c r="DC33" s="58" t="s">
        <v>134</v>
      </c>
      <c r="DD33" s="58" t="s">
        <v>134</v>
      </c>
      <c r="DE33" s="58" t="s">
        <v>134</v>
      </c>
      <c r="DF33" s="58" t="s">
        <v>134</v>
      </c>
      <c r="DG33" s="58" t="s">
        <v>134</v>
      </c>
      <c r="DH33" s="58" t="s">
        <v>134</v>
      </c>
      <c r="DI33" s="58" t="s">
        <v>134</v>
      </c>
      <c r="DJ33" s="58" t="s">
        <v>134</v>
      </c>
      <c r="DK33" s="58" t="s">
        <v>134</v>
      </c>
      <c r="DL33" s="58" t="s">
        <v>134</v>
      </c>
      <c r="DM33" s="58" t="s">
        <v>134</v>
      </c>
      <c r="DN33" s="58" t="s">
        <v>134</v>
      </c>
      <c r="DO33" s="58" t="s">
        <v>134</v>
      </c>
      <c r="DP33" s="58" t="s">
        <v>134</v>
      </c>
      <c r="DQ33" s="58" t="s">
        <v>134</v>
      </c>
      <c r="DR33" s="58" t="s">
        <v>134</v>
      </c>
      <c r="DS33" s="58" t="s">
        <v>134</v>
      </c>
      <c r="DT33" s="58" t="s">
        <v>134</v>
      </c>
      <c r="DU33" s="58" t="s">
        <v>134</v>
      </c>
      <c r="DV33" s="58" t="s">
        <v>134</v>
      </c>
      <c r="DW33" s="58" t="s">
        <v>134</v>
      </c>
      <c r="DX33" s="58" t="s">
        <v>134</v>
      </c>
      <c r="DY33" s="58" t="s">
        <v>134</v>
      </c>
      <c r="DZ33" s="58" t="s">
        <v>134</v>
      </c>
      <c r="EA33" s="58" t="s">
        <v>134</v>
      </c>
      <c r="EB33" s="58" t="s">
        <v>134</v>
      </c>
      <c r="EC33" s="58" t="s">
        <v>134</v>
      </c>
      <c r="ED33" s="58" t="s">
        <v>134</v>
      </c>
      <c r="EE33" s="58" t="s">
        <v>134</v>
      </c>
      <c r="EF33" s="58" t="s">
        <v>134</v>
      </c>
      <c r="EG33" s="58" t="s">
        <v>134</v>
      </c>
      <c r="EH33" s="58" t="s">
        <v>134</v>
      </c>
      <c r="EI33" s="58" t="s">
        <v>134</v>
      </c>
      <c r="EJ33" s="58" t="s">
        <v>134</v>
      </c>
      <c r="EK33" s="58" t="s">
        <v>134</v>
      </c>
      <c r="EL33" s="58" t="s">
        <v>134</v>
      </c>
      <c r="EM33" s="58" t="s">
        <v>134</v>
      </c>
      <c r="EN33" s="58" t="s">
        <v>134</v>
      </c>
      <c r="EO33" s="58">
        <v>0.0</v>
      </c>
      <c r="EP33" s="58">
        <v>0.0</v>
      </c>
      <c r="EQ33" s="58">
        <v>0.0</v>
      </c>
      <c r="ER33" s="58" t="s">
        <v>134</v>
      </c>
      <c r="ES33" s="58" t="s">
        <v>134</v>
      </c>
      <c r="ET33" s="58" t="s">
        <v>134</v>
      </c>
    </row>
    <row r="34">
      <c r="A34" s="58" t="s">
        <v>279</v>
      </c>
      <c r="B34" s="58" t="s">
        <v>134</v>
      </c>
      <c r="C34" s="58" t="s">
        <v>134</v>
      </c>
      <c r="D34" s="58" t="s">
        <v>134</v>
      </c>
      <c r="E34" s="58" t="s">
        <v>134</v>
      </c>
      <c r="F34" s="58" t="s">
        <v>134</v>
      </c>
      <c r="G34" s="58" t="s">
        <v>134</v>
      </c>
      <c r="H34" s="58" t="s">
        <v>134</v>
      </c>
      <c r="I34" s="58" t="s">
        <v>134</v>
      </c>
      <c r="J34" s="58" t="s">
        <v>134</v>
      </c>
      <c r="K34" s="58">
        <v>0.0</v>
      </c>
      <c r="L34" s="58">
        <v>0.0</v>
      </c>
      <c r="M34" s="58" t="s">
        <v>134</v>
      </c>
      <c r="N34" s="58" t="s">
        <v>134</v>
      </c>
      <c r="O34" s="58" t="s">
        <v>134</v>
      </c>
      <c r="P34" s="58" t="s">
        <v>134</v>
      </c>
      <c r="Q34" s="58" t="s">
        <v>134</v>
      </c>
      <c r="R34" s="58" t="s">
        <v>134</v>
      </c>
      <c r="S34" s="58" t="s">
        <v>134</v>
      </c>
      <c r="T34" s="58" t="s">
        <v>134</v>
      </c>
      <c r="U34" s="58" t="s">
        <v>134</v>
      </c>
      <c r="V34" s="58" t="s">
        <v>134</v>
      </c>
      <c r="W34" s="58" t="s">
        <v>134</v>
      </c>
      <c r="X34" s="58" t="s">
        <v>134</v>
      </c>
      <c r="Y34" s="58" t="s">
        <v>134</v>
      </c>
      <c r="Z34" s="58" t="s">
        <v>134</v>
      </c>
      <c r="AA34" s="58" t="s">
        <v>134</v>
      </c>
      <c r="AB34" s="58" t="s">
        <v>134</v>
      </c>
      <c r="AC34" s="58" t="s">
        <v>134</v>
      </c>
      <c r="AD34" s="58" t="s">
        <v>134</v>
      </c>
      <c r="AE34" s="58" t="s">
        <v>134</v>
      </c>
      <c r="AF34" s="58" t="s">
        <v>134</v>
      </c>
      <c r="AG34" s="58" t="s">
        <v>134</v>
      </c>
      <c r="AH34" s="58" t="s">
        <v>134</v>
      </c>
      <c r="AI34" s="58" t="s">
        <v>134</v>
      </c>
      <c r="AJ34" s="58" t="s">
        <v>134</v>
      </c>
      <c r="AK34" s="58" t="s">
        <v>134</v>
      </c>
      <c r="AL34" s="58" t="s">
        <v>134</v>
      </c>
      <c r="AM34" s="58" t="s">
        <v>134</v>
      </c>
      <c r="AN34" s="58" t="s">
        <v>134</v>
      </c>
      <c r="AO34" s="58" t="s">
        <v>134</v>
      </c>
      <c r="AP34" s="58" t="s">
        <v>134</v>
      </c>
      <c r="AQ34" s="58" t="s">
        <v>134</v>
      </c>
      <c r="AR34" s="58" t="s">
        <v>134</v>
      </c>
      <c r="AS34" s="58" t="s">
        <v>134</v>
      </c>
      <c r="AT34" s="58" t="s">
        <v>134</v>
      </c>
      <c r="AU34" s="58" t="s">
        <v>134</v>
      </c>
      <c r="AV34" s="58" t="s">
        <v>134</v>
      </c>
      <c r="AW34" s="58" t="s">
        <v>134</v>
      </c>
      <c r="AX34" s="58" t="s">
        <v>134</v>
      </c>
      <c r="AY34" s="58" t="s">
        <v>134</v>
      </c>
      <c r="AZ34" s="58" t="s">
        <v>134</v>
      </c>
      <c r="BA34" s="58" t="s">
        <v>134</v>
      </c>
      <c r="BB34" s="58" t="s">
        <v>134</v>
      </c>
      <c r="BC34" s="58" t="s">
        <v>134</v>
      </c>
      <c r="BD34" s="58" t="s">
        <v>134</v>
      </c>
      <c r="BE34" s="58" t="s">
        <v>134</v>
      </c>
      <c r="BF34" s="58" t="s">
        <v>134</v>
      </c>
      <c r="BG34" s="58" t="s">
        <v>134</v>
      </c>
      <c r="BH34" s="58" t="s">
        <v>134</v>
      </c>
      <c r="BI34" s="58" t="s">
        <v>134</v>
      </c>
      <c r="BJ34" s="58" t="s">
        <v>134</v>
      </c>
      <c r="BK34" s="58" t="s">
        <v>134</v>
      </c>
      <c r="BL34" s="58" t="s">
        <v>134</v>
      </c>
      <c r="BM34" s="58" t="s">
        <v>134</v>
      </c>
      <c r="BN34" s="58" t="s">
        <v>134</v>
      </c>
      <c r="BO34" s="58" t="s">
        <v>134</v>
      </c>
      <c r="BP34" s="58" t="s">
        <v>134</v>
      </c>
      <c r="BQ34" s="58" t="s">
        <v>134</v>
      </c>
      <c r="BR34" s="58" t="s">
        <v>134</v>
      </c>
      <c r="BS34" s="58" t="s">
        <v>134</v>
      </c>
      <c r="BT34" s="58" t="s">
        <v>134</v>
      </c>
      <c r="BU34" s="58" t="s">
        <v>134</v>
      </c>
      <c r="BV34" s="58" t="s">
        <v>134</v>
      </c>
      <c r="BW34" s="58" t="s">
        <v>134</v>
      </c>
      <c r="BX34" s="58" t="s">
        <v>134</v>
      </c>
      <c r="BY34" s="58" t="s">
        <v>134</v>
      </c>
      <c r="BZ34" s="58" t="s">
        <v>134</v>
      </c>
      <c r="CA34" s="58" t="s">
        <v>134</v>
      </c>
      <c r="CB34" s="58" t="s">
        <v>134</v>
      </c>
      <c r="CC34" s="58" t="s">
        <v>134</v>
      </c>
      <c r="CD34" s="58" t="s">
        <v>134</v>
      </c>
      <c r="CE34" s="58" t="s">
        <v>134</v>
      </c>
      <c r="CF34" s="58" t="s">
        <v>134</v>
      </c>
      <c r="CG34" s="58" t="s">
        <v>134</v>
      </c>
      <c r="CH34" s="58" t="s">
        <v>134</v>
      </c>
      <c r="CI34" s="58" t="s">
        <v>134</v>
      </c>
      <c r="CJ34" s="58" t="s">
        <v>134</v>
      </c>
      <c r="CK34" s="58" t="s">
        <v>134</v>
      </c>
      <c r="CL34" s="58" t="s">
        <v>134</v>
      </c>
      <c r="CM34" s="58" t="s">
        <v>134</v>
      </c>
      <c r="CN34" s="58" t="s">
        <v>134</v>
      </c>
      <c r="CO34" s="58" t="s">
        <v>134</v>
      </c>
      <c r="CP34" s="58" t="s">
        <v>134</v>
      </c>
      <c r="CQ34" s="58" t="s">
        <v>134</v>
      </c>
      <c r="CR34" s="58" t="s">
        <v>134</v>
      </c>
      <c r="CS34" s="58" t="s">
        <v>134</v>
      </c>
      <c r="CT34" s="58" t="s">
        <v>134</v>
      </c>
      <c r="CU34" s="58" t="s">
        <v>134</v>
      </c>
      <c r="CV34" s="58" t="s">
        <v>134</v>
      </c>
      <c r="CW34" s="58" t="s">
        <v>134</v>
      </c>
      <c r="CX34" s="58" t="s">
        <v>134</v>
      </c>
      <c r="CY34" s="58" t="s">
        <v>134</v>
      </c>
      <c r="CZ34" s="58" t="s">
        <v>134</v>
      </c>
      <c r="DA34" s="58" t="s">
        <v>134</v>
      </c>
      <c r="DB34" s="58" t="s">
        <v>134</v>
      </c>
      <c r="DC34" s="58" t="s">
        <v>134</v>
      </c>
      <c r="DD34" s="58" t="s">
        <v>134</v>
      </c>
      <c r="DE34" s="58" t="s">
        <v>134</v>
      </c>
      <c r="DF34" s="58" t="s">
        <v>134</v>
      </c>
      <c r="DG34" s="58" t="s">
        <v>134</v>
      </c>
      <c r="DH34" s="58" t="s">
        <v>134</v>
      </c>
      <c r="DI34" s="58" t="s">
        <v>134</v>
      </c>
      <c r="DJ34" s="58" t="s">
        <v>134</v>
      </c>
      <c r="DK34" s="58" t="s">
        <v>134</v>
      </c>
      <c r="DL34" s="58" t="s">
        <v>134</v>
      </c>
      <c r="DM34" s="58" t="s">
        <v>134</v>
      </c>
      <c r="DN34" s="58" t="s">
        <v>134</v>
      </c>
      <c r="DO34" s="58" t="s">
        <v>134</v>
      </c>
      <c r="DP34" s="58" t="s">
        <v>134</v>
      </c>
      <c r="DQ34" s="58" t="s">
        <v>134</v>
      </c>
      <c r="DR34" s="58" t="s">
        <v>134</v>
      </c>
      <c r="DS34" s="58" t="s">
        <v>134</v>
      </c>
      <c r="DT34" s="58" t="s">
        <v>134</v>
      </c>
      <c r="DU34" s="58" t="s">
        <v>134</v>
      </c>
      <c r="DV34" s="58" t="s">
        <v>134</v>
      </c>
      <c r="DW34" s="58" t="s">
        <v>134</v>
      </c>
      <c r="DX34" s="58" t="s">
        <v>134</v>
      </c>
      <c r="DY34" s="58" t="s">
        <v>134</v>
      </c>
      <c r="DZ34" s="58" t="s">
        <v>134</v>
      </c>
      <c r="EA34" s="58" t="s">
        <v>134</v>
      </c>
      <c r="EB34" s="58" t="s">
        <v>134</v>
      </c>
      <c r="EC34" s="58" t="s">
        <v>134</v>
      </c>
      <c r="ED34" s="58" t="s">
        <v>134</v>
      </c>
      <c r="EE34" s="58" t="s">
        <v>134</v>
      </c>
      <c r="EF34" s="58" t="s">
        <v>134</v>
      </c>
      <c r="EG34" s="58" t="s">
        <v>134</v>
      </c>
      <c r="EH34" s="58" t="s">
        <v>134</v>
      </c>
      <c r="EI34" s="58" t="s">
        <v>134</v>
      </c>
      <c r="EJ34" s="58" t="s">
        <v>134</v>
      </c>
      <c r="EK34" s="58" t="s">
        <v>134</v>
      </c>
      <c r="EL34" s="58" t="s">
        <v>134</v>
      </c>
      <c r="EM34" s="58" t="s">
        <v>134</v>
      </c>
      <c r="EN34" s="58" t="s">
        <v>134</v>
      </c>
      <c r="EO34" s="58">
        <v>0.0</v>
      </c>
      <c r="EP34" s="58">
        <v>0.0</v>
      </c>
      <c r="EQ34" s="58">
        <v>0.0</v>
      </c>
      <c r="ER34" s="58" t="s">
        <v>134</v>
      </c>
      <c r="ES34" s="58" t="s">
        <v>134</v>
      </c>
      <c r="ET34" s="58" t="s">
        <v>134</v>
      </c>
    </row>
    <row r="35">
      <c r="A35" s="58" t="s">
        <v>88</v>
      </c>
      <c r="B35" s="58" t="s">
        <v>134</v>
      </c>
      <c r="C35" s="58" t="s">
        <v>134</v>
      </c>
      <c r="D35" s="58" t="s">
        <v>134</v>
      </c>
      <c r="E35" s="58" t="s">
        <v>134</v>
      </c>
      <c r="F35" s="58" t="s">
        <v>134</v>
      </c>
      <c r="G35" s="58" t="s">
        <v>134</v>
      </c>
      <c r="H35" s="58" t="s">
        <v>134</v>
      </c>
      <c r="I35" s="58">
        <v>0.1264</v>
      </c>
      <c r="J35" s="58" t="s">
        <v>134</v>
      </c>
      <c r="K35" s="58">
        <v>0.0</v>
      </c>
      <c r="L35" s="58">
        <v>0.0</v>
      </c>
      <c r="M35" s="58" t="s">
        <v>134</v>
      </c>
      <c r="N35" s="58" t="s">
        <v>134</v>
      </c>
      <c r="O35" s="58" t="s">
        <v>134</v>
      </c>
      <c r="P35" s="58" t="s">
        <v>134</v>
      </c>
      <c r="Q35" s="58" t="s">
        <v>134</v>
      </c>
      <c r="R35" s="58" t="s">
        <v>134</v>
      </c>
      <c r="S35" s="58" t="s">
        <v>134</v>
      </c>
      <c r="T35" s="58" t="s">
        <v>134</v>
      </c>
      <c r="U35" s="58" t="s">
        <v>134</v>
      </c>
      <c r="V35" s="58" t="s">
        <v>134</v>
      </c>
      <c r="W35" s="58" t="s">
        <v>134</v>
      </c>
      <c r="X35" s="58" t="s">
        <v>134</v>
      </c>
      <c r="Y35" s="58" t="s">
        <v>134</v>
      </c>
      <c r="Z35" s="58" t="s">
        <v>134</v>
      </c>
      <c r="AA35" s="58" t="s">
        <v>134</v>
      </c>
      <c r="AB35" s="58" t="s">
        <v>134</v>
      </c>
      <c r="AC35" s="58" t="s">
        <v>134</v>
      </c>
      <c r="AD35" s="58" t="s">
        <v>134</v>
      </c>
      <c r="AE35" s="58" t="s">
        <v>134</v>
      </c>
      <c r="AF35" s="58" t="s">
        <v>134</v>
      </c>
      <c r="AG35" s="58" t="s">
        <v>134</v>
      </c>
      <c r="AH35" s="58" t="s">
        <v>134</v>
      </c>
      <c r="AI35" s="58" t="s">
        <v>134</v>
      </c>
      <c r="AJ35" s="58" t="s">
        <v>134</v>
      </c>
      <c r="AK35" s="58" t="s">
        <v>134</v>
      </c>
      <c r="AL35" s="58" t="s">
        <v>134</v>
      </c>
      <c r="AM35" s="58" t="s">
        <v>134</v>
      </c>
      <c r="AN35" s="58">
        <v>0.0</v>
      </c>
      <c r="AO35" s="58" t="s">
        <v>134</v>
      </c>
      <c r="AP35" s="58" t="s">
        <v>134</v>
      </c>
      <c r="AQ35" s="58" t="s">
        <v>134</v>
      </c>
      <c r="AR35" s="58" t="s">
        <v>134</v>
      </c>
      <c r="AS35" s="58" t="s">
        <v>134</v>
      </c>
      <c r="AT35" s="58" t="s">
        <v>134</v>
      </c>
      <c r="AU35" s="58" t="s">
        <v>134</v>
      </c>
      <c r="AV35" s="58" t="s">
        <v>134</v>
      </c>
      <c r="AW35" s="58" t="s">
        <v>134</v>
      </c>
      <c r="AX35" s="58" t="s">
        <v>134</v>
      </c>
      <c r="AY35" s="58" t="s">
        <v>134</v>
      </c>
      <c r="AZ35" s="58" t="s">
        <v>134</v>
      </c>
      <c r="BA35" s="58" t="s">
        <v>134</v>
      </c>
      <c r="BB35" s="58" t="s">
        <v>134</v>
      </c>
      <c r="BC35" s="58" t="s">
        <v>134</v>
      </c>
      <c r="BD35" s="58" t="s">
        <v>134</v>
      </c>
      <c r="BE35" s="58" t="s">
        <v>134</v>
      </c>
      <c r="BF35" s="58" t="s">
        <v>134</v>
      </c>
      <c r="BG35" s="58" t="s">
        <v>134</v>
      </c>
      <c r="BH35" s="58" t="s">
        <v>134</v>
      </c>
      <c r="BI35" s="58" t="s">
        <v>134</v>
      </c>
      <c r="BJ35" s="58" t="s">
        <v>134</v>
      </c>
      <c r="BK35" s="58" t="s">
        <v>134</v>
      </c>
      <c r="BL35" s="58" t="s">
        <v>134</v>
      </c>
      <c r="BM35" s="58">
        <v>0.0982</v>
      </c>
      <c r="BN35" s="58" t="s">
        <v>134</v>
      </c>
      <c r="BO35" s="58" t="s">
        <v>134</v>
      </c>
      <c r="BP35" s="58" t="s">
        <v>134</v>
      </c>
      <c r="BQ35" s="58" t="s">
        <v>134</v>
      </c>
      <c r="BR35" s="58" t="s">
        <v>134</v>
      </c>
      <c r="BS35" s="58" t="s">
        <v>134</v>
      </c>
      <c r="BT35" s="58" t="s">
        <v>134</v>
      </c>
      <c r="BU35" s="58" t="s">
        <v>134</v>
      </c>
      <c r="BV35" s="58" t="s">
        <v>134</v>
      </c>
      <c r="BW35" s="58" t="s">
        <v>134</v>
      </c>
      <c r="BX35" s="58" t="s">
        <v>134</v>
      </c>
      <c r="BY35" s="58" t="s">
        <v>134</v>
      </c>
      <c r="BZ35" s="58" t="s">
        <v>134</v>
      </c>
      <c r="CA35" s="58" t="s">
        <v>134</v>
      </c>
      <c r="CB35" s="58" t="s">
        <v>134</v>
      </c>
      <c r="CC35" s="58" t="s">
        <v>134</v>
      </c>
      <c r="CD35" s="58" t="s">
        <v>134</v>
      </c>
      <c r="CE35" s="58" t="s">
        <v>134</v>
      </c>
      <c r="CF35" s="58" t="s">
        <v>134</v>
      </c>
      <c r="CG35" s="58" t="s">
        <v>134</v>
      </c>
      <c r="CH35" s="58" t="s">
        <v>134</v>
      </c>
      <c r="CI35" s="58" t="s">
        <v>134</v>
      </c>
      <c r="CJ35" s="58" t="s">
        <v>134</v>
      </c>
      <c r="CK35" s="58" t="s">
        <v>134</v>
      </c>
      <c r="CL35" s="58" t="s">
        <v>134</v>
      </c>
      <c r="CM35" s="58" t="s">
        <v>134</v>
      </c>
      <c r="CN35" s="58" t="s">
        <v>134</v>
      </c>
      <c r="CO35" s="58" t="s">
        <v>134</v>
      </c>
      <c r="CP35" s="58" t="s">
        <v>134</v>
      </c>
      <c r="CQ35" s="58" t="s">
        <v>134</v>
      </c>
      <c r="CR35" s="58" t="s">
        <v>134</v>
      </c>
      <c r="CS35" s="58" t="s">
        <v>134</v>
      </c>
      <c r="CT35" s="58" t="s">
        <v>134</v>
      </c>
      <c r="CU35" s="58" t="s">
        <v>134</v>
      </c>
      <c r="CV35" s="58" t="s">
        <v>134</v>
      </c>
      <c r="CW35" s="58" t="s">
        <v>134</v>
      </c>
      <c r="CX35" s="58" t="s">
        <v>134</v>
      </c>
      <c r="CY35" s="58" t="s">
        <v>134</v>
      </c>
      <c r="CZ35" s="58" t="s">
        <v>134</v>
      </c>
      <c r="DA35" s="58" t="s">
        <v>134</v>
      </c>
      <c r="DB35" s="58" t="s">
        <v>134</v>
      </c>
      <c r="DC35" s="58" t="s">
        <v>134</v>
      </c>
      <c r="DD35" s="58" t="s">
        <v>134</v>
      </c>
      <c r="DE35" s="58" t="s">
        <v>134</v>
      </c>
      <c r="DF35" s="58" t="s">
        <v>134</v>
      </c>
      <c r="DG35" s="58" t="s">
        <v>134</v>
      </c>
      <c r="DH35" s="58" t="s">
        <v>134</v>
      </c>
      <c r="DI35" s="58" t="s">
        <v>134</v>
      </c>
      <c r="DJ35" s="58" t="s">
        <v>134</v>
      </c>
      <c r="DK35" s="58" t="s">
        <v>134</v>
      </c>
      <c r="DL35" s="58" t="s">
        <v>134</v>
      </c>
      <c r="DM35" s="58" t="s">
        <v>134</v>
      </c>
      <c r="DN35" s="58" t="s">
        <v>134</v>
      </c>
      <c r="DO35" s="58" t="s">
        <v>134</v>
      </c>
      <c r="DP35" s="58" t="s">
        <v>134</v>
      </c>
      <c r="DQ35" s="58" t="s">
        <v>134</v>
      </c>
      <c r="DR35" s="58" t="s">
        <v>134</v>
      </c>
      <c r="DS35" s="58" t="s">
        <v>134</v>
      </c>
      <c r="DT35" s="58" t="s">
        <v>134</v>
      </c>
      <c r="DU35" s="58" t="s">
        <v>134</v>
      </c>
      <c r="DV35" s="58" t="s">
        <v>134</v>
      </c>
      <c r="DW35" s="58" t="s">
        <v>134</v>
      </c>
      <c r="DX35" s="58" t="s">
        <v>134</v>
      </c>
      <c r="DY35" s="58" t="s">
        <v>134</v>
      </c>
      <c r="DZ35" s="58" t="s">
        <v>134</v>
      </c>
      <c r="EA35" s="58" t="s">
        <v>134</v>
      </c>
      <c r="EB35" s="58" t="s">
        <v>134</v>
      </c>
      <c r="EC35" s="58" t="s">
        <v>134</v>
      </c>
      <c r="ED35" s="58" t="s">
        <v>134</v>
      </c>
      <c r="EE35" s="58" t="s">
        <v>134</v>
      </c>
      <c r="EF35" s="58" t="s">
        <v>134</v>
      </c>
      <c r="EG35" s="58" t="s">
        <v>134</v>
      </c>
      <c r="EH35" s="58" t="s">
        <v>134</v>
      </c>
      <c r="EI35" s="58" t="s">
        <v>134</v>
      </c>
      <c r="EJ35" s="58" t="s">
        <v>134</v>
      </c>
      <c r="EK35" s="58" t="s">
        <v>134</v>
      </c>
      <c r="EL35" s="58" t="s">
        <v>134</v>
      </c>
      <c r="EM35" s="58" t="s">
        <v>134</v>
      </c>
      <c r="EN35" s="58" t="s">
        <v>134</v>
      </c>
      <c r="EO35" s="58">
        <v>0.0</v>
      </c>
      <c r="EP35" s="58">
        <v>0.0</v>
      </c>
      <c r="EQ35" s="58">
        <v>0.0</v>
      </c>
      <c r="ER35" s="58" t="s">
        <v>134</v>
      </c>
      <c r="ES35" s="58" t="s">
        <v>134</v>
      </c>
      <c r="ET35" s="58" t="s">
        <v>134</v>
      </c>
    </row>
    <row r="36">
      <c r="A36" s="58" t="s">
        <v>83</v>
      </c>
      <c r="B36" s="58" t="s">
        <v>134</v>
      </c>
      <c r="C36" s="58" t="s">
        <v>134</v>
      </c>
      <c r="D36" s="58" t="s">
        <v>134</v>
      </c>
      <c r="E36" s="58" t="s">
        <v>134</v>
      </c>
      <c r="F36" s="58" t="s">
        <v>134</v>
      </c>
      <c r="G36" s="58" t="s">
        <v>134</v>
      </c>
      <c r="H36" s="58" t="s">
        <v>134</v>
      </c>
      <c r="I36" s="58" t="s">
        <v>134</v>
      </c>
      <c r="J36" s="58" t="s">
        <v>134</v>
      </c>
      <c r="K36" s="58">
        <v>0.0</v>
      </c>
      <c r="L36" s="58">
        <v>0.0</v>
      </c>
      <c r="M36" s="58" t="s">
        <v>134</v>
      </c>
      <c r="N36" s="58" t="s">
        <v>134</v>
      </c>
      <c r="O36" s="58" t="s">
        <v>134</v>
      </c>
      <c r="P36" s="58" t="s">
        <v>134</v>
      </c>
      <c r="Q36" s="58" t="s">
        <v>134</v>
      </c>
      <c r="R36" s="58" t="s">
        <v>134</v>
      </c>
      <c r="S36" s="58" t="s">
        <v>134</v>
      </c>
      <c r="T36" s="58" t="s">
        <v>134</v>
      </c>
      <c r="U36" s="58" t="s">
        <v>134</v>
      </c>
      <c r="V36" s="58" t="s">
        <v>134</v>
      </c>
      <c r="W36" s="58" t="s">
        <v>134</v>
      </c>
      <c r="X36" s="58" t="s">
        <v>134</v>
      </c>
      <c r="Y36" s="58" t="s">
        <v>134</v>
      </c>
      <c r="Z36" s="58" t="s">
        <v>134</v>
      </c>
      <c r="AA36" s="58" t="s">
        <v>134</v>
      </c>
      <c r="AB36" s="58" t="s">
        <v>134</v>
      </c>
      <c r="AC36" s="58" t="s">
        <v>134</v>
      </c>
      <c r="AD36" s="58" t="s">
        <v>134</v>
      </c>
      <c r="AE36" s="58" t="s">
        <v>134</v>
      </c>
      <c r="AF36" s="58" t="s">
        <v>134</v>
      </c>
      <c r="AG36" s="58" t="s">
        <v>134</v>
      </c>
      <c r="AH36" s="58" t="s">
        <v>134</v>
      </c>
      <c r="AI36" s="58" t="s">
        <v>134</v>
      </c>
      <c r="AJ36" s="58" t="s">
        <v>134</v>
      </c>
      <c r="AK36" s="58" t="s">
        <v>134</v>
      </c>
      <c r="AL36" s="58" t="s">
        <v>134</v>
      </c>
      <c r="AM36" s="58" t="s">
        <v>134</v>
      </c>
      <c r="AN36" s="58">
        <v>0.0</v>
      </c>
      <c r="AO36" s="58" t="s">
        <v>134</v>
      </c>
      <c r="AP36" s="58" t="s">
        <v>134</v>
      </c>
      <c r="AQ36" s="58" t="s">
        <v>134</v>
      </c>
      <c r="AR36" s="58" t="s">
        <v>134</v>
      </c>
      <c r="AS36" s="58" t="s">
        <v>134</v>
      </c>
      <c r="AT36" s="58" t="s">
        <v>134</v>
      </c>
      <c r="AU36" s="58" t="s">
        <v>134</v>
      </c>
      <c r="AV36" s="58" t="s">
        <v>134</v>
      </c>
      <c r="AW36" s="58" t="s">
        <v>134</v>
      </c>
      <c r="AX36" s="58" t="s">
        <v>134</v>
      </c>
      <c r="AY36" s="58" t="s">
        <v>134</v>
      </c>
      <c r="AZ36" s="58" t="s">
        <v>134</v>
      </c>
      <c r="BA36" s="58" t="s">
        <v>134</v>
      </c>
      <c r="BB36" s="58" t="s">
        <v>134</v>
      </c>
      <c r="BC36" s="58" t="s">
        <v>134</v>
      </c>
      <c r="BD36" s="58" t="s">
        <v>134</v>
      </c>
      <c r="BE36" s="58" t="s">
        <v>134</v>
      </c>
      <c r="BF36" s="58" t="s">
        <v>134</v>
      </c>
      <c r="BG36" s="58" t="s">
        <v>134</v>
      </c>
      <c r="BH36" s="58" t="s">
        <v>134</v>
      </c>
      <c r="BI36" s="58" t="s">
        <v>134</v>
      </c>
      <c r="BJ36" s="58" t="s">
        <v>134</v>
      </c>
      <c r="BK36" s="58" t="s">
        <v>134</v>
      </c>
      <c r="BL36" s="58" t="s">
        <v>134</v>
      </c>
      <c r="BM36" s="58" t="s">
        <v>134</v>
      </c>
      <c r="BN36" s="58" t="s">
        <v>134</v>
      </c>
      <c r="BO36" s="58" t="s">
        <v>134</v>
      </c>
      <c r="BP36" s="58" t="s">
        <v>134</v>
      </c>
      <c r="BQ36" s="58" t="s">
        <v>134</v>
      </c>
      <c r="BR36" s="58" t="s">
        <v>134</v>
      </c>
      <c r="BS36" s="58" t="s">
        <v>134</v>
      </c>
      <c r="BT36" s="58" t="s">
        <v>134</v>
      </c>
      <c r="BU36" s="58" t="s">
        <v>134</v>
      </c>
      <c r="BV36" s="58" t="s">
        <v>134</v>
      </c>
      <c r="BW36" s="58" t="s">
        <v>134</v>
      </c>
      <c r="BX36" s="58" t="s">
        <v>134</v>
      </c>
      <c r="BY36" s="58" t="s">
        <v>134</v>
      </c>
      <c r="BZ36" s="58" t="s">
        <v>134</v>
      </c>
      <c r="CA36" s="58" t="s">
        <v>134</v>
      </c>
      <c r="CB36" s="58" t="s">
        <v>134</v>
      </c>
      <c r="CC36" s="58" t="s">
        <v>134</v>
      </c>
      <c r="CD36" s="58" t="s">
        <v>134</v>
      </c>
      <c r="CE36" s="58" t="s">
        <v>134</v>
      </c>
      <c r="CF36" s="58" t="s">
        <v>134</v>
      </c>
      <c r="CG36" s="58" t="s">
        <v>134</v>
      </c>
      <c r="CH36" s="58" t="s">
        <v>134</v>
      </c>
      <c r="CI36" s="58" t="s">
        <v>134</v>
      </c>
      <c r="CJ36" s="58" t="s">
        <v>134</v>
      </c>
      <c r="CK36" s="58" t="s">
        <v>134</v>
      </c>
      <c r="CL36" s="58" t="s">
        <v>134</v>
      </c>
      <c r="CM36" s="58" t="s">
        <v>134</v>
      </c>
      <c r="CN36" s="58" t="s">
        <v>134</v>
      </c>
      <c r="CO36" s="58" t="s">
        <v>134</v>
      </c>
      <c r="CP36" s="58" t="s">
        <v>134</v>
      </c>
      <c r="CQ36" s="58" t="s">
        <v>134</v>
      </c>
      <c r="CR36" s="58" t="s">
        <v>134</v>
      </c>
      <c r="CS36" s="58" t="s">
        <v>134</v>
      </c>
      <c r="CT36" s="58" t="s">
        <v>134</v>
      </c>
      <c r="CU36" s="58" t="s">
        <v>134</v>
      </c>
      <c r="CV36" s="58" t="s">
        <v>134</v>
      </c>
      <c r="CW36" s="58" t="s">
        <v>134</v>
      </c>
      <c r="CX36" s="58" t="s">
        <v>134</v>
      </c>
      <c r="CY36" s="58" t="s">
        <v>134</v>
      </c>
      <c r="CZ36" s="58" t="s">
        <v>134</v>
      </c>
      <c r="DA36" s="58" t="s">
        <v>134</v>
      </c>
      <c r="DB36" s="58" t="s">
        <v>134</v>
      </c>
      <c r="DC36" s="58" t="s">
        <v>134</v>
      </c>
      <c r="DD36" s="58" t="s">
        <v>134</v>
      </c>
      <c r="DE36" s="58" t="s">
        <v>134</v>
      </c>
      <c r="DF36" s="58" t="s">
        <v>134</v>
      </c>
      <c r="DG36" s="58" t="s">
        <v>134</v>
      </c>
      <c r="DH36" s="58" t="s">
        <v>134</v>
      </c>
      <c r="DI36" s="58" t="s">
        <v>134</v>
      </c>
      <c r="DJ36" s="58" t="s">
        <v>134</v>
      </c>
      <c r="DK36" s="58" t="s">
        <v>134</v>
      </c>
      <c r="DL36" s="58" t="s">
        <v>134</v>
      </c>
      <c r="DM36" s="58" t="s">
        <v>134</v>
      </c>
      <c r="DN36" s="58" t="s">
        <v>134</v>
      </c>
      <c r="DO36" s="58" t="s">
        <v>134</v>
      </c>
      <c r="DP36" s="58" t="s">
        <v>134</v>
      </c>
      <c r="DQ36" s="58" t="s">
        <v>134</v>
      </c>
      <c r="DR36" s="58" t="s">
        <v>134</v>
      </c>
      <c r="DS36" s="58" t="s">
        <v>134</v>
      </c>
      <c r="DT36" s="58" t="s">
        <v>134</v>
      </c>
      <c r="DU36" s="58" t="s">
        <v>134</v>
      </c>
      <c r="DV36" s="58" t="s">
        <v>134</v>
      </c>
      <c r="DW36" s="58" t="s">
        <v>134</v>
      </c>
      <c r="DX36" s="58" t="s">
        <v>134</v>
      </c>
      <c r="DY36" s="58" t="s">
        <v>134</v>
      </c>
      <c r="DZ36" s="58" t="s">
        <v>134</v>
      </c>
      <c r="EA36" s="58" t="s">
        <v>134</v>
      </c>
      <c r="EB36" s="58" t="s">
        <v>134</v>
      </c>
      <c r="EC36" s="58" t="s">
        <v>134</v>
      </c>
      <c r="ED36" s="58" t="s">
        <v>134</v>
      </c>
      <c r="EE36" s="58" t="s">
        <v>134</v>
      </c>
      <c r="EF36" s="58" t="s">
        <v>134</v>
      </c>
      <c r="EG36" s="58" t="s">
        <v>134</v>
      </c>
      <c r="EH36" s="58" t="s">
        <v>134</v>
      </c>
      <c r="EI36" s="58" t="s">
        <v>134</v>
      </c>
      <c r="EJ36" s="58" t="s">
        <v>134</v>
      </c>
      <c r="EK36" s="58" t="s">
        <v>134</v>
      </c>
      <c r="EL36" s="58" t="s">
        <v>134</v>
      </c>
      <c r="EM36" s="58" t="s">
        <v>134</v>
      </c>
      <c r="EN36" s="58" t="s">
        <v>134</v>
      </c>
      <c r="EO36" s="58">
        <v>0.0</v>
      </c>
      <c r="EP36" s="58">
        <v>0.0</v>
      </c>
      <c r="EQ36" s="58">
        <v>0.0</v>
      </c>
      <c r="ER36" s="58" t="s">
        <v>134</v>
      </c>
      <c r="ES36" s="58" t="s">
        <v>134</v>
      </c>
      <c r="ET36" s="58" t="s">
        <v>134</v>
      </c>
    </row>
    <row r="37">
      <c r="A37" s="58" t="s">
        <v>76</v>
      </c>
      <c r="B37" s="58" t="s">
        <v>134</v>
      </c>
      <c r="C37" s="58" t="s">
        <v>134</v>
      </c>
      <c r="D37" s="58" t="s">
        <v>134</v>
      </c>
      <c r="E37" s="58" t="s">
        <v>134</v>
      </c>
      <c r="F37" s="58" t="s">
        <v>134</v>
      </c>
      <c r="G37" s="58" t="s">
        <v>134</v>
      </c>
      <c r="H37" s="58" t="s">
        <v>134</v>
      </c>
      <c r="I37" s="58">
        <v>0.0425</v>
      </c>
      <c r="J37" s="58" t="s">
        <v>134</v>
      </c>
      <c r="K37" s="58">
        <v>0.0</v>
      </c>
      <c r="L37" s="58">
        <v>0.0</v>
      </c>
      <c r="M37" s="58" t="s">
        <v>134</v>
      </c>
      <c r="N37" s="58" t="s">
        <v>134</v>
      </c>
      <c r="O37" s="58" t="s">
        <v>134</v>
      </c>
      <c r="P37" s="58" t="s">
        <v>134</v>
      </c>
      <c r="Q37" s="58" t="s">
        <v>134</v>
      </c>
      <c r="R37" s="58" t="s">
        <v>134</v>
      </c>
      <c r="S37" s="58" t="s">
        <v>134</v>
      </c>
      <c r="T37" s="58" t="s">
        <v>134</v>
      </c>
      <c r="U37" s="58" t="s">
        <v>134</v>
      </c>
      <c r="V37" s="58" t="s">
        <v>134</v>
      </c>
      <c r="W37" s="58" t="s">
        <v>134</v>
      </c>
      <c r="X37" s="58" t="s">
        <v>134</v>
      </c>
      <c r="Y37" s="58" t="s">
        <v>134</v>
      </c>
      <c r="Z37" s="58" t="s">
        <v>134</v>
      </c>
      <c r="AA37" s="58" t="s">
        <v>134</v>
      </c>
      <c r="AB37" s="58" t="s">
        <v>134</v>
      </c>
      <c r="AC37" s="58" t="s">
        <v>134</v>
      </c>
      <c r="AD37" s="58" t="s">
        <v>134</v>
      </c>
      <c r="AE37" s="58" t="s">
        <v>134</v>
      </c>
      <c r="AF37" s="58" t="s">
        <v>134</v>
      </c>
      <c r="AG37" s="58" t="s">
        <v>134</v>
      </c>
      <c r="AH37" s="58" t="s">
        <v>134</v>
      </c>
      <c r="AI37" s="58" t="s">
        <v>134</v>
      </c>
      <c r="AJ37" s="58">
        <v>0.02</v>
      </c>
      <c r="AK37" s="58" t="s">
        <v>134</v>
      </c>
      <c r="AL37" s="58" t="s">
        <v>134</v>
      </c>
      <c r="AM37" s="58" t="s">
        <v>134</v>
      </c>
      <c r="AN37" s="58">
        <v>0.0635</v>
      </c>
      <c r="AO37" s="58" t="s">
        <v>134</v>
      </c>
      <c r="AP37" s="58" t="s">
        <v>134</v>
      </c>
      <c r="AQ37" s="58" t="s">
        <v>134</v>
      </c>
      <c r="AR37" s="58" t="s">
        <v>134</v>
      </c>
      <c r="AS37" s="58" t="s">
        <v>134</v>
      </c>
      <c r="AT37" s="58" t="s">
        <v>134</v>
      </c>
      <c r="AU37" s="58" t="s">
        <v>134</v>
      </c>
      <c r="AV37" s="58" t="s">
        <v>134</v>
      </c>
      <c r="AW37" s="58" t="s">
        <v>134</v>
      </c>
      <c r="AX37" s="58" t="s">
        <v>134</v>
      </c>
      <c r="AY37" s="58" t="s">
        <v>134</v>
      </c>
      <c r="AZ37" s="58" t="s">
        <v>134</v>
      </c>
      <c r="BA37" s="58" t="s">
        <v>134</v>
      </c>
      <c r="BB37" s="58" t="s">
        <v>134</v>
      </c>
      <c r="BC37" s="58" t="s">
        <v>134</v>
      </c>
      <c r="BD37" s="58" t="s">
        <v>134</v>
      </c>
      <c r="BE37" s="58" t="s">
        <v>134</v>
      </c>
      <c r="BF37" s="58" t="s">
        <v>134</v>
      </c>
      <c r="BG37" s="58" t="s">
        <v>134</v>
      </c>
      <c r="BH37" s="58" t="s">
        <v>134</v>
      </c>
      <c r="BI37" s="58" t="s">
        <v>134</v>
      </c>
      <c r="BJ37" s="58" t="s">
        <v>134</v>
      </c>
      <c r="BK37" s="58" t="s">
        <v>134</v>
      </c>
      <c r="BL37" s="58" t="s">
        <v>134</v>
      </c>
      <c r="BM37" s="58" t="s">
        <v>134</v>
      </c>
      <c r="BN37" s="58" t="s">
        <v>134</v>
      </c>
      <c r="BO37" s="58" t="s">
        <v>134</v>
      </c>
      <c r="BP37" s="58" t="s">
        <v>134</v>
      </c>
      <c r="BQ37" s="58" t="s">
        <v>134</v>
      </c>
      <c r="BR37" s="58" t="s">
        <v>134</v>
      </c>
      <c r="BS37" s="58" t="s">
        <v>134</v>
      </c>
      <c r="BT37" s="58" t="s">
        <v>134</v>
      </c>
      <c r="BU37" s="58" t="s">
        <v>134</v>
      </c>
      <c r="BV37" s="58" t="s">
        <v>134</v>
      </c>
      <c r="BW37" s="58" t="s">
        <v>134</v>
      </c>
      <c r="BX37" s="58" t="s">
        <v>134</v>
      </c>
      <c r="BY37" s="58" t="s">
        <v>134</v>
      </c>
      <c r="BZ37" s="58" t="s">
        <v>134</v>
      </c>
      <c r="CA37" s="58" t="s">
        <v>134</v>
      </c>
      <c r="CB37" s="58" t="s">
        <v>134</v>
      </c>
      <c r="CC37" s="58" t="s">
        <v>134</v>
      </c>
      <c r="CD37" s="58" t="s">
        <v>134</v>
      </c>
      <c r="CE37" s="58" t="s">
        <v>134</v>
      </c>
      <c r="CF37" s="58" t="s">
        <v>134</v>
      </c>
      <c r="CG37" s="58" t="s">
        <v>134</v>
      </c>
      <c r="CH37" s="58" t="s">
        <v>134</v>
      </c>
      <c r="CI37" s="58" t="s">
        <v>134</v>
      </c>
      <c r="CJ37" s="58" t="s">
        <v>134</v>
      </c>
      <c r="CK37" s="58" t="s">
        <v>134</v>
      </c>
      <c r="CL37" s="58" t="s">
        <v>134</v>
      </c>
      <c r="CM37" s="58" t="s">
        <v>134</v>
      </c>
      <c r="CN37" s="58" t="s">
        <v>134</v>
      </c>
      <c r="CO37" s="58" t="s">
        <v>134</v>
      </c>
      <c r="CP37" s="58" t="s">
        <v>134</v>
      </c>
      <c r="CQ37" s="58" t="s">
        <v>134</v>
      </c>
      <c r="CR37" s="58" t="s">
        <v>134</v>
      </c>
      <c r="CS37" s="58" t="s">
        <v>134</v>
      </c>
      <c r="CT37" s="58" t="s">
        <v>134</v>
      </c>
      <c r="CU37" s="58" t="s">
        <v>134</v>
      </c>
      <c r="CV37" s="58" t="s">
        <v>134</v>
      </c>
      <c r="CW37" s="58" t="s">
        <v>134</v>
      </c>
      <c r="CX37" s="58" t="s">
        <v>134</v>
      </c>
      <c r="CY37" s="58" t="s">
        <v>134</v>
      </c>
      <c r="CZ37" s="58" t="s">
        <v>134</v>
      </c>
      <c r="DA37" s="58" t="s">
        <v>134</v>
      </c>
      <c r="DB37" s="58" t="s">
        <v>134</v>
      </c>
      <c r="DC37" s="58" t="s">
        <v>134</v>
      </c>
      <c r="DD37" s="58" t="s">
        <v>134</v>
      </c>
      <c r="DE37" s="58" t="s">
        <v>134</v>
      </c>
      <c r="DF37" s="58" t="s">
        <v>134</v>
      </c>
      <c r="DG37" s="58" t="s">
        <v>134</v>
      </c>
      <c r="DH37" s="58" t="s">
        <v>134</v>
      </c>
      <c r="DI37" s="58" t="s">
        <v>134</v>
      </c>
      <c r="DJ37" s="58" t="s">
        <v>134</v>
      </c>
      <c r="DK37" s="58" t="s">
        <v>134</v>
      </c>
      <c r="DL37" s="58" t="s">
        <v>134</v>
      </c>
      <c r="DM37" s="58" t="s">
        <v>134</v>
      </c>
      <c r="DN37" s="58" t="s">
        <v>134</v>
      </c>
      <c r="DO37" s="58" t="s">
        <v>134</v>
      </c>
      <c r="DP37" s="58" t="s">
        <v>134</v>
      </c>
      <c r="DQ37" s="58" t="s">
        <v>134</v>
      </c>
      <c r="DR37" s="58" t="s">
        <v>134</v>
      </c>
      <c r="DS37" s="58" t="s">
        <v>134</v>
      </c>
      <c r="DT37" s="58" t="s">
        <v>134</v>
      </c>
      <c r="DU37" s="58" t="s">
        <v>134</v>
      </c>
      <c r="DV37" s="58" t="s">
        <v>134</v>
      </c>
      <c r="DW37" s="58" t="s">
        <v>134</v>
      </c>
      <c r="DX37" s="58" t="s">
        <v>134</v>
      </c>
      <c r="DY37" s="58" t="s">
        <v>134</v>
      </c>
      <c r="DZ37" s="58" t="s">
        <v>134</v>
      </c>
      <c r="EA37" s="58" t="s">
        <v>134</v>
      </c>
      <c r="EB37" s="58" t="s">
        <v>134</v>
      </c>
      <c r="EC37" s="58" t="s">
        <v>134</v>
      </c>
      <c r="ED37" s="58" t="s">
        <v>134</v>
      </c>
      <c r="EE37" s="58" t="s">
        <v>134</v>
      </c>
      <c r="EF37" s="58" t="s">
        <v>134</v>
      </c>
      <c r="EG37" s="58" t="s">
        <v>134</v>
      </c>
      <c r="EH37" s="58" t="s">
        <v>134</v>
      </c>
      <c r="EI37" s="58" t="s">
        <v>134</v>
      </c>
      <c r="EJ37" s="58" t="s">
        <v>134</v>
      </c>
      <c r="EK37" s="58" t="s">
        <v>134</v>
      </c>
      <c r="EL37" s="58" t="s">
        <v>134</v>
      </c>
      <c r="EM37" s="58" t="s">
        <v>134</v>
      </c>
      <c r="EN37" s="58" t="s">
        <v>134</v>
      </c>
      <c r="EO37" s="58">
        <v>0.0</v>
      </c>
      <c r="EP37" s="58">
        <v>0.0</v>
      </c>
      <c r="EQ37" s="58">
        <v>0.0</v>
      </c>
      <c r="ER37" s="58" t="s">
        <v>134</v>
      </c>
      <c r="ES37" s="58" t="s">
        <v>134</v>
      </c>
      <c r="ET37" s="58" t="s">
        <v>134</v>
      </c>
    </row>
    <row r="38">
      <c r="A38" s="58" t="s">
        <v>95</v>
      </c>
      <c r="B38" s="58" t="s">
        <v>134</v>
      </c>
      <c r="C38" s="58" t="s">
        <v>134</v>
      </c>
      <c r="D38" s="58" t="s">
        <v>134</v>
      </c>
      <c r="E38" s="58" t="s">
        <v>134</v>
      </c>
      <c r="F38" s="58" t="s">
        <v>134</v>
      </c>
      <c r="G38" s="58" t="s">
        <v>134</v>
      </c>
      <c r="H38" s="58" t="s">
        <v>134</v>
      </c>
      <c r="I38" s="58" t="s">
        <v>134</v>
      </c>
      <c r="J38" s="58" t="s">
        <v>134</v>
      </c>
      <c r="K38" s="58">
        <v>0.0</v>
      </c>
      <c r="L38" s="58">
        <v>0.0</v>
      </c>
      <c r="M38" s="58" t="s">
        <v>134</v>
      </c>
      <c r="N38" s="58" t="s">
        <v>134</v>
      </c>
      <c r="O38" s="58" t="s">
        <v>134</v>
      </c>
      <c r="P38" s="58" t="s">
        <v>134</v>
      </c>
      <c r="Q38" s="58" t="s">
        <v>134</v>
      </c>
      <c r="R38" s="58" t="s">
        <v>134</v>
      </c>
      <c r="S38" s="58" t="s">
        <v>134</v>
      </c>
      <c r="T38" s="58" t="s">
        <v>134</v>
      </c>
      <c r="U38" s="58" t="s">
        <v>134</v>
      </c>
      <c r="V38" s="58" t="s">
        <v>134</v>
      </c>
      <c r="W38" s="58" t="s">
        <v>134</v>
      </c>
      <c r="X38" s="58" t="s">
        <v>134</v>
      </c>
      <c r="Y38" s="58" t="s">
        <v>134</v>
      </c>
      <c r="Z38" s="58" t="s">
        <v>134</v>
      </c>
      <c r="AA38" s="58" t="s">
        <v>134</v>
      </c>
      <c r="AB38" s="58" t="s">
        <v>134</v>
      </c>
      <c r="AC38" s="58" t="s">
        <v>134</v>
      </c>
      <c r="AD38" s="58" t="s">
        <v>134</v>
      </c>
      <c r="AE38" s="58" t="s">
        <v>134</v>
      </c>
      <c r="AF38" s="58" t="s">
        <v>134</v>
      </c>
      <c r="AG38" s="58" t="s">
        <v>134</v>
      </c>
      <c r="AH38" s="58" t="s">
        <v>134</v>
      </c>
      <c r="AI38" s="58" t="s">
        <v>134</v>
      </c>
      <c r="AJ38" s="58" t="s">
        <v>134</v>
      </c>
      <c r="AK38" s="58" t="s">
        <v>134</v>
      </c>
      <c r="AL38" s="58" t="s">
        <v>134</v>
      </c>
      <c r="AM38" s="58" t="s">
        <v>134</v>
      </c>
      <c r="AN38" s="58">
        <v>0.0</v>
      </c>
      <c r="AO38" s="58" t="s">
        <v>134</v>
      </c>
      <c r="AP38" s="58" t="s">
        <v>134</v>
      </c>
      <c r="AQ38" s="58" t="s">
        <v>134</v>
      </c>
      <c r="AR38" s="58" t="s">
        <v>134</v>
      </c>
      <c r="AS38" s="58" t="s">
        <v>134</v>
      </c>
      <c r="AT38" s="58" t="s">
        <v>134</v>
      </c>
      <c r="AU38" s="58" t="s">
        <v>134</v>
      </c>
      <c r="AV38" s="58" t="s">
        <v>134</v>
      </c>
      <c r="AW38" s="58" t="s">
        <v>134</v>
      </c>
      <c r="AX38" s="58" t="s">
        <v>134</v>
      </c>
      <c r="AY38" s="58" t="s">
        <v>134</v>
      </c>
      <c r="AZ38" s="58" t="s">
        <v>134</v>
      </c>
      <c r="BA38" s="58" t="s">
        <v>134</v>
      </c>
      <c r="BB38" s="58" t="s">
        <v>134</v>
      </c>
      <c r="BC38" s="58" t="s">
        <v>134</v>
      </c>
      <c r="BD38" s="58" t="s">
        <v>134</v>
      </c>
      <c r="BE38" s="58" t="s">
        <v>134</v>
      </c>
      <c r="BF38" s="58" t="s">
        <v>134</v>
      </c>
      <c r="BG38" s="58" t="s">
        <v>134</v>
      </c>
      <c r="BH38" s="58" t="s">
        <v>134</v>
      </c>
      <c r="BI38" s="58" t="s">
        <v>134</v>
      </c>
      <c r="BJ38" s="58" t="s">
        <v>134</v>
      </c>
      <c r="BK38" s="58" t="s">
        <v>134</v>
      </c>
      <c r="BL38" s="58" t="s">
        <v>134</v>
      </c>
      <c r="BM38" s="58" t="s">
        <v>134</v>
      </c>
      <c r="BN38" s="58" t="s">
        <v>134</v>
      </c>
      <c r="BO38" s="58" t="s">
        <v>134</v>
      </c>
      <c r="BP38" s="58" t="s">
        <v>134</v>
      </c>
      <c r="BQ38" s="58" t="s">
        <v>134</v>
      </c>
      <c r="BR38" s="58" t="s">
        <v>134</v>
      </c>
      <c r="BS38" s="58" t="s">
        <v>134</v>
      </c>
      <c r="BT38" s="58" t="s">
        <v>134</v>
      </c>
      <c r="BU38" s="58" t="s">
        <v>134</v>
      </c>
      <c r="BV38" s="58" t="s">
        <v>134</v>
      </c>
      <c r="BW38" s="58" t="s">
        <v>134</v>
      </c>
      <c r="BX38" s="58" t="s">
        <v>134</v>
      </c>
      <c r="BY38" s="58" t="s">
        <v>134</v>
      </c>
      <c r="BZ38" s="58" t="s">
        <v>134</v>
      </c>
      <c r="CA38" s="58" t="s">
        <v>134</v>
      </c>
      <c r="CB38" s="58" t="s">
        <v>134</v>
      </c>
      <c r="CC38" s="58" t="s">
        <v>134</v>
      </c>
      <c r="CD38" s="58" t="s">
        <v>134</v>
      </c>
      <c r="CE38" s="58" t="s">
        <v>134</v>
      </c>
      <c r="CF38" s="58" t="s">
        <v>134</v>
      </c>
      <c r="CG38" s="58" t="s">
        <v>134</v>
      </c>
      <c r="CH38" s="58" t="s">
        <v>134</v>
      </c>
      <c r="CI38" s="58" t="s">
        <v>134</v>
      </c>
      <c r="CJ38" s="58" t="s">
        <v>134</v>
      </c>
      <c r="CK38" s="58" t="s">
        <v>134</v>
      </c>
      <c r="CL38" s="58" t="s">
        <v>134</v>
      </c>
      <c r="CM38" s="58" t="s">
        <v>134</v>
      </c>
      <c r="CN38" s="58" t="s">
        <v>134</v>
      </c>
      <c r="CO38" s="58" t="s">
        <v>134</v>
      </c>
      <c r="CP38" s="58" t="s">
        <v>134</v>
      </c>
      <c r="CQ38" s="58" t="s">
        <v>134</v>
      </c>
      <c r="CR38" s="58" t="s">
        <v>134</v>
      </c>
      <c r="CS38" s="58" t="s">
        <v>134</v>
      </c>
      <c r="CT38" s="58" t="s">
        <v>134</v>
      </c>
      <c r="CU38" s="58" t="s">
        <v>134</v>
      </c>
      <c r="CV38" s="58" t="s">
        <v>134</v>
      </c>
      <c r="CW38" s="58" t="s">
        <v>134</v>
      </c>
      <c r="CX38" s="58">
        <v>0.05</v>
      </c>
      <c r="CY38" s="58" t="s">
        <v>134</v>
      </c>
      <c r="CZ38" s="58" t="s">
        <v>134</v>
      </c>
      <c r="DA38" s="58" t="s">
        <v>134</v>
      </c>
      <c r="DB38" s="58" t="s">
        <v>134</v>
      </c>
      <c r="DC38" s="58" t="s">
        <v>134</v>
      </c>
      <c r="DD38" s="58" t="s">
        <v>134</v>
      </c>
      <c r="DE38" s="58" t="s">
        <v>134</v>
      </c>
      <c r="DF38" s="58" t="s">
        <v>134</v>
      </c>
      <c r="DG38" s="58" t="s">
        <v>134</v>
      </c>
      <c r="DH38" s="58" t="s">
        <v>134</v>
      </c>
      <c r="DI38" s="58" t="s">
        <v>134</v>
      </c>
      <c r="DJ38" s="58" t="s">
        <v>134</v>
      </c>
      <c r="DK38" s="58" t="s">
        <v>134</v>
      </c>
      <c r="DL38" s="58" t="s">
        <v>134</v>
      </c>
      <c r="DM38" s="58" t="s">
        <v>134</v>
      </c>
      <c r="DN38" s="58" t="s">
        <v>134</v>
      </c>
      <c r="DO38" s="58" t="s">
        <v>134</v>
      </c>
      <c r="DP38" s="58" t="s">
        <v>134</v>
      </c>
      <c r="DQ38" s="58" t="s">
        <v>134</v>
      </c>
      <c r="DR38" s="58" t="s">
        <v>134</v>
      </c>
      <c r="DS38" s="58" t="s">
        <v>134</v>
      </c>
      <c r="DT38" s="58" t="s">
        <v>134</v>
      </c>
      <c r="DU38" s="58" t="s">
        <v>134</v>
      </c>
      <c r="DV38" s="58" t="s">
        <v>134</v>
      </c>
      <c r="DW38" s="58" t="s">
        <v>134</v>
      </c>
      <c r="DX38" s="58" t="s">
        <v>134</v>
      </c>
      <c r="DY38" s="58" t="s">
        <v>134</v>
      </c>
      <c r="DZ38" s="58" t="s">
        <v>134</v>
      </c>
      <c r="EA38" s="58" t="s">
        <v>134</v>
      </c>
      <c r="EB38" s="58" t="s">
        <v>134</v>
      </c>
      <c r="EC38" s="58" t="s">
        <v>134</v>
      </c>
      <c r="ED38" s="58" t="s">
        <v>134</v>
      </c>
      <c r="EE38" s="58" t="s">
        <v>134</v>
      </c>
      <c r="EF38" s="58" t="s">
        <v>134</v>
      </c>
      <c r="EG38" s="58" t="s">
        <v>134</v>
      </c>
      <c r="EH38" s="58" t="s">
        <v>134</v>
      </c>
      <c r="EI38" s="58" t="s">
        <v>134</v>
      </c>
      <c r="EJ38" s="58" t="s">
        <v>134</v>
      </c>
      <c r="EK38" s="58" t="s">
        <v>134</v>
      </c>
      <c r="EL38" s="58" t="s">
        <v>134</v>
      </c>
      <c r="EM38" s="58" t="s">
        <v>134</v>
      </c>
      <c r="EN38" s="58" t="s">
        <v>134</v>
      </c>
      <c r="EO38" s="58">
        <v>0.0</v>
      </c>
      <c r="EP38" s="58">
        <v>0.0</v>
      </c>
      <c r="EQ38" s="58">
        <v>0.0</v>
      </c>
      <c r="ER38" s="58" t="s">
        <v>134</v>
      </c>
      <c r="ES38" s="58" t="s">
        <v>134</v>
      </c>
      <c r="ET38" s="58" t="s">
        <v>134</v>
      </c>
    </row>
    <row r="39">
      <c r="A39" s="58" t="s">
        <v>72</v>
      </c>
      <c r="B39" s="58" t="s">
        <v>134</v>
      </c>
      <c r="C39" s="58" t="s">
        <v>134</v>
      </c>
      <c r="D39" s="58" t="s">
        <v>134</v>
      </c>
      <c r="E39" s="58" t="s">
        <v>134</v>
      </c>
      <c r="F39" s="58" t="s">
        <v>134</v>
      </c>
      <c r="G39" s="58" t="s">
        <v>134</v>
      </c>
      <c r="H39" s="58" t="s">
        <v>134</v>
      </c>
      <c r="I39" s="58">
        <v>0.0904</v>
      </c>
      <c r="J39" s="58" t="s">
        <v>134</v>
      </c>
      <c r="K39" s="58">
        <v>0.0</v>
      </c>
      <c r="L39" s="58">
        <v>0.0</v>
      </c>
      <c r="M39" s="58" t="s">
        <v>134</v>
      </c>
      <c r="N39" s="58" t="s">
        <v>134</v>
      </c>
      <c r="O39" s="58" t="s">
        <v>134</v>
      </c>
      <c r="P39" s="58" t="s">
        <v>134</v>
      </c>
      <c r="Q39" s="58" t="s">
        <v>134</v>
      </c>
      <c r="R39" s="58" t="s">
        <v>134</v>
      </c>
      <c r="S39" s="58" t="s">
        <v>134</v>
      </c>
      <c r="T39" s="58" t="s">
        <v>134</v>
      </c>
      <c r="U39" s="58" t="s">
        <v>134</v>
      </c>
      <c r="V39" s="58" t="s">
        <v>134</v>
      </c>
      <c r="W39" s="58" t="s">
        <v>134</v>
      </c>
      <c r="X39" s="58" t="s">
        <v>134</v>
      </c>
      <c r="Y39" s="58" t="s">
        <v>134</v>
      </c>
      <c r="Z39" s="58" t="s">
        <v>134</v>
      </c>
      <c r="AA39" s="58" t="s">
        <v>134</v>
      </c>
      <c r="AB39" s="58" t="s">
        <v>134</v>
      </c>
      <c r="AC39" s="58" t="s">
        <v>134</v>
      </c>
      <c r="AD39" s="58" t="s">
        <v>134</v>
      </c>
      <c r="AE39" s="58" t="s">
        <v>134</v>
      </c>
      <c r="AF39" s="58" t="s">
        <v>134</v>
      </c>
      <c r="AG39" s="58" t="s">
        <v>134</v>
      </c>
      <c r="AH39" s="58">
        <v>0.1</v>
      </c>
      <c r="AI39" s="58">
        <v>0.12</v>
      </c>
      <c r="AJ39" s="58">
        <v>0.14</v>
      </c>
      <c r="AK39" s="58" t="s">
        <v>134</v>
      </c>
      <c r="AL39" s="58" t="s">
        <v>134</v>
      </c>
      <c r="AM39" s="58" t="s">
        <v>134</v>
      </c>
      <c r="AN39" s="58">
        <v>0.0</v>
      </c>
      <c r="AO39" s="58" t="s">
        <v>134</v>
      </c>
      <c r="AP39" s="58" t="s">
        <v>134</v>
      </c>
      <c r="AQ39" s="58" t="s">
        <v>134</v>
      </c>
      <c r="AR39" s="58" t="s">
        <v>134</v>
      </c>
      <c r="AS39" s="58" t="s">
        <v>134</v>
      </c>
      <c r="AT39" s="58" t="s">
        <v>134</v>
      </c>
      <c r="AU39" s="58" t="s">
        <v>134</v>
      </c>
      <c r="AV39" s="58" t="s">
        <v>134</v>
      </c>
      <c r="AW39" s="58" t="s">
        <v>134</v>
      </c>
      <c r="AX39" s="58" t="s">
        <v>134</v>
      </c>
      <c r="AY39" s="58" t="s">
        <v>134</v>
      </c>
      <c r="AZ39" s="58" t="s">
        <v>134</v>
      </c>
      <c r="BA39" s="58" t="s">
        <v>134</v>
      </c>
      <c r="BB39" s="58" t="s">
        <v>134</v>
      </c>
      <c r="BC39" s="58" t="s">
        <v>134</v>
      </c>
      <c r="BD39" s="58" t="s">
        <v>134</v>
      </c>
      <c r="BE39" s="58" t="s">
        <v>134</v>
      </c>
      <c r="BF39" s="58" t="s">
        <v>134</v>
      </c>
      <c r="BG39" s="58" t="s">
        <v>134</v>
      </c>
      <c r="BH39" s="58" t="s">
        <v>134</v>
      </c>
      <c r="BI39" s="58" t="s">
        <v>134</v>
      </c>
      <c r="BJ39" s="58" t="s">
        <v>134</v>
      </c>
      <c r="BK39" s="58" t="s">
        <v>134</v>
      </c>
      <c r="BL39" s="58" t="s">
        <v>134</v>
      </c>
      <c r="BM39" s="58" t="s">
        <v>134</v>
      </c>
      <c r="BN39" s="58" t="s">
        <v>134</v>
      </c>
      <c r="BO39" s="58" t="s">
        <v>134</v>
      </c>
      <c r="BP39" s="58" t="s">
        <v>134</v>
      </c>
      <c r="BQ39" s="58" t="s">
        <v>134</v>
      </c>
      <c r="BR39" s="58" t="s">
        <v>134</v>
      </c>
      <c r="BS39" s="58" t="s">
        <v>134</v>
      </c>
      <c r="BT39" s="58" t="s">
        <v>134</v>
      </c>
      <c r="BU39" s="58" t="s">
        <v>134</v>
      </c>
      <c r="BV39" s="58" t="s">
        <v>134</v>
      </c>
      <c r="BW39" s="58" t="s">
        <v>134</v>
      </c>
      <c r="BX39" s="58" t="s">
        <v>134</v>
      </c>
      <c r="BY39" s="58" t="s">
        <v>134</v>
      </c>
      <c r="BZ39" s="58" t="s">
        <v>134</v>
      </c>
      <c r="CA39" s="58" t="s">
        <v>134</v>
      </c>
      <c r="CB39" s="58" t="s">
        <v>134</v>
      </c>
      <c r="CC39" s="58" t="s">
        <v>134</v>
      </c>
      <c r="CD39" s="58" t="s">
        <v>134</v>
      </c>
      <c r="CE39" s="58" t="s">
        <v>134</v>
      </c>
      <c r="CF39" s="58" t="s">
        <v>134</v>
      </c>
      <c r="CG39" s="58" t="s">
        <v>134</v>
      </c>
      <c r="CH39" s="58" t="s">
        <v>134</v>
      </c>
      <c r="CI39" s="58" t="s">
        <v>134</v>
      </c>
      <c r="CJ39" s="58" t="s">
        <v>134</v>
      </c>
      <c r="CK39" s="58" t="s">
        <v>134</v>
      </c>
      <c r="CL39" s="58" t="s">
        <v>134</v>
      </c>
      <c r="CM39" s="58" t="s">
        <v>134</v>
      </c>
      <c r="CN39" s="58" t="s">
        <v>134</v>
      </c>
      <c r="CO39" s="58" t="s">
        <v>134</v>
      </c>
      <c r="CP39" s="58" t="s">
        <v>134</v>
      </c>
      <c r="CQ39" s="58" t="s">
        <v>134</v>
      </c>
      <c r="CR39" s="58" t="s">
        <v>134</v>
      </c>
      <c r="CS39" s="58" t="s">
        <v>134</v>
      </c>
      <c r="CT39" s="58" t="s">
        <v>134</v>
      </c>
      <c r="CU39" s="58" t="s">
        <v>134</v>
      </c>
      <c r="CV39" s="58" t="s">
        <v>134</v>
      </c>
      <c r="CW39" s="58" t="s">
        <v>134</v>
      </c>
      <c r="CX39" s="58" t="s">
        <v>134</v>
      </c>
      <c r="CY39" s="58" t="s">
        <v>134</v>
      </c>
      <c r="CZ39" s="58" t="s">
        <v>134</v>
      </c>
      <c r="DA39" s="58" t="s">
        <v>134</v>
      </c>
      <c r="DB39" s="58" t="s">
        <v>134</v>
      </c>
      <c r="DC39" s="58" t="s">
        <v>134</v>
      </c>
      <c r="DD39" s="58" t="s">
        <v>134</v>
      </c>
      <c r="DE39" s="58" t="s">
        <v>134</v>
      </c>
      <c r="DF39" s="58" t="s">
        <v>134</v>
      </c>
      <c r="DG39" s="58" t="s">
        <v>134</v>
      </c>
      <c r="DH39" s="58" t="s">
        <v>134</v>
      </c>
      <c r="DI39" s="58" t="s">
        <v>134</v>
      </c>
      <c r="DJ39" s="58" t="s">
        <v>134</v>
      </c>
      <c r="DK39" s="58" t="s">
        <v>134</v>
      </c>
      <c r="DL39" s="58" t="s">
        <v>134</v>
      </c>
      <c r="DM39" s="58" t="s">
        <v>134</v>
      </c>
      <c r="DN39" s="58" t="s">
        <v>134</v>
      </c>
      <c r="DO39" s="58" t="s">
        <v>134</v>
      </c>
      <c r="DP39" s="58" t="s">
        <v>134</v>
      </c>
      <c r="DQ39" s="58" t="s">
        <v>134</v>
      </c>
      <c r="DR39" s="58" t="s">
        <v>134</v>
      </c>
      <c r="DS39" s="58" t="s">
        <v>134</v>
      </c>
      <c r="DT39" s="58" t="s">
        <v>134</v>
      </c>
      <c r="DU39" s="58" t="s">
        <v>134</v>
      </c>
      <c r="DV39" s="58" t="s">
        <v>134</v>
      </c>
      <c r="DW39" s="58" t="s">
        <v>134</v>
      </c>
      <c r="DX39" s="58" t="s">
        <v>134</v>
      </c>
      <c r="DY39" s="58" t="s">
        <v>134</v>
      </c>
      <c r="DZ39" s="58" t="s">
        <v>134</v>
      </c>
      <c r="EA39" s="58" t="s">
        <v>134</v>
      </c>
      <c r="EB39" s="58" t="s">
        <v>134</v>
      </c>
      <c r="EC39" s="58" t="s">
        <v>134</v>
      </c>
      <c r="ED39" s="58" t="s">
        <v>134</v>
      </c>
      <c r="EE39" s="58" t="s">
        <v>134</v>
      </c>
      <c r="EF39" s="58" t="s">
        <v>134</v>
      </c>
      <c r="EG39" s="58" t="s">
        <v>134</v>
      </c>
      <c r="EH39" s="58" t="s">
        <v>134</v>
      </c>
      <c r="EI39" s="58" t="s">
        <v>134</v>
      </c>
      <c r="EJ39" s="58" t="s">
        <v>134</v>
      </c>
      <c r="EK39" s="58" t="s">
        <v>134</v>
      </c>
      <c r="EL39" s="58" t="s">
        <v>134</v>
      </c>
      <c r="EM39" s="58" t="s">
        <v>134</v>
      </c>
      <c r="EN39" s="58" t="s">
        <v>134</v>
      </c>
      <c r="EO39" s="58">
        <v>0.0</v>
      </c>
      <c r="EP39" s="58">
        <v>0.0</v>
      </c>
      <c r="EQ39" s="58">
        <v>0.0</v>
      </c>
      <c r="ER39" s="58" t="s">
        <v>134</v>
      </c>
      <c r="ES39" s="58" t="s">
        <v>134</v>
      </c>
      <c r="ET39" s="58" t="s">
        <v>134</v>
      </c>
    </row>
    <row r="40">
      <c r="A40" s="58" t="s">
        <v>511</v>
      </c>
      <c r="B40" s="58">
        <v>0.0</v>
      </c>
      <c r="C40" s="58" t="s">
        <v>134</v>
      </c>
      <c r="D40" s="58" t="s">
        <v>134</v>
      </c>
      <c r="E40" s="58" t="s">
        <v>134</v>
      </c>
      <c r="F40" s="58" t="s">
        <v>134</v>
      </c>
      <c r="G40" s="58" t="s">
        <v>134</v>
      </c>
      <c r="H40" s="58" t="s">
        <v>134</v>
      </c>
      <c r="I40" s="58">
        <v>0.0</v>
      </c>
      <c r="J40" s="58" t="s">
        <v>134</v>
      </c>
      <c r="K40" s="58">
        <v>0.0</v>
      </c>
      <c r="L40" s="58">
        <v>0.0</v>
      </c>
      <c r="M40" s="58" t="s">
        <v>134</v>
      </c>
      <c r="N40" s="58" t="s">
        <v>134</v>
      </c>
      <c r="O40" s="58" t="s">
        <v>134</v>
      </c>
      <c r="P40" s="58" t="s">
        <v>134</v>
      </c>
      <c r="Q40" s="58" t="s">
        <v>134</v>
      </c>
      <c r="R40" s="58" t="s">
        <v>134</v>
      </c>
      <c r="S40" s="58" t="s">
        <v>134</v>
      </c>
      <c r="T40" s="58" t="s">
        <v>134</v>
      </c>
      <c r="U40" s="58" t="s">
        <v>134</v>
      </c>
      <c r="V40" s="58" t="s">
        <v>134</v>
      </c>
      <c r="W40" s="58" t="s">
        <v>134</v>
      </c>
      <c r="X40" s="58" t="s">
        <v>134</v>
      </c>
      <c r="Y40" s="58" t="s">
        <v>134</v>
      </c>
      <c r="Z40" s="58" t="s">
        <v>134</v>
      </c>
      <c r="AA40" s="58" t="s">
        <v>134</v>
      </c>
      <c r="AB40" s="58" t="s">
        <v>134</v>
      </c>
      <c r="AC40" s="58" t="s">
        <v>134</v>
      </c>
      <c r="AD40" s="58" t="s">
        <v>134</v>
      </c>
      <c r="AE40" s="58" t="s">
        <v>134</v>
      </c>
      <c r="AF40" s="58" t="s">
        <v>134</v>
      </c>
      <c r="AG40" s="58" t="s">
        <v>134</v>
      </c>
      <c r="AH40" s="58" t="s">
        <v>134</v>
      </c>
      <c r="AI40" s="58" t="s">
        <v>134</v>
      </c>
      <c r="AJ40" s="58" t="s">
        <v>134</v>
      </c>
      <c r="AK40" s="58" t="s">
        <v>134</v>
      </c>
      <c r="AL40" s="58" t="s">
        <v>134</v>
      </c>
      <c r="AM40" s="58" t="s">
        <v>134</v>
      </c>
      <c r="AN40" s="58">
        <v>0.0</v>
      </c>
      <c r="AO40" s="58" t="s">
        <v>134</v>
      </c>
      <c r="AP40" s="58" t="s">
        <v>134</v>
      </c>
      <c r="AQ40" s="58" t="s">
        <v>134</v>
      </c>
      <c r="AR40" s="58" t="s">
        <v>134</v>
      </c>
      <c r="AS40" s="58" t="s">
        <v>134</v>
      </c>
      <c r="AT40" s="58" t="s">
        <v>134</v>
      </c>
      <c r="AU40" s="58" t="s">
        <v>134</v>
      </c>
      <c r="AV40" s="58" t="s">
        <v>134</v>
      </c>
      <c r="AW40" s="58" t="s">
        <v>134</v>
      </c>
      <c r="AX40" s="58" t="s">
        <v>134</v>
      </c>
      <c r="AY40" s="58" t="s">
        <v>134</v>
      </c>
      <c r="AZ40" s="58" t="s">
        <v>134</v>
      </c>
      <c r="BA40" s="58" t="s">
        <v>134</v>
      </c>
      <c r="BB40" s="58" t="s">
        <v>134</v>
      </c>
      <c r="BC40" s="58" t="s">
        <v>134</v>
      </c>
      <c r="BD40" s="58" t="s">
        <v>134</v>
      </c>
      <c r="BE40" s="58" t="s">
        <v>134</v>
      </c>
      <c r="BF40" s="58" t="s">
        <v>134</v>
      </c>
      <c r="BG40" s="58" t="s">
        <v>134</v>
      </c>
      <c r="BH40" s="58" t="s">
        <v>134</v>
      </c>
      <c r="BI40" s="58" t="s">
        <v>134</v>
      </c>
      <c r="BJ40" s="58" t="s">
        <v>134</v>
      </c>
      <c r="BK40" s="58" t="s">
        <v>134</v>
      </c>
      <c r="BL40" s="58" t="s">
        <v>134</v>
      </c>
      <c r="BM40" s="58" t="s">
        <v>134</v>
      </c>
      <c r="BN40" s="58" t="s">
        <v>134</v>
      </c>
      <c r="BO40" s="58" t="s">
        <v>134</v>
      </c>
      <c r="BP40" s="58" t="s">
        <v>134</v>
      </c>
      <c r="BQ40" s="58" t="s">
        <v>134</v>
      </c>
      <c r="BR40" s="58" t="s">
        <v>134</v>
      </c>
      <c r="BS40" s="58" t="s">
        <v>134</v>
      </c>
      <c r="BT40" s="58" t="s">
        <v>134</v>
      </c>
      <c r="BU40" s="58" t="s">
        <v>134</v>
      </c>
      <c r="BV40" s="58" t="s">
        <v>134</v>
      </c>
      <c r="BW40" s="58" t="s">
        <v>134</v>
      </c>
      <c r="BX40" s="58" t="s">
        <v>134</v>
      </c>
      <c r="BY40" s="58" t="s">
        <v>134</v>
      </c>
      <c r="BZ40" s="58" t="s">
        <v>134</v>
      </c>
      <c r="CA40" s="58" t="s">
        <v>134</v>
      </c>
      <c r="CB40" s="58" t="s">
        <v>134</v>
      </c>
      <c r="CC40" s="58" t="s">
        <v>134</v>
      </c>
      <c r="CD40" s="58" t="s">
        <v>134</v>
      </c>
      <c r="CE40" s="58" t="s">
        <v>134</v>
      </c>
      <c r="CF40" s="58" t="s">
        <v>134</v>
      </c>
      <c r="CG40" s="58" t="s">
        <v>134</v>
      </c>
      <c r="CH40" s="58" t="s">
        <v>134</v>
      </c>
      <c r="CI40" s="58" t="s">
        <v>134</v>
      </c>
      <c r="CJ40" s="58" t="s">
        <v>134</v>
      </c>
      <c r="CK40" s="58" t="s">
        <v>134</v>
      </c>
      <c r="CL40" s="58" t="s">
        <v>134</v>
      </c>
      <c r="CM40" s="58" t="s">
        <v>134</v>
      </c>
      <c r="CN40" s="58" t="s">
        <v>134</v>
      </c>
      <c r="CO40" s="58" t="s">
        <v>134</v>
      </c>
      <c r="CP40" s="58" t="s">
        <v>134</v>
      </c>
      <c r="CQ40" s="58" t="s">
        <v>134</v>
      </c>
      <c r="CR40" s="58" t="s">
        <v>134</v>
      </c>
      <c r="CS40" s="58" t="s">
        <v>134</v>
      </c>
      <c r="CT40" s="58" t="s">
        <v>134</v>
      </c>
      <c r="CU40" s="58" t="s">
        <v>134</v>
      </c>
      <c r="CV40" s="58" t="s">
        <v>134</v>
      </c>
      <c r="CW40" s="58" t="s">
        <v>134</v>
      </c>
      <c r="CX40" s="58" t="s">
        <v>134</v>
      </c>
      <c r="CY40" s="58" t="s">
        <v>134</v>
      </c>
      <c r="CZ40" s="58" t="s">
        <v>134</v>
      </c>
      <c r="DA40" s="58" t="s">
        <v>134</v>
      </c>
      <c r="DB40" s="58" t="s">
        <v>134</v>
      </c>
      <c r="DC40" s="58" t="s">
        <v>134</v>
      </c>
      <c r="DD40" s="58" t="s">
        <v>134</v>
      </c>
      <c r="DE40" s="58" t="s">
        <v>134</v>
      </c>
      <c r="DF40" s="58" t="s">
        <v>134</v>
      </c>
      <c r="DG40" s="58" t="s">
        <v>134</v>
      </c>
      <c r="DH40" s="58" t="s">
        <v>134</v>
      </c>
      <c r="DI40" s="58" t="s">
        <v>134</v>
      </c>
      <c r="DJ40" s="58" t="s">
        <v>134</v>
      </c>
      <c r="DK40" s="58" t="s">
        <v>134</v>
      </c>
      <c r="DL40" s="58" t="s">
        <v>134</v>
      </c>
      <c r="DM40" s="58" t="s">
        <v>134</v>
      </c>
      <c r="DN40" s="58" t="s">
        <v>134</v>
      </c>
      <c r="DO40" s="58" t="s">
        <v>134</v>
      </c>
      <c r="DP40" s="58" t="s">
        <v>134</v>
      </c>
      <c r="DQ40" s="58" t="s">
        <v>134</v>
      </c>
      <c r="DR40" s="58" t="s">
        <v>134</v>
      </c>
      <c r="DS40" s="58" t="s">
        <v>134</v>
      </c>
      <c r="DT40" s="58" t="s">
        <v>134</v>
      </c>
      <c r="DU40" s="58" t="s">
        <v>134</v>
      </c>
      <c r="DV40" s="58" t="s">
        <v>134</v>
      </c>
      <c r="DW40" s="58" t="s">
        <v>134</v>
      </c>
      <c r="DX40" s="58" t="s">
        <v>134</v>
      </c>
      <c r="DY40" s="58" t="s">
        <v>134</v>
      </c>
      <c r="DZ40" s="58" t="s">
        <v>134</v>
      </c>
      <c r="EA40" s="58" t="s">
        <v>134</v>
      </c>
      <c r="EB40" s="58" t="s">
        <v>134</v>
      </c>
      <c r="EC40" s="58" t="s">
        <v>134</v>
      </c>
      <c r="ED40" s="58" t="s">
        <v>134</v>
      </c>
      <c r="EE40" s="58" t="s">
        <v>134</v>
      </c>
      <c r="EF40" s="58" t="s">
        <v>134</v>
      </c>
      <c r="EG40" s="58" t="s">
        <v>134</v>
      </c>
      <c r="EH40" s="58" t="s">
        <v>134</v>
      </c>
      <c r="EI40" s="58" t="s">
        <v>134</v>
      </c>
      <c r="EJ40" s="58" t="s">
        <v>134</v>
      </c>
      <c r="EK40" s="58" t="s">
        <v>134</v>
      </c>
      <c r="EL40" s="58">
        <v>0.01</v>
      </c>
      <c r="EM40" s="58" t="s">
        <v>134</v>
      </c>
      <c r="EN40" s="58" t="s">
        <v>134</v>
      </c>
      <c r="EO40" s="58">
        <v>0.0</v>
      </c>
      <c r="EP40" s="58">
        <v>0.0</v>
      </c>
      <c r="EQ40" s="58">
        <v>0.0</v>
      </c>
      <c r="ER40" s="58" t="s">
        <v>134</v>
      </c>
      <c r="ES40" s="58" t="s">
        <v>134</v>
      </c>
      <c r="ET40" s="58" t="s">
        <v>134</v>
      </c>
    </row>
    <row r="41">
      <c r="A41" s="58" t="s">
        <v>73</v>
      </c>
      <c r="B41" s="58" t="s">
        <v>134</v>
      </c>
      <c r="C41" s="58" t="s">
        <v>134</v>
      </c>
      <c r="D41" s="58" t="s">
        <v>134</v>
      </c>
      <c r="E41" s="58" t="s">
        <v>134</v>
      </c>
      <c r="F41" s="58" t="s">
        <v>134</v>
      </c>
      <c r="G41" s="58" t="s">
        <v>134</v>
      </c>
      <c r="H41" s="58" t="s">
        <v>134</v>
      </c>
      <c r="I41" s="58">
        <v>0.0643</v>
      </c>
      <c r="J41" s="58" t="s">
        <v>134</v>
      </c>
      <c r="K41" s="58">
        <v>0.0</v>
      </c>
      <c r="L41" s="58">
        <v>0.0</v>
      </c>
      <c r="M41" s="58" t="s">
        <v>134</v>
      </c>
      <c r="N41" s="58" t="s">
        <v>134</v>
      </c>
      <c r="O41" s="58" t="s">
        <v>134</v>
      </c>
      <c r="P41" s="58" t="s">
        <v>134</v>
      </c>
      <c r="Q41" s="58" t="s">
        <v>134</v>
      </c>
      <c r="R41" s="58" t="s">
        <v>134</v>
      </c>
      <c r="S41" s="58" t="s">
        <v>134</v>
      </c>
      <c r="T41" s="58" t="s">
        <v>134</v>
      </c>
      <c r="U41" s="58" t="s">
        <v>134</v>
      </c>
      <c r="V41" s="58" t="s">
        <v>134</v>
      </c>
      <c r="W41" s="58" t="s">
        <v>134</v>
      </c>
      <c r="X41" s="58" t="s">
        <v>134</v>
      </c>
      <c r="Y41" s="58" t="s">
        <v>134</v>
      </c>
      <c r="Z41" s="58" t="s">
        <v>134</v>
      </c>
      <c r="AA41" s="58" t="s">
        <v>134</v>
      </c>
      <c r="AB41" s="58" t="s">
        <v>134</v>
      </c>
      <c r="AC41" s="58" t="s">
        <v>134</v>
      </c>
      <c r="AD41" s="58" t="s">
        <v>134</v>
      </c>
      <c r="AE41" s="58" t="s">
        <v>134</v>
      </c>
      <c r="AF41" s="58" t="s">
        <v>134</v>
      </c>
      <c r="AG41" s="58" t="s">
        <v>134</v>
      </c>
      <c r="AH41" s="58" t="s">
        <v>134</v>
      </c>
      <c r="AI41" s="58" t="s">
        <v>134</v>
      </c>
      <c r="AJ41" s="58" t="s">
        <v>134</v>
      </c>
      <c r="AK41" s="58" t="s">
        <v>134</v>
      </c>
      <c r="AL41" s="58" t="s">
        <v>134</v>
      </c>
      <c r="AM41" s="58" t="s">
        <v>134</v>
      </c>
      <c r="AN41" s="58">
        <v>0.0662</v>
      </c>
      <c r="AO41" s="58" t="s">
        <v>134</v>
      </c>
      <c r="AP41" s="58" t="s">
        <v>134</v>
      </c>
      <c r="AQ41" s="58" t="s">
        <v>134</v>
      </c>
      <c r="AR41" s="58" t="s">
        <v>134</v>
      </c>
      <c r="AS41" s="58" t="s">
        <v>134</v>
      </c>
      <c r="AT41" s="58" t="s">
        <v>134</v>
      </c>
      <c r="AU41" s="58" t="s">
        <v>134</v>
      </c>
      <c r="AV41" s="58" t="s">
        <v>134</v>
      </c>
      <c r="AW41" s="58" t="s">
        <v>134</v>
      </c>
      <c r="AX41" s="58" t="s">
        <v>134</v>
      </c>
      <c r="AY41" s="58" t="s">
        <v>134</v>
      </c>
      <c r="AZ41" s="58" t="s">
        <v>134</v>
      </c>
      <c r="BA41" s="58" t="s">
        <v>134</v>
      </c>
      <c r="BB41" s="58" t="s">
        <v>134</v>
      </c>
      <c r="BC41" s="58" t="s">
        <v>134</v>
      </c>
      <c r="BD41" s="58" t="s">
        <v>134</v>
      </c>
      <c r="BE41" s="58" t="s">
        <v>134</v>
      </c>
      <c r="BF41" s="58" t="s">
        <v>134</v>
      </c>
      <c r="BG41" s="58" t="s">
        <v>134</v>
      </c>
      <c r="BH41" s="58" t="s">
        <v>134</v>
      </c>
      <c r="BI41" s="58" t="s">
        <v>134</v>
      </c>
      <c r="BJ41" s="58" t="s">
        <v>134</v>
      </c>
      <c r="BK41" s="58" t="s">
        <v>134</v>
      </c>
      <c r="BL41" s="58" t="s">
        <v>134</v>
      </c>
      <c r="BM41" s="58" t="s">
        <v>134</v>
      </c>
      <c r="BN41" s="58" t="s">
        <v>134</v>
      </c>
      <c r="BO41" s="58" t="s">
        <v>134</v>
      </c>
      <c r="BP41" s="58" t="s">
        <v>134</v>
      </c>
      <c r="BQ41" s="58" t="s">
        <v>134</v>
      </c>
      <c r="BR41" s="58" t="s">
        <v>134</v>
      </c>
      <c r="BS41" s="58" t="s">
        <v>134</v>
      </c>
      <c r="BT41" s="58" t="s">
        <v>134</v>
      </c>
      <c r="BU41" s="58" t="s">
        <v>134</v>
      </c>
      <c r="BV41" s="58" t="s">
        <v>134</v>
      </c>
      <c r="BW41" s="58" t="s">
        <v>134</v>
      </c>
      <c r="BX41" s="58" t="s">
        <v>134</v>
      </c>
      <c r="BY41" s="58" t="s">
        <v>134</v>
      </c>
      <c r="BZ41" s="58" t="s">
        <v>134</v>
      </c>
      <c r="CA41" s="58" t="s">
        <v>134</v>
      </c>
      <c r="CB41" s="58" t="s">
        <v>134</v>
      </c>
      <c r="CC41" s="58" t="s">
        <v>134</v>
      </c>
      <c r="CD41" s="58" t="s">
        <v>134</v>
      </c>
      <c r="CE41" s="58" t="s">
        <v>134</v>
      </c>
      <c r="CF41" s="58" t="s">
        <v>134</v>
      </c>
      <c r="CG41" s="58" t="s">
        <v>134</v>
      </c>
      <c r="CH41" s="58" t="s">
        <v>134</v>
      </c>
      <c r="CI41" s="58" t="s">
        <v>134</v>
      </c>
      <c r="CJ41" s="58" t="s">
        <v>134</v>
      </c>
      <c r="CK41" s="58" t="s">
        <v>134</v>
      </c>
      <c r="CL41" s="58" t="s">
        <v>134</v>
      </c>
      <c r="CM41" s="58" t="s">
        <v>134</v>
      </c>
      <c r="CN41" s="58" t="s">
        <v>134</v>
      </c>
      <c r="CO41" s="58" t="s">
        <v>134</v>
      </c>
      <c r="CP41" s="58" t="s">
        <v>134</v>
      </c>
      <c r="CQ41" s="58" t="s">
        <v>134</v>
      </c>
      <c r="CR41" s="58" t="s">
        <v>134</v>
      </c>
      <c r="CS41" s="58" t="s">
        <v>134</v>
      </c>
      <c r="CT41" s="58" t="s">
        <v>134</v>
      </c>
      <c r="CU41" s="58" t="s">
        <v>134</v>
      </c>
      <c r="CV41" s="58" t="s">
        <v>134</v>
      </c>
      <c r="CW41" s="58" t="s">
        <v>134</v>
      </c>
      <c r="CX41" s="58" t="s">
        <v>134</v>
      </c>
      <c r="CY41" s="58" t="s">
        <v>134</v>
      </c>
      <c r="CZ41" s="58" t="s">
        <v>134</v>
      </c>
      <c r="DA41" s="58" t="s">
        <v>134</v>
      </c>
      <c r="DB41" s="58" t="s">
        <v>134</v>
      </c>
      <c r="DC41" s="58" t="s">
        <v>134</v>
      </c>
      <c r="DD41" s="58" t="s">
        <v>134</v>
      </c>
      <c r="DE41" s="58" t="s">
        <v>134</v>
      </c>
      <c r="DF41" s="58" t="s">
        <v>134</v>
      </c>
      <c r="DG41" s="58" t="s">
        <v>134</v>
      </c>
      <c r="DH41" s="58" t="s">
        <v>134</v>
      </c>
      <c r="DI41" s="58" t="s">
        <v>134</v>
      </c>
      <c r="DJ41" s="58" t="s">
        <v>134</v>
      </c>
      <c r="DK41" s="58" t="s">
        <v>134</v>
      </c>
      <c r="DL41" s="58" t="s">
        <v>134</v>
      </c>
      <c r="DM41" s="58" t="s">
        <v>134</v>
      </c>
      <c r="DN41" s="58" t="s">
        <v>134</v>
      </c>
      <c r="DO41" s="58" t="s">
        <v>134</v>
      </c>
      <c r="DP41" s="58" t="s">
        <v>134</v>
      </c>
      <c r="DQ41" s="58" t="s">
        <v>134</v>
      </c>
      <c r="DR41" s="58" t="s">
        <v>134</v>
      </c>
      <c r="DS41" s="58" t="s">
        <v>134</v>
      </c>
      <c r="DT41" s="58" t="s">
        <v>134</v>
      </c>
      <c r="DU41" s="58" t="s">
        <v>134</v>
      </c>
      <c r="DV41" s="58" t="s">
        <v>134</v>
      </c>
      <c r="DW41" s="58" t="s">
        <v>134</v>
      </c>
      <c r="DX41" s="58" t="s">
        <v>134</v>
      </c>
      <c r="DY41" s="58" t="s">
        <v>134</v>
      </c>
      <c r="DZ41" s="58" t="s">
        <v>134</v>
      </c>
      <c r="EA41" s="58" t="s">
        <v>134</v>
      </c>
      <c r="EB41" s="58" t="s">
        <v>134</v>
      </c>
      <c r="EC41" s="58" t="s">
        <v>134</v>
      </c>
      <c r="ED41" s="58" t="s">
        <v>134</v>
      </c>
      <c r="EE41" s="58" t="s">
        <v>134</v>
      </c>
      <c r="EF41" s="58" t="s">
        <v>134</v>
      </c>
      <c r="EG41" s="58" t="s">
        <v>134</v>
      </c>
      <c r="EH41" s="58" t="s">
        <v>134</v>
      </c>
      <c r="EI41" s="58" t="s">
        <v>134</v>
      </c>
      <c r="EJ41" s="58" t="s">
        <v>134</v>
      </c>
      <c r="EK41" s="58" t="s">
        <v>134</v>
      </c>
      <c r="EL41" s="58" t="s">
        <v>134</v>
      </c>
      <c r="EM41" s="58" t="s">
        <v>134</v>
      </c>
      <c r="EN41" s="58" t="s">
        <v>134</v>
      </c>
      <c r="EO41" s="58">
        <v>0.0</v>
      </c>
      <c r="EP41" s="58">
        <v>0.0</v>
      </c>
      <c r="EQ41" s="58">
        <v>0.0</v>
      </c>
      <c r="ER41" s="58" t="s">
        <v>134</v>
      </c>
      <c r="ES41" s="58" t="s">
        <v>134</v>
      </c>
      <c r="ET41" s="58" t="s">
        <v>134</v>
      </c>
    </row>
    <row r="42">
      <c r="A42" s="58" t="s">
        <v>82</v>
      </c>
      <c r="B42" s="58" t="s">
        <v>134</v>
      </c>
      <c r="C42" s="58" t="s">
        <v>134</v>
      </c>
      <c r="D42" s="58" t="s">
        <v>134</v>
      </c>
      <c r="E42" s="58" t="s">
        <v>134</v>
      </c>
      <c r="F42" s="58" t="s">
        <v>134</v>
      </c>
      <c r="G42" s="58" t="s">
        <v>134</v>
      </c>
      <c r="H42" s="58" t="s">
        <v>134</v>
      </c>
      <c r="I42" s="58">
        <v>0.05</v>
      </c>
      <c r="J42" s="58" t="s">
        <v>134</v>
      </c>
      <c r="K42" s="58">
        <v>0.0</v>
      </c>
      <c r="L42" s="58">
        <v>0.0</v>
      </c>
      <c r="M42" s="58" t="s">
        <v>134</v>
      </c>
      <c r="N42" s="58" t="s">
        <v>134</v>
      </c>
      <c r="O42" s="58" t="s">
        <v>134</v>
      </c>
      <c r="P42" s="58" t="s">
        <v>134</v>
      </c>
      <c r="Q42" s="58" t="s">
        <v>134</v>
      </c>
      <c r="R42" s="58" t="s">
        <v>134</v>
      </c>
      <c r="S42" s="58" t="s">
        <v>134</v>
      </c>
      <c r="T42" s="58" t="s">
        <v>134</v>
      </c>
      <c r="U42" s="58" t="s">
        <v>134</v>
      </c>
      <c r="V42" s="58" t="s">
        <v>134</v>
      </c>
      <c r="W42" s="58" t="s">
        <v>134</v>
      </c>
      <c r="X42" s="58" t="s">
        <v>134</v>
      </c>
      <c r="Y42" s="58" t="s">
        <v>134</v>
      </c>
      <c r="Z42" s="58" t="s">
        <v>134</v>
      </c>
      <c r="AA42" s="58" t="s">
        <v>134</v>
      </c>
      <c r="AB42" s="58" t="s">
        <v>134</v>
      </c>
      <c r="AC42" s="58" t="s">
        <v>134</v>
      </c>
      <c r="AD42" s="58" t="s">
        <v>134</v>
      </c>
      <c r="AE42" s="58" t="s">
        <v>134</v>
      </c>
      <c r="AF42" s="58" t="s">
        <v>134</v>
      </c>
      <c r="AG42" s="58" t="s">
        <v>134</v>
      </c>
      <c r="AH42" s="58" t="s">
        <v>134</v>
      </c>
      <c r="AI42" s="58" t="s">
        <v>134</v>
      </c>
      <c r="AJ42" s="58" t="s">
        <v>134</v>
      </c>
      <c r="AK42" s="58" t="s">
        <v>134</v>
      </c>
      <c r="AL42" s="58" t="s">
        <v>134</v>
      </c>
      <c r="AM42" s="58" t="s">
        <v>134</v>
      </c>
      <c r="AN42" s="58">
        <v>0.0236</v>
      </c>
      <c r="AO42" s="58" t="s">
        <v>134</v>
      </c>
      <c r="AP42" s="58" t="s">
        <v>134</v>
      </c>
      <c r="AQ42" s="58" t="s">
        <v>134</v>
      </c>
      <c r="AR42" s="58" t="s">
        <v>134</v>
      </c>
      <c r="AS42" s="58" t="s">
        <v>134</v>
      </c>
      <c r="AT42" s="58" t="s">
        <v>134</v>
      </c>
      <c r="AU42" s="58" t="s">
        <v>134</v>
      </c>
      <c r="AV42" s="58" t="s">
        <v>134</v>
      </c>
      <c r="AW42" s="58" t="s">
        <v>134</v>
      </c>
      <c r="AX42" s="58" t="s">
        <v>134</v>
      </c>
      <c r="AY42" s="58" t="s">
        <v>134</v>
      </c>
      <c r="AZ42" s="58" t="s">
        <v>134</v>
      </c>
      <c r="BA42" s="58" t="s">
        <v>134</v>
      </c>
      <c r="BB42" s="58" t="s">
        <v>134</v>
      </c>
      <c r="BC42" s="58" t="s">
        <v>134</v>
      </c>
      <c r="BD42" s="58" t="s">
        <v>134</v>
      </c>
      <c r="BE42" s="58" t="s">
        <v>134</v>
      </c>
      <c r="BF42" s="58" t="s">
        <v>134</v>
      </c>
      <c r="BG42" s="58" t="s">
        <v>134</v>
      </c>
      <c r="BH42" s="58" t="s">
        <v>134</v>
      </c>
      <c r="BI42" s="58" t="s">
        <v>134</v>
      </c>
      <c r="BJ42" s="58" t="s">
        <v>134</v>
      </c>
      <c r="BK42" s="58" t="s">
        <v>134</v>
      </c>
      <c r="BL42" s="58" t="s">
        <v>134</v>
      </c>
      <c r="BM42" s="58" t="s">
        <v>134</v>
      </c>
      <c r="BN42" s="58" t="s">
        <v>134</v>
      </c>
      <c r="BO42" s="58" t="s">
        <v>134</v>
      </c>
      <c r="BP42" s="58" t="s">
        <v>134</v>
      </c>
      <c r="BQ42" s="58" t="s">
        <v>134</v>
      </c>
      <c r="BR42" s="58" t="s">
        <v>134</v>
      </c>
      <c r="BS42" s="58" t="s">
        <v>134</v>
      </c>
      <c r="BT42" s="58" t="s">
        <v>134</v>
      </c>
      <c r="BU42" s="58" t="s">
        <v>134</v>
      </c>
      <c r="BV42" s="58" t="s">
        <v>134</v>
      </c>
      <c r="BW42" s="58" t="s">
        <v>134</v>
      </c>
      <c r="BX42" s="58" t="s">
        <v>134</v>
      </c>
      <c r="BY42" s="58" t="s">
        <v>134</v>
      </c>
      <c r="BZ42" s="58" t="s">
        <v>134</v>
      </c>
      <c r="CA42" s="58" t="s">
        <v>134</v>
      </c>
      <c r="CB42" s="58" t="s">
        <v>134</v>
      </c>
      <c r="CC42" s="58" t="s">
        <v>134</v>
      </c>
      <c r="CD42" s="58" t="s">
        <v>134</v>
      </c>
      <c r="CE42" s="58" t="s">
        <v>134</v>
      </c>
      <c r="CF42" s="58" t="s">
        <v>134</v>
      </c>
      <c r="CG42" s="58" t="s">
        <v>134</v>
      </c>
      <c r="CH42" s="58" t="s">
        <v>134</v>
      </c>
      <c r="CI42" s="58" t="s">
        <v>134</v>
      </c>
      <c r="CJ42" s="58" t="s">
        <v>134</v>
      </c>
      <c r="CK42" s="58" t="s">
        <v>134</v>
      </c>
      <c r="CL42" s="58" t="s">
        <v>134</v>
      </c>
      <c r="CM42" s="58" t="s">
        <v>134</v>
      </c>
      <c r="CN42" s="58" t="s">
        <v>134</v>
      </c>
      <c r="CO42" s="58" t="s">
        <v>134</v>
      </c>
      <c r="CP42" s="58" t="s">
        <v>134</v>
      </c>
      <c r="CQ42" s="58" t="s">
        <v>134</v>
      </c>
      <c r="CR42" s="58" t="s">
        <v>134</v>
      </c>
      <c r="CS42" s="58" t="s">
        <v>134</v>
      </c>
      <c r="CT42" s="58" t="s">
        <v>134</v>
      </c>
      <c r="CU42" s="58" t="s">
        <v>134</v>
      </c>
      <c r="CV42" s="58" t="s">
        <v>134</v>
      </c>
      <c r="CW42" s="58" t="s">
        <v>134</v>
      </c>
      <c r="CX42" s="58" t="s">
        <v>134</v>
      </c>
      <c r="CY42" s="58" t="s">
        <v>134</v>
      </c>
      <c r="CZ42" s="58" t="s">
        <v>134</v>
      </c>
      <c r="DA42" s="58" t="s">
        <v>134</v>
      </c>
      <c r="DB42" s="58" t="s">
        <v>134</v>
      </c>
      <c r="DC42" s="58" t="s">
        <v>134</v>
      </c>
      <c r="DD42" s="58" t="s">
        <v>134</v>
      </c>
      <c r="DE42" s="58" t="s">
        <v>134</v>
      </c>
      <c r="DF42" s="58" t="s">
        <v>134</v>
      </c>
      <c r="DG42" s="58" t="s">
        <v>134</v>
      </c>
      <c r="DH42" s="58" t="s">
        <v>134</v>
      </c>
      <c r="DI42" s="58" t="s">
        <v>134</v>
      </c>
      <c r="DJ42" s="58" t="s">
        <v>134</v>
      </c>
      <c r="DK42" s="58" t="s">
        <v>134</v>
      </c>
      <c r="DL42" s="58" t="s">
        <v>134</v>
      </c>
      <c r="DM42" s="58" t="s">
        <v>134</v>
      </c>
      <c r="DN42" s="58" t="s">
        <v>134</v>
      </c>
      <c r="DO42" s="58" t="s">
        <v>134</v>
      </c>
      <c r="DP42" s="58" t="s">
        <v>134</v>
      </c>
      <c r="DQ42" s="58" t="s">
        <v>134</v>
      </c>
      <c r="DR42" s="58" t="s">
        <v>134</v>
      </c>
      <c r="DS42" s="58" t="s">
        <v>134</v>
      </c>
      <c r="DT42" s="58" t="s">
        <v>134</v>
      </c>
      <c r="DU42" s="58" t="s">
        <v>134</v>
      </c>
      <c r="DV42" s="58" t="s">
        <v>134</v>
      </c>
      <c r="DW42" s="58" t="s">
        <v>134</v>
      </c>
      <c r="DX42" s="58" t="s">
        <v>134</v>
      </c>
      <c r="DY42" s="58" t="s">
        <v>134</v>
      </c>
      <c r="DZ42" s="58" t="s">
        <v>134</v>
      </c>
      <c r="EA42" s="58" t="s">
        <v>134</v>
      </c>
      <c r="EB42" s="58" t="s">
        <v>134</v>
      </c>
      <c r="EC42" s="58" t="s">
        <v>134</v>
      </c>
      <c r="ED42" s="58" t="s">
        <v>134</v>
      </c>
      <c r="EE42" s="58" t="s">
        <v>134</v>
      </c>
      <c r="EF42" s="58" t="s">
        <v>134</v>
      </c>
      <c r="EG42" s="58" t="s">
        <v>134</v>
      </c>
      <c r="EH42" s="58" t="s">
        <v>134</v>
      </c>
      <c r="EI42" s="58" t="s">
        <v>134</v>
      </c>
      <c r="EJ42" s="58" t="s">
        <v>134</v>
      </c>
      <c r="EK42" s="58" t="s">
        <v>134</v>
      </c>
      <c r="EL42" s="58" t="s">
        <v>134</v>
      </c>
      <c r="EM42" s="58" t="s">
        <v>134</v>
      </c>
      <c r="EN42" s="58" t="s">
        <v>134</v>
      </c>
      <c r="EO42" s="58">
        <v>0.0</v>
      </c>
      <c r="EP42" s="58">
        <v>0.0</v>
      </c>
      <c r="EQ42" s="58">
        <v>0.0</v>
      </c>
      <c r="ER42" s="58" t="s">
        <v>134</v>
      </c>
      <c r="ES42" s="58" t="s">
        <v>134</v>
      </c>
      <c r="ET42" s="58" t="s">
        <v>134</v>
      </c>
    </row>
    <row r="43">
      <c r="A43" s="58" t="s">
        <v>54</v>
      </c>
      <c r="B43" s="58" t="s">
        <v>134</v>
      </c>
      <c r="C43" s="58" t="s">
        <v>134</v>
      </c>
      <c r="D43" s="58" t="s">
        <v>134</v>
      </c>
      <c r="E43" s="58" t="s">
        <v>134</v>
      </c>
      <c r="F43" s="58" t="s">
        <v>134</v>
      </c>
      <c r="G43" s="58" t="s">
        <v>134</v>
      </c>
      <c r="H43" s="58" t="s">
        <v>134</v>
      </c>
      <c r="I43" s="58">
        <v>0.0354</v>
      </c>
      <c r="J43" s="58" t="s">
        <v>134</v>
      </c>
      <c r="K43" s="58">
        <v>0.003</v>
      </c>
      <c r="L43" s="58">
        <v>0.0</v>
      </c>
      <c r="M43" s="58" t="s">
        <v>134</v>
      </c>
      <c r="N43" s="58" t="s">
        <v>134</v>
      </c>
      <c r="O43" s="58" t="s">
        <v>134</v>
      </c>
      <c r="P43" s="58" t="s">
        <v>134</v>
      </c>
      <c r="Q43" s="58" t="s">
        <v>134</v>
      </c>
      <c r="R43" s="58" t="s">
        <v>134</v>
      </c>
      <c r="S43" s="58" t="s">
        <v>134</v>
      </c>
      <c r="T43" s="58" t="s">
        <v>134</v>
      </c>
      <c r="U43" s="58" t="s">
        <v>134</v>
      </c>
      <c r="V43" s="58" t="s">
        <v>134</v>
      </c>
      <c r="W43" s="58" t="s">
        <v>134</v>
      </c>
      <c r="X43" s="58" t="s">
        <v>134</v>
      </c>
      <c r="Y43" s="58" t="s">
        <v>134</v>
      </c>
      <c r="Z43" s="58" t="s">
        <v>134</v>
      </c>
      <c r="AA43" s="58" t="s">
        <v>134</v>
      </c>
      <c r="AB43" s="58" t="s">
        <v>134</v>
      </c>
      <c r="AC43" s="58" t="s">
        <v>134</v>
      </c>
      <c r="AD43" s="58">
        <v>0.0103222</v>
      </c>
      <c r="AE43" s="58" t="s">
        <v>134</v>
      </c>
      <c r="AF43" s="58">
        <v>0.0</v>
      </c>
      <c r="AG43" s="58" t="s">
        <v>134</v>
      </c>
      <c r="AH43" s="58">
        <v>0.04</v>
      </c>
      <c r="AI43" s="58" t="s">
        <v>134</v>
      </c>
      <c r="AJ43" s="58">
        <v>0.047</v>
      </c>
      <c r="AK43" s="58" t="s">
        <v>134</v>
      </c>
      <c r="AL43" s="58">
        <v>0.05555748992</v>
      </c>
      <c r="AM43" s="58" t="s">
        <v>134</v>
      </c>
      <c r="AN43" s="58">
        <v>0.131</v>
      </c>
      <c r="AO43" s="58" t="s">
        <v>134</v>
      </c>
      <c r="AP43" s="58" t="s">
        <v>134</v>
      </c>
      <c r="AQ43" s="58" t="s">
        <v>134</v>
      </c>
      <c r="AR43" s="58" t="s">
        <v>134</v>
      </c>
      <c r="AS43" s="58" t="s">
        <v>134</v>
      </c>
      <c r="AT43" s="58" t="s">
        <v>134</v>
      </c>
      <c r="AU43" s="58" t="s">
        <v>134</v>
      </c>
      <c r="AV43" s="58" t="s">
        <v>134</v>
      </c>
      <c r="AW43" s="58">
        <v>0.0043</v>
      </c>
      <c r="AX43" s="58" t="s">
        <v>134</v>
      </c>
      <c r="AY43" s="58" t="s">
        <v>134</v>
      </c>
      <c r="AZ43" s="58" t="s">
        <v>134</v>
      </c>
      <c r="BA43" s="58">
        <v>0.014</v>
      </c>
      <c r="BB43" s="58">
        <v>0.0426</v>
      </c>
      <c r="BC43" s="58">
        <v>0.0487</v>
      </c>
      <c r="BD43" s="58" t="s">
        <v>134</v>
      </c>
      <c r="BE43" s="58" t="s">
        <v>134</v>
      </c>
      <c r="BF43" s="58" t="s">
        <v>134</v>
      </c>
      <c r="BG43" s="58">
        <v>0.0427</v>
      </c>
      <c r="BH43" s="58" t="s">
        <v>134</v>
      </c>
      <c r="BI43" s="58" t="s">
        <v>134</v>
      </c>
      <c r="BJ43" s="58" t="s">
        <v>134</v>
      </c>
      <c r="BK43" s="58" t="s">
        <v>134</v>
      </c>
      <c r="BL43" s="58" t="s">
        <v>134</v>
      </c>
      <c r="BM43" s="58" t="s">
        <v>134</v>
      </c>
      <c r="BN43" s="58" t="s">
        <v>134</v>
      </c>
      <c r="BO43" s="58" t="s">
        <v>134</v>
      </c>
      <c r="BP43" s="58" t="s">
        <v>134</v>
      </c>
      <c r="BQ43" s="58" t="s">
        <v>134</v>
      </c>
      <c r="BR43" s="58" t="s">
        <v>134</v>
      </c>
      <c r="BS43" s="58" t="s">
        <v>134</v>
      </c>
      <c r="BT43" s="58" t="s">
        <v>134</v>
      </c>
      <c r="BU43" s="58" t="s">
        <v>134</v>
      </c>
      <c r="BV43" s="58" t="s">
        <v>134</v>
      </c>
      <c r="BW43" s="58" t="s">
        <v>134</v>
      </c>
      <c r="BX43" s="58" t="s">
        <v>134</v>
      </c>
      <c r="BY43" s="58" t="s">
        <v>134</v>
      </c>
      <c r="BZ43" s="58" t="s">
        <v>134</v>
      </c>
      <c r="CA43" s="58">
        <v>0.0257</v>
      </c>
      <c r="CB43" s="58" t="s">
        <v>134</v>
      </c>
      <c r="CC43" s="58">
        <v>0.0495</v>
      </c>
      <c r="CD43" s="58" t="s">
        <v>134</v>
      </c>
      <c r="CE43" s="58">
        <v>0.0091</v>
      </c>
      <c r="CF43" s="58">
        <v>0.0673</v>
      </c>
      <c r="CG43" s="58" t="s">
        <v>134</v>
      </c>
      <c r="CH43" s="58" t="s">
        <v>134</v>
      </c>
      <c r="CI43" s="58" t="s">
        <v>134</v>
      </c>
      <c r="CJ43" s="58" t="s">
        <v>134</v>
      </c>
      <c r="CK43" s="58" t="s">
        <v>134</v>
      </c>
      <c r="CL43" s="58" t="s">
        <v>134</v>
      </c>
      <c r="CM43" s="58" t="s">
        <v>134</v>
      </c>
      <c r="CN43" s="58" t="s">
        <v>134</v>
      </c>
      <c r="CO43" s="58" t="s">
        <v>134</v>
      </c>
      <c r="CP43" s="58" t="s">
        <v>134</v>
      </c>
      <c r="CQ43" s="58">
        <v>0.0273</v>
      </c>
      <c r="CR43" s="58">
        <v>0.0108</v>
      </c>
      <c r="CS43" s="58" t="s">
        <v>134</v>
      </c>
      <c r="CT43" s="58" t="s">
        <v>134</v>
      </c>
      <c r="CU43" s="58" t="s">
        <v>134</v>
      </c>
      <c r="CV43" s="58" t="s">
        <v>134</v>
      </c>
      <c r="CW43" s="58" t="s">
        <v>134</v>
      </c>
      <c r="CX43" s="58" t="s">
        <v>134</v>
      </c>
      <c r="CY43" s="58">
        <v>0.1682</v>
      </c>
      <c r="CZ43" s="58" t="s">
        <v>134</v>
      </c>
      <c r="DA43" s="58" t="s">
        <v>134</v>
      </c>
      <c r="DB43" s="58" t="s">
        <v>134</v>
      </c>
      <c r="DC43" s="58" t="s">
        <v>134</v>
      </c>
      <c r="DD43" s="58" t="s">
        <v>134</v>
      </c>
      <c r="DE43" s="58" t="s">
        <v>134</v>
      </c>
      <c r="DF43" s="58" t="s">
        <v>134</v>
      </c>
      <c r="DG43" s="58" t="s">
        <v>134</v>
      </c>
      <c r="DH43" s="58" t="s">
        <v>134</v>
      </c>
      <c r="DI43" s="58">
        <v>0.0176</v>
      </c>
      <c r="DJ43" s="58" t="s">
        <v>134</v>
      </c>
      <c r="DK43" s="58" t="s">
        <v>134</v>
      </c>
      <c r="DL43" s="58" t="s">
        <v>134</v>
      </c>
      <c r="DM43" s="58">
        <v>0.1053</v>
      </c>
      <c r="DN43" s="58" t="s">
        <v>134</v>
      </c>
      <c r="DO43" s="58" t="s">
        <v>134</v>
      </c>
      <c r="DP43" s="58" t="s">
        <v>134</v>
      </c>
      <c r="DQ43" s="58" t="s">
        <v>134</v>
      </c>
      <c r="DR43" s="58" t="s">
        <v>134</v>
      </c>
      <c r="DS43" s="58" t="s">
        <v>134</v>
      </c>
      <c r="DT43" s="58" t="s">
        <v>134</v>
      </c>
      <c r="DU43" s="58">
        <v>0.1682</v>
      </c>
      <c r="DV43" s="58" t="s">
        <v>134</v>
      </c>
      <c r="DW43" s="58" t="s">
        <v>134</v>
      </c>
      <c r="DX43" s="58" t="s">
        <v>134</v>
      </c>
      <c r="DY43" s="58">
        <v>0.01</v>
      </c>
      <c r="DZ43" s="58" t="s">
        <v>134</v>
      </c>
      <c r="EA43" s="58" t="s">
        <v>134</v>
      </c>
      <c r="EB43" s="58" t="s">
        <v>134</v>
      </c>
      <c r="EC43" s="58" t="s">
        <v>134</v>
      </c>
      <c r="ED43" s="58" t="s">
        <v>134</v>
      </c>
      <c r="EE43" s="58" t="s">
        <v>134</v>
      </c>
      <c r="EF43" s="58" t="s">
        <v>134</v>
      </c>
      <c r="EG43" s="58" t="s">
        <v>134</v>
      </c>
      <c r="EH43" s="58" t="s">
        <v>134</v>
      </c>
      <c r="EI43" s="58" t="s">
        <v>134</v>
      </c>
      <c r="EJ43" s="58" t="s">
        <v>134</v>
      </c>
      <c r="EK43" s="58" t="s">
        <v>134</v>
      </c>
      <c r="EL43" s="58" t="s">
        <v>134</v>
      </c>
      <c r="EM43" s="58" t="s">
        <v>134</v>
      </c>
      <c r="EN43" s="58" t="s">
        <v>134</v>
      </c>
      <c r="EO43" s="58">
        <v>0.0</v>
      </c>
      <c r="EP43" s="58">
        <v>0.0</v>
      </c>
      <c r="EQ43" s="58">
        <v>0.0</v>
      </c>
      <c r="ER43" s="58" t="s">
        <v>134</v>
      </c>
      <c r="ES43" s="58" t="s">
        <v>134</v>
      </c>
      <c r="ET43" s="58" t="s">
        <v>134</v>
      </c>
    </row>
    <row r="44">
      <c r="A44" s="58" t="s">
        <v>107</v>
      </c>
      <c r="B44" s="58" t="s">
        <v>134</v>
      </c>
      <c r="C44" s="58" t="s">
        <v>134</v>
      </c>
      <c r="D44" s="58" t="s">
        <v>134</v>
      </c>
      <c r="E44" s="58" t="s">
        <v>134</v>
      </c>
      <c r="F44" s="58" t="s">
        <v>134</v>
      </c>
      <c r="G44" s="58" t="s">
        <v>134</v>
      </c>
      <c r="H44" s="58" t="s">
        <v>134</v>
      </c>
      <c r="I44" s="58" t="s">
        <v>134</v>
      </c>
      <c r="J44" s="58" t="s">
        <v>134</v>
      </c>
      <c r="K44" s="58">
        <v>0.0</v>
      </c>
      <c r="L44" s="58">
        <v>0.0</v>
      </c>
      <c r="M44" s="58" t="s">
        <v>134</v>
      </c>
      <c r="N44" s="58" t="s">
        <v>134</v>
      </c>
      <c r="O44" s="58" t="s">
        <v>134</v>
      </c>
      <c r="P44" s="58" t="s">
        <v>134</v>
      </c>
      <c r="Q44" s="58" t="s">
        <v>134</v>
      </c>
      <c r="R44" s="58" t="s">
        <v>134</v>
      </c>
      <c r="S44" s="58" t="s">
        <v>134</v>
      </c>
      <c r="T44" s="58" t="s">
        <v>134</v>
      </c>
      <c r="U44" s="58" t="s">
        <v>134</v>
      </c>
      <c r="V44" s="58" t="s">
        <v>134</v>
      </c>
      <c r="W44" s="58" t="s">
        <v>134</v>
      </c>
      <c r="X44" s="58" t="s">
        <v>134</v>
      </c>
      <c r="Y44" s="58" t="s">
        <v>134</v>
      </c>
      <c r="Z44" s="58" t="s">
        <v>134</v>
      </c>
      <c r="AA44" s="58" t="s">
        <v>134</v>
      </c>
      <c r="AB44" s="58" t="s">
        <v>134</v>
      </c>
      <c r="AC44" s="58" t="s">
        <v>134</v>
      </c>
      <c r="AD44" s="58" t="s">
        <v>134</v>
      </c>
      <c r="AE44" s="58" t="s">
        <v>134</v>
      </c>
      <c r="AF44" s="58" t="s">
        <v>134</v>
      </c>
      <c r="AG44" s="58" t="s">
        <v>134</v>
      </c>
      <c r="AH44" s="58" t="s">
        <v>134</v>
      </c>
      <c r="AI44" s="58" t="s">
        <v>134</v>
      </c>
      <c r="AJ44" s="58" t="s">
        <v>134</v>
      </c>
      <c r="AK44" s="58" t="s">
        <v>134</v>
      </c>
      <c r="AL44" s="58" t="s">
        <v>134</v>
      </c>
      <c r="AM44" s="58" t="s">
        <v>134</v>
      </c>
      <c r="AN44" s="58">
        <v>0.0</v>
      </c>
      <c r="AO44" s="58" t="s">
        <v>134</v>
      </c>
      <c r="AP44" s="58" t="s">
        <v>134</v>
      </c>
      <c r="AQ44" s="58" t="s">
        <v>134</v>
      </c>
      <c r="AR44" s="58" t="s">
        <v>134</v>
      </c>
      <c r="AS44" s="58" t="s">
        <v>134</v>
      </c>
      <c r="AT44" s="58" t="s">
        <v>134</v>
      </c>
      <c r="AU44" s="58" t="s">
        <v>134</v>
      </c>
      <c r="AV44" s="58" t="s">
        <v>134</v>
      </c>
      <c r="AW44" s="58" t="s">
        <v>134</v>
      </c>
      <c r="AX44" s="58" t="s">
        <v>134</v>
      </c>
      <c r="AY44" s="58" t="s">
        <v>134</v>
      </c>
      <c r="AZ44" s="58" t="s">
        <v>134</v>
      </c>
      <c r="BA44" s="58" t="s">
        <v>134</v>
      </c>
      <c r="BB44" s="58" t="s">
        <v>134</v>
      </c>
      <c r="BC44" s="58" t="s">
        <v>134</v>
      </c>
      <c r="BD44" s="58" t="s">
        <v>134</v>
      </c>
      <c r="BE44" s="58" t="s">
        <v>134</v>
      </c>
      <c r="BF44" s="58" t="s">
        <v>134</v>
      </c>
      <c r="BG44" s="58" t="s">
        <v>134</v>
      </c>
      <c r="BH44" s="58" t="s">
        <v>134</v>
      </c>
      <c r="BI44" s="58" t="s">
        <v>134</v>
      </c>
      <c r="BJ44" s="58" t="s">
        <v>134</v>
      </c>
      <c r="BK44" s="58" t="s">
        <v>134</v>
      </c>
      <c r="BL44" s="58" t="s">
        <v>134</v>
      </c>
      <c r="BM44" s="58" t="s">
        <v>134</v>
      </c>
      <c r="BN44" s="58" t="s">
        <v>134</v>
      </c>
      <c r="BO44" s="58" t="s">
        <v>134</v>
      </c>
      <c r="BP44" s="58" t="s">
        <v>134</v>
      </c>
      <c r="BQ44" s="58" t="s">
        <v>134</v>
      </c>
      <c r="BR44" s="58" t="s">
        <v>134</v>
      </c>
      <c r="BS44" s="58" t="s">
        <v>134</v>
      </c>
      <c r="BT44" s="58" t="s">
        <v>134</v>
      </c>
      <c r="BU44" s="58" t="s">
        <v>134</v>
      </c>
      <c r="BV44" s="58" t="s">
        <v>134</v>
      </c>
      <c r="BW44" s="58" t="s">
        <v>134</v>
      </c>
      <c r="BX44" s="58" t="s">
        <v>134</v>
      </c>
      <c r="BY44" s="58" t="s">
        <v>134</v>
      </c>
      <c r="BZ44" s="58" t="s">
        <v>134</v>
      </c>
      <c r="CA44" s="58" t="s">
        <v>134</v>
      </c>
      <c r="CB44" s="58" t="s">
        <v>134</v>
      </c>
      <c r="CC44" s="58" t="s">
        <v>134</v>
      </c>
      <c r="CD44" s="58" t="s">
        <v>134</v>
      </c>
      <c r="CE44" s="58" t="s">
        <v>134</v>
      </c>
      <c r="CF44" s="58" t="s">
        <v>134</v>
      </c>
      <c r="CG44" s="58" t="s">
        <v>134</v>
      </c>
      <c r="CH44" s="58" t="s">
        <v>134</v>
      </c>
      <c r="CI44" s="58" t="s">
        <v>134</v>
      </c>
      <c r="CJ44" s="58" t="s">
        <v>134</v>
      </c>
      <c r="CK44" s="58" t="s">
        <v>134</v>
      </c>
      <c r="CL44" s="58" t="s">
        <v>134</v>
      </c>
      <c r="CM44" s="58" t="s">
        <v>134</v>
      </c>
      <c r="CN44" s="58" t="s">
        <v>134</v>
      </c>
      <c r="CO44" s="58" t="s">
        <v>134</v>
      </c>
      <c r="CP44" s="58" t="s">
        <v>134</v>
      </c>
      <c r="CQ44" s="58" t="s">
        <v>134</v>
      </c>
      <c r="CR44" s="58" t="s">
        <v>134</v>
      </c>
      <c r="CS44" s="58" t="s">
        <v>134</v>
      </c>
      <c r="CT44" s="58" t="s">
        <v>134</v>
      </c>
      <c r="CU44" s="58" t="s">
        <v>134</v>
      </c>
      <c r="CV44" s="58" t="s">
        <v>134</v>
      </c>
      <c r="CW44" s="58" t="s">
        <v>134</v>
      </c>
      <c r="CX44" s="58" t="s">
        <v>134</v>
      </c>
      <c r="CY44" s="58" t="s">
        <v>134</v>
      </c>
      <c r="CZ44" s="58" t="s">
        <v>134</v>
      </c>
      <c r="DA44" s="58" t="s">
        <v>134</v>
      </c>
      <c r="DB44" s="58" t="s">
        <v>134</v>
      </c>
      <c r="DC44" s="58" t="s">
        <v>134</v>
      </c>
      <c r="DD44" s="58" t="s">
        <v>134</v>
      </c>
      <c r="DE44" s="58" t="s">
        <v>134</v>
      </c>
      <c r="DF44" s="58" t="s">
        <v>134</v>
      </c>
      <c r="DG44" s="58" t="s">
        <v>134</v>
      </c>
      <c r="DH44" s="58" t="s">
        <v>134</v>
      </c>
      <c r="DI44" s="58" t="s">
        <v>134</v>
      </c>
      <c r="DJ44" s="58" t="s">
        <v>134</v>
      </c>
      <c r="DK44" s="58" t="s">
        <v>134</v>
      </c>
      <c r="DL44" s="58" t="s">
        <v>134</v>
      </c>
      <c r="DM44" s="58" t="s">
        <v>134</v>
      </c>
      <c r="DN44" s="58" t="s">
        <v>134</v>
      </c>
      <c r="DO44" s="58" t="s">
        <v>134</v>
      </c>
      <c r="DP44" s="58" t="s">
        <v>134</v>
      </c>
      <c r="DQ44" s="58" t="s">
        <v>134</v>
      </c>
      <c r="DR44" s="58" t="s">
        <v>134</v>
      </c>
      <c r="DS44" s="58" t="s">
        <v>134</v>
      </c>
      <c r="DT44" s="58" t="s">
        <v>134</v>
      </c>
      <c r="DU44" s="58" t="s">
        <v>134</v>
      </c>
      <c r="DV44" s="58" t="s">
        <v>134</v>
      </c>
      <c r="DW44" s="58" t="s">
        <v>134</v>
      </c>
      <c r="DX44" s="58" t="s">
        <v>134</v>
      </c>
      <c r="DY44" s="58" t="s">
        <v>134</v>
      </c>
      <c r="DZ44" s="58" t="s">
        <v>134</v>
      </c>
      <c r="EA44" s="58" t="s">
        <v>134</v>
      </c>
      <c r="EB44" s="58" t="s">
        <v>134</v>
      </c>
      <c r="EC44" s="58" t="s">
        <v>134</v>
      </c>
      <c r="ED44" s="58" t="s">
        <v>134</v>
      </c>
      <c r="EE44" s="58" t="s">
        <v>134</v>
      </c>
      <c r="EF44" s="58" t="s">
        <v>134</v>
      </c>
      <c r="EG44" s="58" t="s">
        <v>134</v>
      </c>
      <c r="EH44" s="58" t="s">
        <v>134</v>
      </c>
      <c r="EI44" s="58" t="s">
        <v>134</v>
      </c>
      <c r="EJ44" s="58" t="s">
        <v>134</v>
      </c>
      <c r="EK44" s="58" t="s">
        <v>134</v>
      </c>
      <c r="EL44" s="58" t="s">
        <v>134</v>
      </c>
      <c r="EM44" s="58" t="s">
        <v>134</v>
      </c>
      <c r="EN44" s="58" t="s">
        <v>134</v>
      </c>
      <c r="EO44" s="58">
        <v>0.0</v>
      </c>
      <c r="EP44" s="58">
        <v>0.0</v>
      </c>
      <c r="EQ44" s="58">
        <v>0.0</v>
      </c>
      <c r="ER44" s="58" t="s">
        <v>134</v>
      </c>
      <c r="ES44" s="58" t="s">
        <v>134</v>
      </c>
      <c r="ET44" s="58" t="s">
        <v>134</v>
      </c>
    </row>
    <row r="45">
      <c r="A45" s="58" t="s">
        <v>108</v>
      </c>
      <c r="B45" s="58" t="s">
        <v>134</v>
      </c>
      <c r="C45" s="58" t="s">
        <v>134</v>
      </c>
      <c r="D45" s="58" t="s">
        <v>134</v>
      </c>
      <c r="E45" s="58" t="s">
        <v>134</v>
      </c>
      <c r="F45" s="58" t="s">
        <v>134</v>
      </c>
      <c r="G45" s="58" t="s">
        <v>134</v>
      </c>
      <c r="H45" s="58" t="s">
        <v>134</v>
      </c>
      <c r="I45" s="58" t="s">
        <v>134</v>
      </c>
      <c r="J45" s="58" t="s">
        <v>134</v>
      </c>
      <c r="K45" s="58">
        <v>0.0</v>
      </c>
      <c r="L45" s="58">
        <v>0.0</v>
      </c>
      <c r="M45" s="58" t="s">
        <v>134</v>
      </c>
      <c r="N45" s="58" t="s">
        <v>134</v>
      </c>
      <c r="O45" s="58" t="s">
        <v>134</v>
      </c>
      <c r="P45" s="58" t="s">
        <v>134</v>
      </c>
      <c r="Q45" s="58" t="s">
        <v>134</v>
      </c>
      <c r="R45" s="58" t="s">
        <v>134</v>
      </c>
      <c r="S45" s="58" t="s">
        <v>134</v>
      </c>
      <c r="T45" s="58" t="s">
        <v>134</v>
      </c>
      <c r="U45" s="58" t="s">
        <v>134</v>
      </c>
      <c r="V45" s="58" t="s">
        <v>134</v>
      </c>
      <c r="W45" s="58" t="s">
        <v>134</v>
      </c>
      <c r="X45" s="58" t="s">
        <v>134</v>
      </c>
      <c r="Y45" s="58" t="s">
        <v>134</v>
      </c>
      <c r="Z45" s="58" t="s">
        <v>134</v>
      </c>
      <c r="AA45" s="58" t="s">
        <v>134</v>
      </c>
      <c r="AB45" s="58" t="s">
        <v>134</v>
      </c>
      <c r="AC45" s="58" t="s">
        <v>134</v>
      </c>
      <c r="AD45" s="58" t="s">
        <v>134</v>
      </c>
      <c r="AE45" s="58" t="s">
        <v>134</v>
      </c>
      <c r="AF45" s="58" t="s">
        <v>134</v>
      </c>
      <c r="AG45" s="58" t="s">
        <v>134</v>
      </c>
      <c r="AH45" s="58" t="s">
        <v>134</v>
      </c>
      <c r="AI45" s="58" t="s">
        <v>134</v>
      </c>
      <c r="AJ45" s="58" t="s">
        <v>134</v>
      </c>
      <c r="AK45" s="58" t="s">
        <v>134</v>
      </c>
      <c r="AL45" s="58" t="s">
        <v>134</v>
      </c>
      <c r="AM45" s="58" t="s">
        <v>134</v>
      </c>
      <c r="AN45" s="58">
        <v>0.0</v>
      </c>
      <c r="AO45" s="58" t="s">
        <v>134</v>
      </c>
      <c r="AP45" s="58" t="s">
        <v>134</v>
      </c>
      <c r="AQ45" s="58" t="s">
        <v>134</v>
      </c>
      <c r="AR45" s="58" t="s">
        <v>134</v>
      </c>
      <c r="AS45" s="58" t="s">
        <v>134</v>
      </c>
      <c r="AT45" s="58" t="s">
        <v>134</v>
      </c>
      <c r="AU45" s="58" t="s">
        <v>134</v>
      </c>
      <c r="AV45" s="58" t="s">
        <v>134</v>
      </c>
      <c r="AW45" s="58" t="s">
        <v>134</v>
      </c>
      <c r="AX45" s="58" t="s">
        <v>134</v>
      </c>
      <c r="AY45" s="58" t="s">
        <v>134</v>
      </c>
      <c r="AZ45" s="58" t="s">
        <v>134</v>
      </c>
      <c r="BA45" s="58" t="s">
        <v>134</v>
      </c>
      <c r="BB45" s="58" t="s">
        <v>134</v>
      </c>
      <c r="BC45" s="58" t="s">
        <v>134</v>
      </c>
      <c r="BD45" s="58" t="s">
        <v>134</v>
      </c>
      <c r="BE45" s="58" t="s">
        <v>134</v>
      </c>
      <c r="BF45" s="58" t="s">
        <v>134</v>
      </c>
      <c r="BG45" s="58" t="s">
        <v>134</v>
      </c>
      <c r="BH45" s="58" t="s">
        <v>134</v>
      </c>
      <c r="BI45" s="58" t="s">
        <v>134</v>
      </c>
      <c r="BJ45" s="58" t="s">
        <v>134</v>
      </c>
      <c r="BK45" s="58" t="s">
        <v>134</v>
      </c>
      <c r="BL45" s="58" t="s">
        <v>134</v>
      </c>
      <c r="BM45" s="58" t="s">
        <v>134</v>
      </c>
      <c r="BN45" s="58" t="s">
        <v>134</v>
      </c>
      <c r="BO45" s="58" t="s">
        <v>134</v>
      </c>
      <c r="BP45" s="58" t="s">
        <v>134</v>
      </c>
      <c r="BQ45" s="58" t="s">
        <v>134</v>
      </c>
      <c r="BR45" s="58" t="s">
        <v>134</v>
      </c>
      <c r="BS45" s="58" t="s">
        <v>134</v>
      </c>
      <c r="BT45" s="58" t="s">
        <v>134</v>
      </c>
      <c r="BU45" s="58" t="s">
        <v>134</v>
      </c>
      <c r="BV45" s="58" t="s">
        <v>134</v>
      </c>
      <c r="BW45" s="58" t="s">
        <v>134</v>
      </c>
      <c r="BX45" s="58" t="s">
        <v>134</v>
      </c>
      <c r="BY45" s="58" t="s">
        <v>134</v>
      </c>
      <c r="BZ45" s="58" t="s">
        <v>134</v>
      </c>
      <c r="CA45" s="58" t="s">
        <v>134</v>
      </c>
      <c r="CB45" s="58" t="s">
        <v>134</v>
      </c>
      <c r="CC45" s="58" t="s">
        <v>134</v>
      </c>
      <c r="CD45" s="58" t="s">
        <v>134</v>
      </c>
      <c r="CE45" s="58" t="s">
        <v>134</v>
      </c>
      <c r="CF45" s="58" t="s">
        <v>134</v>
      </c>
      <c r="CG45" s="58" t="s">
        <v>134</v>
      </c>
      <c r="CH45" s="58" t="s">
        <v>134</v>
      </c>
      <c r="CI45" s="58" t="s">
        <v>134</v>
      </c>
      <c r="CJ45" s="58" t="s">
        <v>134</v>
      </c>
      <c r="CK45" s="58" t="s">
        <v>134</v>
      </c>
      <c r="CL45" s="58" t="s">
        <v>134</v>
      </c>
      <c r="CM45" s="58" t="s">
        <v>134</v>
      </c>
      <c r="CN45" s="58" t="s">
        <v>134</v>
      </c>
      <c r="CO45" s="58" t="s">
        <v>134</v>
      </c>
      <c r="CP45" s="58" t="s">
        <v>134</v>
      </c>
      <c r="CQ45" s="58" t="s">
        <v>134</v>
      </c>
      <c r="CR45" s="58" t="s">
        <v>134</v>
      </c>
      <c r="CS45" s="58" t="s">
        <v>134</v>
      </c>
      <c r="CT45" s="58" t="s">
        <v>134</v>
      </c>
      <c r="CU45" s="58" t="s">
        <v>134</v>
      </c>
      <c r="CV45" s="58" t="s">
        <v>134</v>
      </c>
      <c r="CW45" s="58" t="s">
        <v>134</v>
      </c>
      <c r="CX45" s="58" t="s">
        <v>134</v>
      </c>
      <c r="CY45" s="58" t="s">
        <v>134</v>
      </c>
      <c r="CZ45" s="58" t="s">
        <v>134</v>
      </c>
      <c r="DA45" s="58" t="s">
        <v>134</v>
      </c>
      <c r="DB45" s="58" t="s">
        <v>134</v>
      </c>
      <c r="DC45" s="58" t="s">
        <v>134</v>
      </c>
      <c r="DD45" s="58" t="s">
        <v>134</v>
      </c>
      <c r="DE45" s="58" t="s">
        <v>134</v>
      </c>
      <c r="DF45" s="58" t="s">
        <v>134</v>
      </c>
      <c r="DG45" s="58" t="s">
        <v>134</v>
      </c>
      <c r="DH45" s="58" t="s">
        <v>134</v>
      </c>
      <c r="DI45" s="58" t="s">
        <v>134</v>
      </c>
      <c r="DJ45" s="58" t="s">
        <v>134</v>
      </c>
      <c r="DK45" s="58" t="s">
        <v>134</v>
      </c>
      <c r="DL45" s="58" t="s">
        <v>134</v>
      </c>
      <c r="DM45" s="58" t="s">
        <v>134</v>
      </c>
      <c r="DN45" s="58" t="s">
        <v>134</v>
      </c>
      <c r="DO45" s="58" t="s">
        <v>134</v>
      </c>
      <c r="DP45" s="58" t="s">
        <v>134</v>
      </c>
      <c r="DQ45" s="58" t="s">
        <v>134</v>
      </c>
      <c r="DR45" s="58" t="s">
        <v>134</v>
      </c>
      <c r="DS45" s="58" t="s">
        <v>134</v>
      </c>
      <c r="DT45" s="58" t="s">
        <v>134</v>
      </c>
      <c r="DU45" s="58" t="s">
        <v>134</v>
      </c>
      <c r="DV45" s="58" t="s">
        <v>134</v>
      </c>
      <c r="DW45" s="58" t="s">
        <v>134</v>
      </c>
      <c r="DX45" s="58" t="s">
        <v>134</v>
      </c>
      <c r="DY45" s="58" t="s">
        <v>134</v>
      </c>
      <c r="DZ45" s="58" t="s">
        <v>134</v>
      </c>
      <c r="EA45" s="58" t="s">
        <v>134</v>
      </c>
      <c r="EB45" s="58" t="s">
        <v>134</v>
      </c>
      <c r="EC45" s="58" t="s">
        <v>134</v>
      </c>
      <c r="ED45" s="58" t="s">
        <v>134</v>
      </c>
      <c r="EE45" s="58" t="s">
        <v>134</v>
      </c>
      <c r="EF45" s="58" t="s">
        <v>134</v>
      </c>
      <c r="EG45" s="58" t="s">
        <v>134</v>
      </c>
      <c r="EH45" s="58" t="s">
        <v>134</v>
      </c>
      <c r="EI45" s="58" t="s">
        <v>134</v>
      </c>
      <c r="EJ45" s="58" t="s">
        <v>134</v>
      </c>
      <c r="EK45" s="58" t="s">
        <v>134</v>
      </c>
      <c r="EL45" s="58" t="s">
        <v>134</v>
      </c>
      <c r="EM45" s="58" t="s">
        <v>134</v>
      </c>
      <c r="EN45" s="58" t="s">
        <v>134</v>
      </c>
      <c r="EO45" s="58">
        <v>0.0</v>
      </c>
      <c r="EP45" s="58">
        <v>0.0</v>
      </c>
      <c r="EQ45" s="58">
        <v>0.0</v>
      </c>
      <c r="ER45" s="58" t="s">
        <v>134</v>
      </c>
      <c r="ES45" s="58" t="s">
        <v>134</v>
      </c>
      <c r="ET45" s="58" t="s">
        <v>134</v>
      </c>
    </row>
    <row r="46">
      <c r="A46" s="58" t="s">
        <v>243</v>
      </c>
      <c r="B46" s="58" t="s">
        <v>134</v>
      </c>
      <c r="C46" s="58" t="s">
        <v>134</v>
      </c>
      <c r="D46" s="58" t="s">
        <v>134</v>
      </c>
      <c r="E46" s="58" t="s">
        <v>134</v>
      </c>
      <c r="F46" s="58" t="s">
        <v>134</v>
      </c>
      <c r="G46" s="58" t="s">
        <v>134</v>
      </c>
      <c r="H46" s="58" t="s">
        <v>134</v>
      </c>
      <c r="I46" s="58" t="s">
        <v>134</v>
      </c>
      <c r="J46" s="58" t="s">
        <v>134</v>
      </c>
      <c r="K46" s="58">
        <v>0.0</v>
      </c>
      <c r="L46" s="58">
        <v>0.0</v>
      </c>
      <c r="M46" s="58" t="s">
        <v>134</v>
      </c>
      <c r="N46" s="58" t="s">
        <v>134</v>
      </c>
      <c r="O46" s="58" t="s">
        <v>134</v>
      </c>
      <c r="P46" s="58" t="s">
        <v>134</v>
      </c>
      <c r="Q46" s="58" t="s">
        <v>134</v>
      </c>
      <c r="R46" s="58" t="s">
        <v>134</v>
      </c>
      <c r="S46" s="58" t="s">
        <v>134</v>
      </c>
      <c r="T46" s="58" t="s">
        <v>134</v>
      </c>
      <c r="U46" s="58" t="s">
        <v>134</v>
      </c>
      <c r="V46" s="58" t="s">
        <v>134</v>
      </c>
      <c r="W46" s="58" t="s">
        <v>134</v>
      </c>
      <c r="X46" s="58" t="s">
        <v>134</v>
      </c>
      <c r="Y46" s="58" t="s">
        <v>134</v>
      </c>
      <c r="Z46" s="58" t="s">
        <v>134</v>
      </c>
      <c r="AA46" s="58" t="s">
        <v>134</v>
      </c>
      <c r="AB46" s="58" t="s">
        <v>134</v>
      </c>
      <c r="AC46" s="58" t="s">
        <v>134</v>
      </c>
      <c r="AD46" s="58" t="s">
        <v>134</v>
      </c>
      <c r="AE46" s="58" t="s">
        <v>134</v>
      </c>
      <c r="AF46" s="58" t="s">
        <v>134</v>
      </c>
      <c r="AG46" s="58" t="s">
        <v>134</v>
      </c>
      <c r="AH46" s="58" t="s">
        <v>134</v>
      </c>
      <c r="AI46" s="58" t="s">
        <v>134</v>
      </c>
      <c r="AJ46" s="58" t="s">
        <v>134</v>
      </c>
      <c r="AK46" s="58" t="s">
        <v>134</v>
      </c>
      <c r="AL46" s="58" t="s">
        <v>134</v>
      </c>
      <c r="AM46" s="58" t="s">
        <v>134</v>
      </c>
      <c r="AN46" s="58" t="s">
        <v>134</v>
      </c>
      <c r="AO46" s="58" t="s">
        <v>134</v>
      </c>
      <c r="AP46" s="58" t="s">
        <v>134</v>
      </c>
      <c r="AQ46" s="58" t="s">
        <v>134</v>
      </c>
      <c r="AR46" s="58" t="s">
        <v>134</v>
      </c>
      <c r="AS46" s="58" t="s">
        <v>134</v>
      </c>
      <c r="AT46" s="58" t="s">
        <v>134</v>
      </c>
      <c r="AU46" s="58" t="s">
        <v>134</v>
      </c>
      <c r="AV46" s="58" t="s">
        <v>134</v>
      </c>
      <c r="AW46" s="58" t="s">
        <v>134</v>
      </c>
      <c r="AX46" s="58" t="s">
        <v>134</v>
      </c>
      <c r="AY46" s="58" t="s">
        <v>134</v>
      </c>
      <c r="AZ46" s="58" t="s">
        <v>134</v>
      </c>
      <c r="BA46" s="58" t="s">
        <v>134</v>
      </c>
      <c r="BB46" s="58" t="s">
        <v>134</v>
      </c>
      <c r="BC46" s="58" t="s">
        <v>134</v>
      </c>
      <c r="BD46" s="58" t="s">
        <v>134</v>
      </c>
      <c r="BE46" s="58" t="s">
        <v>134</v>
      </c>
      <c r="BF46" s="58" t="s">
        <v>134</v>
      </c>
      <c r="BG46" s="58" t="s">
        <v>134</v>
      </c>
      <c r="BH46" s="58" t="s">
        <v>134</v>
      </c>
      <c r="BI46" s="58" t="s">
        <v>134</v>
      </c>
      <c r="BJ46" s="58" t="s">
        <v>134</v>
      </c>
      <c r="BK46" s="58" t="s">
        <v>134</v>
      </c>
      <c r="BL46" s="58" t="s">
        <v>134</v>
      </c>
      <c r="BM46" s="58" t="s">
        <v>134</v>
      </c>
      <c r="BN46" s="58" t="s">
        <v>134</v>
      </c>
      <c r="BO46" s="58" t="s">
        <v>134</v>
      </c>
      <c r="BP46" s="58" t="s">
        <v>134</v>
      </c>
      <c r="BQ46" s="58" t="s">
        <v>134</v>
      </c>
      <c r="BR46" s="58" t="s">
        <v>134</v>
      </c>
      <c r="BS46" s="58" t="s">
        <v>134</v>
      </c>
      <c r="BT46" s="58" t="s">
        <v>134</v>
      </c>
      <c r="BU46" s="58" t="s">
        <v>134</v>
      </c>
      <c r="BV46" s="58" t="s">
        <v>134</v>
      </c>
      <c r="BW46" s="58" t="s">
        <v>134</v>
      </c>
      <c r="BX46" s="58" t="s">
        <v>134</v>
      </c>
      <c r="BY46" s="58" t="s">
        <v>134</v>
      </c>
      <c r="BZ46" s="58" t="s">
        <v>134</v>
      </c>
      <c r="CA46" s="58" t="s">
        <v>134</v>
      </c>
      <c r="CB46" s="58" t="s">
        <v>134</v>
      </c>
      <c r="CC46" s="58" t="s">
        <v>134</v>
      </c>
      <c r="CD46" s="58" t="s">
        <v>134</v>
      </c>
      <c r="CE46" s="58" t="s">
        <v>134</v>
      </c>
      <c r="CF46" s="58" t="s">
        <v>134</v>
      </c>
      <c r="CG46" s="58" t="s">
        <v>134</v>
      </c>
      <c r="CH46" s="58" t="s">
        <v>134</v>
      </c>
      <c r="CI46" s="58" t="s">
        <v>134</v>
      </c>
      <c r="CJ46" s="58" t="s">
        <v>134</v>
      </c>
      <c r="CK46" s="58" t="s">
        <v>134</v>
      </c>
      <c r="CL46" s="58" t="s">
        <v>134</v>
      </c>
      <c r="CM46" s="58" t="s">
        <v>134</v>
      </c>
      <c r="CN46" s="58" t="s">
        <v>134</v>
      </c>
      <c r="CO46" s="58" t="s">
        <v>134</v>
      </c>
      <c r="CP46" s="58" t="s">
        <v>134</v>
      </c>
      <c r="CQ46" s="58" t="s">
        <v>134</v>
      </c>
      <c r="CR46" s="58" t="s">
        <v>134</v>
      </c>
      <c r="CS46" s="58" t="s">
        <v>134</v>
      </c>
      <c r="CT46" s="58" t="s">
        <v>134</v>
      </c>
      <c r="CU46" s="58" t="s">
        <v>134</v>
      </c>
      <c r="CV46" s="58" t="s">
        <v>134</v>
      </c>
      <c r="CW46" s="58" t="s">
        <v>134</v>
      </c>
      <c r="CX46" s="58" t="s">
        <v>134</v>
      </c>
      <c r="CY46" s="58" t="s">
        <v>134</v>
      </c>
      <c r="CZ46" s="58" t="s">
        <v>134</v>
      </c>
      <c r="DA46" s="58" t="s">
        <v>134</v>
      </c>
      <c r="DB46" s="58" t="s">
        <v>134</v>
      </c>
      <c r="DC46" s="58" t="s">
        <v>134</v>
      </c>
      <c r="DD46" s="58" t="s">
        <v>134</v>
      </c>
      <c r="DE46" s="58" t="s">
        <v>134</v>
      </c>
      <c r="DF46" s="58" t="s">
        <v>134</v>
      </c>
      <c r="DG46" s="58" t="s">
        <v>134</v>
      </c>
      <c r="DH46" s="58" t="s">
        <v>134</v>
      </c>
      <c r="DI46" s="58" t="s">
        <v>134</v>
      </c>
      <c r="DJ46" s="58" t="s">
        <v>134</v>
      </c>
      <c r="DK46" s="58" t="s">
        <v>134</v>
      </c>
      <c r="DL46" s="58" t="s">
        <v>134</v>
      </c>
      <c r="DM46" s="58" t="s">
        <v>134</v>
      </c>
      <c r="DN46" s="58" t="s">
        <v>134</v>
      </c>
      <c r="DO46" s="58" t="s">
        <v>134</v>
      </c>
      <c r="DP46" s="58" t="s">
        <v>134</v>
      </c>
      <c r="DQ46" s="58" t="s">
        <v>134</v>
      </c>
      <c r="DR46" s="58" t="s">
        <v>134</v>
      </c>
      <c r="DS46" s="58" t="s">
        <v>134</v>
      </c>
      <c r="DT46" s="58" t="s">
        <v>134</v>
      </c>
      <c r="DU46" s="58" t="s">
        <v>134</v>
      </c>
      <c r="DV46" s="58" t="s">
        <v>134</v>
      </c>
      <c r="DW46" s="58" t="s">
        <v>134</v>
      </c>
      <c r="DX46" s="58" t="s">
        <v>134</v>
      </c>
      <c r="DY46" s="58" t="s">
        <v>134</v>
      </c>
      <c r="DZ46" s="58" t="s">
        <v>134</v>
      </c>
      <c r="EA46" s="58" t="s">
        <v>134</v>
      </c>
      <c r="EB46" s="58" t="s">
        <v>134</v>
      </c>
      <c r="EC46" s="58" t="s">
        <v>134</v>
      </c>
      <c r="ED46" s="58" t="s">
        <v>134</v>
      </c>
      <c r="EE46" s="58" t="s">
        <v>134</v>
      </c>
      <c r="EF46" s="58" t="s">
        <v>134</v>
      </c>
      <c r="EG46" s="58" t="s">
        <v>134</v>
      </c>
      <c r="EH46" s="58" t="s">
        <v>134</v>
      </c>
      <c r="EI46" s="58" t="s">
        <v>134</v>
      </c>
      <c r="EJ46" s="58" t="s">
        <v>134</v>
      </c>
      <c r="EK46" s="58" t="s">
        <v>134</v>
      </c>
      <c r="EL46" s="58" t="s">
        <v>134</v>
      </c>
      <c r="EM46" s="58" t="s">
        <v>134</v>
      </c>
      <c r="EN46" s="58" t="s">
        <v>134</v>
      </c>
      <c r="EO46" s="58">
        <v>0.0</v>
      </c>
      <c r="EP46" s="58">
        <v>0.0</v>
      </c>
      <c r="EQ46" s="58">
        <v>0.0</v>
      </c>
      <c r="ER46" s="58" t="s">
        <v>134</v>
      </c>
      <c r="ES46" s="58" t="s">
        <v>134</v>
      </c>
      <c r="ET46" s="58" t="s">
        <v>134</v>
      </c>
    </row>
    <row r="47">
      <c r="A47" s="58" t="s">
        <v>59</v>
      </c>
      <c r="B47" s="58" t="s">
        <v>134</v>
      </c>
      <c r="C47" s="58" t="s">
        <v>134</v>
      </c>
      <c r="D47" s="58" t="s">
        <v>134</v>
      </c>
      <c r="E47" s="58" t="s">
        <v>134</v>
      </c>
      <c r="F47" s="58" t="s">
        <v>134</v>
      </c>
      <c r="G47" s="58" t="s">
        <v>134</v>
      </c>
      <c r="H47" s="58" t="s">
        <v>134</v>
      </c>
      <c r="I47" s="58">
        <v>0.0537</v>
      </c>
      <c r="J47" s="58" t="s">
        <v>134</v>
      </c>
      <c r="K47" s="58">
        <v>0.0</v>
      </c>
      <c r="L47" s="58">
        <v>0.0</v>
      </c>
      <c r="M47" s="58" t="s">
        <v>134</v>
      </c>
      <c r="N47" s="58" t="s">
        <v>134</v>
      </c>
      <c r="O47" s="58" t="s">
        <v>134</v>
      </c>
      <c r="P47" s="58" t="s">
        <v>134</v>
      </c>
      <c r="Q47" s="58" t="s">
        <v>134</v>
      </c>
      <c r="R47" s="58" t="s">
        <v>134</v>
      </c>
      <c r="S47" s="58" t="s">
        <v>134</v>
      </c>
      <c r="T47" s="58" t="s">
        <v>134</v>
      </c>
      <c r="U47" s="58" t="s">
        <v>134</v>
      </c>
      <c r="V47" s="58" t="s">
        <v>134</v>
      </c>
      <c r="W47" s="58" t="s">
        <v>134</v>
      </c>
      <c r="X47" s="58" t="s">
        <v>134</v>
      </c>
      <c r="Y47" s="58" t="s">
        <v>134</v>
      </c>
      <c r="Z47" s="58" t="s">
        <v>134</v>
      </c>
      <c r="AA47" s="58" t="s">
        <v>134</v>
      </c>
      <c r="AB47" s="58">
        <v>0.025</v>
      </c>
      <c r="AC47" s="58" t="s">
        <v>134</v>
      </c>
      <c r="AD47" s="58" t="s">
        <v>134</v>
      </c>
      <c r="AE47" s="58" t="s">
        <v>134</v>
      </c>
      <c r="AF47" s="58" t="s">
        <v>134</v>
      </c>
      <c r="AG47" s="58" t="s">
        <v>134</v>
      </c>
      <c r="AH47" s="58" t="s">
        <v>134</v>
      </c>
      <c r="AI47" s="58" t="s">
        <v>134</v>
      </c>
      <c r="AJ47" s="58" t="s">
        <v>134</v>
      </c>
      <c r="AK47" s="58" t="s">
        <v>134</v>
      </c>
      <c r="AL47" s="58" t="s">
        <v>134</v>
      </c>
      <c r="AM47" s="58" t="s">
        <v>134</v>
      </c>
      <c r="AN47" s="58">
        <v>0.0</v>
      </c>
      <c r="AO47" s="58" t="s">
        <v>134</v>
      </c>
      <c r="AP47" s="58" t="s">
        <v>134</v>
      </c>
      <c r="AQ47" s="58" t="s">
        <v>134</v>
      </c>
      <c r="AR47" s="58" t="s">
        <v>134</v>
      </c>
      <c r="AS47" s="58" t="s">
        <v>134</v>
      </c>
      <c r="AT47" s="58" t="s">
        <v>134</v>
      </c>
      <c r="AU47" s="58" t="s">
        <v>134</v>
      </c>
      <c r="AV47" s="58" t="s">
        <v>134</v>
      </c>
      <c r="AW47" s="58" t="s">
        <v>134</v>
      </c>
      <c r="AX47" s="58" t="s">
        <v>134</v>
      </c>
      <c r="AY47" s="58" t="s">
        <v>134</v>
      </c>
      <c r="AZ47" s="58" t="s">
        <v>134</v>
      </c>
      <c r="BA47" s="58" t="s">
        <v>134</v>
      </c>
      <c r="BB47" s="58" t="s">
        <v>134</v>
      </c>
      <c r="BC47" s="58" t="s">
        <v>134</v>
      </c>
      <c r="BD47" s="58" t="s">
        <v>134</v>
      </c>
      <c r="BE47" s="58" t="s">
        <v>134</v>
      </c>
      <c r="BF47" s="58" t="s">
        <v>134</v>
      </c>
      <c r="BG47" s="58" t="s">
        <v>134</v>
      </c>
      <c r="BH47" s="58" t="s">
        <v>134</v>
      </c>
      <c r="BI47" s="58" t="s">
        <v>134</v>
      </c>
      <c r="BJ47" s="58" t="s">
        <v>134</v>
      </c>
      <c r="BK47" s="58" t="s">
        <v>134</v>
      </c>
      <c r="BL47" s="58" t="s">
        <v>134</v>
      </c>
      <c r="BM47" s="58" t="s">
        <v>134</v>
      </c>
      <c r="BN47" s="58" t="s">
        <v>134</v>
      </c>
      <c r="BO47" s="58" t="s">
        <v>134</v>
      </c>
      <c r="BP47" s="58" t="s">
        <v>134</v>
      </c>
      <c r="BQ47" s="58" t="s">
        <v>134</v>
      </c>
      <c r="BR47" s="58" t="s">
        <v>134</v>
      </c>
      <c r="BS47" s="58" t="s">
        <v>134</v>
      </c>
      <c r="BT47" s="58" t="s">
        <v>134</v>
      </c>
      <c r="BU47" s="58" t="s">
        <v>134</v>
      </c>
      <c r="BV47" s="58" t="s">
        <v>134</v>
      </c>
      <c r="BW47" s="58" t="s">
        <v>134</v>
      </c>
      <c r="BX47" s="58" t="s">
        <v>134</v>
      </c>
      <c r="BY47" s="58" t="s">
        <v>134</v>
      </c>
      <c r="BZ47" s="58" t="s">
        <v>134</v>
      </c>
      <c r="CA47" s="58" t="s">
        <v>134</v>
      </c>
      <c r="CB47" s="58" t="s">
        <v>134</v>
      </c>
      <c r="CC47" s="58" t="s">
        <v>134</v>
      </c>
      <c r="CD47" s="58" t="s">
        <v>134</v>
      </c>
      <c r="CE47" s="58" t="s">
        <v>134</v>
      </c>
      <c r="CF47" s="58" t="s">
        <v>134</v>
      </c>
      <c r="CG47" s="58" t="s">
        <v>134</v>
      </c>
      <c r="CH47" s="58" t="s">
        <v>134</v>
      </c>
      <c r="CI47" s="58" t="s">
        <v>134</v>
      </c>
      <c r="CJ47" s="58" t="s">
        <v>134</v>
      </c>
      <c r="CK47" s="58" t="s">
        <v>134</v>
      </c>
      <c r="CL47" s="58" t="s">
        <v>134</v>
      </c>
      <c r="CM47" s="58" t="s">
        <v>134</v>
      </c>
      <c r="CN47" s="58" t="s">
        <v>134</v>
      </c>
      <c r="CO47" s="58" t="s">
        <v>134</v>
      </c>
      <c r="CP47" s="58" t="s">
        <v>134</v>
      </c>
      <c r="CQ47" s="58" t="s">
        <v>134</v>
      </c>
      <c r="CR47" s="58" t="s">
        <v>134</v>
      </c>
      <c r="CS47" s="58" t="s">
        <v>134</v>
      </c>
      <c r="CT47" s="58" t="s">
        <v>134</v>
      </c>
      <c r="CU47" s="58" t="s">
        <v>134</v>
      </c>
      <c r="CV47" s="58" t="s">
        <v>134</v>
      </c>
      <c r="CW47" s="58" t="s">
        <v>134</v>
      </c>
      <c r="CX47" s="58" t="s">
        <v>134</v>
      </c>
      <c r="CY47" s="58" t="s">
        <v>134</v>
      </c>
      <c r="CZ47" s="58" t="s">
        <v>134</v>
      </c>
      <c r="DA47" s="58" t="s">
        <v>134</v>
      </c>
      <c r="DB47" s="58" t="s">
        <v>134</v>
      </c>
      <c r="DC47" s="58" t="s">
        <v>134</v>
      </c>
      <c r="DD47" s="58" t="s">
        <v>134</v>
      </c>
      <c r="DE47" s="58" t="s">
        <v>134</v>
      </c>
      <c r="DF47" s="58" t="s">
        <v>134</v>
      </c>
      <c r="DG47" s="58" t="s">
        <v>134</v>
      </c>
      <c r="DH47" s="58" t="s">
        <v>134</v>
      </c>
      <c r="DI47" s="58" t="s">
        <v>134</v>
      </c>
      <c r="DJ47" s="58" t="s">
        <v>134</v>
      </c>
      <c r="DK47" s="58" t="s">
        <v>134</v>
      </c>
      <c r="DL47" s="58" t="s">
        <v>134</v>
      </c>
      <c r="DM47" s="58" t="s">
        <v>134</v>
      </c>
      <c r="DN47" s="58" t="s">
        <v>134</v>
      </c>
      <c r="DO47" s="58" t="s">
        <v>134</v>
      </c>
      <c r="DP47" s="58" t="s">
        <v>134</v>
      </c>
      <c r="DQ47" s="58" t="s">
        <v>134</v>
      </c>
      <c r="DR47" s="58" t="s">
        <v>134</v>
      </c>
      <c r="DS47" s="58" t="s">
        <v>134</v>
      </c>
      <c r="DT47" s="58" t="s">
        <v>134</v>
      </c>
      <c r="DU47" s="58" t="s">
        <v>134</v>
      </c>
      <c r="DV47" s="58" t="s">
        <v>134</v>
      </c>
      <c r="DW47" s="58" t="s">
        <v>134</v>
      </c>
      <c r="DX47" s="58" t="s">
        <v>134</v>
      </c>
      <c r="DY47" s="58" t="s">
        <v>134</v>
      </c>
      <c r="DZ47" s="58" t="s">
        <v>134</v>
      </c>
      <c r="EA47" s="58" t="s">
        <v>134</v>
      </c>
      <c r="EB47" s="58" t="s">
        <v>134</v>
      </c>
      <c r="EC47" s="58" t="s">
        <v>134</v>
      </c>
      <c r="ED47" s="58" t="s">
        <v>134</v>
      </c>
      <c r="EE47" s="58" t="s">
        <v>134</v>
      </c>
      <c r="EF47" s="58" t="s">
        <v>134</v>
      </c>
      <c r="EG47" s="58" t="s">
        <v>134</v>
      </c>
      <c r="EH47" s="58" t="s">
        <v>134</v>
      </c>
      <c r="EI47" s="58" t="s">
        <v>134</v>
      </c>
      <c r="EJ47" s="58" t="s">
        <v>134</v>
      </c>
      <c r="EK47" s="58" t="s">
        <v>134</v>
      </c>
      <c r="EL47" s="58" t="s">
        <v>134</v>
      </c>
      <c r="EM47" s="58" t="s">
        <v>134</v>
      </c>
      <c r="EN47" s="58" t="s">
        <v>134</v>
      </c>
      <c r="EO47" s="58">
        <v>0.0</v>
      </c>
      <c r="EP47" s="58">
        <v>0.0</v>
      </c>
      <c r="EQ47" s="58">
        <v>0.0</v>
      </c>
      <c r="ER47" s="58" t="s">
        <v>134</v>
      </c>
      <c r="ES47" s="58" t="s">
        <v>134</v>
      </c>
      <c r="ET47" s="58" t="s">
        <v>134</v>
      </c>
    </row>
    <row r="48">
      <c r="A48" s="58" t="s">
        <v>512</v>
      </c>
      <c r="B48" s="58" t="s">
        <v>134</v>
      </c>
      <c r="C48" s="58" t="s">
        <v>134</v>
      </c>
      <c r="D48" s="58" t="s">
        <v>134</v>
      </c>
      <c r="E48" s="58" t="s">
        <v>134</v>
      </c>
      <c r="F48" s="58" t="s">
        <v>134</v>
      </c>
      <c r="G48" s="58" t="s">
        <v>134</v>
      </c>
      <c r="H48" s="58" t="s">
        <v>134</v>
      </c>
      <c r="I48" s="58" t="s">
        <v>134</v>
      </c>
      <c r="J48" s="58" t="s">
        <v>134</v>
      </c>
      <c r="K48" s="58" t="s">
        <v>134</v>
      </c>
      <c r="L48" s="58" t="s">
        <v>134</v>
      </c>
      <c r="M48" s="58" t="s">
        <v>134</v>
      </c>
      <c r="N48" s="58" t="s">
        <v>134</v>
      </c>
      <c r="O48" s="58" t="s">
        <v>134</v>
      </c>
      <c r="P48" s="58" t="s">
        <v>134</v>
      </c>
      <c r="Q48" s="58" t="s">
        <v>134</v>
      </c>
      <c r="R48" s="58" t="s">
        <v>134</v>
      </c>
      <c r="S48" s="58" t="s">
        <v>134</v>
      </c>
      <c r="T48" s="58" t="s">
        <v>134</v>
      </c>
      <c r="U48" s="58" t="s">
        <v>134</v>
      </c>
      <c r="V48" s="58" t="s">
        <v>134</v>
      </c>
      <c r="W48" s="58" t="s">
        <v>134</v>
      </c>
      <c r="X48" s="58" t="s">
        <v>134</v>
      </c>
      <c r="Y48" s="58" t="s">
        <v>134</v>
      </c>
      <c r="Z48" s="58" t="s">
        <v>134</v>
      </c>
      <c r="AA48" s="58" t="s">
        <v>134</v>
      </c>
      <c r="AB48" s="58" t="s">
        <v>134</v>
      </c>
      <c r="AC48" s="58" t="s">
        <v>134</v>
      </c>
      <c r="AD48" s="58" t="s">
        <v>134</v>
      </c>
      <c r="AE48" s="58" t="s">
        <v>134</v>
      </c>
      <c r="AF48" s="58" t="s">
        <v>134</v>
      </c>
      <c r="AG48" s="58" t="s">
        <v>134</v>
      </c>
      <c r="AH48" s="58" t="s">
        <v>134</v>
      </c>
      <c r="AI48" s="58" t="s">
        <v>134</v>
      </c>
      <c r="AJ48" s="58" t="s">
        <v>134</v>
      </c>
      <c r="AK48" s="58" t="s">
        <v>134</v>
      </c>
      <c r="AL48" s="58" t="s">
        <v>134</v>
      </c>
      <c r="AM48" s="58" t="s">
        <v>134</v>
      </c>
      <c r="AN48" s="58" t="s">
        <v>134</v>
      </c>
      <c r="AO48" s="58" t="s">
        <v>134</v>
      </c>
      <c r="AP48" s="58" t="s">
        <v>134</v>
      </c>
      <c r="AQ48" s="58" t="s">
        <v>134</v>
      </c>
      <c r="AR48" s="58" t="s">
        <v>134</v>
      </c>
      <c r="AS48" s="58" t="s">
        <v>134</v>
      </c>
      <c r="AT48" s="58" t="s">
        <v>134</v>
      </c>
      <c r="AU48" s="58" t="s">
        <v>134</v>
      </c>
      <c r="AV48" s="58" t="s">
        <v>134</v>
      </c>
      <c r="AW48" s="58" t="s">
        <v>134</v>
      </c>
      <c r="AX48" s="58" t="s">
        <v>134</v>
      </c>
      <c r="AY48" s="58" t="s">
        <v>134</v>
      </c>
      <c r="AZ48" s="58" t="s">
        <v>134</v>
      </c>
      <c r="BA48" s="58" t="s">
        <v>134</v>
      </c>
      <c r="BB48" s="58" t="s">
        <v>134</v>
      </c>
      <c r="BC48" s="58" t="s">
        <v>134</v>
      </c>
      <c r="BD48" s="58" t="s">
        <v>134</v>
      </c>
      <c r="BE48" s="58" t="s">
        <v>134</v>
      </c>
      <c r="BF48" s="58" t="s">
        <v>134</v>
      </c>
      <c r="BG48" s="58" t="s">
        <v>134</v>
      </c>
      <c r="BH48" s="58" t="s">
        <v>134</v>
      </c>
      <c r="BI48" s="58" t="s">
        <v>134</v>
      </c>
      <c r="BJ48" s="58" t="s">
        <v>134</v>
      </c>
      <c r="BK48" s="58" t="s">
        <v>134</v>
      </c>
      <c r="BL48" s="58" t="s">
        <v>134</v>
      </c>
      <c r="BM48" s="58" t="s">
        <v>134</v>
      </c>
      <c r="BN48" s="58" t="s">
        <v>134</v>
      </c>
      <c r="BO48" s="58" t="s">
        <v>134</v>
      </c>
      <c r="BP48" s="58" t="s">
        <v>134</v>
      </c>
      <c r="BQ48" s="58" t="s">
        <v>134</v>
      </c>
      <c r="BR48" s="58" t="s">
        <v>134</v>
      </c>
      <c r="BS48" s="58" t="s">
        <v>134</v>
      </c>
      <c r="BT48" s="58" t="s">
        <v>134</v>
      </c>
      <c r="BU48" s="58" t="s">
        <v>134</v>
      </c>
      <c r="BV48" s="58" t="s">
        <v>134</v>
      </c>
      <c r="BW48" s="58" t="s">
        <v>134</v>
      </c>
      <c r="BX48" s="58" t="s">
        <v>134</v>
      </c>
      <c r="BY48" s="58" t="s">
        <v>134</v>
      </c>
      <c r="BZ48" s="58" t="s">
        <v>134</v>
      </c>
      <c r="CA48" s="58" t="s">
        <v>134</v>
      </c>
      <c r="CB48" s="58" t="s">
        <v>134</v>
      </c>
      <c r="CC48" s="58" t="s">
        <v>134</v>
      </c>
      <c r="CD48" s="58" t="s">
        <v>134</v>
      </c>
      <c r="CE48" s="58" t="s">
        <v>134</v>
      </c>
      <c r="CF48" s="58" t="s">
        <v>134</v>
      </c>
      <c r="CG48" s="58" t="s">
        <v>134</v>
      </c>
      <c r="CH48" s="58" t="s">
        <v>134</v>
      </c>
      <c r="CI48" s="58" t="s">
        <v>134</v>
      </c>
      <c r="CJ48" s="58" t="s">
        <v>134</v>
      </c>
      <c r="CK48" s="58" t="s">
        <v>134</v>
      </c>
      <c r="CL48" s="58" t="s">
        <v>134</v>
      </c>
      <c r="CM48" s="58" t="s">
        <v>134</v>
      </c>
      <c r="CN48" s="58" t="s">
        <v>134</v>
      </c>
      <c r="CO48" s="58" t="s">
        <v>134</v>
      </c>
      <c r="CP48" s="58" t="s">
        <v>134</v>
      </c>
      <c r="CQ48" s="58" t="s">
        <v>134</v>
      </c>
      <c r="CR48" s="58" t="s">
        <v>134</v>
      </c>
      <c r="CS48" s="58" t="s">
        <v>134</v>
      </c>
      <c r="CT48" s="58" t="s">
        <v>134</v>
      </c>
      <c r="CU48" s="58" t="s">
        <v>134</v>
      </c>
      <c r="CV48" s="58" t="s">
        <v>134</v>
      </c>
      <c r="CW48" s="58" t="s">
        <v>134</v>
      </c>
      <c r="CX48" s="58" t="s">
        <v>134</v>
      </c>
      <c r="CY48" s="58" t="s">
        <v>134</v>
      </c>
      <c r="CZ48" s="58" t="s">
        <v>134</v>
      </c>
      <c r="DA48" s="58" t="s">
        <v>134</v>
      </c>
      <c r="DB48" s="58" t="s">
        <v>134</v>
      </c>
      <c r="DC48" s="58" t="s">
        <v>134</v>
      </c>
      <c r="DD48" s="58" t="s">
        <v>134</v>
      </c>
      <c r="DE48" s="58" t="s">
        <v>134</v>
      </c>
      <c r="DF48" s="58" t="s">
        <v>134</v>
      </c>
      <c r="DG48" s="58" t="s">
        <v>134</v>
      </c>
      <c r="DH48" s="58" t="s">
        <v>134</v>
      </c>
      <c r="DI48" s="58" t="s">
        <v>134</v>
      </c>
      <c r="DJ48" s="58" t="s">
        <v>134</v>
      </c>
      <c r="DK48" s="58" t="s">
        <v>134</v>
      </c>
      <c r="DL48" s="58" t="s">
        <v>134</v>
      </c>
      <c r="DM48" s="58" t="s">
        <v>134</v>
      </c>
      <c r="DN48" s="58" t="s">
        <v>134</v>
      </c>
      <c r="DO48" s="58" t="s">
        <v>134</v>
      </c>
      <c r="DP48" s="58" t="s">
        <v>134</v>
      </c>
      <c r="DQ48" s="58" t="s">
        <v>134</v>
      </c>
      <c r="DR48" s="58" t="s">
        <v>134</v>
      </c>
      <c r="DS48" s="58" t="s">
        <v>134</v>
      </c>
      <c r="DT48" s="58" t="s">
        <v>134</v>
      </c>
      <c r="DU48" s="58" t="s">
        <v>134</v>
      </c>
      <c r="DV48" s="58" t="s">
        <v>134</v>
      </c>
      <c r="DW48" s="58" t="s">
        <v>134</v>
      </c>
      <c r="DX48" s="58" t="s">
        <v>134</v>
      </c>
      <c r="DY48" s="58" t="s">
        <v>134</v>
      </c>
      <c r="DZ48" s="58" t="s">
        <v>134</v>
      </c>
      <c r="EA48" s="58">
        <v>0.19</v>
      </c>
      <c r="EB48" s="58" t="s">
        <v>134</v>
      </c>
      <c r="EC48" s="58" t="s">
        <v>134</v>
      </c>
      <c r="ED48" s="58" t="s">
        <v>134</v>
      </c>
      <c r="EE48" s="58" t="s">
        <v>134</v>
      </c>
      <c r="EF48" s="58">
        <v>0.0075</v>
      </c>
      <c r="EG48" s="58" t="s">
        <v>134</v>
      </c>
      <c r="EH48" s="58" t="s">
        <v>134</v>
      </c>
      <c r="EI48" s="58" t="s">
        <v>134</v>
      </c>
      <c r="EJ48" s="58" t="s">
        <v>134</v>
      </c>
      <c r="EK48" s="58" t="s">
        <v>134</v>
      </c>
      <c r="EL48" s="58" t="s">
        <v>134</v>
      </c>
      <c r="EM48" s="58" t="s">
        <v>134</v>
      </c>
      <c r="EN48" s="58" t="s">
        <v>134</v>
      </c>
      <c r="EO48" s="58">
        <v>0.19</v>
      </c>
      <c r="EP48" s="58">
        <v>0.0</v>
      </c>
      <c r="EQ48" s="58">
        <v>0.0</v>
      </c>
      <c r="ER48" s="58" t="s">
        <v>134</v>
      </c>
      <c r="ES48" s="58" t="s">
        <v>134</v>
      </c>
      <c r="ET48" s="58" t="s">
        <v>134</v>
      </c>
    </row>
    <row r="49">
      <c r="A49" s="58" t="s">
        <v>471</v>
      </c>
      <c r="B49" s="58" t="s">
        <v>134</v>
      </c>
      <c r="C49" s="58" t="s">
        <v>134</v>
      </c>
      <c r="D49" s="58" t="s">
        <v>134</v>
      </c>
      <c r="E49" s="58" t="s">
        <v>134</v>
      </c>
      <c r="F49" s="58" t="s">
        <v>134</v>
      </c>
      <c r="G49" s="58" t="s">
        <v>134</v>
      </c>
      <c r="H49" s="58" t="s">
        <v>134</v>
      </c>
      <c r="I49" s="58" t="s">
        <v>134</v>
      </c>
      <c r="J49" s="58" t="s">
        <v>134</v>
      </c>
      <c r="K49" s="58">
        <v>0.0</v>
      </c>
      <c r="L49" s="58">
        <v>0.0</v>
      </c>
      <c r="M49" s="58" t="s">
        <v>134</v>
      </c>
      <c r="N49" s="58" t="s">
        <v>134</v>
      </c>
      <c r="O49" s="58" t="s">
        <v>134</v>
      </c>
      <c r="P49" s="58" t="s">
        <v>134</v>
      </c>
      <c r="Q49" s="58" t="s">
        <v>134</v>
      </c>
      <c r="R49" s="58" t="s">
        <v>134</v>
      </c>
      <c r="S49" s="58" t="s">
        <v>134</v>
      </c>
      <c r="T49" s="58" t="s">
        <v>134</v>
      </c>
      <c r="U49" s="58" t="s">
        <v>134</v>
      </c>
      <c r="V49" s="58" t="s">
        <v>134</v>
      </c>
      <c r="W49" s="58" t="s">
        <v>134</v>
      </c>
      <c r="X49" s="58" t="s">
        <v>134</v>
      </c>
      <c r="Y49" s="58" t="s">
        <v>134</v>
      </c>
      <c r="Z49" s="58" t="s">
        <v>134</v>
      </c>
      <c r="AA49" s="58" t="s">
        <v>134</v>
      </c>
      <c r="AB49" s="58" t="s">
        <v>134</v>
      </c>
      <c r="AC49" s="58" t="s">
        <v>134</v>
      </c>
      <c r="AD49" s="58" t="s">
        <v>134</v>
      </c>
      <c r="AE49" s="58" t="s">
        <v>134</v>
      </c>
      <c r="AF49" s="58" t="s">
        <v>134</v>
      </c>
      <c r="AG49" s="58" t="s">
        <v>134</v>
      </c>
      <c r="AH49" s="58" t="s">
        <v>134</v>
      </c>
      <c r="AI49" s="58" t="s">
        <v>134</v>
      </c>
      <c r="AJ49" s="58" t="s">
        <v>134</v>
      </c>
      <c r="AK49" s="58" t="s">
        <v>134</v>
      </c>
      <c r="AL49" s="58" t="s">
        <v>134</v>
      </c>
      <c r="AM49" s="58" t="s">
        <v>134</v>
      </c>
      <c r="AN49" s="58">
        <v>0.0</v>
      </c>
      <c r="AO49" s="58" t="s">
        <v>134</v>
      </c>
      <c r="AP49" s="58" t="s">
        <v>134</v>
      </c>
      <c r="AQ49" s="58" t="s">
        <v>134</v>
      </c>
      <c r="AR49" s="58" t="s">
        <v>134</v>
      </c>
      <c r="AS49" s="58" t="s">
        <v>134</v>
      </c>
      <c r="AT49" s="58" t="s">
        <v>134</v>
      </c>
      <c r="AU49" s="58" t="s">
        <v>134</v>
      </c>
      <c r="AV49" s="58" t="s">
        <v>134</v>
      </c>
      <c r="AW49" s="58">
        <v>0.0405</v>
      </c>
      <c r="AX49" s="58" t="s">
        <v>134</v>
      </c>
      <c r="AY49" s="58" t="s">
        <v>134</v>
      </c>
      <c r="AZ49" s="58" t="s">
        <v>134</v>
      </c>
      <c r="BA49" s="58" t="s">
        <v>134</v>
      </c>
      <c r="BB49" s="58" t="s">
        <v>134</v>
      </c>
      <c r="BC49" s="58" t="s">
        <v>134</v>
      </c>
      <c r="BD49" s="58" t="s">
        <v>134</v>
      </c>
      <c r="BE49" s="58" t="s">
        <v>134</v>
      </c>
      <c r="BF49" s="58" t="s">
        <v>134</v>
      </c>
      <c r="BG49" s="58" t="s">
        <v>134</v>
      </c>
      <c r="BH49" s="58" t="s">
        <v>134</v>
      </c>
      <c r="BI49" s="58" t="s">
        <v>134</v>
      </c>
      <c r="BJ49" s="58" t="s">
        <v>134</v>
      </c>
      <c r="BK49" s="58" t="s">
        <v>134</v>
      </c>
      <c r="BL49" s="58" t="s">
        <v>134</v>
      </c>
      <c r="BM49" s="58" t="s">
        <v>134</v>
      </c>
      <c r="BN49" s="58" t="s">
        <v>134</v>
      </c>
      <c r="BO49" s="58" t="s">
        <v>134</v>
      </c>
      <c r="BP49" s="58" t="s">
        <v>134</v>
      </c>
      <c r="BQ49" s="58" t="s">
        <v>134</v>
      </c>
      <c r="BR49" s="58" t="s">
        <v>134</v>
      </c>
      <c r="BS49" s="58" t="s">
        <v>134</v>
      </c>
      <c r="BT49" s="58" t="s">
        <v>134</v>
      </c>
      <c r="BU49" s="58" t="s">
        <v>134</v>
      </c>
      <c r="BV49" s="58" t="s">
        <v>134</v>
      </c>
      <c r="BW49" s="58" t="s">
        <v>134</v>
      </c>
      <c r="BX49" s="58" t="s">
        <v>134</v>
      </c>
      <c r="BY49" s="58" t="s">
        <v>134</v>
      </c>
      <c r="BZ49" s="58" t="s">
        <v>134</v>
      </c>
      <c r="CA49" s="58" t="s">
        <v>134</v>
      </c>
      <c r="CB49" s="58" t="s">
        <v>134</v>
      </c>
      <c r="CC49" s="58" t="s">
        <v>134</v>
      </c>
      <c r="CD49" s="58" t="s">
        <v>134</v>
      </c>
      <c r="CE49" s="58" t="s">
        <v>134</v>
      </c>
      <c r="CF49" s="58" t="s">
        <v>134</v>
      </c>
      <c r="CG49" s="58" t="s">
        <v>134</v>
      </c>
      <c r="CH49" s="58" t="s">
        <v>134</v>
      </c>
      <c r="CI49" s="58" t="s">
        <v>134</v>
      </c>
      <c r="CJ49" s="58" t="s">
        <v>134</v>
      </c>
      <c r="CK49" s="58" t="s">
        <v>134</v>
      </c>
      <c r="CL49" s="58" t="s">
        <v>134</v>
      </c>
      <c r="CM49" s="58" t="s">
        <v>134</v>
      </c>
      <c r="CN49" s="58" t="s">
        <v>134</v>
      </c>
      <c r="CO49" s="58" t="s">
        <v>134</v>
      </c>
      <c r="CP49" s="58" t="s">
        <v>134</v>
      </c>
      <c r="CQ49" s="58" t="s">
        <v>134</v>
      </c>
      <c r="CR49" s="58" t="s">
        <v>134</v>
      </c>
      <c r="CS49" s="58" t="s">
        <v>134</v>
      </c>
      <c r="CT49" s="58" t="s">
        <v>134</v>
      </c>
      <c r="CU49" s="58" t="s">
        <v>134</v>
      </c>
      <c r="CV49" s="58" t="s">
        <v>134</v>
      </c>
      <c r="CW49" s="58" t="s">
        <v>134</v>
      </c>
      <c r="CX49" s="58" t="s">
        <v>134</v>
      </c>
      <c r="CY49" s="58" t="s">
        <v>134</v>
      </c>
      <c r="CZ49" s="58" t="s">
        <v>134</v>
      </c>
      <c r="DA49" s="58" t="s">
        <v>134</v>
      </c>
      <c r="DB49" s="58" t="s">
        <v>134</v>
      </c>
      <c r="DC49" s="58" t="s">
        <v>134</v>
      </c>
      <c r="DD49" s="58" t="s">
        <v>134</v>
      </c>
      <c r="DE49" s="58" t="s">
        <v>134</v>
      </c>
      <c r="DF49" s="58" t="s">
        <v>134</v>
      </c>
      <c r="DG49" s="58" t="s">
        <v>134</v>
      </c>
      <c r="DH49" s="58" t="s">
        <v>134</v>
      </c>
      <c r="DI49" s="58" t="s">
        <v>134</v>
      </c>
      <c r="DJ49" s="58" t="s">
        <v>134</v>
      </c>
      <c r="DK49" s="58" t="s">
        <v>134</v>
      </c>
      <c r="DL49" s="58" t="s">
        <v>134</v>
      </c>
      <c r="DM49" s="58" t="s">
        <v>134</v>
      </c>
      <c r="DN49" s="58" t="s">
        <v>134</v>
      </c>
      <c r="DO49" s="58" t="s">
        <v>134</v>
      </c>
      <c r="DP49" s="58" t="s">
        <v>134</v>
      </c>
      <c r="DQ49" s="58" t="s">
        <v>134</v>
      </c>
      <c r="DR49" s="58" t="s">
        <v>134</v>
      </c>
      <c r="DS49" s="58" t="s">
        <v>134</v>
      </c>
      <c r="DT49" s="58" t="s">
        <v>134</v>
      </c>
      <c r="DU49" s="58" t="s">
        <v>134</v>
      </c>
      <c r="DV49" s="58" t="s">
        <v>134</v>
      </c>
      <c r="DW49" s="58" t="s">
        <v>134</v>
      </c>
      <c r="DX49" s="58" t="s">
        <v>134</v>
      </c>
      <c r="DY49" s="58" t="s">
        <v>134</v>
      </c>
      <c r="DZ49" s="58" t="s">
        <v>134</v>
      </c>
      <c r="EA49" s="58" t="s">
        <v>134</v>
      </c>
      <c r="EB49" s="58" t="s">
        <v>134</v>
      </c>
      <c r="EC49" s="58" t="s">
        <v>134</v>
      </c>
      <c r="ED49" s="58" t="s">
        <v>134</v>
      </c>
      <c r="EE49" s="58" t="s">
        <v>134</v>
      </c>
      <c r="EF49" s="58" t="s">
        <v>134</v>
      </c>
      <c r="EG49" s="58" t="s">
        <v>134</v>
      </c>
      <c r="EH49" s="58" t="s">
        <v>134</v>
      </c>
      <c r="EI49" s="58" t="s">
        <v>134</v>
      </c>
      <c r="EJ49" s="58" t="s">
        <v>134</v>
      </c>
      <c r="EK49" s="58" t="s">
        <v>134</v>
      </c>
      <c r="EL49" s="58" t="s">
        <v>134</v>
      </c>
      <c r="EM49" s="58" t="s">
        <v>134</v>
      </c>
      <c r="EN49" s="58" t="s">
        <v>134</v>
      </c>
      <c r="EO49" s="58">
        <v>0.0</v>
      </c>
      <c r="EP49" s="58">
        <v>0.0</v>
      </c>
      <c r="EQ49" s="58">
        <v>0.0</v>
      </c>
      <c r="ER49" s="58" t="s">
        <v>134</v>
      </c>
      <c r="ES49" s="58" t="s">
        <v>134</v>
      </c>
      <c r="ET49" s="58" t="s">
        <v>134</v>
      </c>
    </row>
    <row r="50">
      <c r="A50" s="58" t="s">
        <v>93</v>
      </c>
      <c r="B50" s="58" t="s">
        <v>134</v>
      </c>
      <c r="C50" s="58" t="s">
        <v>134</v>
      </c>
      <c r="D50" s="58" t="s">
        <v>134</v>
      </c>
      <c r="E50" s="58" t="s">
        <v>134</v>
      </c>
      <c r="F50" s="58" t="s">
        <v>134</v>
      </c>
      <c r="G50" s="58" t="s">
        <v>134</v>
      </c>
      <c r="H50" s="58" t="s">
        <v>134</v>
      </c>
      <c r="I50" s="58">
        <v>0.0686</v>
      </c>
      <c r="J50" s="58" t="s">
        <v>134</v>
      </c>
      <c r="K50" s="58">
        <v>0.0</v>
      </c>
      <c r="L50" s="58">
        <v>0.0</v>
      </c>
      <c r="M50" s="58" t="s">
        <v>134</v>
      </c>
      <c r="N50" s="58" t="s">
        <v>134</v>
      </c>
      <c r="O50" s="58" t="s">
        <v>134</v>
      </c>
      <c r="P50" s="58" t="s">
        <v>134</v>
      </c>
      <c r="Q50" s="58" t="s">
        <v>134</v>
      </c>
      <c r="R50" s="58" t="s">
        <v>134</v>
      </c>
      <c r="S50" s="58" t="s">
        <v>134</v>
      </c>
      <c r="T50" s="58" t="s">
        <v>134</v>
      </c>
      <c r="U50" s="58" t="s">
        <v>134</v>
      </c>
      <c r="V50" s="58" t="s">
        <v>134</v>
      </c>
      <c r="W50" s="58" t="s">
        <v>134</v>
      </c>
      <c r="X50" s="58" t="s">
        <v>134</v>
      </c>
      <c r="Y50" s="58" t="s">
        <v>134</v>
      </c>
      <c r="Z50" s="58" t="s">
        <v>134</v>
      </c>
      <c r="AA50" s="58" t="s">
        <v>134</v>
      </c>
      <c r="AB50" s="58" t="s">
        <v>134</v>
      </c>
      <c r="AC50" s="58" t="s">
        <v>134</v>
      </c>
      <c r="AD50" s="58">
        <v>0.0120012</v>
      </c>
      <c r="AE50" s="58" t="s">
        <v>134</v>
      </c>
      <c r="AF50" s="58" t="s">
        <v>134</v>
      </c>
      <c r="AG50" s="58" t="s">
        <v>134</v>
      </c>
      <c r="AH50" s="58" t="s">
        <v>134</v>
      </c>
      <c r="AI50" s="58" t="s">
        <v>134</v>
      </c>
      <c r="AJ50" s="58" t="s">
        <v>134</v>
      </c>
      <c r="AK50" s="58" t="s">
        <v>134</v>
      </c>
      <c r="AL50" s="58" t="s">
        <v>134</v>
      </c>
      <c r="AM50" s="58" t="s">
        <v>134</v>
      </c>
      <c r="AN50" s="58">
        <v>0.0</v>
      </c>
      <c r="AO50" s="58" t="s">
        <v>134</v>
      </c>
      <c r="AP50" s="58" t="s">
        <v>134</v>
      </c>
      <c r="AQ50" s="58" t="s">
        <v>134</v>
      </c>
      <c r="AR50" s="58" t="s">
        <v>134</v>
      </c>
      <c r="AS50" s="58" t="s">
        <v>134</v>
      </c>
      <c r="AT50" s="58" t="s">
        <v>134</v>
      </c>
      <c r="AU50" s="58" t="s">
        <v>134</v>
      </c>
      <c r="AV50" s="58" t="s">
        <v>134</v>
      </c>
      <c r="AW50" s="58">
        <v>0.0125</v>
      </c>
      <c r="AX50" s="58" t="s">
        <v>134</v>
      </c>
      <c r="AY50" s="58" t="s">
        <v>134</v>
      </c>
      <c r="AZ50" s="58" t="s">
        <v>134</v>
      </c>
      <c r="BA50" s="58" t="s">
        <v>134</v>
      </c>
      <c r="BB50" s="58" t="s">
        <v>134</v>
      </c>
      <c r="BC50" s="58" t="s">
        <v>134</v>
      </c>
      <c r="BD50" s="58" t="s">
        <v>134</v>
      </c>
      <c r="BE50" s="58" t="s">
        <v>134</v>
      </c>
      <c r="BF50" s="58" t="s">
        <v>134</v>
      </c>
      <c r="BG50" s="58" t="s">
        <v>134</v>
      </c>
      <c r="BH50" s="58" t="s">
        <v>134</v>
      </c>
      <c r="BI50" s="58" t="s">
        <v>134</v>
      </c>
      <c r="BJ50" s="58" t="s">
        <v>134</v>
      </c>
      <c r="BK50" s="58" t="s">
        <v>134</v>
      </c>
      <c r="BL50" s="58" t="s">
        <v>134</v>
      </c>
      <c r="BM50" s="58" t="s">
        <v>134</v>
      </c>
      <c r="BN50" s="58" t="s">
        <v>134</v>
      </c>
      <c r="BO50" s="58" t="s">
        <v>134</v>
      </c>
      <c r="BP50" s="58" t="s">
        <v>134</v>
      </c>
      <c r="BQ50" s="58" t="s">
        <v>134</v>
      </c>
      <c r="BR50" s="58" t="s">
        <v>134</v>
      </c>
      <c r="BS50" s="58" t="s">
        <v>134</v>
      </c>
      <c r="BT50" s="58" t="s">
        <v>134</v>
      </c>
      <c r="BU50" s="58" t="s">
        <v>134</v>
      </c>
      <c r="BV50" s="58" t="s">
        <v>134</v>
      </c>
      <c r="BW50" s="58" t="s">
        <v>134</v>
      </c>
      <c r="BX50" s="58" t="s">
        <v>134</v>
      </c>
      <c r="BY50" s="58" t="s">
        <v>134</v>
      </c>
      <c r="BZ50" s="58" t="s">
        <v>134</v>
      </c>
      <c r="CA50" s="58" t="s">
        <v>134</v>
      </c>
      <c r="CB50" s="58" t="s">
        <v>134</v>
      </c>
      <c r="CC50" s="58" t="s">
        <v>134</v>
      </c>
      <c r="CD50" s="58" t="s">
        <v>134</v>
      </c>
      <c r="CE50" s="58" t="s">
        <v>134</v>
      </c>
      <c r="CF50" s="58" t="s">
        <v>134</v>
      </c>
      <c r="CG50" s="58" t="s">
        <v>134</v>
      </c>
      <c r="CH50" s="58" t="s">
        <v>134</v>
      </c>
      <c r="CI50" s="58" t="s">
        <v>134</v>
      </c>
      <c r="CJ50" s="58" t="s">
        <v>134</v>
      </c>
      <c r="CK50" s="58" t="s">
        <v>134</v>
      </c>
      <c r="CL50" s="58" t="s">
        <v>134</v>
      </c>
      <c r="CM50" s="58" t="s">
        <v>134</v>
      </c>
      <c r="CN50" s="58" t="s">
        <v>134</v>
      </c>
      <c r="CO50" s="58" t="s">
        <v>134</v>
      </c>
      <c r="CP50" s="58" t="s">
        <v>134</v>
      </c>
      <c r="CQ50" s="58" t="s">
        <v>134</v>
      </c>
      <c r="CR50" s="58" t="s">
        <v>134</v>
      </c>
      <c r="CS50" s="58" t="s">
        <v>134</v>
      </c>
      <c r="CT50" s="58" t="s">
        <v>134</v>
      </c>
      <c r="CU50" s="58" t="s">
        <v>134</v>
      </c>
      <c r="CV50" s="58" t="s">
        <v>134</v>
      </c>
      <c r="CW50" s="58" t="s">
        <v>134</v>
      </c>
      <c r="CX50" s="58" t="s">
        <v>134</v>
      </c>
      <c r="CY50" s="58" t="s">
        <v>134</v>
      </c>
      <c r="CZ50" s="58" t="s">
        <v>134</v>
      </c>
      <c r="DA50" s="58" t="s">
        <v>134</v>
      </c>
      <c r="DB50" s="58" t="s">
        <v>134</v>
      </c>
      <c r="DC50" s="58" t="s">
        <v>134</v>
      </c>
      <c r="DD50" s="58" t="s">
        <v>134</v>
      </c>
      <c r="DE50" s="58" t="s">
        <v>134</v>
      </c>
      <c r="DF50" s="58" t="s">
        <v>134</v>
      </c>
      <c r="DG50" s="58" t="s">
        <v>134</v>
      </c>
      <c r="DH50" s="58" t="s">
        <v>134</v>
      </c>
      <c r="DI50" s="58" t="s">
        <v>134</v>
      </c>
      <c r="DJ50" s="58" t="s">
        <v>134</v>
      </c>
      <c r="DK50" s="58" t="s">
        <v>134</v>
      </c>
      <c r="DL50" s="58" t="s">
        <v>134</v>
      </c>
      <c r="DM50" s="58" t="s">
        <v>134</v>
      </c>
      <c r="DN50" s="58" t="s">
        <v>134</v>
      </c>
      <c r="DO50" s="58" t="s">
        <v>134</v>
      </c>
      <c r="DP50" s="58" t="s">
        <v>134</v>
      </c>
      <c r="DQ50" s="58" t="s">
        <v>134</v>
      </c>
      <c r="DR50" s="58" t="s">
        <v>134</v>
      </c>
      <c r="DS50" s="58" t="s">
        <v>134</v>
      </c>
      <c r="DT50" s="58" t="s">
        <v>134</v>
      </c>
      <c r="DU50" s="58" t="s">
        <v>134</v>
      </c>
      <c r="DV50" s="58" t="s">
        <v>134</v>
      </c>
      <c r="DW50" s="58" t="s">
        <v>134</v>
      </c>
      <c r="DX50" s="58" t="s">
        <v>134</v>
      </c>
      <c r="DY50" s="58" t="s">
        <v>134</v>
      </c>
      <c r="DZ50" s="58" t="s">
        <v>134</v>
      </c>
      <c r="EA50" s="58" t="s">
        <v>134</v>
      </c>
      <c r="EB50" s="58" t="s">
        <v>134</v>
      </c>
      <c r="EC50" s="58" t="s">
        <v>134</v>
      </c>
      <c r="ED50" s="58" t="s">
        <v>134</v>
      </c>
      <c r="EE50" s="58" t="s">
        <v>134</v>
      </c>
      <c r="EF50" s="58" t="s">
        <v>134</v>
      </c>
      <c r="EG50" s="58" t="s">
        <v>134</v>
      </c>
      <c r="EH50" s="58" t="s">
        <v>134</v>
      </c>
      <c r="EI50" s="58" t="s">
        <v>134</v>
      </c>
      <c r="EJ50" s="58" t="s">
        <v>134</v>
      </c>
      <c r="EK50" s="58" t="s">
        <v>134</v>
      </c>
      <c r="EL50" s="58" t="s">
        <v>134</v>
      </c>
      <c r="EM50" s="58" t="s">
        <v>134</v>
      </c>
      <c r="EN50" s="58" t="s">
        <v>134</v>
      </c>
      <c r="EO50" s="58">
        <v>0.0</v>
      </c>
      <c r="EP50" s="58">
        <v>0.0</v>
      </c>
      <c r="EQ50" s="58">
        <v>0.0</v>
      </c>
      <c r="ER50" s="58" t="s">
        <v>134</v>
      </c>
      <c r="ES50" s="58" t="s">
        <v>134</v>
      </c>
      <c r="ET50" s="58" t="s">
        <v>134</v>
      </c>
    </row>
    <row r="51">
      <c r="A51" s="58" t="s">
        <v>94</v>
      </c>
      <c r="B51" s="58" t="s">
        <v>134</v>
      </c>
      <c r="C51" s="58" t="s">
        <v>134</v>
      </c>
      <c r="D51" s="58" t="s">
        <v>134</v>
      </c>
      <c r="E51" s="58" t="s">
        <v>134</v>
      </c>
      <c r="F51" s="58" t="s">
        <v>134</v>
      </c>
      <c r="G51" s="58" t="s">
        <v>134</v>
      </c>
      <c r="H51" s="58" t="s">
        <v>134</v>
      </c>
      <c r="I51" s="58" t="s">
        <v>134</v>
      </c>
      <c r="J51" s="58" t="s">
        <v>134</v>
      </c>
      <c r="K51" s="58">
        <v>0.0</v>
      </c>
      <c r="L51" s="58">
        <v>0.0</v>
      </c>
      <c r="M51" s="58" t="s">
        <v>134</v>
      </c>
      <c r="N51" s="58" t="s">
        <v>134</v>
      </c>
      <c r="O51" s="58" t="s">
        <v>134</v>
      </c>
      <c r="P51" s="58" t="s">
        <v>134</v>
      </c>
      <c r="Q51" s="58" t="s">
        <v>134</v>
      </c>
      <c r="R51" s="58" t="s">
        <v>134</v>
      </c>
      <c r="S51" s="58" t="s">
        <v>134</v>
      </c>
      <c r="T51" s="58" t="s">
        <v>134</v>
      </c>
      <c r="U51" s="58" t="s">
        <v>134</v>
      </c>
      <c r="V51" s="58" t="s">
        <v>134</v>
      </c>
      <c r="W51" s="58" t="s">
        <v>134</v>
      </c>
      <c r="X51" s="58" t="s">
        <v>134</v>
      </c>
      <c r="Y51" s="58" t="s">
        <v>134</v>
      </c>
      <c r="Z51" s="58" t="s">
        <v>134</v>
      </c>
      <c r="AA51" s="58" t="s">
        <v>134</v>
      </c>
      <c r="AB51" s="58" t="s">
        <v>134</v>
      </c>
      <c r="AC51" s="58" t="s">
        <v>134</v>
      </c>
      <c r="AD51" s="58" t="s">
        <v>134</v>
      </c>
      <c r="AE51" s="58" t="s">
        <v>134</v>
      </c>
      <c r="AF51" s="58" t="s">
        <v>134</v>
      </c>
      <c r="AG51" s="58" t="s">
        <v>134</v>
      </c>
      <c r="AH51" s="58" t="s">
        <v>134</v>
      </c>
      <c r="AI51" s="58" t="s">
        <v>134</v>
      </c>
      <c r="AJ51" s="58" t="s">
        <v>134</v>
      </c>
      <c r="AK51" s="58" t="s">
        <v>134</v>
      </c>
      <c r="AL51" s="58" t="s">
        <v>134</v>
      </c>
      <c r="AM51" s="58" t="s">
        <v>134</v>
      </c>
      <c r="AN51" s="58">
        <v>0.0</v>
      </c>
      <c r="AO51" s="58" t="s">
        <v>134</v>
      </c>
      <c r="AP51" s="58" t="s">
        <v>134</v>
      </c>
      <c r="AQ51" s="58" t="s">
        <v>134</v>
      </c>
      <c r="AR51" s="58" t="s">
        <v>134</v>
      </c>
      <c r="AS51" s="58" t="s">
        <v>134</v>
      </c>
      <c r="AT51" s="58" t="s">
        <v>134</v>
      </c>
      <c r="AU51" s="58" t="s">
        <v>134</v>
      </c>
      <c r="AV51" s="58" t="s">
        <v>134</v>
      </c>
      <c r="AW51" s="58" t="s">
        <v>134</v>
      </c>
      <c r="AX51" s="58" t="s">
        <v>134</v>
      </c>
      <c r="AY51" s="58" t="s">
        <v>134</v>
      </c>
      <c r="AZ51" s="58" t="s">
        <v>134</v>
      </c>
      <c r="BA51" s="58" t="s">
        <v>134</v>
      </c>
      <c r="BB51" s="58" t="s">
        <v>134</v>
      </c>
      <c r="BC51" s="58" t="s">
        <v>134</v>
      </c>
      <c r="BD51" s="58" t="s">
        <v>134</v>
      </c>
      <c r="BE51" s="58" t="s">
        <v>134</v>
      </c>
      <c r="BF51" s="58" t="s">
        <v>134</v>
      </c>
      <c r="BG51" s="58" t="s">
        <v>134</v>
      </c>
      <c r="BH51" s="58" t="s">
        <v>134</v>
      </c>
      <c r="BI51" s="58" t="s">
        <v>134</v>
      </c>
      <c r="BJ51" s="58" t="s">
        <v>134</v>
      </c>
      <c r="BK51" s="58" t="s">
        <v>134</v>
      </c>
      <c r="BL51" s="58" t="s">
        <v>134</v>
      </c>
      <c r="BM51" s="58" t="s">
        <v>134</v>
      </c>
      <c r="BN51" s="58" t="s">
        <v>134</v>
      </c>
      <c r="BO51" s="58" t="s">
        <v>134</v>
      </c>
      <c r="BP51" s="58" t="s">
        <v>134</v>
      </c>
      <c r="BQ51" s="58" t="s">
        <v>134</v>
      </c>
      <c r="BR51" s="58" t="s">
        <v>134</v>
      </c>
      <c r="BS51" s="58" t="s">
        <v>134</v>
      </c>
      <c r="BT51" s="58" t="s">
        <v>134</v>
      </c>
      <c r="BU51" s="58" t="s">
        <v>134</v>
      </c>
      <c r="BV51" s="58" t="s">
        <v>134</v>
      </c>
      <c r="BW51" s="58" t="s">
        <v>134</v>
      </c>
      <c r="BX51" s="58" t="s">
        <v>134</v>
      </c>
      <c r="BY51" s="58" t="s">
        <v>134</v>
      </c>
      <c r="BZ51" s="58" t="s">
        <v>134</v>
      </c>
      <c r="CA51" s="58" t="s">
        <v>134</v>
      </c>
      <c r="CB51" s="58" t="s">
        <v>134</v>
      </c>
      <c r="CC51" s="58" t="s">
        <v>134</v>
      </c>
      <c r="CD51" s="58" t="s">
        <v>134</v>
      </c>
      <c r="CE51" s="58" t="s">
        <v>134</v>
      </c>
      <c r="CF51" s="58" t="s">
        <v>134</v>
      </c>
      <c r="CG51" s="58" t="s">
        <v>134</v>
      </c>
      <c r="CH51" s="58" t="s">
        <v>134</v>
      </c>
      <c r="CI51" s="58" t="s">
        <v>134</v>
      </c>
      <c r="CJ51" s="58" t="s">
        <v>134</v>
      </c>
      <c r="CK51" s="58" t="s">
        <v>134</v>
      </c>
      <c r="CL51" s="58" t="s">
        <v>134</v>
      </c>
      <c r="CM51" s="58" t="s">
        <v>134</v>
      </c>
      <c r="CN51" s="58" t="s">
        <v>134</v>
      </c>
      <c r="CO51" s="58" t="s">
        <v>134</v>
      </c>
      <c r="CP51" s="58" t="s">
        <v>134</v>
      </c>
      <c r="CQ51" s="58" t="s">
        <v>134</v>
      </c>
      <c r="CR51" s="58" t="s">
        <v>134</v>
      </c>
      <c r="CS51" s="58" t="s">
        <v>134</v>
      </c>
      <c r="CT51" s="58" t="s">
        <v>134</v>
      </c>
      <c r="CU51" s="58" t="s">
        <v>134</v>
      </c>
      <c r="CV51" s="58" t="s">
        <v>134</v>
      </c>
      <c r="CW51" s="58" t="s">
        <v>134</v>
      </c>
      <c r="CX51" s="58" t="s">
        <v>134</v>
      </c>
      <c r="CY51" s="58" t="s">
        <v>134</v>
      </c>
      <c r="CZ51" s="58" t="s">
        <v>134</v>
      </c>
      <c r="DA51" s="58" t="s">
        <v>134</v>
      </c>
      <c r="DB51" s="58" t="s">
        <v>134</v>
      </c>
      <c r="DC51" s="58" t="s">
        <v>134</v>
      </c>
      <c r="DD51" s="58" t="s">
        <v>134</v>
      </c>
      <c r="DE51" s="58" t="s">
        <v>134</v>
      </c>
      <c r="DF51" s="58" t="s">
        <v>134</v>
      </c>
      <c r="DG51" s="58" t="s">
        <v>134</v>
      </c>
      <c r="DH51" s="58" t="s">
        <v>134</v>
      </c>
      <c r="DI51" s="58" t="s">
        <v>134</v>
      </c>
      <c r="DJ51" s="58" t="s">
        <v>134</v>
      </c>
      <c r="DK51" s="58" t="s">
        <v>134</v>
      </c>
      <c r="DL51" s="58" t="s">
        <v>134</v>
      </c>
      <c r="DM51" s="58" t="s">
        <v>134</v>
      </c>
      <c r="DN51" s="58" t="s">
        <v>134</v>
      </c>
      <c r="DO51" s="58" t="s">
        <v>134</v>
      </c>
      <c r="DP51" s="58" t="s">
        <v>134</v>
      </c>
      <c r="DQ51" s="58" t="s">
        <v>134</v>
      </c>
      <c r="DR51" s="58" t="s">
        <v>134</v>
      </c>
      <c r="DS51" s="58" t="s">
        <v>134</v>
      </c>
      <c r="DT51" s="58" t="s">
        <v>134</v>
      </c>
      <c r="DU51" s="58" t="s">
        <v>134</v>
      </c>
      <c r="DV51" s="58" t="s">
        <v>134</v>
      </c>
      <c r="DW51" s="58" t="s">
        <v>134</v>
      </c>
      <c r="DX51" s="58" t="s">
        <v>134</v>
      </c>
      <c r="DY51" s="58" t="s">
        <v>134</v>
      </c>
      <c r="DZ51" s="58" t="s">
        <v>134</v>
      </c>
      <c r="EA51" s="58" t="s">
        <v>134</v>
      </c>
      <c r="EB51" s="58" t="s">
        <v>134</v>
      </c>
      <c r="EC51" s="58" t="s">
        <v>134</v>
      </c>
      <c r="ED51" s="58" t="s">
        <v>134</v>
      </c>
      <c r="EE51" s="58" t="s">
        <v>134</v>
      </c>
      <c r="EF51" s="58" t="s">
        <v>134</v>
      </c>
      <c r="EG51" s="58" t="s">
        <v>134</v>
      </c>
      <c r="EH51" s="58" t="s">
        <v>134</v>
      </c>
      <c r="EI51" s="58" t="s">
        <v>134</v>
      </c>
      <c r="EJ51" s="58" t="s">
        <v>134</v>
      </c>
      <c r="EK51" s="58" t="s">
        <v>134</v>
      </c>
      <c r="EL51" s="58" t="s">
        <v>134</v>
      </c>
      <c r="EM51" s="58" t="s">
        <v>134</v>
      </c>
      <c r="EN51" s="58" t="s">
        <v>134</v>
      </c>
      <c r="EO51" s="58">
        <v>0.0</v>
      </c>
      <c r="EP51" s="58">
        <v>0.0</v>
      </c>
      <c r="EQ51" s="58">
        <v>0.0</v>
      </c>
      <c r="ER51" s="58" t="s">
        <v>134</v>
      </c>
      <c r="ES51" s="58" t="s">
        <v>134</v>
      </c>
      <c r="ET51" s="58" t="s">
        <v>134</v>
      </c>
    </row>
    <row r="52">
      <c r="A52" s="58" t="s">
        <v>61</v>
      </c>
      <c r="B52" s="58" t="s">
        <v>134</v>
      </c>
      <c r="C52" s="58" t="s">
        <v>134</v>
      </c>
      <c r="D52" s="58" t="s">
        <v>134</v>
      </c>
      <c r="E52" s="58" t="s">
        <v>134</v>
      </c>
      <c r="F52" s="58" t="s">
        <v>134</v>
      </c>
      <c r="G52" s="58" t="s">
        <v>134</v>
      </c>
      <c r="H52" s="58" t="s">
        <v>134</v>
      </c>
      <c r="I52" s="58">
        <v>0.0541</v>
      </c>
      <c r="J52" s="58" t="s">
        <v>134</v>
      </c>
      <c r="K52" s="58">
        <v>0.0143</v>
      </c>
      <c r="L52" s="58">
        <v>0.0</v>
      </c>
      <c r="M52" s="58" t="s">
        <v>134</v>
      </c>
      <c r="N52" s="58" t="s">
        <v>134</v>
      </c>
      <c r="O52" s="58" t="s">
        <v>134</v>
      </c>
      <c r="P52" s="58" t="s">
        <v>134</v>
      </c>
      <c r="Q52" s="58" t="s">
        <v>134</v>
      </c>
      <c r="R52" s="58" t="s">
        <v>134</v>
      </c>
      <c r="S52" s="58" t="s">
        <v>134</v>
      </c>
      <c r="T52" s="58" t="s">
        <v>134</v>
      </c>
      <c r="U52" s="58" t="s">
        <v>134</v>
      </c>
      <c r="V52" s="58" t="s">
        <v>134</v>
      </c>
      <c r="W52" s="58" t="s">
        <v>134</v>
      </c>
      <c r="X52" s="58" t="s">
        <v>134</v>
      </c>
      <c r="Y52" s="58" t="s">
        <v>134</v>
      </c>
      <c r="Z52" s="58" t="s">
        <v>134</v>
      </c>
      <c r="AA52" s="58" t="s">
        <v>134</v>
      </c>
      <c r="AB52" s="58" t="s">
        <v>134</v>
      </c>
      <c r="AC52" s="58" t="s">
        <v>134</v>
      </c>
      <c r="AD52" s="58" t="s">
        <v>134</v>
      </c>
      <c r="AE52" s="58" t="s">
        <v>134</v>
      </c>
      <c r="AF52" s="58" t="s">
        <v>134</v>
      </c>
      <c r="AG52" s="58" t="s">
        <v>134</v>
      </c>
      <c r="AH52" s="58" t="s">
        <v>134</v>
      </c>
      <c r="AI52" s="58" t="s">
        <v>134</v>
      </c>
      <c r="AJ52" s="58" t="s">
        <v>134</v>
      </c>
      <c r="AK52" s="58" t="s">
        <v>134</v>
      </c>
      <c r="AL52" s="58">
        <v>0.1183699524</v>
      </c>
      <c r="AM52" s="58" t="s">
        <v>134</v>
      </c>
      <c r="AN52" s="58">
        <v>0.0555</v>
      </c>
      <c r="AO52" s="58" t="s">
        <v>134</v>
      </c>
      <c r="AP52" s="58" t="s">
        <v>134</v>
      </c>
      <c r="AQ52" s="58" t="s">
        <v>134</v>
      </c>
      <c r="AR52" s="58" t="s">
        <v>134</v>
      </c>
      <c r="AS52" s="58" t="s">
        <v>134</v>
      </c>
      <c r="AT52" s="58" t="s">
        <v>134</v>
      </c>
      <c r="AU52" s="58" t="s">
        <v>134</v>
      </c>
      <c r="AV52" s="58" t="s">
        <v>134</v>
      </c>
      <c r="AW52" s="58">
        <v>0.0216</v>
      </c>
      <c r="AX52" s="58" t="s">
        <v>134</v>
      </c>
      <c r="AY52" s="58" t="s">
        <v>134</v>
      </c>
      <c r="AZ52" s="58" t="s">
        <v>134</v>
      </c>
      <c r="BA52" s="58">
        <v>0.002</v>
      </c>
      <c r="BB52" s="58">
        <v>0.0013</v>
      </c>
      <c r="BC52" s="58">
        <v>0.1287</v>
      </c>
      <c r="BD52" s="58" t="s">
        <v>134</v>
      </c>
      <c r="BE52" s="58" t="s">
        <v>134</v>
      </c>
      <c r="BF52" s="58" t="s">
        <v>134</v>
      </c>
      <c r="BG52" s="58">
        <v>0.08</v>
      </c>
      <c r="BH52" s="58" t="s">
        <v>134</v>
      </c>
      <c r="BI52" s="58" t="s">
        <v>134</v>
      </c>
      <c r="BJ52" s="58" t="s">
        <v>134</v>
      </c>
      <c r="BK52" s="58" t="s">
        <v>134</v>
      </c>
      <c r="BL52" s="58" t="s">
        <v>134</v>
      </c>
      <c r="BM52" s="58" t="s">
        <v>134</v>
      </c>
      <c r="BN52" s="58" t="s">
        <v>134</v>
      </c>
      <c r="BO52" s="58" t="s">
        <v>134</v>
      </c>
      <c r="BP52" s="58" t="s">
        <v>134</v>
      </c>
      <c r="BQ52" s="58" t="s">
        <v>134</v>
      </c>
      <c r="BR52" s="58" t="s">
        <v>134</v>
      </c>
      <c r="BS52" s="58" t="s">
        <v>134</v>
      </c>
      <c r="BT52" s="58" t="s">
        <v>134</v>
      </c>
      <c r="BU52" s="58" t="s">
        <v>134</v>
      </c>
      <c r="BV52" s="58" t="s">
        <v>134</v>
      </c>
      <c r="BW52" s="58" t="s">
        <v>134</v>
      </c>
      <c r="BX52" s="58" t="s">
        <v>134</v>
      </c>
      <c r="BY52" s="58" t="s">
        <v>134</v>
      </c>
      <c r="BZ52" s="58" t="s">
        <v>134</v>
      </c>
      <c r="CA52" s="58" t="s">
        <v>134</v>
      </c>
      <c r="CB52" s="58" t="s">
        <v>134</v>
      </c>
      <c r="CC52" s="58" t="s">
        <v>134</v>
      </c>
      <c r="CD52" s="58">
        <v>0.0063</v>
      </c>
      <c r="CE52" s="58" t="s">
        <v>134</v>
      </c>
      <c r="CF52" s="58" t="s">
        <v>134</v>
      </c>
      <c r="CG52" s="58" t="s">
        <v>134</v>
      </c>
      <c r="CH52" s="58" t="s">
        <v>134</v>
      </c>
      <c r="CI52" s="58" t="s">
        <v>134</v>
      </c>
      <c r="CJ52" s="58" t="s">
        <v>134</v>
      </c>
      <c r="CK52" s="58" t="s">
        <v>134</v>
      </c>
      <c r="CL52" s="58" t="s">
        <v>134</v>
      </c>
      <c r="CM52" s="58" t="s">
        <v>134</v>
      </c>
      <c r="CN52" s="58" t="s">
        <v>134</v>
      </c>
      <c r="CO52" s="58" t="s">
        <v>134</v>
      </c>
      <c r="CP52" s="58" t="s">
        <v>134</v>
      </c>
      <c r="CQ52" s="58" t="s">
        <v>134</v>
      </c>
      <c r="CR52" s="58" t="s">
        <v>134</v>
      </c>
      <c r="CS52" s="58">
        <v>0.0343</v>
      </c>
      <c r="CT52" s="58" t="s">
        <v>134</v>
      </c>
      <c r="CU52" s="58" t="s">
        <v>134</v>
      </c>
      <c r="CV52" s="58" t="s">
        <v>134</v>
      </c>
      <c r="CW52" s="58" t="s">
        <v>134</v>
      </c>
      <c r="CX52" s="58" t="s">
        <v>134</v>
      </c>
      <c r="CY52" s="58" t="s">
        <v>134</v>
      </c>
      <c r="CZ52" s="58" t="s">
        <v>134</v>
      </c>
      <c r="DA52" s="58" t="s">
        <v>134</v>
      </c>
      <c r="DB52" s="58" t="s">
        <v>134</v>
      </c>
      <c r="DC52" s="58" t="s">
        <v>134</v>
      </c>
      <c r="DD52" s="58" t="s">
        <v>134</v>
      </c>
      <c r="DE52" s="58" t="s">
        <v>134</v>
      </c>
      <c r="DF52" s="58" t="s">
        <v>134</v>
      </c>
      <c r="DG52" s="58" t="s">
        <v>134</v>
      </c>
      <c r="DH52" s="58" t="s">
        <v>134</v>
      </c>
      <c r="DI52" s="58" t="s">
        <v>134</v>
      </c>
      <c r="DJ52" s="58" t="s">
        <v>134</v>
      </c>
      <c r="DK52" s="58" t="s">
        <v>134</v>
      </c>
      <c r="DL52" s="58" t="s">
        <v>134</v>
      </c>
      <c r="DM52" s="58" t="s">
        <v>134</v>
      </c>
      <c r="DN52" s="58" t="s">
        <v>134</v>
      </c>
      <c r="DO52" s="58" t="s">
        <v>134</v>
      </c>
      <c r="DP52" s="58" t="s">
        <v>134</v>
      </c>
      <c r="DQ52" s="58" t="s">
        <v>134</v>
      </c>
      <c r="DR52" s="58">
        <v>0.0075</v>
      </c>
      <c r="DS52" s="58" t="s">
        <v>134</v>
      </c>
      <c r="DT52" s="58" t="s">
        <v>134</v>
      </c>
      <c r="DU52" s="58" t="s">
        <v>134</v>
      </c>
      <c r="DV52" s="58" t="s">
        <v>134</v>
      </c>
      <c r="DW52" s="58" t="s">
        <v>134</v>
      </c>
      <c r="DX52" s="58" t="s">
        <v>134</v>
      </c>
      <c r="DY52" s="58" t="s">
        <v>134</v>
      </c>
      <c r="DZ52" s="58" t="s">
        <v>134</v>
      </c>
      <c r="EA52" s="58" t="s">
        <v>134</v>
      </c>
      <c r="EB52" s="58" t="s">
        <v>134</v>
      </c>
      <c r="EC52" s="58" t="s">
        <v>134</v>
      </c>
      <c r="ED52" s="58" t="s">
        <v>134</v>
      </c>
      <c r="EE52" s="58" t="s">
        <v>134</v>
      </c>
      <c r="EF52" s="58" t="s">
        <v>134</v>
      </c>
      <c r="EG52" s="58" t="s">
        <v>134</v>
      </c>
      <c r="EH52" s="58" t="s">
        <v>134</v>
      </c>
      <c r="EI52" s="58" t="s">
        <v>134</v>
      </c>
      <c r="EJ52" s="58" t="s">
        <v>134</v>
      </c>
      <c r="EK52" s="58" t="s">
        <v>134</v>
      </c>
      <c r="EL52" s="58" t="s">
        <v>134</v>
      </c>
      <c r="EM52" s="58" t="s">
        <v>134</v>
      </c>
      <c r="EN52" s="58" t="s">
        <v>134</v>
      </c>
      <c r="EO52" s="58">
        <v>0.0</v>
      </c>
      <c r="EP52" s="58">
        <v>0.0</v>
      </c>
      <c r="EQ52" s="58">
        <v>0.0</v>
      </c>
      <c r="ER52" s="58" t="s">
        <v>134</v>
      </c>
      <c r="ES52" s="58" t="s">
        <v>134</v>
      </c>
      <c r="ET52" s="58" t="s">
        <v>134</v>
      </c>
    </row>
    <row r="53">
      <c r="A53" s="58" t="s">
        <v>100</v>
      </c>
      <c r="B53" s="58" t="s">
        <v>134</v>
      </c>
      <c r="C53" s="58" t="s">
        <v>134</v>
      </c>
      <c r="D53" s="58" t="s">
        <v>134</v>
      </c>
      <c r="E53" s="58" t="s">
        <v>134</v>
      </c>
      <c r="F53" s="58" t="s">
        <v>134</v>
      </c>
      <c r="G53" s="58" t="s">
        <v>134</v>
      </c>
      <c r="H53" s="58" t="s">
        <v>134</v>
      </c>
      <c r="I53" s="58" t="s">
        <v>134</v>
      </c>
      <c r="J53" s="58" t="s">
        <v>134</v>
      </c>
      <c r="K53" s="58">
        <v>0.0</v>
      </c>
      <c r="L53" s="58">
        <v>0.0</v>
      </c>
      <c r="M53" s="58" t="s">
        <v>134</v>
      </c>
      <c r="N53" s="58" t="s">
        <v>134</v>
      </c>
      <c r="O53" s="58" t="s">
        <v>134</v>
      </c>
      <c r="P53" s="58" t="s">
        <v>134</v>
      </c>
      <c r="Q53" s="58" t="s">
        <v>134</v>
      </c>
      <c r="R53" s="58" t="s">
        <v>134</v>
      </c>
      <c r="S53" s="58" t="s">
        <v>134</v>
      </c>
      <c r="T53" s="58" t="s">
        <v>134</v>
      </c>
      <c r="U53" s="58" t="s">
        <v>134</v>
      </c>
      <c r="V53" s="58" t="s">
        <v>134</v>
      </c>
      <c r="W53" s="58" t="s">
        <v>134</v>
      </c>
      <c r="X53" s="58" t="s">
        <v>134</v>
      </c>
      <c r="Y53" s="58" t="s">
        <v>134</v>
      </c>
      <c r="Z53" s="58" t="s">
        <v>134</v>
      </c>
      <c r="AA53" s="58" t="s">
        <v>134</v>
      </c>
      <c r="AB53" s="58" t="s">
        <v>134</v>
      </c>
      <c r="AC53" s="58" t="s">
        <v>134</v>
      </c>
      <c r="AD53" s="58" t="s">
        <v>134</v>
      </c>
      <c r="AE53" s="58" t="s">
        <v>134</v>
      </c>
      <c r="AF53" s="58" t="s">
        <v>134</v>
      </c>
      <c r="AG53" s="58" t="s">
        <v>134</v>
      </c>
      <c r="AH53" s="58" t="s">
        <v>134</v>
      </c>
      <c r="AI53" s="58" t="s">
        <v>134</v>
      </c>
      <c r="AJ53" s="58" t="s">
        <v>134</v>
      </c>
      <c r="AK53" s="58" t="s">
        <v>134</v>
      </c>
      <c r="AL53" s="58" t="s">
        <v>134</v>
      </c>
      <c r="AM53" s="58" t="s">
        <v>134</v>
      </c>
      <c r="AN53" s="58">
        <v>0.0</v>
      </c>
      <c r="AO53" s="58" t="s">
        <v>134</v>
      </c>
      <c r="AP53" s="58" t="s">
        <v>134</v>
      </c>
      <c r="AQ53" s="58" t="s">
        <v>134</v>
      </c>
      <c r="AR53" s="58" t="s">
        <v>134</v>
      </c>
      <c r="AS53" s="58" t="s">
        <v>134</v>
      </c>
      <c r="AT53" s="58" t="s">
        <v>134</v>
      </c>
      <c r="AU53" s="58" t="s">
        <v>134</v>
      </c>
      <c r="AV53" s="58" t="s">
        <v>134</v>
      </c>
      <c r="AW53" s="58" t="s">
        <v>134</v>
      </c>
      <c r="AX53" s="58" t="s">
        <v>134</v>
      </c>
      <c r="AY53" s="58" t="s">
        <v>134</v>
      </c>
      <c r="AZ53" s="58" t="s">
        <v>134</v>
      </c>
      <c r="BA53" s="58" t="s">
        <v>134</v>
      </c>
      <c r="BB53" s="58" t="s">
        <v>134</v>
      </c>
      <c r="BC53" s="58" t="s">
        <v>134</v>
      </c>
      <c r="BD53" s="58" t="s">
        <v>134</v>
      </c>
      <c r="BE53" s="58" t="s">
        <v>134</v>
      </c>
      <c r="BF53" s="58" t="s">
        <v>134</v>
      </c>
      <c r="BG53" s="58" t="s">
        <v>134</v>
      </c>
      <c r="BH53" s="58" t="s">
        <v>134</v>
      </c>
      <c r="BI53" s="58" t="s">
        <v>134</v>
      </c>
      <c r="BJ53" s="58" t="s">
        <v>134</v>
      </c>
      <c r="BK53" s="58" t="s">
        <v>134</v>
      </c>
      <c r="BL53" s="58" t="s">
        <v>134</v>
      </c>
      <c r="BM53" s="58" t="s">
        <v>134</v>
      </c>
      <c r="BN53" s="58" t="s">
        <v>134</v>
      </c>
      <c r="BO53" s="58" t="s">
        <v>134</v>
      </c>
      <c r="BP53" s="58" t="s">
        <v>134</v>
      </c>
      <c r="BQ53" s="58" t="s">
        <v>134</v>
      </c>
      <c r="BR53" s="58" t="s">
        <v>134</v>
      </c>
      <c r="BS53" s="58" t="s">
        <v>134</v>
      </c>
      <c r="BT53" s="58" t="s">
        <v>134</v>
      </c>
      <c r="BU53" s="58" t="s">
        <v>134</v>
      </c>
      <c r="BV53" s="58" t="s">
        <v>134</v>
      </c>
      <c r="BW53" s="58" t="s">
        <v>134</v>
      </c>
      <c r="BX53" s="58" t="s">
        <v>134</v>
      </c>
      <c r="BY53" s="58" t="s">
        <v>134</v>
      </c>
      <c r="BZ53" s="58" t="s">
        <v>134</v>
      </c>
      <c r="CA53" s="58" t="s">
        <v>134</v>
      </c>
      <c r="CB53" s="58" t="s">
        <v>134</v>
      </c>
      <c r="CC53" s="58" t="s">
        <v>134</v>
      </c>
      <c r="CD53" s="58" t="s">
        <v>134</v>
      </c>
      <c r="CE53" s="58" t="s">
        <v>134</v>
      </c>
      <c r="CF53" s="58" t="s">
        <v>134</v>
      </c>
      <c r="CG53" s="58" t="s">
        <v>134</v>
      </c>
      <c r="CH53" s="58" t="s">
        <v>134</v>
      </c>
      <c r="CI53" s="58" t="s">
        <v>134</v>
      </c>
      <c r="CJ53" s="58" t="s">
        <v>134</v>
      </c>
      <c r="CK53" s="58" t="s">
        <v>134</v>
      </c>
      <c r="CL53" s="58" t="s">
        <v>134</v>
      </c>
      <c r="CM53" s="58" t="s">
        <v>134</v>
      </c>
      <c r="CN53" s="58" t="s">
        <v>134</v>
      </c>
      <c r="CO53" s="58" t="s">
        <v>134</v>
      </c>
      <c r="CP53" s="58" t="s">
        <v>134</v>
      </c>
      <c r="CQ53" s="58" t="s">
        <v>134</v>
      </c>
      <c r="CR53" s="58" t="s">
        <v>134</v>
      </c>
      <c r="CS53" s="58" t="s">
        <v>134</v>
      </c>
      <c r="CT53" s="58" t="s">
        <v>134</v>
      </c>
      <c r="CU53" s="58" t="s">
        <v>134</v>
      </c>
      <c r="CV53" s="58" t="s">
        <v>134</v>
      </c>
      <c r="CW53" s="58" t="s">
        <v>134</v>
      </c>
      <c r="CX53" s="58" t="s">
        <v>134</v>
      </c>
      <c r="CY53" s="58" t="s">
        <v>134</v>
      </c>
      <c r="CZ53" s="58" t="s">
        <v>134</v>
      </c>
      <c r="DA53" s="58" t="s">
        <v>134</v>
      </c>
      <c r="DB53" s="58" t="s">
        <v>134</v>
      </c>
      <c r="DC53" s="58" t="s">
        <v>134</v>
      </c>
      <c r="DD53" s="58" t="s">
        <v>134</v>
      </c>
      <c r="DE53" s="58" t="s">
        <v>134</v>
      </c>
      <c r="DF53" s="58" t="s">
        <v>134</v>
      </c>
      <c r="DG53" s="58" t="s">
        <v>134</v>
      </c>
      <c r="DH53" s="58" t="s">
        <v>134</v>
      </c>
      <c r="DI53" s="58" t="s">
        <v>134</v>
      </c>
      <c r="DJ53" s="58" t="s">
        <v>134</v>
      </c>
      <c r="DK53" s="58" t="s">
        <v>134</v>
      </c>
      <c r="DL53" s="58" t="s">
        <v>134</v>
      </c>
      <c r="DM53" s="58" t="s">
        <v>134</v>
      </c>
      <c r="DN53" s="58" t="s">
        <v>134</v>
      </c>
      <c r="DO53" s="58" t="s">
        <v>134</v>
      </c>
      <c r="DP53" s="58" t="s">
        <v>134</v>
      </c>
      <c r="DQ53" s="58" t="s">
        <v>134</v>
      </c>
      <c r="DR53" s="58">
        <v>0.0</v>
      </c>
      <c r="DS53" s="58" t="s">
        <v>134</v>
      </c>
      <c r="DT53" s="58" t="s">
        <v>134</v>
      </c>
      <c r="DU53" s="58" t="s">
        <v>134</v>
      </c>
      <c r="DV53" s="58" t="s">
        <v>134</v>
      </c>
      <c r="DW53" s="58" t="s">
        <v>134</v>
      </c>
      <c r="DX53" s="58" t="s">
        <v>134</v>
      </c>
      <c r="DY53" s="58" t="s">
        <v>134</v>
      </c>
      <c r="DZ53" s="58" t="s">
        <v>134</v>
      </c>
      <c r="EA53" s="58" t="s">
        <v>134</v>
      </c>
      <c r="EB53" s="58" t="s">
        <v>134</v>
      </c>
      <c r="EC53" s="58" t="s">
        <v>134</v>
      </c>
      <c r="ED53" s="58" t="s">
        <v>134</v>
      </c>
      <c r="EE53" s="58" t="s">
        <v>134</v>
      </c>
      <c r="EF53" s="58" t="s">
        <v>134</v>
      </c>
      <c r="EG53" s="58" t="s">
        <v>134</v>
      </c>
      <c r="EH53" s="58" t="s">
        <v>134</v>
      </c>
      <c r="EI53" s="58" t="s">
        <v>134</v>
      </c>
      <c r="EJ53" s="58" t="s">
        <v>134</v>
      </c>
      <c r="EK53" s="58" t="s">
        <v>134</v>
      </c>
      <c r="EL53" s="58" t="s">
        <v>134</v>
      </c>
      <c r="EM53" s="58" t="s">
        <v>134</v>
      </c>
      <c r="EN53" s="58" t="s">
        <v>134</v>
      </c>
      <c r="EO53" s="58">
        <v>0.0</v>
      </c>
      <c r="EP53" s="58">
        <v>0.0</v>
      </c>
      <c r="EQ53" s="58">
        <v>0.0</v>
      </c>
      <c r="ER53" s="58" t="s">
        <v>134</v>
      </c>
      <c r="ES53" s="58" t="s">
        <v>134</v>
      </c>
      <c r="ET53" s="58" t="s">
        <v>134</v>
      </c>
    </row>
    <row r="54">
      <c r="A54" s="58" t="s">
        <v>117</v>
      </c>
      <c r="B54" s="58" t="s">
        <v>134</v>
      </c>
      <c r="C54" s="58" t="s">
        <v>134</v>
      </c>
      <c r="D54" s="58" t="s">
        <v>134</v>
      </c>
      <c r="E54" s="58" t="s">
        <v>134</v>
      </c>
      <c r="F54" s="58" t="s">
        <v>134</v>
      </c>
      <c r="G54" s="58" t="s">
        <v>134</v>
      </c>
      <c r="H54" s="58" t="s">
        <v>134</v>
      </c>
      <c r="I54" s="58" t="s">
        <v>134</v>
      </c>
      <c r="J54" s="58" t="s">
        <v>134</v>
      </c>
      <c r="K54" s="58">
        <v>0.0</v>
      </c>
      <c r="L54" s="58">
        <v>0.0</v>
      </c>
      <c r="M54" s="58" t="s">
        <v>134</v>
      </c>
      <c r="N54" s="58" t="s">
        <v>134</v>
      </c>
      <c r="O54" s="58" t="s">
        <v>134</v>
      </c>
      <c r="P54" s="58" t="s">
        <v>134</v>
      </c>
      <c r="Q54" s="58" t="s">
        <v>134</v>
      </c>
      <c r="R54" s="58" t="s">
        <v>134</v>
      </c>
      <c r="S54" s="58" t="s">
        <v>134</v>
      </c>
      <c r="T54" s="58" t="s">
        <v>134</v>
      </c>
      <c r="U54" s="58" t="s">
        <v>134</v>
      </c>
      <c r="V54" s="58" t="s">
        <v>134</v>
      </c>
      <c r="W54" s="58" t="s">
        <v>134</v>
      </c>
      <c r="X54" s="58" t="s">
        <v>134</v>
      </c>
      <c r="Y54" s="58" t="s">
        <v>134</v>
      </c>
      <c r="Z54" s="58" t="s">
        <v>134</v>
      </c>
      <c r="AA54" s="58" t="s">
        <v>134</v>
      </c>
      <c r="AB54" s="58" t="s">
        <v>134</v>
      </c>
      <c r="AC54" s="58" t="s">
        <v>134</v>
      </c>
      <c r="AD54" s="58" t="s">
        <v>134</v>
      </c>
      <c r="AE54" s="58" t="s">
        <v>134</v>
      </c>
      <c r="AF54" s="58" t="s">
        <v>134</v>
      </c>
      <c r="AG54" s="58" t="s">
        <v>134</v>
      </c>
      <c r="AH54" s="58" t="s">
        <v>134</v>
      </c>
      <c r="AI54" s="58" t="s">
        <v>134</v>
      </c>
      <c r="AJ54" s="58" t="s">
        <v>134</v>
      </c>
      <c r="AK54" s="58" t="s">
        <v>134</v>
      </c>
      <c r="AL54" s="58" t="s">
        <v>134</v>
      </c>
      <c r="AM54" s="58" t="s">
        <v>134</v>
      </c>
      <c r="AN54" s="58">
        <v>0.0</v>
      </c>
      <c r="AO54" s="58" t="s">
        <v>134</v>
      </c>
      <c r="AP54" s="58" t="s">
        <v>134</v>
      </c>
      <c r="AQ54" s="58" t="s">
        <v>134</v>
      </c>
      <c r="AR54" s="58" t="s">
        <v>134</v>
      </c>
      <c r="AS54" s="58" t="s">
        <v>134</v>
      </c>
      <c r="AT54" s="58" t="s">
        <v>134</v>
      </c>
      <c r="AU54" s="58" t="s">
        <v>134</v>
      </c>
      <c r="AV54" s="58" t="s">
        <v>134</v>
      </c>
      <c r="AW54" s="58" t="s">
        <v>134</v>
      </c>
      <c r="AX54" s="58" t="s">
        <v>134</v>
      </c>
      <c r="AY54" s="58" t="s">
        <v>134</v>
      </c>
      <c r="AZ54" s="58" t="s">
        <v>134</v>
      </c>
      <c r="BA54" s="58" t="s">
        <v>134</v>
      </c>
      <c r="BB54" s="58" t="s">
        <v>134</v>
      </c>
      <c r="BC54" s="58" t="s">
        <v>134</v>
      </c>
      <c r="BD54" s="58" t="s">
        <v>134</v>
      </c>
      <c r="BE54" s="58" t="s">
        <v>134</v>
      </c>
      <c r="BF54" s="58" t="s">
        <v>134</v>
      </c>
      <c r="BG54" s="58" t="s">
        <v>134</v>
      </c>
      <c r="BH54" s="58" t="s">
        <v>134</v>
      </c>
      <c r="BI54" s="58" t="s">
        <v>134</v>
      </c>
      <c r="BJ54" s="58" t="s">
        <v>134</v>
      </c>
      <c r="BK54" s="58" t="s">
        <v>134</v>
      </c>
      <c r="BL54" s="58" t="s">
        <v>134</v>
      </c>
      <c r="BM54" s="58" t="s">
        <v>134</v>
      </c>
      <c r="BN54" s="58" t="s">
        <v>134</v>
      </c>
      <c r="BO54" s="58" t="s">
        <v>134</v>
      </c>
      <c r="BP54" s="58" t="s">
        <v>134</v>
      </c>
      <c r="BQ54" s="58" t="s">
        <v>134</v>
      </c>
      <c r="BR54" s="58" t="s">
        <v>134</v>
      </c>
      <c r="BS54" s="58" t="s">
        <v>134</v>
      </c>
      <c r="BT54" s="58" t="s">
        <v>134</v>
      </c>
      <c r="BU54" s="58" t="s">
        <v>134</v>
      </c>
      <c r="BV54" s="58" t="s">
        <v>134</v>
      </c>
      <c r="BW54" s="58" t="s">
        <v>134</v>
      </c>
      <c r="BX54" s="58" t="s">
        <v>134</v>
      </c>
      <c r="BY54" s="58" t="s">
        <v>134</v>
      </c>
      <c r="BZ54" s="58" t="s">
        <v>134</v>
      </c>
      <c r="CA54" s="58" t="s">
        <v>134</v>
      </c>
      <c r="CB54" s="58" t="s">
        <v>134</v>
      </c>
      <c r="CC54" s="58" t="s">
        <v>134</v>
      </c>
      <c r="CD54" s="58" t="s">
        <v>134</v>
      </c>
      <c r="CE54" s="58" t="s">
        <v>134</v>
      </c>
      <c r="CF54" s="58" t="s">
        <v>134</v>
      </c>
      <c r="CG54" s="58" t="s">
        <v>134</v>
      </c>
      <c r="CH54" s="58" t="s">
        <v>134</v>
      </c>
      <c r="CI54" s="58" t="s">
        <v>134</v>
      </c>
      <c r="CJ54" s="58" t="s">
        <v>134</v>
      </c>
      <c r="CK54" s="58" t="s">
        <v>134</v>
      </c>
      <c r="CL54" s="58" t="s">
        <v>134</v>
      </c>
      <c r="CM54" s="58" t="s">
        <v>134</v>
      </c>
      <c r="CN54" s="58" t="s">
        <v>134</v>
      </c>
      <c r="CO54" s="58" t="s">
        <v>134</v>
      </c>
      <c r="CP54" s="58" t="s">
        <v>134</v>
      </c>
      <c r="CQ54" s="58" t="s">
        <v>134</v>
      </c>
      <c r="CR54" s="58" t="s">
        <v>134</v>
      </c>
      <c r="CS54" s="58" t="s">
        <v>134</v>
      </c>
      <c r="CT54" s="58" t="s">
        <v>134</v>
      </c>
      <c r="CU54" s="58" t="s">
        <v>134</v>
      </c>
      <c r="CV54" s="58" t="s">
        <v>134</v>
      </c>
      <c r="CW54" s="58" t="s">
        <v>134</v>
      </c>
      <c r="CX54" s="58" t="s">
        <v>134</v>
      </c>
      <c r="CY54" s="58" t="s">
        <v>134</v>
      </c>
      <c r="CZ54" s="58" t="s">
        <v>134</v>
      </c>
      <c r="DA54" s="58" t="s">
        <v>134</v>
      </c>
      <c r="DB54" s="58" t="s">
        <v>134</v>
      </c>
      <c r="DC54" s="58" t="s">
        <v>134</v>
      </c>
      <c r="DD54" s="58" t="s">
        <v>134</v>
      </c>
      <c r="DE54" s="58" t="s">
        <v>134</v>
      </c>
      <c r="DF54" s="58" t="s">
        <v>134</v>
      </c>
      <c r="DG54" s="58" t="s">
        <v>134</v>
      </c>
      <c r="DH54" s="58" t="s">
        <v>134</v>
      </c>
      <c r="DI54" s="58" t="s">
        <v>134</v>
      </c>
      <c r="DJ54" s="58" t="s">
        <v>134</v>
      </c>
      <c r="DK54" s="58" t="s">
        <v>134</v>
      </c>
      <c r="DL54" s="58" t="s">
        <v>134</v>
      </c>
      <c r="DM54" s="58" t="s">
        <v>134</v>
      </c>
      <c r="DN54" s="58" t="s">
        <v>134</v>
      </c>
      <c r="DO54" s="58" t="s">
        <v>134</v>
      </c>
      <c r="DP54" s="58" t="s">
        <v>134</v>
      </c>
      <c r="DQ54" s="58" t="s">
        <v>134</v>
      </c>
      <c r="DR54" s="58">
        <v>0.0</v>
      </c>
      <c r="DS54" s="58" t="s">
        <v>134</v>
      </c>
      <c r="DT54" s="58" t="s">
        <v>134</v>
      </c>
      <c r="DU54" s="58" t="s">
        <v>134</v>
      </c>
      <c r="DV54" s="58" t="s">
        <v>134</v>
      </c>
      <c r="DW54" s="58" t="s">
        <v>134</v>
      </c>
      <c r="DX54" s="58" t="s">
        <v>134</v>
      </c>
      <c r="DY54" s="58" t="s">
        <v>134</v>
      </c>
      <c r="DZ54" s="58" t="s">
        <v>134</v>
      </c>
      <c r="EA54" s="58" t="s">
        <v>134</v>
      </c>
      <c r="EB54" s="58" t="s">
        <v>134</v>
      </c>
      <c r="EC54" s="58" t="s">
        <v>134</v>
      </c>
      <c r="ED54" s="58" t="s">
        <v>134</v>
      </c>
      <c r="EE54" s="58" t="s">
        <v>134</v>
      </c>
      <c r="EF54" s="58" t="s">
        <v>134</v>
      </c>
      <c r="EG54" s="58" t="s">
        <v>134</v>
      </c>
      <c r="EH54" s="58" t="s">
        <v>134</v>
      </c>
      <c r="EI54" s="58" t="s">
        <v>134</v>
      </c>
      <c r="EJ54" s="58" t="s">
        <v>134</v>
      </c>
      <c r="EK54" s="58" t="s">
        <v>134</v>
      </c>
      <c r="EL54" s="58" t="s">
        <v>134</v>
      </c>
      <c r="EM54" s="58" t="s">
        <v>134</v>
      </c>
      <c r="EN54" s="58" t="s">
        <v>134</v>
      </c>
      <c r="EO54" s="58">
        <v>0.0</v>
      </c>
      <c r="EP54" s="58">
        <v>0.0</v>
      </c>
      <c r="EQ54" s="58">
        <v>0.0</v>
      </c>
      <c r="ER54" s="58" t="s">
        <v>134</v>
      </c>
      <c r="ES54" s="58" t="s">
        <v>134</v>
      </c>
      <c r="ET54" s="58" t="s">
        <v>134</v>
      </c>
    </row>
    <row r="55">
      <c r="A55" s="58" t="s">
        <v>287</v>
      </c>
      <c r="B55" s="58" t="s">
        <v>134</v>
      </c>
      <c r="C55" s="58" t="s">
        <v>134</v>
      </c>
      <c r="D55" s="58" t="s">
        <v>134</v>
      </c>
      <c r="E55" s="58" t="s">
        <v>134</v>
      </c>
      <c r="F55" s="58" t="s">
        <v>134</v>
      </c>
      <c r="G55" s="58" t="s">
        <v>134</v>
      </c>
      <c r="H55" s="58" t="s">
        <v>134</v>
      </c>
      <c r="I55" s="58" t="s">
        <v>134</v>
      </c>
      <c r="J55" s="58" t="s">
        <v>134</v>
      </c>
      <c r="K55" s="58">
        <v>0.0</v>
      </c>
      <c r="L55" s="58">
        <v>0.0</v>
      </c>
      <c r="M55" s="58" t="s">
        <v>134</v>
      </c>
      <c r="N55" s="58" t="s">
        <v>134</v>
      </c>
      <c r="O55" s="58" t="s">
        <v>134</v>
      </c>
      <c r="P55" s="58" t="s">
        <v>134</v>
      </c>
      <c r="Q55" s="58" t="s">
        <v>134</v>
      </c>
      <c r="R55" s="58" t="s">
        <v>134</v>
      </c>
      <c r="S55" s="58" t="s">
        <v>134</v>
      </c>
      <c r="T55" s="58" t="s">
        <v>134</v>
      </c>
      <c r="U55" s="58" t="s">
        <v>134</v>
      </c>
      <c r="V55" s="58" t="s">
        <v>134</v>
      </c>
      <c r="W55" s="58" t="s">
        <v>134</v>
      </c>
      <c r="X55" s="58" t="s">
        <v>134</v>
      </c>
      <c r="Y55" s="58" t="s">
        <v>134</v>
      </c>
      <c r="Z55" s="58" t="s">
        <v>134</v>
      </c>
      <c r="AA55" s="58" t="s">
        <v>134</v>
      </c>
      <c r="AB55" s="58" t="s">
        <v>134</v>
      </c>
      <c r="AC55" s="58" t="s">
        <v>134</v>
      </c>
      <c r="AD55" s="58" t="s">
        <v>134</v>
      </c>
      <c r="AE55" s="58" t="s">
        <v>134</v>
      </c>
      <c r="AF55" s="58" t="s">
        <v>134</v>
      </c>
      <c r="AG55" s="58" t="s">
        <v>134</v>
      </c>
      <c r="AH55" s="58" t="s">
        <v>134</v>
      </c>
      <c r="AI55" s="58" t="s">
        <v>134</v>
      </c>
      <c r="AJ55" s="58" t="s">
        <v>134</v>
      </c>
      <c r="AK55" s="58" t="s">
        <v>134</v>
      </c>
      <c r="AL55" s="58" t="s">
        <v>134</v>
      </c>
      <c r="AM55" s="58" t="s">
        <v>134</v>
      </c>
      <c r="AN55" s="58">
        <v>0.0</v>
      </c>
      <c r="AO55" s="58" t="s">
        <v>134</v>
      </c>
      <c r="AP55" s="58" t="s">
        <v>134</v>
      </c>
      <c r="AQ55" s="58" t="s">
        <v>134</v>
      </c>
      <c r="AR55" s="58" t="s">
        <v>134</v>
      </c>
      <c r="AS55" s="58" t="s">
        <v>134</v>
      </c>
      <c r="AT55" s="58" t="s">
        <v>134</v>
      </c>
      <c r="AU55" s="58" t="s">
        <v>134</v>
      </c>
      <c r="AV55" s="58" t="s">
        <v>134</v>
      </c>
      <c r="AW55" s="58" t="s">
        <v>134</v>
      </c>
      <c r="AX55" s="58" t="s">
        <v>134</v>
      </c>
      <c r="AY55" s="58" t="s">
        <v>134</v>
      </c>
      <c r="AZ55" s="58" t="s">
        <v>134</v>
      </c>
      <c r="BA55" s="58" t="s">
        <v>134</v>
      </c>
      <c r="BB55" s="58" t="s">
        <v>134</v>
      </c>
      <c r="BC55" s="58" t="s">
        <v>134</v>
      </c>
      <c r="BD55" s="58" t="s">
        <v>134</v>
      </c>
      <c r="BE55" s="58" t="s">
        <v>134</v>
      </c>
      <c r="BF55" s="58" t="s">
        <v>134</v>
      </c>
      <c r="BG55" s="58" t="s">
        <v>134</v>
      </c>
      <c r="BH55" s="58" t="s">
        <v>134</v>
      </c>
      <c r="BI55" s="58" t="s">
        <v>134</v>
      </c>
      <c r="BJ55" s="58" t="s">
        <v>134</v>
      </c>
      <c r="BK55" s="58" t="s">
        <v>134</v>
      </c>
      <c r="BL55" s="58" t="s">
        <v>134</v>
      </c>
      <c r="BM55" s="58" t="s">
        <v>134</v>
      </c>
      <c r="BN55" s="58" t="s">
        <v>134</v>
      </c>
      <c r="BO55" s="58" t="s">
        <v>134</v>
      </c>
      <c r="BP55" s="58" t="s">
        <v>134</v>
      </c>
      <c r="BQ55" s="58" t="s">
        <v>134</v>
      </c>
      <c r="BR55" s="58" t="s">
        <v>134</v>
      </c>
      <c r="BS55" s="58" t="s">
        <v>134</v>
      </c>
      <c r="BT55" s="58" t="s">
        <v>134</v>
      </c>
      <c r="BU55" s="58" t="s">
        <v>134</v>
      </c>
      <c r="BV55" s="58" t="s">
        <v>134</v>
      </c>
      <c r="BW55" s="58" t="s">
        <v>134</v>
      </c>
      <c r="BX55" s="58" t="s">
        <v>134</v>
      </c>
      <c r="BY55" s="58" t="s">
        <v>134</v>
      </c>
      <c r="BZ55" s="58" t="s">
        <v>134</v>
      </c>
      <c r="CA55" s="58" t="s">
        <v>134</v>
      </c>
      <c r="CB55" s="58" t="s">
        <v>134</v>
      </c>
      <c r="CC55" s="58" t="s">
        <v>134</v>
      </c>
      <c r="CD55" s="58" t="s">
        <v>134</v>
      </c>
      <c r="CE55" s="58" t="s">
        <v>134</v>
      </c>
      <c r="CF55" s="58" t="s">
        <v>134</v>
      </c>
      <c r="CG55" s="58" t="s">
        <v>134</v>
      </c>
      <c r="CH55" s="58" t="s">
        <v>134</v>
      </c>
      <c r="CI55" s="58" t="s">
        <v>134</v>
      </c>
      <c r="CJ55" s="58" t="s">
        <v>134</v>
      </c>
      <c r="CK55" s="58" t="s">
        <v>134</v>
      </c>
      <c r="CL55" s="58" t="s">
        <v>134</v>
      </c>
      <c r="CM55" s="58" t="s">
        <v>134</v>
      </c>
      <c r="CN55" s="58" t="s">
        <v>134</v>
      </c>
      <c r="CO55" s="58" t="s">
        <v>134</v>
      </c>
      <c r="CP55" s="58" t="s">
        <v>134</v>
      </c>
      <c r="CQ55" s="58" t="s">
        <v>134</v>
      </c>
      <c r="CR55" s="58" t="s">
        <v>134</v>
      </c>
      <c r="CS55" s="58" t="s">
        <v>134</v>
      </c>
      <c r="CT55" s="58" t="s">
        <v>134</v>
      </c>
      <c r="CU55" s="58" t="s">
        <v>134</v>
      </c>
      <c r="CV55" s="58" t="s">
        <v>134</v>
      </c>
      <c r="CW55" s="58" t="s">
        <v>134</v>
      </c>
      <c r="CX55" s="58" t="s">
        <v>134</v>
      </c>
      <c r="CY55" s="58" t="s">
        <v>134</v>
      </c>
      <c r="CZ55" s="58" t="s">
        <v>134</v>
      </c>
      <c r="DA55" s="58" t="s">
        <v>134</v>
      </c>
      <c r="DB55" s="58" t="s">
        <v>134</v>
      </c>
      <c r="DC55" s="58" t="s">
        <v>134</v>
      </c>
      <c r="DD55" s="58" t="s">
        <v>134</v>
      </c>
      <c r="DE55" s="58" t="s">
        <v>134</v>
      </c>
      <c r="DF55" s="58" t="s">
        <v>134</v>
      </c>
      <c r="DG55" s="58" t="s">
        <v>134</v>
      </c>
      <c r="DH55" s="58" t="s">
        <v>134</v>
      </c>
      <c r="DI55" s="58" t="s">
        <v>134</v>
      </c>
      <c r="DJ55" s="58" t="s">
        <v>134</v>
      </c>
      <c r="DK55" s="58" t="s">
        <v>134</v>
      </c>
      <c r="DL55" s="58" t="s">
        <v>134</v>
      </c>
      <c r="DM55" s="58" t="s">
        <v>134</v>
      </c>
      <c r="DN55" s="58" t="s">
        <v>134</v>
      </c>
      <c r="DO55" s="58" t="s">
        <v>134</v>
      </c>
      <c r="DP55" s="58" t="s">
        <v>134</v>
      </c>
      <c r="DQ55" s="58" t="s">
        <v>134</v>
      </c>
      <c r="DR55" s="58">
        <v>0.0</v>
      </c>
      <c r="DS55" s="58" t="s">
        <v>134</v>
      </c>
      <c r="DT55" s="58" t="s">
        <v>134</v>
      </c>
      <c r="DU55" s="58" t="s">
        <v>134</v>
      </c>
      <c r="DV55" s="58" t="s">
        <v>134</v>
      </c>
      <c r="DW55" s="58" t="s">
        <v>134</v>
      </c>
      <c r="DX55" s="58" t="s">
        <v>134</v>
      </c>
      <c r="DY55" s="58" t="s">
        <v>134</v>
      </c>
      <c r="DZ55" s="58" t="s">
        <v>134</v>
      </c>
      <c r="EA55" s="58" t="s">
        <v>134</v>
      </c>
      <c r="EB55" s="58" t="s">
        <v>134</v>
      </c>
      <c r="EC55" s="58" t="s">
        <v>134</v>
      </c>
      <c r="ED55" s="58" t="s">
        <v>134</v>
      </c>
      <c r="EE55" s="58" t="s">
        <v>134</v>
      </c>
      <c r="EF55" s="58" t="s">
        <v>134</v>
      </c>
      <c r="EG55" s="58" t="s">
        <v>134</v>
      </c>
      <c r="EH55" s="58" t="s">
        <v>134</v>
      </c>
      <c r="EI55" s="58" t="s">
        <v>134</v>
      </c>
      <c r="EJ55" s="58" t="s">
        <v>134</v>
      </c>
      <c r="EK55" s="58" t="s">
        <v>134</v>
      </c>
      <c r="EL55" s="58" t="s">
        <v>134</v>
      </c>
      <c r="EM55" s="58" t="s">
        <v>134</v>
      </c>
      <c r="EN55" s="58" t="s">
        <v>134</v>
      </c>
      <c r="EO55" s="58">
        <v>0.0</v>
      </c>
      <c r="EP55" s="58">
        <v>0.0</v>
      </c>
      <c r="EQ55" s="58">
        <v>0.0</v>
      </c>
      <c r="ER55" s="58" t="s">
        <v>134</v>
      </c>
      <c r="ES55" s="58" t="s">
        <v>134</v>
      </c>
      <c r="ET55" s="58" t="s">
        <v>134</v>
      </c>
    </row>
    <row r="56">
      <c r="A56" s="58" t="s">
        <v>64</v>
      </c>
      <c r="B56" s="58" t="s">
        <v>134</v>
      </c>
      <c r="C56" s="58" t="s">
        <v>134</v>
      </c>
      <c r="D56" s="58" t="s">
        <v>134</v>
      </c>
      <c r="E56" s="58" t="s">
        <v>134</v>
      </c>
      <c r="F56" s="58" t="s">
        <v>134</v>
      </c>
      <c r="G56" s="58" t="s">
        <v>134</v>
      </c>
      <c r="H56" s="58" t="s">
        <v>134</v>
      </c>
      <c r="I56" s="58">
        <v>0.0509</v>
      </c>
      <c r="J56" s="58" t="s">
        <v>134</v>
      </c>
      <c r="K56" s="58">
        <v>0.0</v>
      </c>
      <c r="L56" s="58">
        <v>0.0</v>
      </c>
      <c r="M56" s="58" t="s">
        <v>134</v>
      </c>
      <c r="N56" s="58" t="s">
        <v>134</v>
      </c>
      <c r="O56" s="58" t="s">
        <v>134</v>
      </c>
      <c r="P56" s="58" t="s">
        <v>134</v>
      </c>
      <c r="Q56" s="58" t="s">
        <v>134</v>
      </c>
      <c r="R56" s="58" t="s">
        <v>134</v>
      </c>
      <c r="S56" s="58" t="s">
        <v>134</v>
      </c>
      <c r="T56" s="58" t="s">
        <v>134</v>
      </c>
      <c r="U56" s="58" t="s">
        <v>134</v>
      </c>
      <c r="V56" s="58" t="s">
        <v>134</v>
      </c>
      <c r="W56" s="58" t="s">
        <v>134</v>
      </c>
      <c r="X56" s="58" t="s">
        <v>134</v>
      </c>
      <c r="Y56" s="58" t="s">
        <v>134</v>
      </c>
      <c r="Z56" s="58" t="s">
        <v>134</v>
      </c>
      <c r="AA56" s="58" t="s">
        <v>134</v>
      </c>
      <c r="AB56" s="58" t="s">
        <v>134</v>
      </c>
      <c r="AC56" s="58" t="s">
        <v>134</v>
      </c>
      <c r="AD56" s="58">
        <v>0.09742215</v>
      </c>
      <c r="AE56" s="58" t="s">
        <v>134</v>
      </c>
      <c r="AF56" s="58" t="s">
        <v>134</v>
      </c>
      <c r="AG56" s="58" t="s">
        <v>134</v>
      </c>
      <c r="AH56" s="58" t="s">
        <v>134</v>
      </c>
      <c r="AI56" s="58" t="s">
        <v>134</v>
      </c>
      <c r="AJ56" s="58" t="s">
        <v>134</v>
      </c>
      <c r="AK56" s="58" t="s">
        <v>134</v>
      </c>
      <c r="AL56" s="58" t="s">
        <v>134</v>
      </c>
      <c r="AM56" s="58" t="s">
        <v>134</v>
      </c>
      <c r="AN56" s="58">
        <v>0.0</v>
      </c>
      <c r="AO56" s="58" t="s">
        <v>134</v>
      </c>
      <c r="AP56" s="58" t="s">
        <v>134</v>
      </c>
      <c r="AQ56" s="58" t="s">
        <v>134</v>
      </c>
      <c r="AR56" s="58" t="s">
        <v>134</v>
      </c>
      <c r="AS56" s="58" t="s">
        <v>134</v>
      </c>
      <c r="AT56" s="58" t="s">
        <v>134</v>
      </c>
      <c r="AU56" s="58" t="s">
        <v>134</v>
      </c>
      <c r="AV56" s="58" t="s">
        <v>134</v>
      </c>
      <c r="AW56" s="58" t="s">
        <v>134</v>
      </c>
      <c r="AX56" s="58" t="s">
        <v>134</v>
      </c>
      <c r="AY56" s="58" t="s">
        <v>134</v>
      </c>
      <c r="AZ56" s="58" t="s">
        <v>134</v>
      </c>
      <c r="BA56" s="58" t="s">
        <v>134</v>
      </c>
      <c r="BB56" s="58" t="s">
        <v>134</v>
      </c>
      <c r="BC56" s="58" t="s">
        <v>134</v>
      </c>
      <c r="BD56" s="58" t="s">
        <v>134</v>
      </c>
      <c r="BE56" s="58" t="s">
        <v>134</v>
      </c>
      <c r="BF56" s="58" t="s">
        <v>134</v>
      </c>
      <c r="BG56" s="58" t="s">
        <v>134</v>
      </c>
      <c r="BH56" s="58" t="s">
        <v>134</v>
      </c>
      <c r="BI56" s="58" t="s">
        <v>134</v>
      </c>
      <c r="BJ56" s="58" t="s">
        <v>134</v>
      </c>
      <c r="BK56" s="58" t="s">
        <v>134</v>
      </c>
      <c r="BL56" s="58" t="s">
        <v>134</v>
      </c>
      <c r="BM56" s="58" t="s">
        <v>134</v>
      </c>
      <c r="BN56" s="58" t="s">
        <v>134</v>
      </c>
      <c r="BO56" s="58" t="s">
        <v>134</v>
      </c>
      <c r="BP56" s="58" t="s">
        <v>134</v>
      </c>
      <c r="BQ56" s="58" t="s">
        <v>134</v>
      </c>
      <c r="BR56" s="58" t="s">
        <v>134</v>
      </c>
      <c r="BS56" s="58" t="s">
        <v>134</v>
      </c>
      <c r="BT56" s="58" t="s">
        <v>134</v>
      </c>
      <c r="BU56" s="58" t="s">
        <v>134</v>
      </c>
      <c r="BV56" s="58" t="s">
        <v>134</v>
      </c>
      <c r="BW56" s="58" t="s">
        <v>134</v>
      </c>
      <c r="BX56" s="58" t="s">
        <v>134</v>
      </c>
      <c r="BY56" s="58" t="s">
        <v>134</v>
      </c>
      <c r="BZ56" s="58" t="s">
        <v>134</v>
      </c>
      <c r="CA56" s="58" t="s">
        <v>134</v>
      </c>
      <c r="CB56" s="58" t="s">
        <v>134</v>
      </c>
      <c r="CC56" s="58" t="s">
        <v>134</v>
      </c>
      <c r="CD56" s="58" t="s">
        <v>134</v>
      </c>
      <c r="CE56" s="58" t="s">
        <v>134</v>
      </c>
      <c r="CF56" s="58" t="s">
        <v>134</v>
      </c>
      <c r="CG56" s="58" t="s">
        <v>134</v>
      </c>
      <c r="CH56" s="58" t="s">
        <v>134</v>
      </c>
      <c r="CI56" s="58" t="s">
        <v>134</v>
      </c>
      <c r="CJ56" s="58" t="s">
        <v>134</v>
      </c>
      <c r="CK56" s="58" t="s">
        <v>134</v>
      </c>
      <c r="CL56" s="58" t="s">
        <v>134</v>
      </c>
      <c r="CM56" s="58" t="s">
        <v>134</v>
      </c>
      <c r="CN56" s="58" t="s">
        <v>134</v>
      </c>
      <c r="CO56" s="58" t="s">
        <v>134</v>
      </c>
      <c r="CP56" s="58" t="s">
        <v>134</v>
      </c>
      <c r="CQ56" s="58" t="s">
        <v>134</v>
      </c>
      <c r="CR56" s="58" t="s">
        <v>134</v>
      </c>
      <c r="CS56" s="58" t="s">
        <v>134</v>
      </c>
      <c r="CT56" s="58" t="s">
        <v>134</v>
      </c>
      <c r="CU56" s="58" t="s">
        <v>134</v>
      </c>
      <c r="CV56" s="58" t="s">
        <v>134</v>
      </c>
      <c r="CW56" s="58" t="s">
        <v>134</v>
      </c>
      <c r="CX56" s="58" t="s">
        <v>134</v>
      </c>
      <c r="CY56" s="58" t="s">
        <v>134</v>
      </c>
      <c r="CZ56" s="58" t="s">
        <v>134</v>
      </c>
      <c r="DA56" s="58" t="s">
        <v>134</v>
      </c>
      <c r="DB56" s="58" t="s">
        <v>134</v>
      </c>
      <c r="DC56" s="58" t="s">
        <v>134</v>
      </c>
      <c r="DD56" s="58" t="s">
        <v>134</v>
      </c>
      <c r="DE56" s="58" t="s">
        <v>134</v>
      </c>
      <c r="DF56" s="58" t="s">
        <v>134</v>
      </c>
      <c r="DG56" s="58" t="s">
        <v>134</v>
      </c>
      <c r="DH56" s="58" t="s">
        <v>134</v>
      </c>
      <c r="DI56" s="58" t="s">
        <v>134</v>
      </c>
      <c r="DJ56" s="58" t="s">
        <v>134</v>
      </c>
      <c r="DK56" s="58" t="s">
        <v>134</v>
      </c>
      <c r="DL56" s="58" t="s">
        <v>134</v>
      </c>
      <c r="DM56" s="58" t="s">
        <v>134</v>
      </c>
      <c r="DN56" s="58" t="s">
        <v>134</v>
      </c>
      <c r="DO56" s="58" t="s">
        <v>134</v>
      </c>
      <c r="DP56" s="58" t="s">
        <v>134</v>
      </c>
      <c r="DQ56" s="58" t="s">
        <v>134</v>
      </c>
      <c r="DR56" s="58">
        <v>0.0</v>
      </c>
      <c r="DS56" s="58" t="s">
        <v>134</v>
      </c>
      <c r="DT56" s="58" t="s">
        <v>134</v>
      </c>
      <c r="DU56" s="58" t="s">
        <v>134</v>
      </c>
      <c r="DV56" s="58" t="s">
        <v>134</v>
      </c>
      <c r="DW56" s="58" t="s">
        <v>134</v>
      </c>
      <c r="DX56" s="58" t="s">
        <v>134</v>
      </c>
      <c r="DY56" s="58" t="s">
        <v>134</v>
      </c>
      <c r="DZ56" s="58" t="s">
        <v>134</v>
      </c>
      <c r="EA56" s="58" t="s">
        <v>134</v>
      </c>
      <c r="EB56" s="58" t="s">
        <v>134</v>
      </c>
      <c r="EC56" s="58" t="s">
        <v>134</v>
      </c>
      <c r="ED56" s="58" t="s">
        <v>134</v>
      </c>
      <c r="EE56" s="58" t="s">
        <v>134</v>
      </c>
      <c r="EF56" s="58" t="s">
        <v>134</v>
      </c>
      <c r="EG56" s="58" t="s">
        <v>134</v>
      </c>
      <c r="EH56" s="58" t="s">
        <v>134</v>
      </c>
      <c r="EI56" s="58" t="s">
        <v>134</v>
      </c>
      <c r="EJ56" s="58" t="s">
        <v>134</v>
      </c>
      <c r="EK56" s="58" t="s">
        <v>134</v>
      </c>
      <c r="EL56" s="58" t="s">
        <v>134</v>
      </c>
      <c r="EM56" s="58" t="s">
        <v>134</v>
      </c>
      <c r="EN56" s="58" t="s">
        <v>134</v>
      </c>
      <c r="EO56" s="58">
        <v>0.0</v>
      </c>
      <c r="EP56" s="58">
        <v>0.0</v>
      </c>
      <c r="EQ56" s="58">
        <v>0.0</v>
      </c>
      <c r="ER56" s="58" t="s">
        <v>134</v>
      </c>
      <c r="ES56" s="58" t="s">
        <v>134</v>
      </c>
      <c r="ET56" s="58" t="s">
        <v>134</v>
      </c>
    </row>
    <row r="57">
      <c r="A57" s="58" t="s">
        <v>63</v>
      </c>
      <c r="B57" s="58" t="s">
        <v>134</v>
      </c>
      <c r="C57" s="58" t="s">
        <v>134</v>
      </c>
      <c r="D57" s="58" t="s">
        <v>134</v>
      </c>
      <c r="E57" s="58" t="s">
        <v>134</v>
      </c>
      <c r="F57" s="58" t="s">
        <v>134</v>
      </c>
      <c r="G57" s="58" t="s">
        <v>134</v>
      </c>
      <c r="H57" s="58" t="s">
        <v>134</v>
      </c>
      <c r="I57" s="58">
        <v>0.0615</v>
      </c>
      <c r="J57" s="58" t="s">
        <v>134</v>
      </c>
      <c r="K57" s="58">
        <v>0.0</v>
      </c>
      <c r="L57" s="58">
        <v>0.0</v>
      </c>
      <c r="M57" s="58" t="s">
        <v>134</v>
      </c>
      <c r="N57" s="58" t="s">
        <v>134</v>
      </c>
      <c r="O57" s="58" t="s">
        <v>134</v>
      </c>
      <c r="P57" s="58" t="s">
        <v>134</v>
      </c>
      <c r="Q57" s="58" t="s">
        <v>134</v>
      </c>
      <c r="R57" s="58" t="s">
        <v>134</v>
      </c>
      <c r="S57" s="58" t="s">
        <v>134</v>
      </c>
      <c r="T57" s="58" t="s">
        <v>134</v>
      </c>
      <c r="U57" s="58" t="s">
        <v>134</v>
      </c>
      <c r="V57" s="58" t="s">
        <v>134</v>
      </c>
      <c r="W57" s="58" t="s">
        <v>134</v>
      </c>
      <c r="X57" s="58" t="s">
        <v>134</v>
      </c>
      <c r="Y57" s="58" t="s">
        <v>134</v>
      </c>
      <c r="Z57" s="58" t="s">
        <v>134</v>
      </c>
      <c r="AA57" s="58" t="s">
        <v>134</v>
      </c>
      <c r="AB57" s="58" t="s">
        <v>134</v>
      </c>
      <c r="AC57" s="58" t="s">
        <v>134</v>
      </c>
      <c r="AD57" s="58" t="s">
        <v>134</v>
      </c>
      <c r="AE57" s="58" t="s">
        <v>134</v>
      </c>
      <c r="AF57" s="58" t="s">
        <v>134</v>
      </c>
      <c r="AG57" s="58" t="s">
        <v>134</v>
      </c>
      <c r="AH57" s="58" t="s">
        <v>134</v>
      </c>
      <c r="AI57" s="58" t="s">
        <v>134</v>
      </c>
      <c r="AJ57" s="58">
        <v>0.12</v>
      </c>
      <c r="AK57" s="58" t="s">
        <v>134</v>
      </c>
      <c r="AL57" s="58" t="s">
        <v>134</v>
      </c>
      <c r="AM57" s="58" t="s">
        <v>134</v>
      </c>
      <c r="AN57" s="58">
        <v>0.076</v>
      </c>
      <c r="AO57" s="58" t="s">
        <v>134</v>
      </c>
      <c r="AP57" s="58" t="s">
        <v>134</v>
      </c>
      <c r="AQ57" s="58" t="s">
        <v>134</v>
      </c>
      <c r="AR57" s="58" t="s">
        <v>134</v>
      </c>
      <c r="AS57" s="58" t="s">
        <v>134</v>
      </c>
      <c r="AT57" s="58" t="s">
        <v>134</v>
      </c>
      <c r="AU57" s="58" t="s">
        <v>134</v>
      </c>
      <c r="AV57" s="58" t="s">
        <v>134</v>
      </c>
      <c r="AW57" s="58" t="s">
        <v>134</v>
      </c>
      <c r="AX57" s="58" t="s">
        <v>134</v>
      </c>
      <c r="AY57" s="58" t="s">
        <v>134</v>
      </c>
      <c r="AZ57" s="58" t="s">
        <v>134</v>
      </c>
      <c r="BA57" s="58" t="s">
        <v>134</v>
      </c>
      <c r="BB57" s="58" t="s">
        <v>134</v>
      </c>
      <c r="BC57" s="58" t="s">
        <v>134</v>
      </c>
      <c r="BD57" s="58" t="s">
        <v>134</v>
      </c>
      <c r="BE57" s="58" t="s">
        <v>134</v>
      </c>
      <c r="BF57" s="58" t="s">
        <v>134</v>
      </c>
      <c r="BG57" s="58" t="s">
        <v>134</v>
      </c>
      <c r="BH57" s="58" t="s">
        <v>134</v>
      </c>
      <c r="BI57" s="58" t="s">
        <v>134</v>
      </c>
      <c r="BJ57" s="58" t="s">
        <v>134</v>
      </c>
      <c r="BK57" s="58" t="s">
        <v>134</v>
      </c>
      <c r="BL57" s="58" t="s">
        <v>134</v>
      </c>
      <c r="BM57" s="58" t="s">
        <v>134</v>
      </c>
      <c r="BN57" s="58" t="s">
        <v>134</v>
      </c>
      <c r="BO57" s="58" t="s">
        <v>134</v>
      </c>
      <c r="BP57" s="58" t="s">
        <v>134</v>
      </c>
      <c r="BQ57" s="58" t="s">
        <v>134</v>
      </c>
      <c r="BR57" s="58" t="s">
        <v>134</v>
      </c>
      <c r="BS57" s="58" t="s">
        <v>134</v>
      </c>
      <c r="BT57" s="58" t="s">
        <v>134</v>
      </c>
      <c r="BU57" s="58" t="s">
        <v>134</v>
      </c>
      <c r="BV57" s="58" t="s">
        <v>134</v>
      </c>
      <c r="BW57" s="58" t="s">
        <v>134</v>
      </c>
      <c r="BX57" s="58" t="s">
        <v>134</v>
      </c>
      <c r="BY57" s="58" t="s">
        <v>134</v>
      </c>
      <c r="BZ57" s="58" t="s">
        <v>134</v>
      </c>
      <c r="CA57" s="58" t="s">
        <v>134</v>
      </c>
      <c r="CB57" s="58" t="s">
        <v>134</v>
      </c>
      <c r="CC57" s="58" t="s">
        <v>134</v>
      </c>
      <c r="CD57" s="58" t="s">
        <v>134</v>
      </c>
      <c r="CE57" s="58" t="s">
        <v>134</v>
      </c>
      <c r="CF57" s="58" t="s">
        <v>134</v>
      </c>
      <c r="CG57" s="58" t="s">
        <v>134</v>
      </c>
      <c r="CH57" s="58" t="s">
        <v>134</v>
      </c>
      <c r="CI57" s="58" t="s">
        <v>134</v>
      </c>
      <c r="CJ57" s="58" t="s">
        <v>134</v>
      </c>
      <c r="CK57" s="58" t="s">
        <v>134</v>
      </c>
      <c r="CL57" s="58" t="s">
        <v>134</v>
      </c>
      <c r="CM57" s="58" t="s">
        <v>134</v>
      </c>
      <c r="CN57" s="58" t="s">
        <v>134</v>
      </c>
      <c r="CO57" s="58" t="s">
        <v>134</v>
      </c>
      <c r="CP57" s="58" t="s">
        <v>134</v>
      </c>
      <c r="CQ57" s="58" t="s">
        <v>134</v>
      </c>
      <c r="CR57" s="58" t="s">
        <v>134</v>
      </c>
      <c r="CS57" s="58" t="s">
        <v>134</v>
      </c>
      <c r="CT57" s="58" t="s">
        <v>134</v>
      </c>
      <c r="CU57" s="58" t="s">
        <v>134</v>
      </c>
      <c r="CV57" s="58" t="s">
        <v>134</v>
      </c>
      <c r="CW57" s="58" t="s">
        <v>134</v>
      </c>
      <c r="CX57" s="58" t="s">
        <v>134</v>
      </c>
      <c r="CY57" s="58" t="s">
        <v>134</v>
      </c>
      <c r="CZ57" s="58" t="s">
        <v>134</v>
      </c>
      <c r="DA57" s="58" t="s">
        <v>134</v>
      </c>
      <c r="DB57" s="58" t="s">
        <v>134</v>
      </c>
      <c r="DC57" s="58" t="s">
        <v>134</v>
      </c>
      <c r="DD57" s="58" t="s">
        <v>134</v>
      </c>
      <c r="DE57" s="58" t="s">
        <v>134</v>
      </c>
      <c r="DF57" s="58" t="s">
        <v>134</v>
      </c>
      <c r="DG57" s="58" t="s">
        <v>134</v>
      </c>
      <c r="DH57" s="58" t="s">
        <v>134</v>
      </c>
      <c r="DI57" s="58" t="s">
        <v>134</v>
      </c>
      <c r="DJ57" s="58" t="s">
        <v>134</v>
      </c>
      <c r="DK57" s="58" t="s">
        <v>134</v>
      </c>
      <c r="DL57" s="58" t="s">
        <v>134</v>
      </c>
      <c r="DM57" s="58" t="s">
        <v>134</v>
      </c>
      <c r="DN57" s="58" t="s">
        <v>134</v>
      </c>
      <c r="DO57" s="58" t="s">
        <v>134</v>
      </c>
      <c r="DP57" s="58" t="s">
        <v>134</v>
      </c>
      <c r="DQ57" s="58" t="s">
        <v>134</v>
      </c>
      <c r="DR57" s="58">
        <v>0.0</v>
      </c>
      <c r="DS57" s="58" t="s">
        <v>134</v>
      </c>
      <c r="DT57" s="58" t="s">
        <v>134</v>
      </c>
      <c r="DU57" s="58" t="s">
        <v>134</v>
      </c>
      <c r="DV57" s="58" t="s">
        <v>134</v>
      </c>
      <c r="DW57" s="58" t="s">
        <v>134</v>
      </c>
      <c r="DX57" s="58" t="s">
        <v>134</v>
      </c>
      <c r="DY57" s="58" t="s">
        <v>134</v>
      </c>
      <c r="DZ57" s="58" t="s">
        <v>134</v>
      </c>
      <c r="EA57" s="58" t="s">
        <v>134</v>
      </c>
      <c r="EB57" s="58" t="s">
        <v>134</v>
      </c>
      <c r="EC57" s="58" t="s">
        <v>134</v>
      </c>
      <c r="ED57" s="58" t="s">
        <v>134</v>
      </c>
      <c r="EE57" s="58" t="s">
        <v>134</v>
      </c>
      <c r="EF57" s="58" t="s">
        <v>134</v>
      </c>
      <c r="EG57" s="58" t="s">
        <v>134</v>
      </c>
      <c r="EH57" s="58" t="s">
        <v>134</v>
      </c>
      <c r="EI57" s="58" t="s">
        <v>134</v>
      </c>
      <c r="EJ57" s="58" t="s">
        <v>134</v>
      </c>
      <c r="EK57" s="58" t="s">
        <v>134</v>
      </c>
      <c r="EL57" s="58" t="s">
        <v>134</v>
      </c>
      <c r="EM57" s="58" t="s">
        <v>134</v>
      </c>
      <c r="EN57" s="58" t="s">
        <v>134</v>
      </c>
      <c r="EO57" s="58">
        <v>0.0</v>
      </c>
      <c r="EP57" s="58">
        <v>0.0</v>
      </c>
      <c r="EQ57" s="58">
        <v>0.0</v>
      </c>
      <c r="ER57" s="58" t="s">
        <v>134</v>
      </c>
      <c r="ES57" s="58" t="s">
        <v>134</v>
      </c>
      <c r="ET57" s="58" t="s">
        <v>134</v>
      </c>
    </row>
    <row r="58">
      <c r="A58" s="58" t="s">
        <v>472</v>
      </c>
      <c r="B58" s="58" t="s">
        <v>134</v>
      </c>
      <c r="C58" s="58" t="s">
        <v>134</v>
      </c>
      <c r="D58" s="58" t="s">
        <v>134</v>
      </c>
      <c r="E58" s="58" t="s">
        <v>134</v>
      </c>
      <c r="F58" s="58" t="s">
        <v>134</v>
      </c>
      <c r="G58" s="58" t="s">
        <v>134</v>
      </c>
      <c r="H58" s="58" t="s">
        <v>134</v>
      </c>
      <c r="I58" s="58" t="s">
        <v>134</v>
      </c>
      <c r="J58" s="58" t="s">
        <v>134</v>
      </c>
      <c r="K58" s="58">
        <v>0.0</v>
      </c>
      <c r="L58" s="58">
        <v>0.0</v>
      </c>
      <c r="M58" s="58" t="s">
        <v>134</v>
      </c>
      <c r="N58" s="58" t="s">
        <v>134</v>
      </c>
      <c r="O58" s="58" t="s">
        <v>134</v>
      </c>
      <c r="P58" s="58" t="s">
        <v>134</v>
      </c>
      <c r="Q58" s="58" t="s">
        <v>134</v>
      </c>
      <c r="R58" s="58" t="s">
        <v>134</v>
      </c>
      <c r="S58" s="58" t="s">
        <v>134</v>
      </c>
      <c r="T58" s="58" t="s">
        <v>134</v>
      </c>
      <c r="U58" s="58" t="s">
        <v>134</v>
      </c>
      <c r="V58" s="58" t="s">
        <v>134</v>
      </c>
      <c r="W58" s="58" t="s">
        <v>134</v>
      </c>
      <c r="X58" s="58" t="s">
        <v>134</v>
      </c>
      <c r="Y58" s="58" t="s">
        <v>134</v>
      </c>
      <c r="Z58" s="58" t="s">
        <v>134</v>
      </c>
      <c r="AA58" s="58" t="s">
        <v>134</v>
      </c>
      <c r="AB58" s="58" t="s">
        <v>134</v>
      </c>
      <c r="AC58" s="58" t="s">
        <v>134</v>
      </c>
      <c r="AD58" s="58" t="s">
        <v>134</v>
      </c>
      <c r="AE58" s="58" t="s">
        <v>134</v>
      </c>
      <c r="AF58" s="58" t="s">
        <v>134</v>
      </c>
      <c r="AG58" s="58" t="s">
        <v>134</v>
      </c>
      <c r="AH58" s="58" t="s">
        <v>134</v>
      </c>
      <c r="AI58" s="58" t="s">
        <v>134</v>
      </c>
      <c r="AJ58" s="58" t="s">
        <v>134</v>
      </c>
      <c r="AK58" s="58" t="s">
        <v>134</v>
      </c>
      <c r="AL58" s="58" t="s">
        <v>134</v>
      </c>
      <c r="AM58" s="58" t="s">
        <v>134</v>
      </c>
      <c r="AN58" s="58">
        <v>0.0</v>
      </c>
      <c r="AO58" s="58" t="s">
        <v>134</v>
      </c>
      <c r="AP58" s="58" t="s">
        <v>134</v>
      </c>
      <c r="AQ58" s="58" t="s">
        <v>134</v>
      </c>
      <c r="AR58" s="58" t="s">
        <v>134</v>
      </c>
      <c r="AS58" s="58" t="s">
        <v>134</v>
      </c>
      <c r="AT58" s="58" t="s">
        <v>134</v>
      </c>
      <c r="AU58" s="58" t="s">
        <v>134</v>
      </c>
      <c r="AV58" s="58" t="s">
        <v>134</v>
      </c>
      <c r="AW58" s="58" t="s">
        <v>134</v>
      </c>
      <c r="AX58" s="58" t="s">
        <v>134</v>
      </c>
      <c r="AY58" s="58" t="s">
        <v>134</v>
      </c>
      <c r="AZ58" s="58" t="s">
        <v>134</v>
      </c>
      <c r="BA58" s="58" t="s">
        <v>134</v>
      </c>
      <c r="BB58" s="58" t="s">
        <v>134</v>
      </c>
      <c r="BC58" s="58" t="s">
        <v>134</v>
      </c>
      <c r="BD58" s="58" t="s">
        <v>134</v>
      </c>
      <c r="BE58" s="58" t="s">
        <v>134</v>
      </c>
      <c r="BF58" s="58" t="s">
        <v>134</v>
      </c>
      <c r="BG58" s="58" t="s">
        <v>134</v>
      </c>
      <c r="BH58" s="58" t="s">
        <v>134</v>
      </c>
      <c r="BI58" s="58" t="s">
        <v>134</v>
      </c>
      <c r="BJ58" s="58" t="s">
        <v>134</v>
      </c>
      <c r="BK58" s="58" t="s">
        <v>134</v>
      </c>
      <c r="BL58" s="58" t="s">
        <v>134</v>
      </c>
      <c r="BM58" s="58" t="s">
        <v>134</v>
      </c>
      <c r="BN58" s="58" t="s">
        <v>134</v>
      </c>
      <c r="BO58" s="58" t="s">
        <v>134</v>
      </c>
      <c r="BP58" s="58" t="s">
        <v>134</v>
      </c>
      <c r="BQ58" s="58" t="s">
        <v>134</v>
      </c>
      <c r="BR58" s="58" t="s">
        <v>134</v>
      </c>
      <c r="BS58" s="58" t="s">
        <v>134</v>
      </c>
      <c r="BT58" s="58" t="s">
        <v>134</v>
      </c>
      <c r="BU58" s="58" t="s">
        <v>134</v>
      </c>
      <c r="BV58" s="58" t="s">
        <v>134</v>
      </c>
      <c r="BW58" s="58" t="s">
        <v>134</v>
      </c>
      <c r="BX58" s="58" t="s">
        <v>134</v>
      </c>
      <c r="BY58" s="58" t="s">
        <v>134</v>
      </c>
      <c r="BZ58" s="58" t="s">
        <v>134</v>
      </c>
      <c r="CA58" s="58" t="s">
        <v>134</v>
      </c>
      <c r="CB58" s="58" t="s">
        <v>134</v>
      </c>
      <c r="CC58" s="58" t="s">
        <v>134</v>
      </c>
      <c r="CD58" s="58" t="s">
        <v>134</v>
      </c>
      <c r="CE58" s="58" t="s">
        <v>134</v>
      </c>
      <c r="CF58" s="58" t="s">
        <v>134</v>
      </c>
      <c r="CG58" s="58" t="s">
        <v>134</v>
      </c>
      <c r="CH58" s="58" t="s">
        <v>134</v>
      </c>
      <c r="CI58" s="58" t="s">
        <v>134</v>
      </c>
      <c r="CJ58" s="58" t="s">
        <v>134</v>
      </c>
      <c r="CK58" s="58" t="s">
        <v>134</v>
      </c>
      <c r="CL58" s="58" t="s">
        <v>134</v>
      </c>
      <c r="CM58" s="58" t="s">
        <v>134</v>
      </c>
      <c r="CN58" s="58" t="s">
        <v>134</v>
      </c>
      <c r="CO58" s="58" t="s">
        <v>134</v>
      </c>
      <c r="CP58" s="58" t="s">
        <v>134</v>
      </c>
      <c r="CQ58" s="58" t="s">
        <v>134</v>
      </c>
      <c r="CR58" s="58" t="s">
        <v>134</v>
      </c>
      <c r="CS58" s="58" t="s">
        <v>134</v>
      </c>
      <c r="CT58" s="58" t="s">
        <v>134</v>
      </c>
      <c r="CU58" s="58" t="s">
        <v>134</v>
      </c>
      <c r="CV58" s="58" t="s">
        <v>134</v>
      </c>
      <c r="CW58" s="58" t="s">
        <v>134</v>
      </c>
      <c r="CX58" s="58" t="s">
        <v>134</v>
      </c>
      <c r="CY58" s="58" t="s">
        <v>134</v>
      </c>
      <c r="CZ58" s="58" t="s">
        <v>134</v>
      </c>
      <c r="DA58" s="58" t="s">
        <v>134</v>
      </c>
      <c r="DB58" s="58" t="s">
        <v>134</v>
      </c>
      <c r="DC58" s="58" t="s">
        <v>134</v>
      </c>
      <c r="DD58" s="58" t="s">
        <v>134</v>
      </c>
      <c r="DE58" s="58" t="s">
        <v>134</v>
      </c>
      <c r="DF58" s="58" t="s">
        <v>134</v>
      </c>
      <c r="DG58" s="58" t="s">
        <v>134</v>
      </c>
      <c r="DH58" s="58" t="s">
        <v>134</v>
      </c>
      <c r="DI58" s="58" t="s">
        <v>134</v>
      </c>
      <c r="DJ58" s="58" t="s">
        <v>134</v>
      </c>
      <c r="DK58" s="58" t="s">
        <v>134</v>
      </c>
      <c r="DL58" s="58" t="s">
        <v>134</v>
      </c>
      <c r="DM58" s="58" t="s">
        <v>134</v>
      </c>
      <c r="DN58" s="58" t="s">
        <v>134</v>
      </c>
      <c r="DO58" s="58" t="s">
        <v>134</v>
      </c>
      <c r="DP58" s="58" t="s">
        <v>134</v>
      </c>
      <c r="DQ58" s="58" t="s">
        <v>134</v>
      </c>
      <c r="DR58" s="58">
        <v>0.0</v>
      </c>
      <c r="DS58" s="58" t="s">
        <v>134</v>
      </c>
      <c r="DT58" s="58" t="s">
        <v>134</v>
      </c>
      <c r="DU58" s="58" t="s">
        <v>134</v>
      </c>
      <c r="DV58" s="58" t="s">
        <v>134</v>
      </c>
      <c r="DW58" s="58" t="s">
        <v>134</v>
      </c>
      <c r="DX58" s="58" t="s">
        <v>134</v>
      </c>
      <c r="DY58" s="58" t="s">
        <v>134</v>
      </c>
      <c r="DZ58" s="58" t="s">
        <v>134</v>
      </c>
      <c r="EA58" s="58" t="s">
        <v>134</v>
      </c>
      <c r="EB58" s="58" t="s">
        <v>134</v>
      </c>
      <c r="EC58" s="58" t="s">
        <v>134</v>
      </c>
      <c r="ED58" s="58" t="s">
        <v>134</v>
      </c>
      <c r="EE58" s="58" t="s">
        <v>134</v>
      </c>
      <c r="EF58" s="58" t="s">
        <v>134</v>
      </c>
      <c r="EG58" s="58" t="s">
        <v>134</v>
      </c>
      <c r="EH58" s="58" t="s">
        <v>134</v>
      </c>
      <c r="EI58" s="58" t="s">
        <v>134</v>
      </c>
      <c r="EJ58" s="58" t="s">
        <v>134</v>
      </c>
      <c r="EK58" s="58" t="s">
        <v>134</v>
      </c>
      <c r="EL58" s="58" t="s">
        <v>134</v>
      </c>
      <c r="EM58" s="58" t="s">
        <v>134</v>
      </c>
      <c r="EN58" s="58" t="s">
        <v>134</v>
      </c>
      <c r="EO58" s="58">
        <v>0.0</v>
      </c>
      <c r="EP58" s="58">
        <v>0.0</v>
      </c>
      <c r="EQ58" s="58">
        <v>0.0</v>
      </c>
      <c r="ER58" s="58" t="s">
        <v>134</v>
      </c>
      <c r="ES58" s="58" t="s">
        <v>134</v>
      </c>
      <c r="ET58" s="58" t="s">
        <v>134</v>
      </c>
    </row>
    <row r="59">
      <c r="A59" s="58" t="s">
        <v>473</v>
      </c>
      <c r="B59" s="58" t="s">
        <v>134</v>
      </c>
      <c r="C59" s="58" t="s">
        <v>134</v>
      </c>
      <c r="D59" s="58" t="s">
        <v>134</v>
      </c>
      <c r="E59" s="58" t="s">
        <v>134</v>
      </c>
      <c r="F59" s="58" t="s">
        <v>134</v>
      </c>
      <c r="G59" s="58" t="s">
        <v>134</v>
      </c>
      <c r="H59" s="58" t="s">
        <v>134</v>
      </c>
      <c r="I59" s="58" t="s">
        <v>134</v>
      </c>
      <c r="J59" s="58" t="s">
        <v>134</v>
      </c>
      <c r="K59" s="58">
        <v>0.0</v>
      </c>
      <c r="L59" s="58">
        <v>0.0</v>
      </c>
      <c r="M59" s="58" t="s">
        <v>134</v>
      </c>
      <c r="N59" s="58" t="s">
        <v>134</v>
      </c>
      <c r="O59" s="58" t="s">
        <v>134</v>
      </c>
      <c r="P59" s="58" t="s">
        <v>134</v>
      </c>
      <c r="Q59" s="58" t="s">
        <v>134</v>
      </c>
      <c r="R59" s="58" t="s">
        <v>134</v>
      </c>
      <c r="S59" s="58" t="s">
        <v>134</v>
      </c>
      <c r="T59" s="58" t="s">
        <v>134</v>
      </c>
      <c r="U59" s="58" t="s">
        <v>134</v>
      </c>
      <c r="V59" s="58" t="s">
        <v>134</v>
      </c>
      <c r="W59" s="58" t="s">
        <v>134</v>
      </c>
      <c r="X59" s="58" t="s">
        <v>134</v>
      </c>
      <c r="Y59" s="58" t="s">
        <v>134</v>
      </c>
      <c r="Z59" s="58" t="s">
        <v>134</v>
      </c>
      <c r="AA59" s="58" t="s">
        <v>134</v>
      </c>
      <c r="AB59" s="58" t="s">
        <v>134</v>
      </c>
      <c r="AC59" s="58" t="s">
        <v>134</v>
      </c>
      <c r="AD59" s="58" t="s">
        <v>134</v>
      </c>
      <c r="AE59" s="58" t="s">
        <v>134</v>
      </c>
      <c r="AF59" s="58" t="s">
        <v>134</v>
      </c>
      <c r="AG59" s="58" t="s">
        <v>134</v>
      </c>
      <c r="AH59" s="58" t="s">
        <v>134</v>
      </c>
      <c r="AI59" s="58" t="s">
        <v>134</v>
      </c>
      <c r="AJ59" s="58" t="s">
        <v>134</v>
      </c>
      <c r="AK59" s="58" t="s">
        <v>134</v>
      </c>
      <c r="AL59" s="58" t="s">
        <v>134</v>
      </c>
      <c r="AM59" s="58" t="s">
        <v>134</v>
      </c>
      <c r="AN59" s="58">
        <v>0.0</v>
      </c>
      <c r="AO59" s="58" t="s">
        <v>134</v>
      </c>
      <c r="AP59" s="58" t="s">
        <v>134</v>
      </c>
      <c r="AQ59" s="58" t="s">
        <v>134</v>
      </c>
      <c r="AR59" s="58" t="s">
        <v>134</v>
      </c>
      <c r="AS59" s="58" t="s">
        <v>134</v>
      </c>
      <c r="AT59" s="58" t="s">
        <v>134</v>
      </c>
      <c r="AU59" s="58" t="s">
        <v>134</v>
      </c>
      <c r="AV59" s="58" t="s">
        <v>134</v>
      </c>
      <c r="AW59" s="58" t="s">
        <v>134</v>
      </c>
      <c r="AX59" s="58" t="s">
        <v>134</v>
      </c>
      <c r="AY59" s="58" t="s">
        <v>134</v>
      </c>
      <c r="AZ59" s="58" t="s">
        <v>134</v>
      </c>
      <c r="BA59" s="58" t="s">
        <v>134</v>
      </c>
      <c r="BB59" s="58" t="s">
        <v>134</v>
      </c>
      <c r="BC59" s="58" t="s">
        <v>134</v>
      </c>
      <c r="BD59" s="58" t="s">
        <v>134</v>
      </c>
      <c r="BE59" s="58" t="s">
        <v>134</v>
      </c>
      <c r="BF59" s="58" t="s">
        <v>134</v>
      </c>
      <c r="BG59" s="58" t="s">
        <v>134</v>
      </c>
      <c r="BH59" s="58" t="s">
        <v>134</v>
      </c>
      <c r="BI59" s="58" t="s">
        <v>134</v>
      </c>
      <c r="BJ59" s="58" t="s">
        <v>134</v>
      </c>
      <c r="BK59" s="58" t="s">
        <v>134</v>
      </c>
      <c r="BL59" s="58" t="s">
        <v>134</v>
      </c>
      <c r="BM59" s="58" t="s">
        <v>134</v>
      </c>
      <c r="BN59" s="58" t="s">
        <v>134</v>
      </c>
      <c r="BO59" s="58" t="s">
        <v>134</v>
      </c>
      <c r="BP59" s="58" t="s">
        <v>134</v>
      </c>
      <c r="BQ59" s="58" t="s">
        <v>134</v>
      </c>
      <c r="BR59" s="58" t="s">
        <v>134</v>
      </c>
      <c r="BS59" s="58" t="s">
        <v>134</v>
      </c>
      <c r="BT59" s="58" t="s">
        <v>134</v>
      </c>
      <c r="BU59" s="58" t="s">
        <v>134</v>
      </c>
      <c r="BV59" s="58" t="s">
        <v>134</v>
      </c>
      <c r="BW59" s="58" t="s">
        <v>134</v>
      </c>
      <c r="BX59" s="58" t="s">
        <v>134</v>
      </c>
      <c r="BY59" s="58" t="s">
        <v>134</v>
      </c>
      <c r="BZ59" s="58" t="s">
        <v>134</v>
      </c>
      <c r="CA59" s="58" t="s">
        <v>134</v>
      </c>
      <c r="CB59" s="58">
        <v>0.1216</v>
      </c>
      <c r="CC59" s="58" t="s">
        <v>134</v>
      </c>
      <c r="CD59" s="58" t="s">
        <v>134</v>
      </c>
      <c r="CE59" s="58" t="s">
        <v>134</v>
      </c>
      <c r="CF59" s="58" t="s">
        <v>134</v>
      </c>
      <c r="CG59" s="58" t="s">
        <v>134</v>
      </c>
      <c r="CH59" s="58" t="s">
        <v>134</v>
      </c>
      <c r="CI59" s="58" t="s">
        <v>134</v>
      </c>
      <c r="CJ59" s="58" t="s">
        <v>134</v>
      </c>
      <c r="CK59" s="58" t="s">
        <v>134</v>
      </c>
      <c r="CL59" s="58" t="s">
        <v>134</v>
      </c>
      <c r="CM59" s="58" t="s">
        <v>134</v>
      </c>
      <c r="CN59" s="58" t="s">
        <v>134</v>
      </c>
      <c r="CO59" s="58" t="s">
        <v>134</v>
      </c>
      <c r="CP59" s="58" t="s">
        <v>134</v>
      </c>
      <c r="CQ59" s="58" t="s">
        <v>134</v>
      </c>
      <c r="CR59" s="58" t="s">
        <v>134</v>
      </c>
      <c r="CS59" s="58" t="s">
        <v>134</v>
      </c>
      <c r="CT59" s="58" t="s">
        <v>134</v>
      </c>
      <c r="CU59" s="58" t="s">
        <v>134</v>
      </c>
      <c r="CV59" s="58" t="s">
        <v>134</v>
      </c>
      <c r="CW59" s="58" t="s">
        <v>134</v>
      </c>
      <c r="CX59" s="58" t="s">
        <v>134</v>
      </c>
      <c r="CY59" s="58" t="s">
        <v>134</v>
      </c>
      <c r="CZ59" s="58" t="s">
        <v>134</v>
      </c>
      <c r="DA59" s="58" t="s">
        <v>134</v>
      </c>
      <c r="DB59" s="58" t="s">
        <v>134</v>
      </c>
      <c r="DC59" s="58" t="s">
        <v>134</v>
      </c>
      <c r="DD59" s="58" t="s">
        <v>134</v>
      </c>
      <c r="DE59" s="58" t="s">
        <v>134</v>
      </c>
      <c r="DF59" s="58" t="s">
        <v>134</v>
      </c>
      <c r="DG59" s="58" t="s">
        <v>134</v>
      </c>
      <c r="DH59" s="58" t="s">
        <v>134</v>
      </c>
      <c r="DI59" s="58" t="s">
        <v>134</v>
      </c>
      <c r="DJ59" s="58" t="s">
        <v>134</v>
      </c>
      <c r="DK59" s="58" t="s">
        <v>134</v>
      </c>
      <c r="DL59" s="58" t="s">
        <v>134</v>
      </c>
      <c r="DM59" s="58" t="s">
        <v>134</v>
      </c>
      <c r="DN59" s="58" t="s">
        <v>134</v>
      </c>
      <c r="DO59" s="58" t="s">
        <v>134</v>
      </c>
      <c r="DP59" s="58" t="s">
        <v>134</v>
      </c>
      <c r="DQ59" s="58" t="s">
        <v>134</v>
      </c>
      <c r="DR59" s="58">
        <v>0.0</v>
      </c>
      <c r="DS59" s="58" t="s">
        <v>134</v>
      </c>
      <c r="DT59" s="58" t="s">
        <v>134</v>
      </c>
      <c r="DU59" s="58" t="s">
        <v>134</v>
      </c>
      <c r="DV59" s="58" t="s">
        <v>134</v>
      </c>
      <c r="DW59" s="58" t="s">
        <v>134</v>
      </c>
      <c r="DX59" s="58" t="s">
        <v>134</v>
      </c>
      <c r="DY59" s="58" t="s">
        <v>134</v>
      </c>
      <c r="DZ59" s="58" t="s">
        <v>134</v>
      </c>
      <c r="EA59" s="58" t="s">
        <v>134</v>
      </c>
      <c r="EB59" s="58" t="s">
        <v>134</v>
      </c>
      <c r="EC59" s="58" t="s">
        <v>134</v>
      </c>
      <c r="ED59" s="58" t="s">
        <v>134</v>
      </c>
      <c r="EE59" s="58" t="s">
        <v>134</v>
      </c>
      <c r="EF59" s="58" t="s">
        <v>134</v>
      </c>
      <c r="EG59" s="58" t="s">
        <v>134</v>
      </c>
      <c r="EH59" s="58" t="s">
        <v>134</v>
      </c>
      <c r="EI59" s="58" t="s">
        <v>134</v>
      </c>
      <c r="EJ59" s="58" t="s">
        <v>134</v>
      </c>
      <c r="EK59" s="58" t="s">
        <v>134</v>
      </c>
      <c r="EL59" s="58" t="s">
        <v>134</v>
      </c>
      <c r="EM59" s="58" t="s">
        <v>134</v>
      </c>
      <c r="EN59" s="58" t="s">
        <v>134</v>
      </c>
      <c r="EO59" s="58">
        <v>0.0</v>
      </c>
      <c r="EP59" s="58">
        <v>0.0</v>
      </c>
      <c r="EQ59" s="58">
        <v>0.0</v>
      </c>
      <c r="ER59" s="58" t="s">
        <v>134</v>
      </c>
      <c r="ES59" s="58" t="s">
        <v>134</v>
      </c>
      <c r="ET59" s="58" t="s">
        <v>134</v>
      </c>
    </row>
    <row r="60">
      <c r="A60" s="58" t="s">
        <v>71</v>
      </c>
      <c r="B60" s="58" t="s">
        <v>134</v>
      </c>
      <c r="C60" s="58" t="s">
        <v>134</v>
      </c>
      <c r="D60" s="58" t="s">
        <v>134</v>
      </c>
      <c r="E60" s="58" t="s">
        <v>134</v>
      </c>
      <c r="F60" s="58" t="s">
        <v>134</v>
      </c>
      <c r="G60" s="58" t="s">
        <v>134</v>
      </c>
      <c r="H60" s="58" t="s">
        <v>134</v>
      </c>
      <c r="I60" s="58" t="s">
        <v>134</v>
      </c>
      <c r="J60" s="58" t="s">
        <v>134</v>
      </c>
      <c r="K60" s="58">
        <v>5.0E-4</v>
      </c>
      <c r="L60" s="58">
        <v>0.0</v>
      </c>
      <c r="M60" s="58" t="s">
        <v>134</v>
      </c>
      <c r="N60" s="58" t="s">
        <v>134</v>
      </c>
      <c r="O60" s="58" t="s">
        <v>134</v>
      </c>
      <c r="P60" s="58" t="s">
        <v>134</v>
      </c>
      <c r="Q60" s="58" t="s">
        <v>134</v>
      </c>
      <c r="R60" s="58" t="s">
        <v>134</v>
      </c>
      <c r="S60" s="58" t="s">
        <v>134</v>
      </c>
      <c r="T60" s="58" t="s">
        <v>134</v>
      </c>
      <c r="U60" s="58" t="s">
        <v>134</v>
      </c>
      <c r="V60" s="58" t="s">
        <v>134</v>
      </c>
      <c r="W60" s="58" t="s">
        <v>134</v>
      </c>
      <c r="X60" s="58" t="s">
        <v>134</v>
      </c>
      <c r="Y60" s="58" t="s">
        <v>134</v>
      </c>
      <c r="Z60" s="58" t="s">
        <v>134</v>
      </c>
      <c r="AA60" s="58" t="s">
        <v>134</v>
      </c>
      <c r="AB60" s="58" t="s">
        <v>134</v>
      </c>
      <c r="AC60" s="58" t="s">
        <v>134</v>
      </c>
      <c r="AD60" s="58" t="s">
        <v>134</v>
      </c>
      <c r="AE60" s="58" t="s">
        <v>134</v>
      </c>
      <c r="AF60" s="58" t="s">
        <v>134</v>
      </c>
      <c r="AG60" s="58" t="s">
        <v>134</v>
      </c>
      <c r="AH60" s="58" t="s">
        <v>134</v>
      </c>
      <c r="AI60" s="58" t="s">
        <v>134</v>
      </c>
      <c r="AJ60" s="58" t="s">
        <v>134</v>
      </c>
      <c r="AK60" s="58" t="s">
        <v>134</v>
      </c>
      <c r="AL60" s="58" t="s">
        <v>134</v>
      </c>
      <c r="AM60" s="58" t="s">
        <v>134</v>
      </c>
      <c r="AN60" s="58">
        <v>0.0</v>
      </c>
      <c r="AO60" s="58" t="s">
        <v>134</v>
      </c>
      <c r="AP60" s="58" t="s">
        <v>134</v>
      </c>
      <c r="AQ60" s="58" t="s">
        <v>134</v>
      </c>
      <c r="AR60" s="58" t="s">
        <v>134</v>
      </c>
      <c r="AS60" s="58" t="s">
        <v>134</v>
      </c>
      <c r="AT60" s="58" t="s">
        <v>134</v>
      </c>
      <c r="AU60" s="58" t="s">
        <v>134</v>
      </c>
      <c r="AV60" s="58" t="s">
        <v>134</v>
      </c>
      <c r="AW60" s="58" t="s">
        <v>134</v>
      </c>
      <c r="AX60" s="58" t="s">
        <v>134</v>
      </c>
      <c r="AY60" s="58" t="s">
        <v>134</v>
      </c>
      <c r="AZ60" s="58" t="s">
        <v>134</v>
      </c>
      <c r="BA60" s="58" t="s">
        <v>134</v>
      </c>
      <c r="BB60" s="58">
        <v>0.0042</v>
      </c>
      <c r="BC60" s="58" t="s">
        <v>134</v>
      </c>
      <c r="BD60" s="58" t="s">
        <v>134</v>
      </c>
      <c r="BE60" s="58" t="s">
        <v>134</v>
      </c>
      <c r="BF60" s="58" t="s">
        <v>134</v>
      </c>
      <c r="BG60" s="58" t="s">
        <v>134</v>
      </c>
      <c r="BH60" s="58" t="s">
        <v>134</v>
      </c>
      <c r="BI60" s="58" t="s">
        <v>134</v>
      </c>
      <c r="BJ60" s="58" t="s">
        <v>134</v>
      </c>
      <c r="BK60" s="58" t="s">
        <v>134</v>
      </c>
      <c r="BL60" s="58" t="s">
        <v>134</v>
      </c>
      <c r="BM60" s="58" t="s">
        <v>134</v>
      </c>
      <c r="BN60" s="58" t="s">
        <v>134</v>
      </c>
      <c r="BO60" s="58" t="s">
        <v>134</v>
      </c>
      <c r="BP60" s="58" t="s">
        <v>134</v>
      </c>
      <c r="BQ60" s="58" t="s">
        <v>134</v>
      </c>
      <c r="BR60" s="58" t="s">
        <v>134</v>
      </c>
      <c r="BS60" s="58" t="s">
        <v>134</v>
      </c>
      <c r="BT60" s="58" t="s">
        <v>134</v>
      </c>
      <c r="BU60" s="58" t="s">
        <v>134</v>
      </c>
      <c r="BV60" s="58" t="s">
        <v>134</v>
      </c>
      <c r="BW60" s="58" t="s">
        <v>134</v>
      </c>
      <c r="BX60" s="58" t="s">
        <v>134</v>
      </c>
      <c r="BY60" s="58" t="s">
        <v>134</v>
      </c>
      <c r="BZ60" s="58" t="s">
        <v>134</v>
      </c>
      <c r="CA60" s="58" t="s">
        <v>134</v>
      </c>
      <c r="CB60" s="58" t="s">
        <v>134</v>
      </c>
      <c r="CC60" s="58" t="s">
        <v>134</v>
      </c>
      <c r="CD60" s="58" t="s">
        <v>134</v>
      </c>
      <c r="CE60" s="58" t="s">
        <v>134</v>
      </c>
      <c r="CF60" s="58" t="s">
        <v>134</v>
      </c>
      <c r="CG60" s="58" t="s">
        <v>134</v>
      </c>
      <c r="CH60" s="58" t="s">
        <v>134</v>
      </c>
      <c r="CI60" s="58" t="s">
        <v>134</v>
      </c>
      <c r="CJ60" s="58" t="s">
        <v>134</v>
      </c>
      <c r="CK60" s="58" t="s">
        <v>134</v>
      </c>
      <c r="CL60" s="58" t="s">
        <v>134</v>
      </c>
      <c r="CM60" s="58" t="s">
        <v>134</v>
      </c>
      <c r="CN60" s="58" t="s">
        <v>134</v>
      </c>
      <c r="CO60" s="58" t="s">
        <v>134</v>
      </c>
      <c r="CP60" s="58" t="s">
        <v>134</v>
      </c>
      <c r="CQ60" s="58" t="s">
        <v>134</v>
      </c>
      <c r="CR60" s="58" t="s">
        <v>134</v>
      </c>
      <c r="CS60" s="58" t="s">
        <v>134</v>
      </c>
      <c r="CT60" s="58" t="s">
        <v>134</v>
      </c>
      <c r="CU60" s="58" t="s">
        <v>134</v>
      </c>
      <c r="CV60" s="58" t="s">
        <v>134</v>
      </c>
      <c r="CW60" s="58" t="s">
        <v>134</v>
      </c>
      <c r="CX60" s="58" t="s">
        <v>134</v>
      </c>
      <c r="CY60" s="58" t="s">
        <v>134</v>
      </c>
      <c r="CZ60" s="58" t="s">
        <v>134</v>
      </c>
      <c r="DA60" s="58" t="s">
        <v>134</v>
      </c>
      <c r="DB60" s="58" t="s">
        <v>134</v>
      </c>
      <c r="DC60" s="58" t="s">
        <v>134</v>
      </c>
      <c r="DD60" s="58" t="s">
        <v>134</v>
      </c>
      <c r="DE60" s="58" t="s">
        <v>134</v>
      </c>
      <c r="DF60" s="58" t="s">
        <v>134</v>
      </c>
      <c r="DG60" s="58" t="s">
        <v>134</v>
      </c>
      <c r="DH60" s="58" t="s">
        <v>134</v>
      </c>
      <c r="DI60" s="58" t="s">
        <v>134</v>
      </c>
      <c r="DJ60" s="58" t="s">
        <v>134</v>
      </c>
      <c r="DK60" s="58" t="s">
        <v>134</v>
      </c>
      <c r="DL60" s="58" t="s">
        <v>134</v>
      </c>
      <c r="DM60" s="58" t="s">
        <v>134</v>
      </c>
      <c r="DN60" s="58" t="s">
        <v>134</v>
      </c>
      <c r="DO60" s="58" t="s">
        <v>134</v>
      </c>
      <c r="DP60" s="58" t="s">
        <v>134</v>
      </c>
      <c r="DQ60" s="58" t="s">
        <v>134</v>
      </c>
      <c r="DR60" s="58">
        <v>0.0</v>
      </c>
      <c r="DS60" s="58" t="s">
        <v>134</v>
      </c>
      <c r="DT60" s="58" t="s">
        <v>134</v>
      </c>
      <c r="DU60" s="58" t="s">
        <v>134</v>
      </c>
      <c r="DV60" s="58" t="s">
        <v>134</v>
      </c>
      <c r="DW60" s="58" t="s">
        <v>134</v>
      </c>
      <c r="DX60" s="58" t="s">
        <v>134</v>
      </c>
      <c r="DY60" s="58" t="s">
        <v>134</v>
      </c>
      <c r="DZ60" s="58" t="s">
        <v>134</v>
      </c>
      <c r="EA60" s="58" t="s">
        <v>134</v>
      </c>
      <c r="EB60" s="58" t="s">
        <v>134</v>
      </c>
      <c r="EC60" s="58" t="s">
        <v>134</v>
      </c>
      <c r="ED60" s="58" t="s">
        <v>134</v>
      </c>
      <c r="EE60" s="58" t="s">
        <v>134</v>
      </c>
      <c r="EF60" s="58" t="s">
        <v>134</v>
      </c>
      <c r="EG60" s="58" t="s">
        <v>134</v>
      </c>
      <c r="EH60" s="58" t="s">
        <v>134</v>
      </c>
      <c r="EI60" s="58" t="s">
        <v>134</v>
      </c>
      <c r="EJ60" s="58" t="s">
        <v>134</v>
      </c>
      <c r="EK60" s="58" t="s">
        <v>134</v>
      </c>
      <c r="EL60" s="58" t="s">
        <v>134</v>
      </c>
      <c r="EM60" s="58" t="s">
        <v>134</v>
      </c>
      <c r="EN60" s="58" t="s">
        <v>134</v>
      </c>
      <c r="EO60" s="58">
        <v>0.0</v>
      </c>
      <c r="EP60" s="58">
        <v>0.0</v>
      </c>
      <c r="EQ60" s="58">
        <v>0.0</v>
      </c>
      <c r="ER60" s="58" t="s">
        <v>134</v>
      </c>
      <c r="ES60" s="58" t="s">
        <v>134</v>
      </c>
      <c r="ET60" s="58" t="s">
        <v>134</v>
      </c>
    </row>
    <row r="61">
      <c r="A61" s="58" t="s">
        <v>57</v>
      </c>
      <c r="B61" s="58" t="s">
        <v>134</v>
      </c>
      <c r="C61" s="58" t="s">
        <v>134</v>
      </c>
      <c r="D61" s="58" t="s">
        <v>134</v>
      </c>
      <c r="E61" s="58" t="s">
        <v>134</v>
      </c>
      <c r="F61" s="58" t="s">
        <v>134</v>
      </c>
      <c r="G61" s="58" t="s">
        <v>134</v>
      </c>
      <c r="H61" s="58" t="s">
        <v>134</v>
      </c>
      <c r="I61" s="58">
        <v>0.079</v>
      </c>
      <c r="J61" s="58" t="s">
        <v>134</v>
      </c>
      <c r="K61" s="58">
        <v>0.0</v>
      </c>
      <c r="L61" s="58">
        <v>0.0</v>
      </c>
      <c r="M61" s="58" t="s">
        <v>134</v>
      </c>
      <c r="N61" s="58" t="s">
        <v>134</v>
      </c>
      <c r="O61" s="58" t="s">
        <v>134</v>
      </c>
      <c r="P61" s="58" t="s">
        <v>134</v>
      </c>
      <c r="Q61" s="58" t="s">
        <v>134</v>
      </c>
      <c r="R61" s="58" t="s">
        <v>134</v>
      </c>
      <c r="S61" s="58" t="s">
        <v>134</v>
      </c>
      <c r="T61" s="58" t="s">
        <v>134</v>
      </c>
      <c r="U61" s="58" t="s">
        <v>134</v>
      </c>
      <c r="V61" s="58" t="s">
        <v>134</v>
      </c>
      <c r="W61" s="58" t="s">
        <v>134</v>
      </c>
      <c r="X61" s="58" t="s">
        <v>134</v>
      </c>
      <c r="Y61" s="58" t="s">
        <v>134</v>
      </c>
      <c r="Z61" s="58" t="s">
        <v>134</v>
      </c>
      <c r="AA61" s="58" t="s">
        <v>134</v>
      </c>
      <c r="AB61" s="58" t="s">
        <v>134</v>
      </c>
      <c r="AC61" s="58" t="s">
        <v>134</v>
      </c>
      <c r="AD61" s="58" t="s">
        <v>134</v>
      </c>
      <c r="AE61" s="58" t="s">
        <v>134</v>
      </c>
      <c r="AF61" s="58" t="s">
        <v>134</v>
      </c>
      <c r="AG61" s="58" t="s">
        <v>134</v>
      </c>
      <c r="AH61" s="58">
        <v>0.1</v>
      </c>
      <c r="AI61" s="58" t="s">
        <v>134</v>
      </c>
      <c r="AJ61" s="58">
        <v>0.135</v>
      </c>
      <c r="AK61" s="58" t="s">
        <v>134</v>
      </c>
      <c r="AL61" s="58" t="s">
        <v>134</v>
      </c>
      <c r="AM61" s="58" t="s">
        <v>134</v>
      </c>
      <c r="AN61" s="58">
        <v>0.0</v>
      </c>
      <c r="AO61" s="58" t="s">
        <v>134</v>
      </c>
      <c r="AP61" s="58" t="s">
        <v>134</v>
      </c>
      <c r="AQ61" s="58" t="s">
        <v>134</v>
      </c>
      <c r="AR61" s="58" t="s">
        <v>134</v>
      </c>
      <c r="AS61" s="58" t="s">
        <v>134</v>
      </c>
      <c r="AT61" s="58" t="s">
        <v>134</v>
      </c>
      <c r="AU61" s="58" t="s">
        <v>134</v>
      </c>
      <c r="AV61" s="58" t="s">
        <v>134</v>
      </c>
      <c r="AW61" s="58" t="s">
        <v>134</v>
      </c>
      <c r="AX61" s="58" t="s">
        <v>134</v>
      </c>
      <c r="AY61" s="58" t="s">
        <v>134</v>
      </c>
      <c r="AZ61" s="58" t="s">
        <v>134</v>
      </c>
      <c r="BA61" s="58" t="s">
        <v>134</v>
      </c>
      <c r="BB61" s="58" t="s">
        <v>134</v>
      </c>
      <c r="BC61" s="58" t="s">
        <v>134</v>
      </c>
      <c r="BD61" s="58" t="s">
        <v>134</v>
      </c>
      <c r="BE61" s="58" t="s">
        <v>134</v>
      </c>
      <c r="BF61" s="58" t="s">
        <v>134</v>
      </c>
      <c r="BG61" s="58" t="s">
        <v>134</v>
      </c>
      <c r="BH61" s="58" t="s">
        <v>134</v>
      </c>
      <c r="BI61" s="58" t="s">
        <v>134</v>
      </c>
      <c r="BJ61" s="58" t="s">
        <v>134</v>
      </c>
      <c r="BK61" s="58" t="s">
        <v>134</v>
      </c>
      <c r="BL61" s="58" t="s">
        <v>134</v>
      </c>
      <c r="BM61" s="58" t="s">
        <v>134</v>
      </c>
      <c r="BN61" s="58" t="s">
        <v>134</v>
      </c>
      <c r="BO61" s="58" t="s">
        <v>134</v>
      </c>
      <c r="BP61" s="58" t="s">
        <v>134</v>
      </c>
      <c r="BQ61" s="58" t="s">
        <v>134</v>
      </c>
      <c r="BR61" s="58" t="s">
        <v>134</v>
      </c>
      <c r="BS61" s="58" t="s">
        <v>134</v>
      </c>
      <c r="BT61" s="58" t="s">
        <v>134</v>
      </c>
      <c r="BU61" s="58" t="s">
        <v>134</v>
      </c>
      <c r="BV61" s="58" t="s">
        <v>134</v>
      </c>
      <c r="BW61" s="58" t="s">
        <v>134</v>
      </c>
      <c r="BX61" s="58" t="s">
        <v>134</v>
      </c>
      <c r="BY61" s="58" t="s">
        <v>134</v>
      </c>
      <c r="BZ61" s="58" t="s">
        <v>134</v>
      </c>
      <c r="CA61" s="58" t="s">
        <v>134</v>
      </c>
      <c r="CB61" s="58" t="s">
        <v>134</v>
      </c>
      <c r="CC61" s="58" t="s">
        <v>134</v>
      </c>
      <c r="CD61" s="58" t="s">
        <v>134</v>
      </c>
      <c r="CE61" s="58" t="s">
        <v>134</v>
      </c>
      <c r="CF61" s="58" t="s">
        <v>134</v>
      </c>
      <c r="CG61" s="58" t="s">
        <v>134</v>
      </c>
      <c r="CH61" s="58" t="s">
        <v>134</v>
      </c>
      <c r="CI61" s="58" t="s">
        <v>134</v>
      </c>
      <c r="CJ61" s="58" t="s">
        <v>134</v>
      </c>
      <c r="CK61" s="58" t="s">
        <v>134</v>
      </c>
      <c r="CL61" s="58" t="s">
        <v>134</v>
      </c>
      <c r="CM61" s="58" t="s">
        <v>134</v>
      </c>
      <c r="CN61" s="58" t="s">
        <v>134</v>
      </c>
      <c r="CO61" s="58" t="s">
        <v>134</v>
      </c>
      <c r="CP61" s="58" t="s">
        <v>134</v>
      </c>
      <c r="CQ61" s="58" t="s">
        <v>134</v>
      </c>
      <c r="CR61" s="58" t="s">
        <v>134</v>
      </c>
      <c r="CS61" s="58" t="s">
        <v>134</v>
      </c>
      <c r="CT61" s="58" t="s">
        <v>134</v>
      </c>
      <c r="CU61" s="58" t="s">
        <v>134</v>
      </c>
      <c r="CV61" s="58" t="s">
        <v>134</v>
      </c>
      <c r="CW61" s="58" t="s">
        <v>134</v>
      </c>
      <c r="CX61" s="58" t="s">
        <v>134</v>
      </c>
      <c r="CY61" s="58" t="s">
        <v>134</v>
      </c>
      <c r="CZ61" s="58" t="s">
        <v>134</v>
      </c>
      <c r="DA61" s="58" t="s">
        <v>134</v>
      </c>
      <c r="DB61" s="58" t="s">
        <v>134</v>
      </c>
      <c r="DC61" s="58" t="s">
        <v>134</v>
      </c>
      <c r="DD61" s="58" t="s">
        <v>134</v>
      </c>
      <c r="DE61" s="58" t="s">
        <v>134</v>
      </c>
      <c r="DF61" s="58" t="s">
        <v>134</v>
      </c>
      <c r="DG61" s="58" t="s">
        <v>134</v>
      </c>
      <c r="DH61" s="58" t="s">
        <v>134</v>
      </c>
      <c r="DI61" s="58" t="s">
        <v>134</v>
      </c>
      <c r="DJ61" s="58" t="s">
        <v>134</v>
      </c>
      <c r="DK61" s="58" t="s">
        <v>134</v>
      </c>
      <c r="DL61" s="58" t="s">
        <v>134</v>
      </c>
      <c r="DM61" s="58" t="s">
        <v>134</v>
      </c>
      <c r="DN61" s="58" t="s">
        <v>134</v>
      </c>
      <c r="DO61" s="58" t="s">
        <v>134</v>
      </c>
      <c r="DP61" s="58" t="s">
        <v>134</v>
      </c>
      <c r="DQ61" s="58" t="s">
        <v>134</v>
      </c>
      <c r="DR61" s="58">
        <v>0.0</v>
      </c>
      <c r="DS61" s="58" t="s">
        <v>134</v>
      </c>
      <c r="DT61" s="58" t="s">
        <v>134</v>
      </c>
      <c r="DU61" s="58" t="s">
        <v>134</v>
      </c>
      <c r="DV61" s="58" t="s">
        <v>134</v>
      </c>
      <c r="DW61" s="58" t="s">
        <v>134</v>
      </c>
      <c r="DX61" s="58" t="s">
        <v>134</v>
      </c>
      <c r="DY61" s="58" t="s">
        <v>134</v>
      </c>
      <c r="DZ61" s="58" t="s">
        <v>134</v>
      </c>
      <c r="EA61" s="58" t="s">
        <v>134</v>
      </c>
      <c r="EB61" s="58" t="s">
        <v>134</v>
      </c>
      <c r="EC61" s="58" t="s">
        <v>134</v>
      </c>
      <c r="ED61" s="58" t="s">
        <v>134</v>
      </c>
      <c r="EE61" s="58" t="s">
        <v>134</v>
      </c>
      <c r="EF61" s="58" t="s">
        <v>134</v>
      </c>
      <c r="EG61" s="58" t="s">
        <v>134</v>
      </c>
      <c r="EH61" s="58" t="s">
        <v>134</v>
      </c>
      <c r="EI61" s="58" t="s">
        <v>134</v>
      </c>
      <c r="EJ61" s="58" t="s">
        <v>134</v>
      </c>
      <c r="EK61" s="58" t="s">
        <v>134</v>
      </c>
      <c r="EL61" s="58" t="s">
        <v>134</v>
      </c>
      <c r="EM61" s="58" t="s">
        <v>134</v>
      </c>
      <c r="EN61" s="58" t="s">
        <v>134</v>
      </c>
      <c r="EO61" s="58">
        <v>0.0</v>
      </c>
      <c r="EP61" s="58">
        <v>0.0</v>
      </c>
      <c r="EQ61" s="58">
        <v>0.0</v>
      </c>
      <c r="ER61" s="58" t="s">
        <v>134</v>
      </c>
      <c r="ES61" s="58" t="s">
        <v>134</v>
      </c>
      <c r="ET61" s="58" t="s">
        <v>134</v>
      </c>
    </row>
    <row r="62">
      <c r="A62" s="58" t="s">
        <v>474</v>
      </c>
      <c r="B62" s="58" t="s">
        <v>134</v>
      </c>
      <c r="C62" s="58" t="s">
        <v>134</v>
      </c>
      <c r="D62" s="58" t="s">
        <v>134</v>
      </c>
      <c r="E62" s="58" t="s">
        <v>134</v>
      </c>
      <c r="F62" s="58" t="s">
        <v>134</v>
      </c>
      <c r="G62" s="58" t="s">
        <v>134</v>
      </c>
      <c r="H62" s="58" t="s">
        <v>134</v>
      </c>
      <c r="I62" s="58" t="s">
        <v>134</v>
      </c>
      <c r="J62" s="58" t="s">
        <v>134</v>
      </c>
      <c r="K62" s="58">
        <v>0.0</v>
      </c>
      <c r="L62" s="58">
        <v>0.0</v>
      </c>
      <c r="M62" s="58" t="s">
        <v>134</v>
      </c>
      <c r="N62" s="58" t="s">
        <v>134</v>
      </c>
      <c r="O62" s="58" t="s">
        <v>134</v>
      </c>
      <c r="P62" s="58" t="s">
        <v>134</v>
      </c>
      <c r="Q62" s="58" t="s">
        <v>134</v>
      </c>
      <c r="R62" s="58" t="s">
        <v>134</v>
      </c>
      <c r="S62" s="58" t="s">
        <v>134</v>
      </c>
      <c r="T62" s="58" t="s">
        <v>134</v>
      </c>
      <c r="U62" s="58" t="s">
        <v>134</v>
      </c>
      <c r="V62" s="58" t="s">
        <v>134</v>
      </c>
      <c r="W62" s="58" t="s">
        <v>134</v>
      </c>
      <c r="X62" s="58" t="s">
        <v>134</v>
      </c>
      <c r="Y62" s="58" t="s">
        <v>134</v>
      </c>
      <c r="Z62" s="58" t="s">
        <v>134</v>
      </c>
      <c r="AA62" s="58" t="s">
        <v>134</v>
      </c>
      <c r="AB62" s="58" t="s">
        <v>134</v>
      </c>
      <c r="AC62" s="58" t="s">
        <v>134</v>
      </c>
      <c r="AD62" s="58" t="s">
        <v>134</v>
      </c>
      <c r="AE62" s="58" t="s">
        <v>134</v>
      </c>
      <c r="AF62" s="58" t="s">
        <v>134</v>
      </c>
      <c r="AG62" s="58" t="s">
        <v>134</v>
      </c>
      <c r="AH62" s="58" t="s">
        <v>134</v>
      </c>
      <c r="AI62" s="58" t="s">
        <v>134</v>
      </c>
      <c r="AJ62" s="58" t="s">
        <v>134</v>
      </c>
      <c r="AK62" s="58" t="s">
        <v>134</v>
      </c>
      <c r="AL62" s="58">
        <v>0.1388207347</v>
      </c>
      <c r="AM62" s="58" t="s">
        <v>134</v>
      </c>
      <c r="AN62" s="58">
        <v>0.0</v>
      </c>
      <c r="AO62" s="58" t="s">
        <v>134</v>
      </c>
      <c r="AP62" s="58" t="s">
        <v>134</v>
      </c>
      <c r="AQ62" s="58" t="s">
        <v>134</v>
      </c>
      <c r="AR62" s="58" t="s">
        <v>134</v>
      </c>
      <c r="AS62" s="58" t="s">
        <v>134</v>
      </c>
      <c r="AT62" s="58" t="s">
        <v>134</v>
      </c>
      <c r="AU62" s="58" t="s">
        <v>134</v>
      </c>
      <c r="AV62" s="58" t="s">
        <v>134</v>
      </c>
      <c r="AW62" s="58" t="s">
        <v>134</v>
      </c>
      <c r="AX62" s="58" t="s">
        <v>134</v>
      </c>
      <c r="AY62" s="58" t="s">
        <v>134</v>
      </c>
      <c r="AZ62" s="58" t="s">
        <v>134</v>
      </c>
      <c r="BA62" s="58" t="s">
        <v>134</v>
      </c>
      <c r="BB62" s="58" t="s">
        <v>134</v>
      </c>
      <c r="BC62" s="58" t="s">
        <v>134</v>
      </c>
      <c r="BD62" s="58" t="s">
        <v>134</v>
      </c>
      <c r="BE62" s="58" t="s">
        <v>134</v>
      </c>
      <c r="BF62" s="58" t="s">
        <v>134</v>
      </c>
      <c r="BG62" s="58" t="s">
        <v>134</v>
      </c>
      <c r="BH62" s="58" t="s">
        <v>134</v>
      </c>
      <c r="BI62" s="58" t="s">
        <v>134</v>
      </c>
      <c r="BJ62" s="58" t="s">
        <v>134</v>
      </c>
      <c r="BK62" s="58" t="s">
        <v>134</v>
      </c>
      <c r="BL62" s="58" t="s">
        <v>134</v>
      </c>
      <c r="BM62" s="58" t="s">
        <v>134</v>
      </c>
      <c r="BN62" s="58" t="s">
        <v>134</v>
      </c>
      <c r="BO62" s="58" t="s">
        <v>134</v>
      </c>
      <c r="BP62" s="58" t="s">
        <v>134</v>
      </c>
      <c r="BQ62" s="58" t="s">
        <v>134</v>
      </c>
      <c r="BR62" s="58" t="s">
        <v>134</v>
      </c>
      <c r="BS62" s="58" t="s">
        <v>134</v>
      </c>
      <c r="BT62" s="58" t="s">
        <v>134</v>
      </c>
      <c r="BU62" s="58" t="s">
        <v>134</v>
      </c>
      <c r="BV62" s="58" t="s">
        <v>134</v>
      </c>
      <c r="BW62" s="58" t="s">
        <v>134</v>
      </c>
      <c r="BX62" s="58" t="s">
        <v>134</v>
      </c>
      <c r="BY62" s="58" t="s">
        <v>134</v>
      </c>
      <c r="BZ62" s="58" t="s">
        <v>134</v>
      </c>
      <c r="CA62" s="58" t="s">
        <v>134</v>
      </c>
      <c r="CB62" s="58" t="s">
        <v>134</v>
      </c>
      <c r="CC62" s="58" t="s">
        <v>134</v>
      </c>
      <c r="CD62" s="58" t="s">
        <v>134</v>
      </c>
      <c r="CE62" s="58" t="s">
        <v>134</v>
      </c>
      <c r="CF62" s="58" t="s">
        <v>134</v>
      </c>
      <c r="CG62" s="58" t="s">
        <v>134</v>
      </c>
      <c r="CH62" s="58" t="s">
        <v>134</v>
      </c>
      <c r="CI62" s="58" t="s">
        <v>134</v>
      </c>
      <c r="CJ62" s="58" t="s">
        <v>134</v>
      </c>
      <c r="CK62" s="58" t="s">
        <v>134</v>
      </c>
      <c r="CL62" s="58" t="s">
        <v>134</v>
      </c>
      <c r="CM62" s="58" t="s">
        <v>134</v>
      </c>
      <c r="CN62" s="58" t="s">
        <v>134</v>
      </c>
      <c r="CO62" s="58" t="s">
        <v>134</v>
      </c>
      <c r="CP62" s="58" t="s">
        <v>134</v>
      </c>
      <c r="CQ62" s="58" t="s">
        <v>134</v>
      </c>
      <c r="CR62" s="58" t="s">
        <v>134</v>
      </c>
      <c r="CS62" s="58" t="s">
        <v>134</v>
      </c>
      <c r="CT62" s="58" t="s">
        <v>134</v>
      </c>
      <c r="CU62" s="58" t="s">
        <v>134</v>
      </c>
      <c r="CV62" s="58" t="s">
        <v>134</v>
      </c>
      <c r="CW62" s="58" t="s">
        <v>134</v>
      </c>
      <c r="CX62" s="58" t="s">
        <v>134</v>
      </c>
      <c r="CY62" s="58" t="s">
        <v>134</v>
      </c>
      <c r="CZ62" s="58" t="s">
        <v>134</v>
      </c>
      <c r="DA62" s="58" t="s">
        <v>134</v>
      </c>
      <c r="DB62" s="58" t="s">
        <v>134</v>
      </c>
      <c r="DC62" s="58" t="s">
        <v>134</v>
      </c>
      <c r="DD62" s="58" t="s">
        <v>134</v>
      </c>
      <c r="DE62" s="58" t="s">
        <v>134</v>
      </c>
      <c r="DF62" s="58" t="s">
        <v>134</v>
      </c>
      <c r="DG62" s="58" t="s">
        <v>134</v>
      </c>
      <c r="DH62" s="58" t="s">
        <v>134</v>
      </c>
      <c r="DI62" s="58" t="s">
        <v>134</v>
      </c>
      <c r="DJ62" s="58" t="s">
        <v>134</v>
      </c>
      <c r="DK62" s="58" t="s">
        <v>134</v>
      </c>
      <c r="DL62" s="58" t="s">
        <v>134</v>
      </c>
      <c r="DM62" s="58" t="s">
        <v>134</v>
      </c>
      <c r="DN62" s="58" t="s">
        <v>134</v>
      </c>
      <c r="DO62" s="58" t="s">
        <v>134</v>
      </c>
      <c r="DP62" s="58" t="s">
        <v>134</v>
      </c>
      <c r="DQ62" s="58" t="s">
        <v>134</v>
      </c>
      <c r="DR62" s="58">
        <v>0.0</v>
      </c>
      <c r="DS62" s="58" t="s">
        <v>134</v>
      </c>
      <c r="DT62" s="58" t="s">
        <v>134</v>
      </c>
      <c r="DU62" s="58" t="s">
        <v>134</v>
      </c>
      <c r="DV62" s="58" t="s">
        <v>134</v>
      </c>
      <c r="DW62" s="58" t="s">
        <v>134</v>
      </c>
      <c r="DX62" s="58" t="s">
        <v>134</v>
      </c>
      <c r="DY62" s="58" t="s">
        <v>134</v>
      </c>
      <c r="DZ62" s="58" t="s">
        <v>134</v>
      </c>
      <c r="EA62" s="58" t="s">
        <v>134</v>
      </c>
      <c r="EB62" s="58" t="s">
        <v>134</v>
      </c>
      <c r="EC62" s="58" t="s">
        <v>134</v>
      </c>
      <c r="ED62" s="58" t="s">
        <v>134</v>
      </c>
      <c r="EE62" s="58" t="s">
        <v>134</v>
      </c>
      <c r="EF62" s="58" t="s">
        <v>134</v>
      </c>
      <c r="EG62" s="58" t="s">
        <v>134</v>
      </c>
      <c r="EH62" s="58" t="s">
        <v>134</v>
      </c>
      <c r="EI62" s="58" t="s">
        <v>134</v>
      </c>
      <c r="EJ62" s="58" t="s">
        <v>134</v>
      </c>
      <c r="EK62" s="58" t="s">
        <v>134</v>
      </c>
      <c r="EL62" s="58" t="s">
        <v>134</v>
      </c>
      <c r="EM62" s="58" t="s">
        <v>134</v>
      </c>
      <c r="EN62" s="58" t="s">
        <v>134</v>
      </c>
      <c r="EO62" s="58">
        <v>0.0</v>
      </c>
      <c r="EP62" s="58">
        <v>0.0</v>
      </c>
      <c r="EQ62" s="58">
        <v>0.0</v>
      </c>
      <c r="ER62" s="58" t="s">
        <v>134</v>
      </c>
      <c r="ES62" s="58" t="s">
        <v>134</v>
      </c>
      <c r="ET62" s="58" t="s">
        <v>134</v>
      </c>
    </row>
    <row r="63">
      <c r="A63" s="58" t="s">
        <v>109</v>
      </c>
      <c r="B63" s="58" t="s">
        <v>134</v>
      </c>
      <c r="C63" s="58" t="s">
        <v>134</v>
      </c>
      <c r="D63" s="58" t="s">
        <v>134</v>
      </c>
      <c r="E63" s="58" t="s">
        <v>134</v>
      </c>
      <c r="F63" s="58" t="s">
        <v>134</v>
      </c>
      <c r="G63" s="58" t="s">
        <v>134</v>
      </c>
      <c r="H63" s="58" t="s">
        <v>134</v>
      </c>
      <c r="I63" s="58" t="s">
        <v>134</v>
      </c>
      <c r="J63" s="58" t="s">
        <v>134</v>
      </c>
      <c r="K63" s="58">
        <v>0.0</v>
      </c>
      <c r="L63" s="58">
        <v>0.0</v>
      </c>
      <c r="M63" s="58" t="s">
        <v>134</v>
      </c>
      <c r="N63" s="58" t="s">
        <v>134</v>
      </c>
      <c r="O63" s="58" t="s">
        <v>134</v>
      </c>
      <c r="P63" s="58" t="s">
        <v>134</v>
      </c>
      <c r="Q63" s="58" t="s">
        <v>134</v>
      </c>
      <c r="R63" s="58" t="s">
        <v>134</v>
      </c>
      <c r="S63" s="58" t="s">
        <v>134</v>
      </c>
      <c r="T63" s="58" t="s">
        <v>134</v>
      </c>
      <c r="U63" s="58" t="s">
        <v>134</v>
      </c>
      <c r="V63" s="58" t="s">
        <v>134</v>
      </c>
      <c r="W63" s="58" t="s">
        <v>134</v>
      </c>
      <c r="X63" s="58" t="s">
        <v>134</v>
      </c>
      <c r="Y63" s="58" t="s">
        <v>134</v>
      </c>
      <c r="Z63" s="58" t="s">
        <v>134</v>
      </c>
      <c r="AA63" s="58" t="s">
        <v>134</v>
      </c>
      <c r="AB63" s="58" t="s">
        <v>134</v>
      </c>
      <c r="AC63" s="58" t="s">
        <v>134</v>
      </c>
      <c r="AD63" s="58" t="s">
        <v>134</v>
      </c>
      <c r="AE63" s="58" t="s">
        <v>134</v>
      </c>
      <c r="AF63" s="58" t="s">
        <v>134</v>
      </c>
      <c r="AG63" s="58" t="s">
        <v>134</v>
      </c>
      <c r="AH63" s="58" t="s">
        <v>134</v>
      </c>
      <c r="AI63" s="58" t="s">
        <v>134</v>
      </c>
      <c r="AJ63" s="58" t="s">
        <v>134</v>
      </c>
      <c r="AK63" s="58" t="s">
        <v>134</v>
      </c>
      <c r="AL63" s="58" t="s">
        <v>134</v>
      </c>
      <c r="AM63" s="58" t="s">
        <v>134</v>
      </c>
      <c r="AN63" s="58">
        <v>0.0</v>
      </c>
      <c r="AO63" s="58" t="s">
        <v>134</v>
      </c>
      <c r="AP63" s="58" t="s">
        <v>134</v>
      </c>
      <c r="AQ63" s="58" t="s">
        <v>134</v>
      </c>
      <c r="AR63" s="58" t="s">
        <v>134</v>
      </c>
      <c r="AS63" s="58" t="s">
        <v>134</v>
      </c>
      <c r="AT63" s="58" t="s">
        <v>134</v>
      </c>
      <c r="AU63" s="58" t="s">
        <v>134</v>
      </c>
      <c r="AV63" s="58" t="s">
        <v>134</v>
      </c>
      <c r="AW63" s="58" t="s">
        <v>134</v>
      </c>
      <c r="AX63" s="58" t="s">
        <v>134</v>
      </c>
      <c r="AY63" s="58" t="s">
        <v>134</v>
      </c>
      <c r="AZ63" s="58" t="s">
        <v>134</v>
      </c>
      <c r="BA63" s="58" t="s">
        <v>134</v>
      </c>
      <c r="BB63" s="58" t="s">
        <v>134</v>
      </c>
      <c r="BC63" s="58" t="s">
        <v>134</v>
      </c>
      <c r="BD63" s="58" t="s">
        <v>134</v>
      </c>
      <c r="BE63" s="58" t="s">
        <v>134</v>
      </c>
      <c r="BF63" s="58" t="s">
        <v>134</v>
      </c>
      <c r="BG63" s="58" t="s">
        <v>134</v>
      </c>
      <c r="BH63" s="58" t="s">
        <v>134</v>
      </c>
      <c r="BI63" s="58" t="s">
        <v>134</v>
      </c>
      <c r="BJ63" s="58" t="s">
        <v>134</v>
      </c>
      <c r="BK63" s="58" t="s">
        <v>134</v>
      </c>
      <c r="BL63" s="58" t="s">
        <v>134</v>
      </c>
      <c r="BM63" s="58" t="s">
        <v>134</v>
      </c>
      <c r="BN63" s="58" t="s">
        <v>134</v>
      </c>
      <c r="BO63" s="58" t="s">
        <v>134</v>
      </c>
      <c r="BP63" s="58" t="s">
        <v>134</v>
      </c>
      <c r="BQ63" s="58" t="s">
        <v>134</v>
      </c>
      <c r="BR63" s="58" t="s">
        <v>134</v>
      </c>
      <c r="BS63" s="58" t="s">
        <v>134</v>
      </c>
      <c r="BT63" s="58" t="s">
        <v>134</v>
      </c>
      <c r="BU63" s="58" t="s">
        <v>134</v>
      </c>
      <c r="BV63" s="58" t="s">
        <v>134</v>
      </c>
      <c r="BW63" s="58" t="s">
        <v>134</v>
      </c>
      <c r="BX63" s="58" t="s">
        <v>134</v>
      </c>
      <c r="BY63" s="58" t="s">
        <v>134</v>
      </c>
      <c r="BZ63" s="58" t="s">
        <v>134</v>
      </c>
      <c r="CA63" s="58" t="s">
        <v>134</v>
      </c>
      <c r="CB63" s="58" t="s">
        <v>134</v>
      </c>
      <c r="CC63" s="58" t="s">
        <v>134</v>
      </c>
      <c r="CD63" s="58" t="s">
        <v>134</v>
      </c>
      <c r="CE63" s="58" t="s">
        <v>134</v>
      </c>
      <c r="CF63" s="58" t="s">
        <v>134</v>
      </c>
      <c r="CG63" s="58" t="s">
        <v>134</v>
      </c>
      <c r="CH63" s="58" t="s">
        <v>134</v>
      </c>
      <c r="CI63" s="58" t="s">
        <v>134</v>
      </c>
      <c r="CJ63" s="58" t="s">
        <v>134</v>
      </c>
      <c r="CK63" s="58" t="s">
        <v>134</v>
      </c>
      <c r="CL63" s="58" t="s">
        <v>134</v>
      </c>
      <c r="CM63" s="58" t="s">
        <v>134</v>
      </c>
      <c r="CN63" s="58" t="s">
        <v>134</v>
      </c>
      <c r="CO63" s="58" t="s">
        <v>134</v>
      </c>
      <c r="CP63" s="58" t="s">
        <v>134</v>
      </c>
      <c r="CQ63" s="58" t="s">
        <v>134</v>
      </c>
      <c r="CR63" s="58" t="s">
        <v>134</v>
      </c>
      <c r="CS63" s="58" t="s">
        <v>134</v>
      </c>
      <c r="CT63" s="58" t="s">
        <v>134</v>
      </c>
      <c r="CU63" s="58" t="s">
        <v>134</v>
      </c>
      <c r="CV63" s="58" t="s">
        <v>134</v>
      </c>
      <c r="CW63" s="58" t="s">
        <v>134</v>
      </c>
      <c r="CX63" s="58" t="s">
        <v>134</v>
      </c>
      <c r="CY63" s="58" t="s">
        <v>134</v>
      </c>
      <c r="CZ63" s="58" t="s">
        <v>134</v>
      </c>
      <c r="DA63" s="58" t="s">
        <v>134</v>
      </c>
      <c r="DB63" s="58" t="s">
        <v>134</v>
      </c>
      <c r="DC63" s="58" t="s">
        <v>134</v>
      </c>
      <c r="DD63" s="58" t="s">
        <v>134</v>
      </c>
      <c r="DE63" s="58" t="s">
        <v>134</v>
      </c>
      <c r="DF63" s="58" t="s">
        <v>134</v>
      </c>
      <c r="DG63" s="58" t="s">
        <v>134</v>
      </c>
      <c r="DH63" s="58" t="s">
        <v>134</v>
      </c>
      <c r="DI63" s="58" t="s">
        <v>134</v>
      </c>
      <c r="DJ63" s="58" t="s">
        <v>134</v>
      </c>
      <c r="DK63" s="58" t="s">
        <v>134</v>
      </c>
      <c r="DL63" s="58" t="s">
        <v>134</v>
      </c>
      <c r="DM63" s="58" t="s">
        <v>134</v>
      </c>
      <c r="DN63" s="58" t="s">
        <v>134</v>
      </c>
      <c r="DO63" s="58" t="s">
        <v>134</v>
      </c>
      <c r="DP63" s="58" t="s">
        <v>134</v>
      </c>
      <c r="DQ63" s="58" t="s">
        <v>134</v>
      </c>
      <c r="DR63" s="58">
        <v>0.0</v>
      </c>
      <c r="DS63" s="58" t="s">
        <v>134</v>
      </c>
      <c r="DT63" s="58" t="s">
        <v>134</v>
      </c>
      <c r="DU63" s="58" t="s">
        <v>134</v>
      </c>
      <c r="DV63" s="58" t="s">
        <v>134</v>
      </c>
      <c r="DW63" s="58" t="s">
        <v>134</v>
      </c>
      <c r="DX63" s="58" t="s">
        <v>134</v>
      </c>
      <c r="DY63" s="58" t="s">
        <v>134</v>
      </c>
      <c r="DZ63" s="58" t="s">
        <v>134</v>
      </c>
      <c r="EA63" s="58" t="s">
        <v>134</v>
      </c>
      <c r="EB63" s="58" t="s">
        <v>134</v>
      </c>
      <c r="EC63" s="58" t="s">
        <v>134</v>
      </c>
      <c r="ED63" s="58" t="s">
        <v>134</v>
      </c>
      <c r="EE63" s="58" t="s">
        <v>134</v>
      </c>
      <c r="EF63" s="58" t="s">
        <v>134</v>
      </c>
      <c r="EG63" s="58" t="s">
        <v>134</v>
      </c>
      <c r="EH63" s="58" t="s">
        <v>134</v>
      </c>
      <c r="EI63" s="58" t="s">
        <v>134</v>
      </c>
      <c r="EJ63" s="58" t="s">
        <v>134</v>
      </c>
      <c r="EK63" s="58" t="s">
        <v>134</v>
      </c>
      <c r="EL63" s="58" t="s">
        <v>134</v>
      </c>
      <c r="EM63" s="58" t="s">
        <v>134</v>
      </c>
      <c r="EN63" s="58" t="s">
        <v>134</v>
      </c>
      <c r="EO63" s="58">
        <v>0.0</v>
      </c>
      <c r="EP63" s="58">
        <v>0.0</v>
      </c>
      <c r="EQ63" s="58">
        <v>0.0</v>
      </c>
      <c r="ER63" s="58" t="s">
        <v>134</v>
      </c>
      <c r="ES63" s="58" t="s">
        <v>134</v>
      </c>
      <c r="ET63" s="58" t="s">
        <v>134</v>
      </c>
    </row>
    <row r="64">
      <c r="A64" s="58" t="s">
        <v>86</v>
      </c>
      <c r="B64" s="58" t="s">
        <v>134</v>
      </c>
      <c r="C64" s="58" t="s">
        <v>134</v>
      </c>
      <c r="D64" s="58" t="s">
        <v>134</v>
      </c>
      <c r="E64" s="58" t="s">
        <v>134</v>
      </c>
      <c r="F64" s="58" t="s">
        <v>134</v>
      </c>
      <c r="G64" s="58" t="s">
        <v>134</v>
      </c>
      <c r="H64" s="58" t="s">
        <v>134</v>
      </c>
      <c r="I64" s="58">
        <v>0.0694</v>
      </c>
      <c r="J64" s="58" t="s">
        <v>134</v>
      </c>
      <c r="K64" s="58">
        <v>0.0</v>
      </c>
      <c r="L64" s="58">
        <v>0.0</v>
      </c>
      <c r="M64" s="58" t="s">
        <v>134</v>
      </c>
      <c r="N64" s="58" t="s">
        <v>134</v>
      </c>
      <c r="O64" s="58" t="s">
        <v>134</v>
      </c>
      <c r="P64" s="58" t="s">
        <v>134</v>
      </c>
      <c r="Q64" s="58" t="s">
        <v>134</v>
      </c>
      <c r="R64" s="58" t="s">
        <v>134</v>
      </c>
      <c r="S64" s="58" t="s">
        <v>134</v>
      </c>
      <c r="T64" s="58" t="s">
        <v>134</v>
      </c>
      <c r="U64" s="58" t="s">
        <v>134</v>
      </c>
      <c r="V64" s="58" t="s">
        <v>134</v>
      </c>
      <c r="W64" s="58" t="s">
        <v>134</v>
      </c>
      <c r="X64" s="58" t="s">
        <v>134</v>
      </c>
      <c r="Y64" s="58" t="s">
        <v>134</v>
      </c>
      <c r="Z64" s="58" t="s">
        <v>134</v>
      </c>
      <c r="AA64" s="58" t="s">
        <v>134</v>
      </c>
      <c r="AB64" s="58" t="s">
        <v>134</v>
      </c>
      <c r="AC64" s="58" t="s">
        <v>134</v>
      </c>
      <c r="AD64" s="58" t="s">
        <v>134</v>
      </c>
      <c r="AE64" s="58" t="s">
        <v>134</v>
      </c>
      <c r="AF64" s="58" t="s">
        <v>134</v>
      </c>
      <c r="AG64" s="58" t="s">
        <v>134</v>
      </c>
      <c r="AH64" s="58" t="s">
        <v>134</v>
      </c>
      <c r="AI64" s="58" t="s">
        <v>134</v>
      </c>
      <c r="AJ64" s="58" t="s">
        <v>134</v>
      </c>
      <c r="AK64" s="58" t="s">
        <v>134</v>
      </c>
      <c r="AL64" s="58" t="s">
        <v>134</v>
      </c>
      <c r="AM64" s="58" t="s">
        <v>134</v>
      </c>
      <c r="AN64" s="58">
        <v>0.4287</v>
      </c>
      <c r="AO64" s="58" t="s">
        <v>134</v>
      </c>
      <c r="AP64" s="58" t="s">
        <v>134</v>
      </c>
      <c r="AQ64" s="58" t="s">
        <v>134</v>
      </c>
      <c r="AR64" s="58" t="s">
        <v>134</v>
      </c>
      <c r="AS64" s="58" t="s">
        <v>134</v>
      </c>
      <c r="AT64" s="58" t="s">
        <v>134</v>
      </c>
      <c r="AU64" s="58" t="s">
        <v>134</v>
      </c>
      <c r="AV64" s="58" t="s">
        <v>134</v>
      </c>
      <c r="AW64" s="58" t="s">
        <v>134</v>
      </c>
      <c r="AX64" s="58" t="s">
        <v>134</v>
      </c>
      <c r="AY64" s="58" t="s">
        <v>134</v>
      </c>
      <c r="AZ64" s="58" t="s">
        <v>134</v>
      </c>
      <c r="BA64" s="58" t="s">
        <v>134</v>
      </c>
      <c r="BB64" s="58" t="s">
        <v>134</v>
      </c>
      <c r="BC64" s="58" t="s">
        <v>134</v>
      </c>
      <c r="BD64" s="58" t="s">
        <v>134</v>
      </c>
      <c r="BE64" s="58" t="s">
        <v>134</v>
      </c>
      <c r="BF64" s="58" t="s">
        <v>134</v>
      </c>
      <c r="BG64" s="58" t="s">
        <v>134</v>
      </c>
      <c r="BH64" s="58" t="s">
        <v>134</v>
      </c>
      <c r="BI64" s="58" t="s">
        <v>134</v>
      </c>
      <c r="BJ64" s="58" t="s">
        <v>134</v>
      </c>
      <c r="BK64" s="58" t="s">
        <v>134</v>
      </c>
      <c r="BL64" s="58" t="s">
        <v>134</v>
      </c>
      <c r="BM64" s="58" t="s">
        <v>134</v>
      </c>
      <c r="BN64" s="58" t="s">
        <v>134</v>
      </c>
      <c r="BO64" s="58" t="s">
        <v>134</v>
      </c>
      <c r="BP64" s="58" t="s">
        <v>134</v>
      </c>
      <c r="BQ64" s="58" t="s">
        <v>134</v>
      </c>
      <c r="BR64" s="58" t="s">
        <v>134</v>
      </c>
      <c r="BS64" s="58" t="s">
        <v>134</v>
      </c>
      <c r="BT64" s="58" t="s">
        <v>134</v>
      </c>
      <c r="BU64" s="58" t="s">
        <v>134</v>
      </c>
      <c r="BV64" s="58" t="s">
        <v>134</v>
      </c>
      <c r="BW64" s="58" t="s">
        <v>134</v>
      </c>
      <c r="BX64" s="58" t="s">
        <v>134</v>
      </c>
      <c r="BY64" s="58" t="s">
        <v>134</v>
      </c>
      <c r="BZ64" s="58" t="s">
        <v>134</v>
      </c>
      <c r="CA64" s="58" t="s">
        <v>134</v>
      </c>
      <c r="CB64" s="58" t="s">
        <v>134</v>
      </c>
      <c r="CC64" s="58" t="s">
        <v>134</v>
      </c>
      <c r="CD64" s="58" t="s">
        <v>134</v>
      </c>
      <c r="CE64" s="58" t="s">
        <v>134</v>
      </c>
      <c r="CF64" s="58" t="s">
        <v>134</v>
      </c>
      <c r="CG64" s="58" t="s">
        <v>134</v>
      </c>
      <c r="CH64" s="58" t="s">
        <v>134</v>
      </c>
      <c r="CI64" s="58" t="s">
        <v>134</v>
      </c>
      <c r="CJ64" s="58" t="s">
        <v>134</v>
      </c>
      <c r="CK64" s="58" t="s">
        <v>134</v>
      </c>
      <c r="CL64" s="58" t="s">
        <v>134</v>
      </c>
      <c r="CM64" s="58" t="s">
        <v>134</v>
      </c>
      <c r="CN64" s="58" t="s">
        <v>134</v>
      </c>
      <c r="CO64" s="58" t="s">
        <v>134</v>
      </c>
      <c r="CP64" s="58" t="s">
        <v>134</v>
      </c>
      <c r="CQ64" s="58" t="s">
        <v>134</v>
      </c>
      <c r="CR64" s="58" t="s">
        <v>134</v>
      </c>
      <c r="CS64" s="58" t="s">
        <v>134</v>
      </c>
      <c r="CT64" s="58" t="s">
        <v>134</v>
      </c>
      <c r="CU64" s="58" t="s">
        <v>134</v>
      </c>
      <c r="CV64" s="58" t="s">
        <v>134</v>
      </c>
      <c r="CW64" s="58" t="s">
        <v>134</v>
      </c>
      <c r="CX64" s="58" t="s">
        <v>134</v>
      </c>
      <c r="CY64" s="58" t="s">
        <v>134</v>
      </c>
      <c r="CZ64" s="58" t="s">
        <v>134</v>
      </c>
      <c r="DA64" s="58" t="s">
        <v>134</v>
      </c>
      <c r="DB64" s="58" t="s">
        <v>134</v>
      </c>
      <c r="DC64" s="58" t="s">
        <v>134</v>
      </c>
      <c r="DD64" s="58" t="s">
        <v>134</v>
      </c>
      <c r="DE64" s="58" t="s">
        <v>134</v>
      </c>
      <c r="DF64" s="58" t="s">
        <v>134</v>
      </c>
      <c r="DG64" s="58" t="s">
        <v>134</v>
      </c>
      <c r="DH64" s="58" t="s">
        <v>134</v>
      </c>
      <c r="DI64" s="58" t="s">
        <v>134</v>
      </c>
      <c r="DJ64" s="58" t="s">
        <v>134</v>
      </c>
      <c r="DK64" s="58" t="s">
        <v>134</v>
      </c>
      <c r="DL64" s="58" t="s">
        <v>134</v>
      </c>
      <c r="DM64" s="58" t="s">
        <v>134</v>
      </c>
      <c r="DN64" s="58" t="s">
        <v>134</v>
      </c>
      <c r="DO64" s="58" t="s">
        <v>134</v>
      </c>
      <c r="DP64" s="58" t="s">
        <v>134</v>
      </c>
      <c r="DQ64" s="58" t="s">
        <v>134</v>
      </c>
      <c r="DR64" s="58">
        <v>0.0</v>
      </c>
      <c r="DS64" s="58" t="s">
        <v>134</v>
      </c>
      <c r="DT64" s="58" t="s">
        <v>134</v>
      </c>
      <c r="DU64" s="58" t="s">
        <v>134</v>
      </c>
      <c r="DV64" s="58" t="s">
        <v>134</v>
      </c>
      <c r="DW64" s="58" t="s">
        <v>134</v>
      </c>
      <c r="DX64" s="58" t="s">
        <v>134</v>
      </c>
      <c r="DY64" s="58" t="s">
        <v>134</v>
      </c>
      <c r="DZ64" s="58" t="s">
        <v>134</v>
      </c>
      <c r="EA64" s="58" t="s">
        <v>134</v>
      </c>
      <c r="EB64" s="58" t="s">
        <v>134</v>
      </c>
      <c r="EC64" s="58" t="s">
        <v>134</v>
      </c>
      <c r="ED64" s="58" t="s">
        <v>134</v>
      </c>
      <c r="EE64" s="58" t="s">
        <v>134</v>
      </c>
      <c r="EF64" s="58" t="s">
        <v>134</v>
      </c>
      <c r="EG64" s="58" t="s">
        <v>134</v>
      </c>
      <c r="EH64" s="58" t="s">
        <v>134</v>
      </c>
      <c r="EI64" s="58" t="s">
        <v>134</v>
      </c>
      <c r="EJ64" s="58" t="s">
        <v>134</v>
      </c>
      <c r="EK64" s="58" t="s">
        <v>134</v>
      </c>
      <c r="EL64" s="58" t="s">
        <v>134</v>
      </c>
      <c r="EM64" s="58" t="s">
        <v>134</v>
      </c>
      <c r="EN64" s="58" t="s">
        <v>134</v>
      </c>
      <c r="EO64" s="58">
        <v>0.0</v>
      </c>
      <c r="EP64" s="58">
        <v>0.0</v>
      </c>
      <c r="EQ64" s="58">
        <v>0.0</v>
      </c>
      <c r="ER64" s="58" t="s">
        <v>134</v>
      </c>
      <c r="ES64" s="58" t="s">
        <v>134</v>
      </c>
      <c r="ET64" s="58" t="s">
        <v>134</v>
      </c>
    </row>
    <row r="65">
      <c r="A65" s="58" t="s">
        <v>114</v>
      </c>
      <c r="B65" s="58" t="s">
        <v>134</v>
      </c>
      <c r="C65" s="58" t="s">
        <v>134</v>
      </c>
      <c r="D65" s="58" t="s">
        <v>134</v>
      </c>
      <c r="E65" s="58" t="s">
        <v>134</v>
      </c>
      <c r="F65" s="58" t="s">
        <v>134</v>
      </c>
      <c r="G65" s="58" t="s">
        <v>134</v>
      </c>
      <c r="H65" s="58" t="s">
        <v>134</v>
      </c>
      <c r="I65" s="58" t="s">
        <v>134</v>
      </c>
      <c r="J65" s="58" t="s">
        <v>134</v>
      </c>
      <c r="K65" s="58">
        <v>0.0</v>
      </c>
      <c r="L65" s="58">
        <v>0.0</v>
      </c>
      <c r="M65" s="58" t="s">
        <v>134</v>
      </c>
      <c r="N65" s="58" t="s">
        <v>134</v>
      </c>
      <c r="O65" s="58" t="s">
        <v>134</v>
      </c>
      <c r="P65" s="58" t="s">
        <v>134</v>
      </c>
      <c r="Q65" s="58" t="s">
        <v>134</v>
      </c>
      <c r="R65" s="58" t="s">
        <v>134</v>
      </c>
      <c r="S65" s="58" t="s">
        <v>134</v>
      </c>
      <c r="T65" s="58" t="s">
        <v>134</v>
      </c>
      <c r="U65" s="58" t="s">
        <v>134</v>
      </c>
      <c r="V65" s="58" t="s">
        <v>134</v>
      </c>
      <c r="W65" s="58" t="s">
        <v>134</v>
      </c>
      <c r="X65" s="58" t="s">
        <v>134</v>
      </c>
      <c r="Y65" s="58" t="s">
        <v>134</v>
      </c>
      <c r="Z65" s="58" t="s">
        <v>134</v>
      </c>
      <c r="AA65" s="58" t="s">
        <v>134</v>
      </c>
      <c r="AB65" s="58" t="s">
        <v>134</v>
      </c>
      <c r="AC65" s="58" t="s">
        <v>134</v>
      </c>
      <c r="AD65" s="58" t="s">
        <v>134</v>
      </c>
      <c r="AE65" s="58" t="s">
        <v>134</v>
      </c>
      <c r="AF65" s="58" t="s">
        <v>134</v>
      </c>
      <c r="AG65" s="58" t="s">
        <v>134</v>
      </c>
      <c r="AH65" s="58" t="s">
        <v>134</v>
      </c>
      <c r="AI65" s="58" t="s">
        <v>134</v>
      </c>
      <c r="AJ65" s="58" t="s">
        <v>134</v>
      </c>
      <c r="AK65" s="58" t="s">
        <v>134</v>
      </c>
      <c r="AL65" s="58" t="s">
        <v>134</v>
      </c>
      <c r="AM65" s="58" t="s">
        <v>134</v>
      </c>
      <c r="AN65" s="58">
        <v>0.0</v>
      </c>
      <c r="AO65" s="58" t="s">
        <v>134</v>
      </c>
      <c r="AP65" s="58" t="s">
        <v>134</v>
      </c>
      <c r="AQ65" s="58" t="s">
        <v>134</v>
      </c>
      <c r="AR65" s="58" t="s">
        <v>134</v>
      </c>
      <c r="AS65" s="58" t="s">
        <v>134</v>
      </c>
      <c r="AT65" s="58" t="s">
        <v>134</v>
      </c>
      <c r="AU65" s="58" t="s">
        <v>134</v>
      </c>
      <c r="AV65" s="58" t="s">
        <v>134</v>
      </c>
      <c r="AW65" s="58" t="s">
        <v>134</v>
      </c>
      <c r="AX65" s="58" t="s">
        <v>134</v>
      </c>
      <c r="AY65" s="58" t="s">
        <v>134</v>
      </c>
      <c r="AZ65" s="58" t="s">
        <v>134</v>
      </c>
      <c r="BA65" s="58" t="s">
        <v>134</v>
      </c>
      <c r="BB65" s="58" t="s">
        <v>134</v>
      </c>
      <c r="BC65" s="58" t="s">
        <v>134</v>
      </c>
      <c r="BD65" s="58" t="s">
        <v>134</v>
      </c>
      <c r="BE65" s="58" t="s">
        <v>134</v>
      </c>
      <c r="BF65" s="58" t="s">
        <v>134</v>
      </c>
      <c r="BG65" s="58" t="s">
        <v>134</v>
      </c>
      <c r="BH65" s="58" t="s">
        <v>134</v>
      </c>
      <c r="BI65" s="58" t="s">
        <v>134</v>
      </c>
      <c r="BJ65" s="58" t="s">
        <v>134</v>
      </c>
      <c r="BK65" s="58" t="s">
        <v>134</v>
      </c>
      <c r="BL65" s="58" t="s">
        <v>134</v>
      </c>
      <c r="BM65" s="58" t="s">
        <v>134</v>
      </c>
      <c r="BN65" s="58" t="s">
        <v>134</v>
      </c>
      <c r="BO65" s="58" t="s">
        <v>134</v>
      </c>
      <c r="BP65" s="58" t="s">
        <v>134</v>
      </c>
      <c r="BQ65" s="58" t="s">
        <v>134</v>
      </c>
      <c r="BR65" s="58" t="s">
        <v>134</v>
      </c>
      <c r="BS65" s="58" t="s">
        <v>134</v>
      </c>
      <c r="BT65" s="58" t="s">
        <v>134</v>
      </c>
      <c r="BU65" s="58" t="s">
        <v>134</v>
      </c>
      <c r="BV65" s="58" t="s">
        <v>134</v>
      </c>
      <c r="BW65" s="58" t="s">
        <v>134</v>
      </c>
      <c r="BX65" s="58" t="s">
        <v>134</v>
      </c>
      <c r="BY65" s="58" t="s">
        <v>134</v>
      </c>
      <c r="BZ65" s="58" t="s">
        <v>134</v>
      </c>
      <c r="CA65" s="58" t="s">
        <v>134</v>
      </c>
      <c r="CB65" s="58" t="s">
        <v>134</v>
      </c>
      <c r="CC65" s="58" t="s">
        <v>134</v>
      </c>
      <c r="CD65" s="58" t="s">
        <v>134</v>
      </c>
      <c r="CE65" s="58" t="s">
        <v>134</v>
      </c>
      <c r="CF65" s="58" t="s">
        <v>134</v>
      </c>
      <c r="CG65" s="58" t="s">
        <v>134</v>
      </c>
      <c r="CH65" s="58" t="s">
        <v>134</v>
      </c>
      <c r="CI65" s="58" t="s">
        <v>134</v>
      </c>
      <c r="CJ65" s="58" t="s">
        <v>134</v>
      </c>
      <c r="CK65" s="58" t="s">
        <v>134</v>
      </c>
      <c r="CL65" s="58" t="s">
        <v>134</v>
      </c>
      <c r="CM65" s="58" t="s">
        <v>134</v>
      </c>
      <c r="CN65" s="58" t="s">
        <v>134</v>
      </c>
      <c r="CO65" s="58" t="s">
        <v>134</v>
      </c>
      <c r="CP65" s="58" t="s">
        <v>134</v>
      </c>
      <c r="CQ65" s="58" t="s">
        <v>134</v>
      </c>
      <c r="CR65" s="58" t="s">
        <v>134</v>
      </c>
      <c r="CS65" s="58" t="s">
        <v>134</v>
      </c>
      <c r="CT65" s="58" t="s">
        <v>134</v>
      </c>
      <c r="CU65" s="58" t="s">
        <v>134</v>
      </c>
      <c r="CV65" s="58" t="s">
        <v>134</v>
      </c>
      <c r="CW65" s="58" t="s">
        <v>134</v>
      </c>
      <c r="CX65" s="58" t="s">
        <v>134</v>
      </c>
      <c r="CY65" s="58" t="s">
        <v>134</v>
      </c>
      <c r="CZ65" s="58" t="s">
        <v>134</v>
      </c>
      <c r="DA65" s="58" t="s">
        <v>134</v>
      </c>
      <c r="DB65" s="58" t="s">
        <v>134</v>
      </c>
      <c r="DC65" s="58" t="s">
        <v>134</v>
      </c>
      <c r="DD65" s="58" t="s">
        <v>134</v>
      </c>
      <c r="DE65" s="58" t="s">
        <v>134</v>
      </c>
      <c r="DF65" s="58" t="s">
        <v>134</v>
      </c>
      <c r="DG65" s="58" t="s">
        <v>134</v>
      </c>
      <c r="DH65" s="58" t="s">
        <v>134</v>
      </c>
      <c r="DI65" s="58" t="s">
        <v>134</v>
      </c>
      <c r="DJ65" s="58" t="s">
        <v>134</v>
      </c>
      <c r="DK65" s="58" t="s">
        <v>134</v>
      </c>
      <c r="DL65" s="58" t="s">
        <v>134</v>
      </c>
      <c r="DM65" s="58" t="s">
        <v>134</v>
      </c>
      <c r="DN65" s="58" t="s">
        <v>134</v>
      </c>
      <c r="DO65" s="58" t="s">
        <v>134</v>
      </c>
      <c r="DP65" s="58" t="s">
        <v>134</v>
      </c>
      <c r="DQ65" s="58" t="s">
        <v>134</v>
      </c>
      <c r="DR65" s="58">
        <v>0.0</v>
      </c>
      <c r="DS65" s="58" t="s">
        <v>134</v>
      </c>
      <c r="DT65" s="58" t="s">
        <v>134</v>
      </c>
      <c r="DU65" s="58" t="s">
        <v>134</v>
      </c>
      <c r="DV65" s="58" t="s">
        <v>134</v>
      </c>
      <c r="DW65" s="58" t="s">
        <v>134</v>
      </c>
      <c r="DX65" s="58" t="s">
        <v>134</v>
      </c>
      <c r="DY65" s="58" t="s">
        <v>134</v>
      </c>
      <c r="DZ65" s="58" t="s">
        <v>134</v>
      </c>
      <c r="EA65" s="58" t="s">
        <v>134</v>
      </c>
      <c r="EB65" s="58" t="s">
        <v>134</v>
      </c>
      <c r="EC65" s="58" t="s">
        <v>134</v>
      </c>
      <c r="ED65" s="58" t="s">
        <v>134</v>
      </c>
      <c r="EE65" s="58" t="s">
        <v>134</v>
      </c>
      <c r="EF65" s="58" t="s">
        <v>134</v>
      </c>
      <c r="EG65" s="58" t="s">
        <v>134</v>
      </c>
      <c r="EH65" s="58" t="s">
        <v>134</v>
      </c>
      <c r="EI65" s="58" t="s">
        <v>134</v>
      </c>
      <c r="EJ65" s="58" t="s">
        <v>134</v>
      </c>
      <c r="EK65" s="58" t="s">
        <v>134</v>
      </c>
      <c r="EL65" s="58" t="s">
        <v>134</v>
      </c>
      <c r="EM65" s="58" t="s">
        <v>134</v>
      </c>
      <c r="EN65" s="58" t="s">
        <v>134</v>
      </c>
      <c r="EO65" s="58">
        <v>0.0</v>
      </c>
      <c r="EP65" s="58">
        <v>0.0</v>
      </c>
      <c r="EQ65" s="58">
        <v>0.0</v>
      </c>
      <c r="ER65" s="58" t="s">
        <v>134</v>
      </c>
      <c r="ES65" s="58" t="s">
        <v>134</v>
      </c>
      <c r="ET65" s="58" t="s">
        <v>134</v>
      </c>
    </row>
    <row r="66">
      <c r="A66" s="58" t="s">
        <v>110</v>
      </c>
      <c r="B66" s="58" t="s">
        <v>134</v>
      </c>
      <c r="C66" s="58" t="s">
        <v>134</v>
      </c>
      <c r="D66" s="58" t="s">
        <v>134</v>
      </c>
      <c r="E66" s="58" t="s">
        <v>134</v>
      </c>
      <c r="F66" s="58" t="s">
        <v>134</v>
      </c>
      <c r="G66" s="58" t="s">
        <v>134</v>
      </c>
      <c r="H66" s="58" t="s">
        <v>134</v>
      </c>
      <c r="I66" s="58" t="s">
        <v>134</v>
      </c>
      <c r="J66" s="58" t="s">
        <v>134</v>
      </c>
      <c r="K66" s="58">
        <v>0.0</v>
      </c>
      <c r="L66" s="58">
        <v>0.0</v>
      </c>
      <c r="M66" s="58" t="s">
        <v>134</v>
      </c>
      <c r="N66" s="58" t="s">
        <v>134</v>
      </c>
      <c r="O66" s="58" t="s">
        <v>134</v>
      </c>
      <c r="P66" s="58" t="s">
        <v>134</v>
      </c>
      <c r="Q66" s="58" t="s">
        <v>134</v>
      </c>
      <c r="R66" s="58" t="s">
        <v>134</v>
      </c>
      <c r="S66" s="58" t="s">
        <v>134</v>
      </c>
      <c r="T66" s="58" t="s">
        <v>134</v>
      </c>
      <c r="U66" s="58" t="s">
        <v>134</v>
      </c>
      <c r="V66" s="58" t="s">
        <v>134</v>
      </c>
      <c r="W66" s="58" t="s">
        <v>134</v>
      </c>
      <c r="X66" s="58" t="s">
        <v>134</v>
      </c>
      <c r="Y66" s="58" t="s">
        <v>134</v>
      </c>
      <c r="Z66" s="58" t="s">
        <v>134</v>
      </c>
      <c r="AA66" s="58" t="s">
        <v>134</v>
      </c>
      <c r="AB66" s="58" t="s">
        <v>134</v>
      </c>
      <c r="AC66" s="58" t="s">
        <v>134</v>
      </c>
      <c r="AD66" s="58" t="s">
        <v>134</v>
      </c>
      <c r="AE66" s="58" t="s">
        <v>134</v>
      </c>
      <c r="AF66" s="58" t="s">
        <v>134</v>
      </c>
      <c r="AG66" s="58" t="s">
        <v>134</v>
      </c>
      <c r="AH66" s="58" t="s">
        <v>134</v>
      </c>
      <c r="AI66" s="58" t="s">
        <v>134</v>
      </c>
      <c r="AJ66" s="58" t="s">
        <v>134</v>
      </c>
      <c r="AK66" s="58" t="s">
        <v>134</v>
      </c>
      <c r="AL66" s="58" t="s">
        <v>134</v>
      </c>
      <c r="AM66" s="58" t="s">
        <v>134</v>
      </c>
      <c r="AN66" s="58">
        <v>0.0</v>
      </c>
      <c r="AO66" s="58" t="s">
        <v>134</v>
      </c>
      <c r="AP66" s="58" t="s">
        <v>134</v>
      </c>
      <c r="AQ66" s="58" t="s">
        <v>134</v>
      </c>
      <c r="AR66" s="58" t="s">
        <v>134</v>
      </c>
      <c r="AS66" s="58" t="s">
        <v>134</v>
      </c>
      <c r="AT66" s="58" t="s">
        <v>134</v>
      </c>
      <c r="AU66" s="58" t="s">
        <v>134</v>
      </c>
      <c r="AV66" s="58" t="s">
        <v>134</v>
      </c>
      <c r="AW66" s="58" t="s">
        <v>134</v>
      </c>
      <c r="AX66" s="58" t="s">
        <v>134</v>
      </c>
      <c r="AY66" s="58" t="s">
        <v>134</v>
      </c>
      <c r="AZ66" s="58" t="s">
        <v>134</v>
      </c>
      <c r="BA66" s="58" t="s">
        <v>134</v>
      </c>
      <c r="BB66" s="58" t="s">
        <v>134</v>
      </c>
      <c r="BC66" s="58" t="s">
        <v>134</v>
      </c>
      <c r="BD66" s="58" t="s">
        <v>134</v>
      </c>
      <c r="BE66" s="58" t="s">
        <v>134</v>
      </c>
      <c r="BF66" s="58" t="s">
        <v>134</v>
      </c>
      <c r="BG66" s="58" t="s">
        <v>134</v>
      </c>
      <c r="BH66" s="58" t="s">
        <v>134</v>
      </c>
      <c r="BI66" s="58" t="s">
        <v>134</v>
      </c>
      <c r="BJ66" s="58" t="s">
        <v>134</v>
      </c>
      <c r="BK66" s="58" t="s">
        <v>134</v>
      </c>
      <c r="BL66" s="58" t="s">
        <v>134</v>
      </c>
      <c r="BM66" s="58" t="s">
        <v>134</v>
      </c>
      <c r="BN66" s="58" t="s">
        <v>134</v>
      </c>
      <c r="BO66" s="58" t="s">
        <v>134</v>
      </c>
      <c r="BP66" s="58" t="s">
        <v>134</v>
      </c>
      <c r="BQ66" s="58" t="s">
        <v>134</v>
      </c>
      <c r="BR66" s="58" t="s">
        <v>134</v>
      </c>
      <c r="BS66" s="58" t="s">
        <v>134</v>
      </c>
      <c r="BT66" s="58" t="s">
        <v>134</v>
      </c>
      <c r="BU66" s="58" t="s">
        <v>134</v>
      </c>
      <c r="BV66" s="58" t="s">
        <v>134</v>
      </c>
      <c r="BW66" s="58" t="s">
        <v>134</v>
      </c>
      <c r="BX66" s="58" t="s">
        <v>134</v>
      </c>
      <c r="BY66" s="58" t="s">
        <v>134</v>
      </c>
      <c r="BZ66" s="58" t="s">
        <v>134</v>
      </c>
      <c r="CA66" s="58" t="s">
        <v>134</v>
      </c>
      <c r="CB66" s="58" t="s">
        <v>134</v>
      </c>
      <c r="CC66" s="58" t="s">
        <v>134</v>
      </c>
      <c r="CD66" s="58" t="s">
        <v>134</v>
      </c>
      <c r="CE66" s="58" t="s">
        <v>134</v>
      </c>
      <c r="CF66" s="58" t="s">
        <v>134</v>
      </c>
      <c r="CG66" s="58" t="s">
        <v>134</v>
      </c>
      <c r="CH66" s="58" t="s">
        <v>134</v>
      </c>
      <c r="CI66" s="58" t="s">
        <v>134</v>
      </c>
      <c r="CJ66" s="58" t="s">
        <v>134</v>
      </c>
      <c r="CK66" s="58" t="s">
        <v>134</v>
      </c>
      <c r="CL66" s="58" t="s">
        <v>134</v>
      </c>
      <c r="CM66" s="58" t="s">
        <v>134</v>
      </c>
      <c r="CN66" s="58" t="s">
        <v>134</v>
      </c>
      <c r="CO66" s="58" t="s">
        <v>134</v>
      </c>
      <c r="CP66" s="58" t="s">
        <v>134</v>
      </c>
      <c r="CQ66" s="58" t="s">
        <v>134</v>
      </c>
      <c r="CR66" s="58" t="s">
        <v>134</v>
      </c>
      <c r="CS66" s="58" t="s">
        <v>134</v>
      </c>
      <c r="CT66" s="58" t="s">
        <v>134</v>
      </c>
      <c r="CU66" s="58" t="s">
        <v>134</v>
      </c>
      <c r="CV66" s="58" t="s">
        <v>134</v>
      </c>
      <c r="CW66" s="58" t="s">
        <v>134</v>
      </c>
      <c r="CX66" s="58" t="s">
        <v>134</v>
      </c>
      <c r="CY66" s="58" t="s">
        <v>134</v>
      </c>
      <c r="CZ66" s="58" t="s">
        <v>134</v>
      </c>
      <c r="DA66" s="58" t="s">
        <v>134</v>
      </c>
      <c r="DB66" s="58" t="s">
        <v>134</v>
      </c>
      <c r="DC66" s="58" t="s">
        <v>134</v>
      </c>
      <c r="DD66" s="58" t="s">
        <v>134</v>
      </c>
      <c r="DE66" s="58" t="s">
        <v>134</v>
      </c>
      <c r="DF66" s="58" t="s">
        <v>134</v>
      </c>
      <c r="DG66" s="58" t="s">
        <v>134</v>
      </c>
      <c r="DH66" s="58" t="s">
        <v>134</v>
      </c>
      <c r="DI66" s="58" t="s">
        <v>134</v>
      </c>
      <c r="DJ66" s="58" t="s">
        <v>134</v>
      </c>
      <c r="DK66" s="58" t="s">
        <v>134</v>
      </c>
      <c r="DL66" s="58" t="s">
        <v>134</v>
      </c>
      <c r="DM66" s="58" t="s">
        <v>134</v>
      </c>
      <c r="DN66" s="58" t="s">
        <v>134</v>
      </c>
      <c r="DO66" s="58" t="s">
        <v>134</v>
      </c>
      <c r="DP66" s="58" t="s">
        <v>134</v>
      </c>
      <c r="DQ66" s="58" t="s">
        <v>134</v>
      </c>
      <c r="DR66" s="58">
        <v>0.0</v>
      </c>
      <c r="DS66" s="58" t="s">
        <v>134</v>
      </c>
      <c r="DT66" s="58" t="s">
        <v>134</v>
      </c>
      <c r="DU66" s="58" t="s">
        <v>134</v>
      </c>
      <c r="DV66" s="58" t="s">
        <v>134</v>
      </c>
      <c r="DW66" s="58" t="s">
        <v>134</v>
      </c>
      <c r="DX66" s="58" t="s">
        <v>134</v>
      </c>
      <c r="DY66" s="58" t="s">
        <v>134</v>
      </c>
      <c r="DZ66" s="58" t="s">
        <v>134</v>
      </c>
      <c r="EA66" s="58" t="s">
        <v>134</v>
      </c>
      <c r="EB66" s="58" t="s">
        <v>134</v>
      </c>
      <c r="EC66" s="58" t="s">
        <v>134</v>
      </c>
      <c r="ED66" s="58" t="s">
        <v>134</v>
      </c>
      <c r="EE66" s="58" t="s">
        <v>134</v>
      </c>
      <c r="EF66" s="58" t="s">
        <v>134</v>
      </c>
      <c r="EG66" s="58" t="s">
        <v>134</v>
      </c>
      <c r="EH66" s="58" t="s">
        <v>134</v>
      </c>
      <c r="EI66" s="58" t="s">
        <v>134</v>
      </c>
      <c r="EJ66" s="58" t="s">
        <v>134</v>
      </c>
      <c r="EK66" s="58" t="s">
        <v>134</v>
      </c>
      <c r="EL66" s="58" t="s">
        <v>134</v>
      </c>
      <c r="EM66" s="58" t="s">
        <v>134</v>
      </c>
      <c r="EN66" s="58" t="s">
        <v>134</v>
      </c>
      <c r="EO66" s="58">
        <v>0.0</v>
      </c>
      <c r="EP66" s="58">
        <v>0.0</v>
      </c>
      <c r="EQ66" s="58">
        <v>0.0</v>
      </c>
      <c r="ER66" s="58" t="s">
        <v>134</v>
      </c>
      <c r="ES66" s="58" t="s">
        <v>134</v>
      </c>
      <c r="ET66" s="58" t="s">
        <v>134</v>
      </c>
    </row>
    <row r="67">
      <c r="A67" s="58" t="s">
        <v>475</v>
      </c>
      <c r="B67" s="58" t="s">
        <v>134</v>
      </c>
      <c r="C67" s="58" t="s">
        <v>134</v>
      </c>
      <c r="D67" s="58" t="s">
        <v>134</v>
      </c>
      <c r="E67" s="58" t="s">
        <v>134</v>
      </c>
      <c r="F67" s="58" t="s">
        <v>134</v>
      </c>
      <c r="G67" s="58" t="s">
        <v>134</v>
      </c>
      <c r="H67" s="58" t="s">
        <v>134</v>
      </c>
      <c r="I67" s="58" t="s">
        <v>134</v>
      </c>
      <c r="J67" s="58" t="s">
        <v>134</v>
      </c>
      <c r="K67" s="58">
        <v>0.0</v>
      </c>
      <c r="L67" s="58">
        <v>0.0</v>
      </c>
      <c r="M67" s="58" t="s">
        <v>134</v>
      </c>
      <c r="N67" s="58" t="s">
        <v>134</v>
      </c>
      <c r="O67" s="58" t="s">
        <v>134</v>
      </c>
      <c r="P67" s="58" t="s">
        <v>134</v>
      </c>
      <c r="Q67" s="58" t="s">
        <v>134</v>
      </c>
      <c r="R67" s="58" t="s">
        <v>134</v>
      </c>
      <c r="S67" s="58" t="s">
        <v>134</v>
      </c>
      <c r="T67" s="58" t="s">
        <v>134</v>
      </c>
      <c r="U67" s="58" t="s">
        <v>134</v>
      </c>
      <c r="V67" s="58" t="s">
        <v>134</v>
      </c>
      <c r="W67" s="58" t="s">
        <v>134</v>
      </c>
      <c r="X67" s="58" t="s">
        <v>134</v>
      </c>
      <c r="Y67" s="58" t="s">
        <v>134</v>
      </c>
      <c r="Z67" s="58" t="s">
        <v>134</v>
      </c>
      <c r="AA67" s="58" t="s">
        <v>134</v>
      </c>
      <c r="AB67" s="58" t="s">
        <v>134</v>
      </c>
      <c r="AC67" s="58" t="s">
        <v>134</v>
      </c>
      <c r="AD67" s="58" t="s">
        <v>134</v>
      </c>
      <c r="AE67" s="58" t="s">
        <v>134</v>
      </c>
      <c r="AF67" s="58" t="s">
        <v>134</v>
      </c>
      <c r="AG67" s="58" t="s">
        <v>134</v>
      </c>
      <c r="AH67" s="58" t="s">
        <v>134</v>
      </c>
      <c r="AI67" s="58" t="s">
        <v>134</v>
      </c>
      <c r="AJ67" s="58" t="s">
        <v>134</v>
      </c>
      <c r="AK67" s="58" t="s">
        <v>134</v>
      </c>
      <c r="AL67" s="58" t="s">
        <v>134</v>
      </c>
      <c r="AM67" s="58" t="s">
        <v>134</v>
      </c>
      <c r="AN67" s="58">
        <v>0.0</v>
      </c>
      <c r="AO67" s="58" t="s">
        <v>134</v>
      </c>
      <c r="AP67" s="58" t="s">
        <v>134</v>
      </c>
      <c r="AQ67" s="58" t="s">
        <v>134</v>
      </c>
      <c r="AR67" s="58" t="s">
        <v>134</v>
      </c>
      <c r="AS67" s="58" t="s">
        <v>134</v>
      </c>
      <c r="AT67" s="58" t="s">
        <v>134</v>
      </c>
      <c r="AU67" s="58" t="s">
        <v>134</v>
      </c>
      <c r="AV67" s="58" t="s">
        <v>134</v>
      </c>
      <c r="AW67" s="58" t="s">
        <v>134</v>
      </c>
      <c r="AX67" s="58" t="s">
        <v>134</v>
      </c>
      <c r="AY67" s="58" t="s">
        <v>134</v>
      </c>
      <c r="AZ67" s="58" t="s">
        <v>134</v>
      </c>
      <c r="BA67" s="58" t="s">
        <v>134</v>
      </c>
      <c r="BB67" s="58" t="s">
        <v>134</v>
      </c>
      <c r="BC67" s="58" t="s">
        <v>134</v>
      </c>
      <c r="BD67" s="58" t="s">
        <v>134</v>
      </c>
      <c r="BE67" s="58" t="s">
        <v>134</v>
      </c>
      <c r="BF67" s="58" t="s">
        <v>134</v>
      </c>
      <c r="BG67" s="58" t="s">
        <v>134</v>
      </c>
      <c r="BH67" s="58" t="s">
        <v>134</v>
      </c>
      <c r="BI67" s="58" t="s">
        <v>134</v>
      </c>
      <c r="BJ67" s="58" t="s">
        <v>134</v>
      </c>
      <c r="BK67" s="58" t="s">
        <v>134</v>
      </c>
      <c r="BL67" s="58" t="s">
        <v>134</v>
      </c>
      <c r="BM67" s="58" t="s">
        <v>134</v>
      </c>
      <c r="BN67" s="58" t="s">
        <v>134</v>
      </c>
      <c r="BO67" s="58" t="s">
        <v>134</v>
      </c>
      <c r="BP67" s="58" t="s">
        <v>134</v>
      </c>
      <c r="BQ67" s="58" t="s">
        <v>134</v>
      </c>
      <c r="BR67" s="58" t="s">
        <v>134</v>
      </c>
      <c r="BS67" s="58" t="s">
        <v>134</v>
      </c>
      <c r="BT67" s="58" t="s">
        <v>134</v>
      </c>
      <c r="BU67" s="58" t="s">
        <v>134</v>
      </c>
      <c r="BV67" s="58" t="s">
        <v>134</v>
      </c>
      <c r="BW67" s="58" t="s">
        <v>134</v>
      </c>
      <c r="BX67" s="58" t="s">
        <v>134</v>
      </c>
      <c r="BY67" s="58" t="s">
        <v>134</v>
      </c>
      <c r="BZ67" s="58" t="s">
        <v>134</v>
      </c>
      <c r="CA67" s="58" t="s">
        <v>134</v>
      </c>
      <c r="CB67" s="58" t="s">
        <v>134</v>
      </c>
      <c r="CC67" s="58" t="s">
        <v>134</v>
      </c>
      <c r="CD67" s="58" t="s">
        <v>134</v>
      </c>
      <c r="CE67" s="58" t="s">
        <v>134</v>
      </c>
      <c r="CF67" s="58" t="s">
        <v>134</v>
      </c>
      <c r="CG67" s="58" t="s">
        <v>134</v>
      </c>
      <c r="CH67" s="58" t="s">
        <v>134</v>
      </c>
      <c r="CI67" s="58" t="s">
        <v>134</v>
      </c>
      <c r="CJ67" s="58" t="s">
        <v>134</v>
      </c>
      <c r="CK67" s="58" t="s">
        <v>134</v>
      </c>
      <c r="CL67" s="58" t="s">
        <v>134</v>
      </c>
      <c r="CM67" s="58" t="s">
        <v>134</v>
      </c>
      <c r="CN67" s="58" t="s">
        <v>134</v>
      </c>
      <c r="CO67" s="58" t="s">
        <v>134</v>
      </c>
      <c r="CP67" s="58" t="s">
        <v>134</v>
      </c>
      <c r="CQ67" s="58" t="s">
        <v>134</v>
      </c>
      <c r="CR67" s="58" t="s">
        <v>134</v>
      </c>
      <c r="CS67" s="58" t="s">
        <v>134</v>
      </c>
      <c r="CT67" s="58" t="s">
        <v>134</v>
      </c>
      <c r="CU67" s="58" t="s">
        <v>134</v>
      </c>
      <c r="CV67" s="58" t="s">
        <v>134</v>
      </c>
      <c r="CW67" s="58" t="s">
        <v>134</v>
      </c>
      <c r="CX67" s="58" t="s">
        <v>134</v>
      </c>
      <c r="CY67" s="58" t="s">
        <v>134</v>
      </c>
      <c r="CZ67" s="58" t="s">
        <v>134</v>
      </c>
      <c r="DA67" s="58" t="s">
        <v>134</v>
      </c>
      <c r="DB67" s="58" t="s">
        <v>134</v>
      </c>
      <c r="DC67" s="58" t="s">
        <v>134</v>
      </c>
      <c r="DD67" s="58" t="s">
        <v>134</v>
      </c>
      <c r="DE67" s="58" t="s">
        <v>134</v>
      </c>
      <c r="DF67" s="58" t="s">
        <v>134</v>
      </c>
      <c r="DG67" s="58" t="s">
        <v>134</v>
      </c>
      <c r="DH67" s="58" t="s">
        <v>134</v>
      </c>
      <c r="DI67" s="58" t="s">
        <v>134</v>
      </c>
      <c r="DJ67" s="58" t="s">
        <v>134</v>
      </c>
      <c r="DK67" s="58" t="s">
        <v>134</v>
      </c>
      <c r="DL67" s="58" t="s">
        <v>134</v>
      </c>
      <c r="DM67" s="58" t="s">
        <v>134</v>
      </c>
      <c r="DN67" s="58" t="s">
        <v>134</v>
      </c>
      <c r="DO67" s="58" t="s">
        <v>134</v>
      </c>
      <c r="DP67" s="58" t="s">
        <v>134</v>
      </c>
      <c r="DQ67" s="58" t="s">
        <v>134</v>
      </c>
      <c r="DR67" s="58">
        <v>0.0</v>
      </c>
      <c r="DS67" s="58" t="s">
        <v>134</v>
      </c>
      <c r="DT67" s="58" t="s">
        <v>134</v>
      </c>
      <c r="DU67" s="58" t="s">
        <v>134</v>
      </c>
      <c r="DV67" s="58" t="s">
        <v>134</v>
      </c>
      <c r="DW67" s="58" t="s">
        <v>134</v>
      </c>
      <c r="DX67" s="58" t="s">
        <v>134</v>
      </c>
      <c r="DY67" s="58" t="s">
        <v>134</v>
      </c>
      <c r="DZ67" s="58" t="s">
        <v>134</v>
      </c>
      <c r="EA67" s="58" t="s">
        <v>134</v>
      </c>
      <c r="EB67" s="58" t="s">
        <v>134</v>
      </c>
      <c r="EC67" s="58" t="s">
        <v>134</v>
      </c>
      <c r="ED67" s="58" t="s">
        <v>134</v>
      </c>
      <c r="EE67" s="58" t="s">
        <v>134</v>
      </c>
      <c r="EF67" s="58" t="s">
        <v>134</v>
      </c>
      <c r="EG67" s="58" t="s">
        <v>134</v>
      </c>
      <c r="EH67" s="58" t="s">
        <v>134</v>
      </c>
      <c r="EI67" s="58" t="s">
        <v>134</v>
      </c>
      <c r="EJ67" s="58" t="s">
        <v>134</v>
      </c>
      <c r="EK67" s="58" t="s">
        <v>134</v>
      </c>
      <c r="EL67" s="58" t="s">
        <v>134</v>
      </c>
      <c r="EM67" s="58" t="s">
        <v>134</v>
      </c>
      <c r="EN67" s="58" t="s">
        <v>134</v>
      </c>
      <c r="EO67" s="58">
        <v>0.0</v>
      </c>
      <c r="EP67" s="58">
        <v>0.0</v>
      </c>
      <c r="EQ67" s="58">
        <v>0.0</v>
      </c>
      <c r="ER67" s="58" t="s">
        <v>134</v>
      </c>
      <c r="ES67" s="58" t="s">
        <v>134</v>
      </c>
      <c r="ET67" s="58" t="s">
        <v>134</v>
      </c>
    </row>
    <row r="68">
      <c r="A68" s="58" t="s">
        <v>78</v>
      </c>
      <c r="B68" s="58" t="s">
        <v>134</v>
      </c>
      <c r="C68" s="58" t="s">
        <v>134</v>
      </c>
      <c r="D68" s="58" t="s">
        <v>134</v>
      </c>
      <c r="E68" s="58" t="s">
        <v>134</v>
      </c>
      <c r="F68" s="58" t="s">
        <v>134</v>
      </c>
      <c r="G68" s="58" t="s">
        <v>134</v>
      </c>
      <c r="H68" s="58" t="s">
        <v>134</v>
      </c>
      <c r="I68" s="58">
        <v>0.045</v>
      </c>
      <c r="J68" s="58" t="s">
        <v>134</v>
      </c>
      <c r="K68" s="58">
        <v>0.0</v>
      </c>
      <c r="L68" s="58">
        <v>0.0</v>
      </c>
      <c r="M68" s="58" t="s">
        <v>134</v>
      </c>
      <c r="N68" s="58" t="s">
        <v>134</v>
      </c>
      <c r="O68" s="58" t="s">
        <v>134</v>
      </c>
      <c r="P68" s="58" t="s">
        <v>134</v>
      </c>
      <c r="Q68" s="58" t="s">
        <v>134</v>
      </c>
      <c r="R68" s="58" t="s">
        <v>134</v>
      </c>
      <c r="S68" s="58" t="s">
        <v>134</v>
      </c>
      <c r="T68" s="58" t="s">
        <v>134</v>
      </c>
      <c r="U68" s="58" t="s">
        <v>134</v>
      </c>
      <c r="V68" s="58" t="s">
        <v>134</v>
      </c>
      <c r="W68" s="58" t="s">
        <v>134</v>
      </c>
      <c r="X68" s="58" t="s">
        <v>134</v>
      </c>
      <c r="Y68" s="58" t="s">
        <v>134</v>
      </c>
      <c r="Z68" s="58" t="s">
        <v>134</v>
      </c>
      <c r="AA68" s="58" t="s">
        <v>134</v>
      </c>
      <c r="AB68" s="58" t="s">
        <v>134</v>
      </c>
      <c r="AC68" s="58" t="s">
        <v>134</v>
      </c>
      <c r="AD68" s="58" t="s">
        <v>134</v>
      </c>
      <c r="AE68" s="58" t="s">
        <v>134</v>
      </c>
      <c r="AF68" s="58" t="s">
        <v>134</v>
      </c>
      <c r="AG68" s="58" t="s">
        <v>134</v>
      </c>
      <c r="AH68" s="58" t="s">
        <v>134</v>
      </c>
      <c r="AI68" s="58" t="s">
        <v>134</v>
      </c>
      <c r="AJ68" s="58" t="s">
        <v>134</v>
      </c>
      <c r="AK68" s="58" t="s">
        <v>134</v>
      </c>
      <c r="AL68" s="58" t="s">
        <v>134</v>
      </c>
      <c r="AM68" s="58" t="s">
        <v>134</v>
      </c>
      <c r="AN68" s="58">
        <v>0.0</v>
      </c>
      <c r="AO68" s="58" t="s">
        <v>134</v>
      </c>
      <c r="AP68" s="58" t="s">
        <v>134</v>
      </c>
      <c r="AQ68" s="58" t="s">
        <v>134</v>
      </c>
      <c r="AR68" s="58" t="s">
        <v>134</v>
      </c>
      <c r="AS68" s="58" t="s">
        <v>134</v>
      </c>
      <c r="AT68" s="58" t="s">
        <v>134</v>
      </c>
      <c r="AU68" s="58" t="s">
        <v>134</v>
      </c>
      <c r="AV68" s="58" t="s">
        <v>134</v>
      </c>
      <c r="AW68" s="58" t="s">
        <v>134</v>
      </c>
      <c r="AX68" s="58" t="s">
        <v>134</v>
      </c>
      <c r="AY68" s="58" t="s">
        <v>134</v>
      </c>
      <c r="AZ68" s="58" t="s">
        <v>134</v>
      </c>
      <c r="BA68" s="58" t="s">
        <v>134</v>
      </c>
      <c r="BB68" s="58" t="s">
        <v>134</v>
      </c>
      <c r="BC68" s="58" t="s">
        <v>134</v>
      </c>
      <c r="BD68" s="58" t="s">
        <v>134</v>
      </c>
      <c r="BE68" s="58" t="s">
        <v>134</v>
      </c>
      <c r="BF68" s="58" t="s">
        <v>134</v>
      </c>
      <c r="BG68" s="58" t="s">
        <v>134</v>
      </c>
      <c r="BH68" s="58" t="s">
        <v>134</v>
      </c>
      <c r="BI68" s="58" t="s">
        <v>134</v>
      </c>
      <c r="BJ68" s="58" t="s">
        <v>134</v>
      </c>
      <c r="BK68" s="58" t="s">
        <v>134</v>
      </c>
      <c r="BL68" s="58" t="s">
        <v>134</v>
      </c>
      <c r="BM68" s="58" t="s">
        <v>134</v>
      </c>
      <c r="BN68" s="58" t="s">
        <v>134</v>
      </c>
      <c r="BO68" s="58" t="s">
        <v>134</v>
      </c>
      <c r="BP68" s="58" t="s">
        <v>134</v>
      </c>
      <c r="BQ68" s="58" t="s">
        <v>134</v>
      </c>
      <c r="BR68" s="58" t="s">
        <v>134</v>
      </c>
      <c r="BS68" s="58" t="s">
        <v>134</v>
      </c>
      <c r="BT68" s="58" t="s">
        <v>134</v>
      </c>
      <c r="BU68" s="58" t="s">
        <v>134</v>
      </c>
      <c r="BV68" s="58" t="s">
        <v>134</v>
      </c>
      <c r="BW68" s="58" t="s">
        <v>134</v>
      </c>
      <c r="BX68" s="58" t="s">
        <v>134</v>
      </c>
      <c r="BY68" s="58" t="s">
        <v>134</v>
      </c>
      <c r="BZ68" s="58" t="s">
        <v>134</v>
      </c>
      <c r="CA68" s="58" t="s">
        <v>134</v>
      </c>
      <c r="CB68" s="58" t="s">
        <v>134</v>
      </c>
      <c r="CC68" s="58" t="s">
        <v>134</v>
      </c>
      <c r="CD68" s="58" t="s">
        <v>134</v>
      </c>
      <c r="CE68" s="58" t="s">
        <v>134</v>
      </c>
      <c r="CF68" s="58" t="s">
        <v>134</v>
      </c>
      <c r="CG68" s="58" t="s">
        <v>134</v>
      </c>
      <c r="CH68" s="58" t="s">
        <v>134</v>
      </c>
      <c r="CI68" s="58" t="s">
        <v>134</v>
      </c>
      <c r="CJ68" s="58" t="s">
        <v>134</v>
      </c>
      <c r="CK68" s="58" t="s">
        <v>134</v>
      </c>
      <c r="CL68" s="58" t="s">
        <v>134</v>
      </c>
      <c r="CM68" s="58" t="s">
        <v>134</v>
      </c>
      <c r="CN68" s="58" t="s">
        <v>134</v>
      </c>
      <c r="CO68" s="58" t="s">
        <v>134</v>
      </c>
      <c r="CP68" s="58" t="s">
        <v>134</v>
      </c>
      <c r="CQ68" s="58" t="s">
        <v>134</v>
      </c>
      <c r="CR68" s="58" t="s">
        <v>134</v>
      </c>
      <c r="CS68" s="58" t="s">
        <v>134</v>
      </c>
      <c r="CT68" s="58" t="s">
        <v>134</v>
      </c>
      <c r="CU68" s="58" t="s">
        <v>134</v>
      </c>
      <c r="CV68" s="58" t="s">
        <v>134</v>
      </c>
      <c r="CW68" s="58" t="s">
        <v>134</v>
      </c>
      <c r="CX68" s="58" t="s">
        <v>134</v>
      </c>
      <c r="CY68" s="58" t="s">
        <v>134</v>
      </c>
      <c r="CZ68" s="58" t="s">
        <v>134</v>
      </c>
      <c r="DA68" s="58" t="s">
        <v>134</v>
      </c>
      <c r="DB68" s="58" t="s">
        <v>134</v>
      </c>
      <c r="DC68" s="58" t="s">
        <v>134</v>
      </c>
      <c r="DD68" s="58" t="s">
        <v>134</v>
      </c>
      <c r="DE68" s="58" t="s">
        <v>134</v>
      </c>
      <c r="DF68" s="58" t="s">
        <v>134</v>
      </c>
      <c r="DG68" s="58" t="s">
        <v>134</v>
      </c>
      <c r="DH68" s="58" t="s">
        <v>134</v>
      </c>
      <c r="DI68" s="58" t="s">
        <v>134</v>
      </c>
      <c r="DJ68" s="58" t="s">
        <v>134</v>
      </c>
      <c r="DK68" s="58" t="s">
        <v>134</v>
      </c>
      <c r="DL68" s="58" t="s">
        <v>134</v>
      </c>
      <c r="DM68" s="58" t="s">
        <v>134</v>
      </c>
      <c r="DN68" s="58" t="s">
        <v>134</v>
      </c>
      <c r="DO68" s="58" t="s">
        <v>134</v>
      </c>
      <c r="DP68" s="58" t="s">
        <v>134</v>
      </c>
      <c r="DQ68" s="58" t="s">
        <v>134</v>
      </c>
      <c r="DR68" s="58">
        <v>0.0</v>
      </c>
      <c r="DS68" s="58" t="s">
        <v>134</v>
      </c>
      <c r="DT68" s="58" t="s">
        <v>134</v>
      </c>
      <c r="DU68" s="58" t="s">
        <v>134</v>
      </c>
      <c r="DV68" s="58" t="s">
        <v>134</v>
      </c>
      <c r="DW68" s="58" t="s">
        <v>134</v>
      </c>
      <c r="DX68" s="58" t="s">
        <v>134</v>
      </c>
      <c r="DY68" s="58" t="s">
        <v>134</v>
      </c>
      <c r="DZ68" s="58" t="s">
        <v>134</v>
      </c>
      <c r="EA68" s="58" t="s">
        <v>134</v>
      </c>
      <c r="EB68" s="58" t="s">
        <v>134</v>
      </c>
      <c r="EC68" s="58" t="s">
        <v>134</v>
      </c>
      <c r="ED68" s="58" t="s">
        <v>134</v>
      </c>
      <c r="EE68" s="58" t="s">
        <v>134</v>
      </c>
      <c r="EF68" s="58" t="s">
        <v>134</v>
      </c>
      <c r="EG68" s="58" t="s">
        <v>134</v>
      </c>
      <c r="EH68" s="58" t="s">
        <v>134</v>
      </c>
      <c r="EI68" s="58" t="s">
        <v>134</v>
      </c>
      <c r="EJ68" s="58" t="s">
        <v>134</v>
      </c>
      <c r="EK68" s="58" t="s">
        <v>134</v>
      </c>
      <c r="EL68" s="58" t="s">
        <v>134</v>
      </c>
      <c r="EM68" s="58" t="s">
        <v>134</v>
      </c>
      <c r="EN68" s="58" t="s">
        <v>134</v>
      </c>
      <c r="EO68" s="58">
        <v>0.0</v>
      </c>
      <c r="EP68" s="58">
        <v>0.0</v>
      </c>
      <c r="EQ68" s="58">
        <v>0.0</v>
      </c>
      <c r="ER68" s="58" t="s">
        <v>134</v>
      </c>
      <c r="ES68" s="58" t="s">
        <v>134</v>
      </c>
      <c r="ET68" s="58" t="s">
        <v>134</v>
      </c>
    </row>
    <row r="69">
      <c r="A69" s="58" t="s">
        <v>106</v>
      </c>
      <c r="B69" s="58" t="s">
        <v>134</v>
      </c>
      <c r="C69" s="58" t="s">
        <v>134</v>
      </c>
      <c r="D69" s="58" t="s">
        <v>134</v>
      </c>
      <c r="E69" s="58" t="s">
        <v>134</v>
      </c>
      <c r="F69" s="58" t="s">
        <v>134</v>
      </c>
      <c r="G69" s="58" t="s">
        <v>134</v>
      </c>
      <c r="H69" s="58" t="s">
        <v>134</v>
      </c>
      <c r="I69" s="58" t="s">
        <v>134</v>
      </c>
      <c r="J69" s="58" t="s">
        <v>134</v>
      </c>
      <c r="K69" s="58">
        <v>0.0</v>
      </c>
      <c r="L69" s="58">
        <v>0.0</v>
      </c>
      <c r="M69" s="58" t="s">
        <v>134</v>
      </c>
      <c r="N69" s="58" t="s">
        <v>134</v>
      </c>
      <c r="O69" s="58" t="s">
        <v>134</v>
      </c>
      <c r="P69" s="58" t="s">
        <v>134</v>
      </c>
      <c r="Q69" s="58" t="s">
        <v>134</v>
      </c>
      <c r="R69" s="58" t="s">
        <v>134</v>
      </c>
      <c r="S69" s="58" t="s">
        <v>134</v>
      </c>
      <c r="T69" s="58" t="s">
        <v>134</v>
      </c>
      <c r="U69" s="58" t="s">
        <v>134</v>
      </c>
      <c r="V69" s="58" t="s">
        <v>134</v>
      </c>
      <c r="W69" s="58" t="s">
        <v>134</v>
      </c>
      <c r="X69" s="58" t="s">
        <v>134</v>
      </c>
      <c r="Y69" s="58" t="s">
        <v>134</v>
      </c>
      <c r="Z69" s="58" t="s">
        <v>134</v>
      </c>
      <c r="AA69" s="58" t="s">
        <v>134</v>
      </c>
      <c r="AB69" s="58" t="s">
        <v>134</v>
      </c>
      <c r="AC69" s="58" t="s">
        <v>134</v>
      </c>
      <c r="AD69" s="58" t="s">
        <v>134</v>
      </c>
      <c r="AE69" s="58" t="s">
        <v>134</v>
      </c>
      <c r="AF69" s="58" t="s">
        <v>134</v>
      </c>
      <c r="AG69" s="58" t="s">
        <v>134</v>
      </c>
      <c r="AH69" s="58" t="s">
        <v>134</v>
      </c>
      <c r="AI69" s="58" t="s">
        <v>134</v>
      </c>
      <c r="AJ69" s="58" t="s">
        <v>134</v>
      </c>
      <c r="AK69" s="58" t="s">
        <v>134</v>
      </c>
      <c r="AL69" s="58" t="s">
        <v>134</v>
      </c>
      <c r="AM69" s="58" t="s">
        <v>134</v>
      </c>
      <c r="AN69" s="58">
        <v>0.0</v>
      </c>
      <c r="AO69" s="58" t="s">
        <v>134</v>
      </c>
      <c r="AP69" s="58" t="s">
        <v>134</v>
      </c>
      <c r="AQ69" s="58" t="s">
        <v>134</v>
      </c>
      <c r="AR69" s="58" t="s">
        <v>134</v>
      </c>
      <c r="AS69" s="58" t="s">
        <v>134</v>
      </c>
      <c r="AT69" s="58" t="s">
        <v>134</v>
      </c>
      <c r="AU69" s="58" t="s">
        <v>134</v>
      </c>
      <c r="AV69" s="58" t="s">
        <v>134</v>
      </c>
      <c r="AW69" s="58" t="s">
        <v>134</v>
      </c>
      <c r="AX69" s="58" t="s">
        <v>134</v>
      </c>
      <c r="AY69" s="58" t="s">
        <v>134</v>
      </c>
      <c r="AZ69" s="58" t="s">
        <v>134</v>
      </c>
      <c r="BA69" s="58" t="s">
        <v>134</v>
      </c>
      <c r="BB69" s="58" t="s">
        <v>134</v>
      </c>
      <c r="BC69" s="58" t="s">
        <v>134</v>
      </c>
      <c r="BD69" s="58" t="s">
        <v>134</v>
      </c>
      <c r="BE69" s="58" t="s">
        <v>134</v>
      </c>
      <c r="BF69" s="58" t="s">
        <v>134</v>
      </c>
      <c r="BG69" s="58" t="s">
        <v>134</v>
      </c>
      <c r="BH69" s="58" t="s">
        <v>134</v>
      </c>
      <c r="BI69" s="58" t="s">
        <v>134</v>
      </c>
      <c r="BJ69" s="58" t="s">
        <v>134</v>
      </c>
      <c r="BK69" s="58" t="s">
        <v>134</v>
      </c>
      <c r="BL69" s="58" t="s">
        <v>134</v>
      </c>
      <c r="BM69" s="58" t="s">
        <v>134</v>
      </c>
      <c r="BN69" s="58" t="s">
        <v>134</v>
      </c>
      <c r="BO69" s="58" t="s">
        <v>134</v>
      </c>
      <c r="BP69" s="58" t="s">
        <v>134</v>
      </c>
      <c r="BQ69" s="58" t="s">
        <v>134</v>
      </c>
      <c r="BR69" s="58" t="s">
        <v>134</v>
      </c>
      <c r="BS69" s="58" t="s">
        <v>134</v>
      </c>
      <c r="BT69" s="58" t="s">
        <v>134</v>
      </c>
      <c r="BU69" s="58" t="s">
        <v>134</v>
      </c>
      <c r="BV69" s="58" t="s">
        <v>134</v>
      </c>
      <c r="BW69" s="58" t="s">
        <v>134</v>
      </c>
      <c r="BX69" s="58" t="s">
        <v>134</v>
      </c>
      <c r="BY69" s="58" t="s">
        <v>134</v>
      </c>
      <c r="BZ69" s="58" t="s">
        <v>134</v>
      </c>
      <c r="CA69" s="58" t="s">
        <v>134</v>
      </c>
      <c r="CB69" s="58" t="s">
        <v>134</v>
      </c>
      <c r="CC69" s="58" t="s">
        <v>134</v>
      </c>
      <c r="CD69" s="58" t="s">
        <v>134</v>
      </c>
      <c r="CE69" s="58" t="s">
        <v>134</v>
      </c>
      <c r="CF69" s="58" t="s">
        <v>134</v>
      </c>
      <c r="CG69" s="58" t="s">
        <v>134</v>
      </c>
      <c r="CH69" s="58" t="s">
        <v>134</v>
      </c>
      <c r="CI69" s="58" t="s">
        <v>134</v>
      </c>
      <c r="CJ69" s="58" t="s">
        <v>134</v>
      </c>
      <c r="CK69" s="58" t="s">
        <v>134</v>
      </c>
      <c r="CL69" s="58" t="s">
        <v>134</v>
      </c>
      <c r="CM69" s="58" t="s">
        <v>134</v>
      </c>
      <c r="CN69" s="58" t="s">
        <v>134</v>
      </c>
      <c r="CO69" s="58" t="s">
        <v>134</v>
      </c>
      <c r="CP69" s="58" t="s">
        <v>134</v>
      </c>
      <c r="CQ69" s="58" t="s">
        <v>134</v>
      </c>
      <c r="CR69" s="58" t="s">
        <v>134</v>
      </c>
      <c r="CS69" s="58" t="s">
        <v>134</v>
      </c>
      <c r="CT69" s="58" t="s">
        <v>134</v>
      </c>
      <c r="CU69" s="58" t="s">
        <v>134</v>
      </c>
      <c r="CV69" s="58" t="s">
        <v>134</v>
      </c>
      <c r="CW69" s="58" t="s">
        <v>134</v>
      </c>
      <c r="CX69" s="58" t="s">
        <v>134</v>
      </c>
      <c r="CY69" s="58" t="s">
        <v>134</v>
      </c>
      <c r="CZ69" s="58" t="s">
        <v>134</v>
      </c>
      <c r="DA69" s="58" t="s">
        <v>134</v>
      </c>
      <c r="DB69" s="58" t="s">
        <v>134</v>
      </c>
      <c r="DC69" s="58" t="s">
        <v>134</v>
      </c>
      <c r="DD69" s="58" t="s">
        <v>134</v>
      </c>
      <c r="DE69" s="58" t="s">
        <v>134</v>
      </c>
      <c r="DF69" s="58" t="s">
        <v>134</v>
      </c>
      <c r="DG69" s="58" t="s">
        <v>134</v>
      </c>
      <c r="DH69" s="58" t="s">
        <v>134</v>
      </c>
      <c r="DI69" s="58" t="s">
        <v>134</v>
      </c>
      <c r="DJ69" s="58" t="s">
        <v>134</v>
      </c>
      <c r="DK69" s="58" t="s">
        <v>134</v>
      </c>
      <c r="DL69" s="58" t="s">
        <v>134</v>
      </c>
      <c r="DM69" s="58" t="s">
        <v>134</v>
      </c>
      <c r="DN69" s="58" t="s">
        <v>134</v>
      </c>
      <c r="DO69" s="58" t="s">
        <v>134</v>
      </c>
      <c r="DP69" s="58" t="s">
        <v>134</v>
      </c>
      <c r="DQ69" s="58" t="s">
        <v>134</v>
      </c>
      <c r="DR69" s="58">
        <v>0.0</v>
      </c>
      <c r="DS69" s="58" t="s">
        <v>134</v>
      </c>
      <c r="DT69" s="58" t="s">
        <v>134</v>
      </c>
      <c r="DU69" s="58" t="s">
        <v>134</v>
      </c>
      <c r="DV69" s="58" t="s">
        <v>134</v>
      </c>
      <c r="DW69" s="58" t="s">
        <v>134</v>
      </c>
      <c r="DX69" s="58" t="s">
        <v>134</v>
      </c>
      <c r="DY69" s="58" t="s">
        <v>134</v>
      </c>
      <c r="DZ69" s="58" t="s">
        <v>134</v>
      </c>
      <c r="EA69" s="58" t="s">
        <v>134</v>
      </c>
      <c r="EB69" s="58" t="s">
        <v>134</v>
      </c>
      <c r="EC69" s="58" t="s">
        <v>134</v>
      </c>
      <c r="ED69" s="58" t="s">
        <v>134</v>
      </c>
      <c r="EE69" s="58" t="s">
        <v>134</v>
      </c>
      <c r="EF69" s="58" t="s">
        <v>134</v>
      </c>
      <c r="EG69" s="58" t="s">
        <v>134</v>
      </c>
      <c r="EH69" s="58" t="s">
        <v>134</v>
      </c>
      <c r="EI69" s="58" t="s">
        <v>134</v>
      </c>
      <c r="EJ69" s="58" t="s">
        <v>134</v>
      </c>
      <c r="EK69" s="58" t="s">
        <v>134</v>
      </c>
      <c r="EL69" s="58" t="s">
        <v>134</v>
      </c>
      <c r="EM69" s="58" t="s">
        <v>134</v>
      </c>
      <c r="EN69" s="58" t="s">
        <v>134</v>
      </c>
      <c r="EO69" s="58">
        <v>0.0</v>
      </c>
      <c r="EP69" s="58">
        <v>0.0</v>
      </c>
      <c r="EQ69" s="58">
        <v>0.0</v>
      </c>
      <c r="ER69" s="58" t="s">
        <v>134</v>
      </c>
      <c r="ES69" s="58" t="s">
        <v>134</v>
      </c>
      <c r="ET69" s="58" t="s">
        <v>134</v>
      </c>
    </row>
    <row r="70">
      <c r="A70" s="58" t="s">
        <v>233</v>
      </c>
      <c r="B70" s="58" t="s">
        <v>134</v>
      </c>
      <c r="C70" s="58" t="s">
        <v>134</v>
      </c>
      <c r="D70" s="58" t="s">
        <v>134</v>
      </c>
      <c r="E70" s="58" t="s">
        <v>134</v>
      </c>
      <c r="F70" s="58" t="s">
        <v>134</v>
      </c>
      <c r="G70" s="58" t="s">
        <v>134</v>
      </c>
      <c r="H70" s="58" t="s">
        <v>134</v>
      </c>
      <c r="I70" s="58" t="s">
        <v>134</v>
      </c>
      <c r="J70" s="58" t="s">
        <v>134</v>
      </c>
      <c r="K70" s="58">
        <v>0.0</v>
      </c>
      <c r="L70" s="58">
        <v>0.0</v>
      </c>
      <c r="M70" s="58" t="s">
        <v>134</v>
      </c>
      <c r="N70" s="58" t="s">
        <v>134</v>
      </c>
      <c r="O70" s="58" t="s">
        <v>134</v>
      </c>
      <c r="P70" s="58" t="s">
        <v>134</v>
      </c>
      <c r="Q70" s="58" t="s">
        <v>134</v>
      </c>
      <c r="R70" s="58" t="s">
        <v>134</v>
      </c>
      <c r="S70" s="58" t="s">
        <v>134</v>
      </c>
      <c r="T70" s="58" t="s">
        <v>134</v>
      </c>
      <c r="U70" s="58" t="s">
        <v>134</v>
      </c>
      <c r="V70" s="58" t="s">
        <v>134</v>
      </c>
      <c r="W70" s="58" t="s">
        <v>134</v>
      </c>
      <c r="X70" s="58" t="s">
        <v>134</v>
      </c>
      <c r="Y70" s="58" t="s">
        <v>134</v>
      </c>
      <c r="Z70" s="58" t="s">
        <v>134</v>
      </c>
      <c r="AA70" s="58" t="s">
        <v>134</v>
      </c>
      <c r="AB70" s="58" t="s">
        <v>134</v>
      </c>
      <c r="AC70" s="58" t="s">
        <v>134</v>
      </c>
      <c r="AD70" s="58" t="s">
        <v>134</v>
      </c>
      <c r="AE70" s="58" t="s">
        <v>134</v>
      </c>
      <c r="AF70" s="58" t="s">
        <v>134</v>
      </c>
      <c r="AG70" s="58" t="s">
        <v>134</v>
      </c>
      <c r="AH70" s="58" t="s">
        <v>134</v>
      </c>
      <c r="AI70" s="58" t="s">
        <v>134</v>
      </c>
      <c r="AJ70" s="58" t="s">
        <v>134</v>
      </c>
      <c r="AK70" s="58" t="s">
        <v>134</v>
      </c>
      <c r="AL70" s="58" t="s">
        <v>134</v>
      </c>
      <c r="AM70" s="58" t="s">
        <v>134</v>
      </c>
      <c r="AN70" s="58">
        <v>0.0</v>
      </c>
      <c r="AO70" s="58" t="s">
        <v>134</v>
      </c>
      <c r="AP70" s="58" t="s">
        <v>134</v>
      </c>
      <c r="AQ70" s="58" t="s">
        <v>134</v>
      </c>
      <c r="AR70" s="58" t="s">
        <v>134</v>
      </c>
      <c r="AS70" s="58" t="s">
        <v>134</v>
      </c>
      <c r="AT70" s="58" t="s">
        <v>134</v>
      </c>
      <c r="AU70" s="58" t="s">
        <v>134</v>
      </c>
      <c r="AV70" s="58" t="s">
        <v>134</v>
      </c>
      <c r="AW70" s="58" t="s">
        <v>134</v>
      </c>
      <c r="AX70" s="58" t="s">
        <v>134</v>
      </c>
      <c r="AY70" s="58" t="s">
        <v>134</v>
      </c>
      <c r="AZ70" s="58" t="s">
        <v>134</v>
      </c>
      <c r="BA70" s="58" t="s">
        <v>134</v>
      </c>
      <c r="BB70" s="58" t="s">
        <v>134</v>
      </c>
      <c r="BC70" s="58" t="s">
        <v>134</v>
      </c>
      <c r="BD70" s="58" t="s">
        <v>134</v>
      </c>
      <c r="BE70" s="58" t="s">
        <v>134</v>
      </c>
      <c r="BF70" s="58" t="s">
        <v>134</v>
      </c>
      <c r="BG70" s="58" t="s">
        <v>134</v>
      </c>
      <c r="BH70" s="58" t="s">
        <v>134</v>
      </c>
      <c r="BI70" s="58" t="s">
        <v>134</v>
      </c>
      <c r="BJ70" s="58" t="s">
        <v>134</v>
      </c>
      <c r="BK70" s="58" t="s">
        <v>134</v>
      </c>
      <c r="BL70" s="58" t="s">
        <v>134</v>
      </c>
      <c r="BM70" s="58" t="s">
        <v>134</v>
      </c>
      <c r="BN70" s="58" t="s">
        <v>134</v>
      </c>
      <c r="BO70" s="58" t="s">
        <v>134</v>
      </c>
      <c r="BP70" s="58" t="s">
        <v>134</v>
      </c>
      <c r="BQ70" s="58" t="s">
        <v>134</v>
      </c>
      <c r="BR70" s="58" t="s">
        <v>134</v>
      </c>
      <c r="BS70" s="58" t="s">
        <v>134</v>
      </c>
      <c r="BT70" s="58" t="s">
        <v>134</v>
      </c>
      <c r="BU70" s="58" t="s">
        <v>134</v>
      </c>
      <c r="BV70" s="58" t="s">
        <v>134</v>
      </c>
      <c r="BW70" s="58" t="s">
        <v>134</v>
      </c>
      <c r="BX70" s="58" t="s">
        <v>134</v>
      </c>
      <c r="BY70" s="58" t="s">
        <v>134</v>
      </c>
      <c r="BZ70" s="58" t="s">
        <v>134</v>
      </c>
      <c r="CA70" s="58" t="s">
        <v>134</v>
      </c>
      <c r="CB70" s="58" t="s">
        <v>134</v>
      </c>
      <c r="CC70" s="58" t="s">
        <v>134</v>
      </c>
      <c r="CD70" s="58" t="s">
        <v>134</v>
      </c>
      <c r="CE70" s="58" t="s">
        <v>134</v>
      </c>
      <c r="CF70" s="58" t="s">
        <v>134</v>
      </c>
      <c r="CG70" s="58" t="s">
        <v>134</v>
      </c>
      <c r="CH70" s="58" t="s">
        <v>134</v>
      </c>
      <c r="CI70" s="58" t="s">
        <v>134</v>
      </c>
      <c r="CJ70" s="58" t="s">
        <v>134</v>
      </c>
      <c r="CK70" s="58" t="s">
        <v>134</v>
      </c>
      <c r="CL70" s="58" t="s">
        <v>134</v>
      </c>
      <c r="CM70" s="58" t="s">
        <v>134</v>
      </c>
      <c r="CN70" s="58" t="s">
        <v>134</v>
      </c>
      <c r="CO70" s="58" t="s">
        <v>134</v>
      </c>
      <c r="CP70" s="58" t="s">
        <v>134</v>
      </c>
      <c r="CQ70" s="58" t="s">
        <v>134</v>
      </c>
      <c r="CR70" s="58" t="s">
        <v>134</v>
      </c>
      <c r="CS70" s="58" t="s">
        <v>134</v>
      </c>
      <c r="CT70" s="58" t="s">
        <v>134</v>
      </c>
      <c r="CU70" s="58" t="s">
        <v>134</v>
      </c>
      <c r="CV70" s="58" t="s">
        <v>134</v>
      </c>
      <c r="CW70" s="58" t="s">
        <v>134</v>
      </c>
      <c r="CX70" s="58" t="s">
        <v>134</v>
      </c>
      <c r="CY70" s="58" t="s">
        <v>134</v>
      </c>
      <c r="CZ70" s="58" t="s">
        <v>134</v>
      </c>
      <c r="DA70" s="58" t="s">
        <v>134</v>
      </c>
      <c r="DB70" s="58" t="s">
        <v>134</v>
      </c>
      <c r="DC70" s="58" t="s">
        <v>134</v>
      </c>
      <c r="DD70" s="58" t="s">
        <v>134</v>
      </c>
      <c r="DE70" s="58" t="s">
        <v>134</v>
      </c>
      <c r="DF70" s="58" t="s">
        <v>134</v>
      </c>
      <c r="DG70" s="58" t="s">
        <v>134</v>
      </c>
      <c r="DH70" s="58" t="s">
        <v>134</v>
      </c>
      <c r="DI70" s="58" t="s">
        <v>134</v>
      </c>
      <c r="DJ70" s="58" t="s">
        <v>134</v>
      </c>
      <c r="DK70" s="58" t="s">
        <v>134</v>
      </c>
      <c r="DL70" s="58" t="s">
        <v>134</v>
      </c>
      <c r="DM70" s="58" t="s">
        <v>134</v>
      </c>
      <c r="DN70" s="58" t="s">
        <v>134</v>
      </c>
      <c r="DO70" s="58" t="s">
        <v>134</v>
      </c>
      <c r="DP70" s="58" t="s">
        <v>134</v>
      </c>
      <c r="DQ70" s="58" t="s">
        <v>134</v>
      </c>
      <c r="DR70" s="58">
        <v>0.0</v>
      </c>
      <c r="DS70" s="58" t="s">
        <v>134</v>
      </c>
      <c r="DT70" s="58" t="s">
        <v>134</v>
      </c>
      <c r="DU70" s="58" t="s">
        <v>134</v>
      </c>
      <c r="DV70" s="58" t="s">
        <v>134</v>
      </c>
      <c r="DW70" s="58" t="s">
        <v>134</v>
      </c>
      <c r="DX70" s="58" t="s">
        <v>134</v>
      </c>
      <c r="DY70" s="58" t="s">
        <v>134</v>
      </c>
      <c r="DZ70" s="58" t="s">
        <v>134</v>
      </c>
      <c r="EA70" s="58" t="s">
        <v>134</v>
      </c>
      <c r="EB70" s="58" t="s">
        <v>134</v>
      </c>
      <c r="EC70" s="58" t="s">
        <v>134</v>
      </c>
      <c r="ED70" s="58" t="s">
        <v>134</v>
      </c>
      <c r="EE70" s="58" t="s">
        <v>134</v>
      </c>
      <c r="EF70" s="58" t="s">
        <v>134</v>
      </c>
      <c r="EG70" s="58" t="s">
        <v>134</v>
      </c>
      <c r="EH70" s="58" t="s">
        <v>134</v>
      </c>
      <c r="EI70" s="58" t="s">
        <v>134</v>
      </c>
      <c r="EJ70" s="58" t="s">
        <v>134</v>
      </c>
      <c r="EK70" s="58" t="s">
        <v>134</v>
      </c>
      <c r="EL70" s="58" t="s">
        <v>134</v>
      </c>
      <c r="EM70" s="58" t="s">
        <v>134</v>
      </c>
      <c r="EN70" s="58" t="s">
        <v>134</v>
      </c>
      <c r="EO70" s="58">
        <v>0.0</v>
      </c>
      <c r="EP70" s="58">
        <v>0.0</v>
      </c>
      <c r="EQ70" s="58">
        <v>0.0</v>
      </c>
      <c r="ER70" s="58" t="s">
        <v>134</v>
      </c>
      <c r="ES70" s="58" t="s">
        <v>134</v>
      </c>
      <c r="ET70" s="58" t="s">
        <v>134</v>
      </c>
    </row>
    <row r="71">
      <c r="A71" s="58" t="s">
        <v>244</v>
      </c>
      <c r="B71" s="58" t="s">
        <v>134</v>
      </c>
      <c r="C71" s="58" t="s">
        <v>134</v>
      </c>
      <c r="D71" s="58" t="s">
        <v>134</v>
      </c>
      <c r="E71" s="58" t="s">
        <v>134</v>
      </c>
      <c r="F71" s="58" t="s">
        <v>134</v>
      </c>
      <c r="G71" s="58" t="s">
        <v>134</v>
      </c>
      <c r="H71" s="58" t="s">
        <v>134</v>
      </c>
      <c r="I71" s="58" t="s">
        <v>134</v>
      </c>
      <c r="J71" s="58" t="s">
        <v>134</v>
      </c>
      <c r="K71" s="58">
        <v>0.0</v>
      </c>
      <c r="L71" s="58">
        <v>0.0</v>
      </c>
      <c r="M71" s="58" t="s">
        <v>134</v>
      </c>
      <c r="N71" s="58" t="s">
        <v>134</v>
      </c>
      <c r="O71" s="58" t="s">
        <v>134</v>
      </c>
      <c r="P71" s="58" t="s">
        <v>134</v>
      </c>
      <c r="Q71" s="58" t="s">
        <v>134</v>
      </c>
      <c r="R71" s="58" t="s">
        <v>134</v>
      </c>
      <c r="S71" s="58" t="s">
        <v>134</v>
      </c>
      <c r="T71" s="58" t="s">
        <v>134</v>
      </c>
      <c r="U71" s="58" t="s">
        <v>134</v>
      </c>
      <c r="V71" s="58" t="s">
        <v>134</v>
      </c>
      <c r="W71" s="58" t="s">
        <v>134</v>
      </c>
      <c r="X71" s="58" t="s">
        <v>134</v>
      </c>
      <c r="Y71" s="58" t="s">
        <v>134</v>
      </c>
      <c r="Z71" s="58" t="s">
        <v>134</v>
      </c>
      <c r="AA71" s="58" t="s">
        <v>134</v>
      </c>
      <c r="AB71" s="58" t="s">
        <v>134</v>
      </c>
      <c r="AC71" s="58" t="s">
        <v>134</v>
      </c>
      <c r="AD71" s="58" t="s">
        <v>134</v>
      </c>
      <c r="AE71" s="58" t="s">
        <v>134</v>
      </c>
      <c r="AF71" s="58" t="s">
        <v>134</v>
      </c>
      <c r="AG71" s="58" t="s">
        <v>134</v>
      </c>
      <c r="AH71" s="58" t="s">
        <v>134</v>
      </c>
      <c r="AI71" s="58" t="s">
        <v>134</v>
      </c>
      <c r="AJ71" s="58" t="s">
        <v>134</v>
      </c>
      <c r="AK71" s="58" t="s">
        <v>134</v>
      </c>
      <c r="AL71" s="58" t="s">
        <v>134</v>
      </c>
      <c r="AM71" s="58" t="s">
        <v>134</v>
      </c>
      <c r="AN71" s="58" t="s">
        <v>134</v>
      </c>
      <c r="AO71" s="58" t="s">
        <v>134</v>
      </c>
      <c r="AP71" s="58" t="s">
        <v>134</v>
      </c>
      <c r="AQ71" s="58" t="s">
        <v>134</v>
      </c>
      <c r="AR71" s="58" t="s">
        <v>134</v>
      </c>
      <c r="AS71" s="58" t="s">
        <v>134</v>
      </c>
      <c r="AT71" s="58" t="s">
        <v>134</v>
      </c>
      <c r="AU71" s="58" t="s">
        <v>134</v>
      </c>
      <c r="AV71" s="58" t="s">
        <v>134</v>
      </c>
      <c r="AW71" s="58" t="s">
        <v>134</v>
      </c>
      <c r="AX71" s="58" t="s">
        <v>134</v>
      </c>
      <c r="AY71" s="58" t="s">
        <v>134</v>
      </c>
      <c r="AZ71" s="58" t="s">
        <v>134</v>
      </c>
      <c r="BA71" s="58" t="s">
        <v>134</v>
      </c>
      <c r="BB71" s="58" t="s">
        <v>134</v>
      </c>
      <c r="BC71" s="58" t="s">
        <v>134</v>
      </c>
      <c r="BD71" s="58" t="s">
        <v>134</v>
      </c>
      <c r="BE71" s="58" t="s">
        <v>134</v>
      </c>
      <c r="BF71" s="58" t="s">
        <v>134</v>
      </c>
      <c r="BG71" s="58" t="s">
        <v>134</v>
      </c>
      <c r="BH71" s="58" t="s">
        <v>134</v>
      </c>
      <c r="BI71" s="58" t="s">
        <v>134</v>
      </c>
      <c r="BJ71" s="58" t="s">
        <v>134</v>
      </c>
      <c r="BK71" s="58" t="s">
        <v>134</v>
      </c>
      <c r="BL71" s="58" t="s">
        <v>134</v>
      </c>
      <c r="BM71" s="58" t="s">
        <v>134</v>
      </c>
      <c r="BN71" s="58" t="s">
        <v>134</v>
      </c>
      <c r="BO71" s="58" t="s">
        <v>134</v>
      </c>
      <c r="BP71" s="58" t="s">
        <v>134</v>
      </c>
      <c r="BQ71" s="58" t="s">
        <v>134</v>
      </c>
      <c r="BR71" s="58" t="s">
        <v>134</v>
      </c>
      <c r="BS71" s="58" t="s">
        <v>134</v>
      </c>
      <c r="BT71" s="58" t="s">
        <v>134</v>
      </c>
      <c r="BU71" s="58" t="s">
        <v>134</v>
      </c>
      <c r="BV71" s="58" t="s">
        <v>134</v>
      </c>
      <c r="BW71" s="58" t="s">
        <v>134</v>
      </c>
      <c r="BX71" s="58" t="s">
        <v>134</v>
      </c>
      <c r="BY71" s="58" t="s">
        <v>134</v>
      </c>
      <c r="BZ71" s="58" t="s">
        <v>134</v>
      </c>
      <c r="CA71" s="58" t="s">
        <v>134</v>
      </c>
      <c r="CB71" s="58" t="s">
        <v>134</v>
      </c>
      <c r="CC71" s="58" t="s">
        <v>134</v>
      </c>
      <c r="CD71" s="58" t="s">
        <v>134</v>
      </c>
      <c r="CE71" s="58" t="s">
        <v>134</v>
      </c>
      <c r="CF71" s="58" t="s">
        <v>134</v>
      </c>
      <c r="CG71" s="58" t="s">
        <v>134</v>
      </c>
      <c r="CH71" s="58" t="s">
        <v>134</v>
      </c>
      <c r="CI71" s="58" t="s">
        <v>134</v>
      </c>
      <c r="CJ71" s="58" t="s">
        <v>134</v>
      </c>
      <c r="CK71" s="58" t="s">
        <v>134</v>
      </c>
      <c r="CL71" s="58" t="s">
        <v>134</v>
      </c>
      <c r="CM71" s="58" t="s">
        <v>134</v>
      </c>
      <c r="CN71" s="58" t="s">
        <v>134</v>
      </c>
      <c r="CO71" s="58" t="s">
        <v>134</v>
      </c>
      <c r="CP71" s="58" t="s">
        <v>134</v>
      </c>
      <c r="CQ71" s="58" t="s">
        <v>134</v>
      </c>
      <c r="CR71" s="58" t="s">
        <v>134</v>
      </c>
      <c r="CS71" s="58" t="s">
        <v>134</v>
      </c>
      <c r="CT71" s="58" t="s">
        <v>134</v>
      </c>
      <c r="CU71" s="58" t="s">
        <v>134</v>
      </c>
      <c r="CV71" s="58" t="s">
        <v>134</v>
      </c>
      <c r="CW71" s="58" t="s">
        <v>134</v>
      </c>
      <c r="CX71" s="58" t="s">
        <v>134</v>
      </c>
      <c r="CY71" s="58" t="s">
        <v>134</v>
      </c>
      <c r="CZ71" s="58" t="s">
        <v>134</v>
      </c>
      <c r="DA71" s="58" t="s">
        <v>134</v>
      </c>
      <c r="DB71" s="58" t="s">
        <v>134</v>
      </c>
      <c r="DC71" s="58" t="s">
        <v>134</v>
      </c>
      <c r="DD71" s="58" t="s">
        <v>134</v>
      </c>
      <c r="DE71" s="58" t="s">
        <v>134</v>
      </c>
      <c r="DF71" s="58" t="s">
        <v>134</v>
      </c>
      <c r="DG71" s="58" t="s">
        <v>134</v>
      </c>
      <c r="DH71" s="58" t="s">
        <v>134</v>
      </c>
      <c r="DI71" s="58" t="s">
        <v>134</v>
      </c>
      <c r="DJ71" s="58" t="s">
        <v>134</v>
      </c>
      <c r="DK71" s="58" t="s">
        <v>134</v>
      </c>
      <c r="DL71" s="58" t="s">
        <v>134</v>
      </c>
      <c r="DM71" s="58" t="s">
        <v>134</v>
      </c>
      <c r="DN71" s="58" t="s">
        <v>134</v>
      </c>
      <c r="DO71" s="58" t="s">
        <v>134</v>
      </c>
      <c r="DP71" s="58" t="s">
        <v>134</v>
      </c>
      <c r="DQ71" s="58" t="s">
        <v>134</v>
      </c>
      <c r="DR71" s="58">
        <v>0.0</v>
      </c>
      <c r="DS71" s="58" t="s">
        <v>134</v>
      </c>
      <c r="DT71" s="58" t="s">
        <v>134</v>
      </c>
      <c r="DU71" s="58" t="s">
        <v>134</v>
      </c>
      <c r="DV71" s="58" t="s">
        <v>134</v>
      </c>
      <c r="DW71" s="58" t="s">
        <v>134</v>
      </c>
      <c r="DX71" s="58" t="s">
        <v>134</v>
      </c>
      <c r="DY71" s="58" t="s">
        <v>134</v>
      </c>
      <c r="DZ71" s="58" t="s">
        <v>134</v>
      </c>
      <c r="EA71" s="58" t="s">
        <v>134</v>
      </c>
      <c r="EB71" s="58" t="s">
        <v>134</v>
      </c>
      <c r="EC71" s="58" t="s">
        <v>134</v>
      </c>
      <c r="ED71" s="58" t="s">
        <v>134</v>
      </c>
      <c r="EE71" s="58" t="s">
        <v>134</v>
      </c>
      <c r="EF71" s="58" t="s">
        <v>134</v>
      </c>
      <c r="EG71" s="58" t="s">
        <v>134</v>
      </c>
      <c r="EH71" s="58" t="s">
        <v>134</v>
      </c>
      <c r="EI71" s="58" t="s">
        <v>134</v>
      </c>
      <c r="EJ71" s="58" t="s">
        <v>134</v>
      </c>
      <c r="EK71" s="58" t="s">
        <v>134</v>
      </c>
      <c r="EL71" s="58" t="s">
        <v>134</v>
      </c>
      <c r="EM71" s="58" t="s">
        <v>134</v>
      </c>
      <c r="EN71" s="58" t="s">
        <v>134</v>
      </c>
      <c r="EO71" s="58">
        <v>0.0</v>
      </c>
      <c r="EP71" s="58">
        <v>0.0</v>
      </c>
      <c r="EQ71" s="58">
        <v>0.0</v>
      </c>
      <c r="ER71" s="58" t="s">
        <v>134</v>
      </c>
      <c r="ES71" s="58" t="s">
        <v>134</v>
      </c>
      <c r="ET71" s="58" t="s">
        <v>134</v>
      </c>
    </row>
    <row r="72">
      <c r="A72" s="58" t="s">
        <v>237</v>
      </c>
      <c r="B72" s="58" t="s">
        <v>134</v>
      </c>
      <c r="C72" s="58" t="s">
        <v>134</v>
      </c>
      <c r="D72" s="58" t="s">
        <v>134</v>
      </c>
      <c r="E72" s="58" t="s">
        <v>134</v>
      </c>
      <c r="F72" s="58" t="s">
        <v>134</v>
      </c>
      <c r="G72" s="58" t="s">
        <v>134</v>
      </c>
      <c r="H72" s="58" t="s">
        <v>134</v>
      </c>
      <c r="I72" s="58" t="s">
        <v>134</v>
      </c>
      <c r="J72" s="58" t="s">
        <v>134</v>
      </c>
      <c r="K72" s="58">
        <v>0.0</v>
      </c>
      <c r="L72" s="58">
        <v>0.0</v>
      </c>
      <c r="M72" s="58" t="s">
        <v>134</v>
      </c>
      <c r="N72" s="58" t="s">
        <v>134</v>
      </c>
      <c r="O72" s="58" t="s">
        <v>134</v>
      </c>
      <c r="P72" s="58" t="s">
        <v>134</v>
      </c>
      <c r="Q72" s="58" t="s">
        <v>134</v>
      </c>
      <c r="R72" s="58" t="s">
        <v>134</v>
      </c>
      <c r="S72" s="58" t="s">
        <v>134</v>
      </c>
      <c r="T72" s="58" t="s">
        <v>134</v>
      </c>
      <c r="U72" s="58" t="s">
        <v>134</v>
      </c>
      <c r="V72" s="58" t="s">
        <v>134</v>
      </c>
      <c r="W72" s="58" t="s">
        <v>134</v>
      </c>
      <c r="X72" s="58" t="s">
        <v>134</v>
      </c>
      <c r="Y72" s="58" t="s">
        <v>134</v>
      </c>
      <c r="Z72" s="58" t="s">
        <v>134</v>
      </c>
      <c r="AA72" s="58" t="s">
        <v>134</v>
      </c>
      <c r="AB72" s="58" t="s">
        <v>134</v>
      </c>
      <c r="AC72" s="58" t="s">
        <v>134</v>
      </c>
      <c r="AD72" s="58" t="s">
        <v>134</v>
      </c>
      <c r="AE72" s="58" t="s">
        <v>134</v>
      </c>
      <c r="AF72" s="58" t="s">
        <v>134</v>
      </c>
      <c r="AG72" s="58" t="s">
        <v>134</v>
      </c>
      <c r="AH72" s="58" t="s">
        <v>134</v>
      </c>
      <c r="AI72" s="58" t="s">
        <v>134</v>
      </c>
      <c r="AJ72" s="58" t="s">
        <v>134</v>
      </c>
      <c r="AK72" s="58" t="s">
        <v>134</v>
      </c>
      <c r="AL72" s="58" t="s">
        <v>134</v>
      </c>
      <c r="AM72" s="58" t="s">
        <v>134</v>
      </c>
      <c r="AN72" s="58">
        <v>0.0</v>
      </c>
      <c r="AO72" s="58" t="s">
        <v>134</v>
      </c>
      <c r="AP72" s="58" t="s">
        <v>134</v>
      </c>
      <c r="AQ72" s="58" t="s">
        <v>134</v>
      </c>
      <c r="AR72" s="58" t="s">
        <v>134</v>
      </c>
      <c r="AS72" s="58" t="s">
        <v>134</v>
      </c>
      <c r="AT72" s="58" t="s">
        <v>134</v>
      </c>
      <c r="AU72" s="58" t="s">
        <v>134</v>
      </c>
      <c r="AV72" s="58" t="s">
        <v>134</v>
      </c>
      <c r="AW72" s="58" t="s">
        <v>134</v>
      </c>
      <c r="AX72" s="58" t="s">
        <v>134</v>
      </c>
      <c r="AY72" s="58" t="s">
        <v>134</v>
      </c>
      <c r="AZ72" s="58" t="s">
        <v>134</v>
      </c>
      <c r="BA72" s="58" t="s">
        <v>134</v>
      </c>
      <c r="BB72" s="58" t="s">
        <v>134</v>
      </c>
      <c r="BC72" s="58" t="s">
        <v>134</v>
      </c>
      <c r="BD72" s="58" t="s">
        <v>134</v>
      </c>
      <c r="BE72" s="58" t="s">
        <v>134</v>
      </c>
      <c r="BF72" s="58" t="s">
        <v>134</v>
      </c>
      <c r="BG72" s="58" t="s">
        <v>134</v>
      </c>
      <c r="BH72" s="58" t="s">
        <v>134</v>
      </c>
      <c r="BI72" s="58" t="s">
        <v>134</v>
      </c>
      <c r="BJ72" s="58" t="s">
        <v>134</v>
      </c>
      <c r="BK72" s="58" t="s">
        <v>134</v>
      </c>
      <c r="BL72" s="58" t="s">
        <v>134</v>
      </c>
      <c r="BM72" s="58" t="s">
        <v>134</v>
      </c>
      <c r="BN72" s="58" t="s">
        <v>134</v>
      </c>
      <c r="BO72" s="58" t="s">
        <v>134</v>
      </c>
      <c r="BP72" s="58" t="s">
        <v>134</v>
      </c>
      <c r="BQ72" s="58" t="s">
        <v>134</v>
      </c>
      <c r="BR72" s="58" t="s">
        <v>134</v>
      </c>
      <c r="BS72" s="58" t="s">
        <v>134</v>
      </c>
      <c r="BT72" s="58" t="s">
        <v>134</v>
      </c>
      <c r="BU72" s="58" t="s">
        <v>134</v>
      </c>
      <c r="BV72" s="58" t="s">
        <v>134</v>
      </c>
      <c r="BW72" s="58" t="s">
        <v>134</v>
      </c>
      <c r="BX72" s="58" t="s">
        <v>134</v>
      </c>
      <c r="BY72" s="58" t="s">
        <v>134</v>
      </c>
      <c r="BZ72" s="58" t="s">
        <v>134</v>
      </c>
      <c r="CA72" s="58" t="s">
        <v>134</v>
      </c>
      <c r="CB72" s="58" t="s">
        <v>134</v>
      </c>
      <c r="CC72" s="58" t="s">
        <v>134</v>
      </c>
      <c r="CD72" s="58" t="s">
        <v>134</v>
      </c>
      <c r="CE72" s="58" t="s">
        <v>134</v>
      </c>
      <c r="CF72" s="58" t="s">
        <v>134</v>
      </c>
      <c r="CG72" s="58" t="s">
        <v>134</v>
      </c>
      <c r="CH72" s="58" t="s">
        <v>134</v>
      </c>
      <c r="CI72" s="58" t="s">
        <v>134</v>
      </c>
      <c r="CJ72" s="58" t="s">
        <v>134</v>
      </c>
      <c r="CK72" s="58" t="s">
        <v>134</v>
      </c>
      <c r="CL72" s="58" t="s">
        <v>134</v>
      </c>
      <c r="CM72" s="58" t="s">
        <v>134</v>
      </c>
      <c r="CN72" s="58" t="s">
        <v>134</v>
      </c>
      <c r="CO72" s="58" t="s">
        <v>134</v>
      </c>
      <c r="CP72" s="58" t="s">
        <v>134</v>
      </c>
      <c r="CQ72" s="58" t="s">
        <v>134</v>
      </c>
      <c r="CR72" s="58" t="s">
        <v>134</v>
      </c>
      <c r="CS72" s="58" t="s">
        <v>134</v>
      </c>
      <c r="CT72" s="58" t="s">
        <v>134</v>
      </c>
      <c r="CU72" s="58" t="s">
        <v>134</v>
      </c>
      <c r="CV72" s="58" t="s">
        <v>134</v>
      </c>
      <c r="CW72" s="58" t="s">
        <v>134</v>
      </c>
      <c r="CX72" s="58" t="s">
        <v>134</v>
      </c>
      <c r="CY72" s="58" t="s">
        <v>134</v>
      </c>
      <c r="CZ72" s="58" t="s">
        <v>134</v>
      </c>
      <c r="DA72" s="58" t="s">
        <v>134</v>
      </c>
      <c r="DB72" s="58" t="s">
        <v>134</v>
      </c>
      <c r="DC72" s="58" t="s">
        <v>134</v>
      </c>
      <c r="DD72" s="58" t="s">
        <v>134</v>
      </c>
      <c r="DE72" s="58" t="s">
        <v>134</v>
      </c>
      <c r="DF72" s="58" t="s">
        <v>134</v>
      </c>
      <c r="DG72" s="58" t="s">
        <v>134</v>
      </c>
      <c r="DH72" s="58" t="s">
        <v>134</v>
      </c>
      <c r="DI72" s="58" t="s">
        <v>134</v>
      </c>
      <c r="DJ72" s="58" t="s">
        <v>134</v>
      </c>
      <c r="DK72" s="58" t="s">
        <v>134</v>
      </c>
      <c r="DL72" s="58" t="s">
        <v>134</v>
      </c>
      <c r="DM72" s="58" t="s">
        <v>134</v>
      </c>
      <c r="DN72" s="58" t="s">
        <v>134</v>
      </c>
      <c r="DO72" s="58" t="s">
        <v>134</v>
      </c>
      <c r="DP72" s="58" t="s">
        <v>134</v>
      </c>
      <c r="DQ72" s="58" t="s">
        <v>134</v>
      </c>
      <c r="DR72" s="58">
        <v>0.0</v>
      </c>
      <c r="DS72" s="58" t="s">
        <v>134</v>
      </c>
      <c r="DT72" s="58" t="s">
        <v>134</v>
      </c>
      <c r="DU72" s="58" t="s">
        <v>134</v>
      </c>
      <c r="DV72" s="58" t="s">
        <v>134</v>
      </c>
      <c r="DW72" s="58" t="s">
        <v>134</v>
      </c>
      <c r="DX72" s="58" t="s">
        <v>134</v>
      </c>
      <c r="DY72" s="58" t="s">
        <v>134</v>
      </c>
      <c r="DZ72" s="58" t="s">
        <v>134</v>
      </c>
      <c r="EA72" s="58" t="s">
        <v>134</v>
      </c>
      <c r="EB72" s="58" t="s">
        <v>134</v>
      </c>
      <c r="EC72" s="58" t="s">
        <v>134</v>
      </c>
      <c r="ED72" s="58" t="s">
        <v>134</v>
      </c>
      <c r="EE72" s="58" t="s">
        <v>134</v>
      </c>
      <c r="EF72" s="58" t="s">
        <v>134</v>
      </c>
      <c r="EG72" s="58" t="s">
        <v>134</v>
      </c>
      <c r="EH72" s="58" t="s">
        <v>134</v>
      </c>
      <c r="EI72" s="58" t="s">
        <v>134</v>
      </c>
      <c r="EJ72" s="58" t="s">
        <v>134</v>
      </c>
      <c r="EK72" s="58" t="s">
        <v>134</v>
      </c>
      <c r="EL72" s="58" t="s">
        <v>134</v>
      </c>
      <c r="EM72" s="58" t="s">
        <v>134</v>
      </c>
      <c r="EN72" s="58" t="s">
        <v>134</v>
      </c>
      <c r="EO72" s="58">
        <v>0.0</v>
      </c>
      <c r="EP72" s="58">
        <v>0.0</v>
      </c>
      <c r="EQ72" s="58">
        <v>0.0</v>
      </c>
      <c r="ER72" s="58" t="s">
        <v>134</v>
      </c>
      <c r="ES72" s="58" t="s">
        <v>134</v>
      </c>
      <c r="ET72" s="58" t="s">
        <v>134</v>
      </c>
    </row>
    <row r="73">
      <c r="A73" s="58" t="s">
        <v>99</v>
      </c>
      <c r="B73" s="58" t="s">
        <v>134</v>
      </c>
      <c r="C73" s="58" t="s">
        <v>134</v>
      </c>
      <c r="D73" s="58" t="s">
        <v>134</v>
      </c>
      <c r="E73" s="58" t="s">
        <v>134</v>
      </c>
      <c r="F73" s="58" t="s">
        <v>134</v>
      </c>
      <c r="G73" s="58" t="s">
        <v>134</v>
      </c>
      <c r="H73" s="58" t="s">
        <v>134</v>
      </c>
      <c r="I73" s="58">
        <v>0.0943</v>
      </c>
      <c r="J73" s="58" t="s">
        <v>134</v>
      </c>
      <c r="K73" s="58">
        <v>0.0</v>
      </c>
      <c r="L73" s="58">
        <v>0.0</v>
      </c>
      <c r="M73" s="58" t="s">
        <v>134</v>
      </c>
      <c r="N73" s="58" t="s">
        <v>134</v>
      </c>
      <c r="O73" s="58" t="s">
        <v>134</v>
      </c>
      <c r="P73" s="58" t="s">
        <v>134</v>
      </c>
      <c r="Q73" s="58" t="s">
        <v>134</v>
      </c>
      <c r="R73" s="58" t="s">
        <v>134</v>
      </c>
      <c r="S73" s="58" t="s">
        <v>134</v>
      </c>
      <c r="T73" s="58" t="s">
        <v>134</v>
      </c>
      <c r="U73" s="58" t="s">
        <v>134</v>
      </c>
      <c r="V73" s="58" t="s">
        <v>134</v>
      </c>
      <c r="W73" s="58" t="s">
        <v>134</v>
      </c>
      <c r="X73" s="58" t="s">
        <v>134</v>
      </c>
      <c r="Y73" s="58" t="s">
        <v>134</v>
      </c>
      <c r="Z73" s="58" t="s">
        <v>134</v>
      </c>
      <c r="AA73" s="58" t="s">
        <v>134</v>
      </c>
      <c r="AB73" s="58" t="s">
        <v>134</v>
      </c>
      <c r="AC73" s="58" t="s">
        <v>134</v>
      </c>
      <c r="AD73" s="58" t="s">
        <v>134</v>
      </c>
      <c r="AE73" s="58" t="s">
        <v>134</v>
      </c>
      <c r="AF73" s="58" t="s">
        <v>134</v>
      </c>
      <c r="AG73" s="58" t="s">
        <v>134</v>
      </c>
      <c r="AH73" s="58" t="s">
        <v>134</v>
      </c>
      <c r="AI73" s="58" t="s">
        <v>134</v>
      </c>
      <c r="AJ73" s="58" t="s">
        <v>134</v>
      </c>
      <c r="AK73" s="58" t="s">
        <v>134</v>
      </c>
      <c r="AL73" s="58" t="s">
        <v>134</v>
      </c>
      <c r="AM73" s="58" t="s">
        <v>134</v>
      </c>
      <c r="AN73" s="58">
        <v>0.0</v>
      </c>
      <c r="AO73" s="58" t="s">
        <v>134</v>
      </c>
      <c r="AP73" s="58" t="s">
        <v>134</v>
      </c>
      <c r="AQ73" s="58" t="s">
        <v>134</v>
      </c>
      <c r="AR73" s="58" t="s">
        <v>134</v>
      </c>
      <c r="AS73" s="58" t="s">
        <v>134</v>
      </c>
      <c r="AT73" s="58" t="s">
        <v>134</v>
      </c>
      <c r="AU73" s="58" t="s">
        <v>134</v>
      </c>
      <c r="AV73" s="58" t="s">
        <v>134</v>
      </c>
      <c r="AW73" s="58" t="s">
        <v>134</v>
      </c>
      <c r="AX73" s="58" t="s">
        <v>134</v>
      </c>
      <c r="AY73" s="58" t="s">
        <v>134</v>
      </c>
      <c r="AZ73" s="58" t="s">
        <v>134</v>
      </c>
      <c r="BA73" s="58" t="s">
        <v>134</v>
      </c>
      <c r="BB73" s="58" t="s">
        <v>134</v>
      </c>
      <c r="BC73" s="58" t="s">
        <v>134</v>
      </c>
      <c r="BD73" s="58" t="s">
        <v>134</v>
      </c>
      <c r="BE73" s="58" t="s">
        <v>134</v>
      </c>
      <c r="BF73" s="58" t="s">
        <v>134</v>
      </c>
      <c r="BG73" s="58" t="s">
        <v>134</v>
      </c>
      <c r="BH73" s="58" t="s">
        <v>134</v>
      </c>
      <c r="BI73" s="58" t="s">
        <v>134</v>
      </c>
      <c r="BJ73" s="58" t="s">
        <v>134</v>
      </c>
      <c r="BK73" s="58" t="s">
        <v>134</v>
      </c>
      <c r="BL73" s="58" t="s">
        <v>134</v>
      </c>
      <c r="BM73" s="58" t="s">
        <v>134</v>
      </c>
      <c r="BN73" s="58" t="s">
        <v>134</v>
      </c>
      <c r="BO73" s="58" t="s">
        <v>134</v>
      </c>
      <c r="BP73" s="58" t="s">
        <v>134</v>
      </c>
      <c r="BQ73" s="58" t="s">
        <v>134</v>
      </c>
      <c r="BR73" s="58" t="s">
        <v>134</v>
      </c>
      <c r="BS73" s="58" t="s">
        <v>134</v>
      </c>
      <c r="BT73" s="58" t="s">
        <v>134</v>
      </c>
      <c r="BU73" s="58" t="s">
        <v>134</v>
      </c>
      <c r="BV73" s="58" t="s">
        <v>134</v>
      </c>
      <c r="BW73" s="58" t="s">
        <v>134</v>
      </c>
      <c r="BX73" s="58" t="s">
        <v>134</v>
      </c>
      <c r="BY73" s="58" t="s">
        <v>134</v>
      </c>
      <c r="BZ73" s="58" t="s">
        <v>134</v>
      </c>
      <c r="CA73" s="58" t="s">
        <v>134</v>
      </c>
      <c r="CB73" s="58" t="s">
        <v>134</v>
      </c>
      <c r="CC73" s="58" t="s">
        <v>134</v>
      </c>
      <c r="CD73" s="58" t="s">
        <v>134</v>
      </c>
      <c r="CE73" s="58" t="s">
        <v>134</v>
      </c>
      <c r="CF73" s="58" t="s">
        <v>134</v>
      </c>
      <c r="CG73" s="58" t="s">
        <v>134</v>
      </c>
      <c r="CH73" s="58" t="s">
        <v>134</v>
      </c>
      <c r="CI73" s="58" t="s">
        <v>134</v>
      </c>
      <c r="CJ73" s="58" t="s">
        <v>134</v>
      </c>
      <c r="CK73" s="58" t="s">
        <v>134</v>
      </c>
      <c r="CL73" s="58" t="s">
        <v>134</v>
      </c>
      <c r="CM73" s="58" t="s">
        <v>134</v>
      </c>
      <c r="CN73" s="58" t="s">
        <v>134</v>
      </c>
      <c r="CO73" s="58" t="s">
        <v>134</v>
      </c>
      <c r="CP73" s="58" t="s">
        <v>134</v>
      </c>
      <c r="CQ73" s="58" t="s">
        <v>134</v>
      </c>
      <c r="CR73" s="58" t="s">
        <v>134</v>
      </c>
      <c r="CS73" s="58" t="s">
        <v>134</v>
      </c>
      <c r="CT73" s="58" t="s">
        <v>134</v>
      </c>
      <c r="CU73" s="58" t="s">
        <v>134</v>
      </c>
      <c r="CV73" s="58" t="s">
        <v>134</v>
      </c>
      <c r="CW73" s="58" t="s">
        <v>134</v>
      </c>
      <c r="CX73" s="58" t="s">
        <v>134</v>
      </c>
      <c r="CY73" s="58" t="s">
        <v>134</v>
      </c>
      <c r="CZ73" s="58" t="s">
        <v>134</v>
      </c>
      <c r="DA73" s="58" t="s">
        <v>134</v>
      </c>
      <c r="DB73" s="58" t="s">
        <v>134</v>
      </c>
      <c r="DC73" s="58" t="s">
        <v>134</v>
      </c>
      <c r="DD73" s="58" t="s">
        <v>134</v>
      </c>
      <c r="DE73" s="58" t="s">
        <v>134</v>
      </c>
      <c r="DF73" s="58" t="s">
        <v>134</v>
      </c>
      <c r="DG73" s="58" t="s">
        <v>134</v>
      </c>
      <c r="DH73" s="58" t="s">
        <v>134</v>
      </c>
      <c r="DI73" s="58" t="s">
        <v>134</v>
      </c>
      <c r="DJ73" s="58" t="s">
        <v>134</v>
      </c>
      <c r="DK73" s="58" t="s">
        <v>134</v>
      </c>
      <c r="DL73" s="58" t="s">
        <v>134</v>
      </c>
      <c r="DM73" s="58" t="s">
        <v>134</v>
      </c>
      <c r="DN73" s="58" t="s">
        <v>134</v>
      </c>
      <c r="DO73" s="58" t="s">
        <v>134</v>
      </c>
      <c r="DP73" s="58" t="s">
        <v>134</v>
      </c>
      <c r="DQ73" s="58" t="s">
        <v>134</v>
      </c>
      <c r="DR73" s="58">
        <v>0.0</v>
      </c>
      <c r="DS73" s="58" t="s">
        <v>134</v>
      </c>
      <c r="DT73" s="58" t="s">
        <v>134</v>
      </c>
      <c r="DU73" s="58" t="s">
        <v>134</v>
      </c>
      <c r="DV73" s="58" t="s">
        <v>134</v>
      </c>
      <c r="DW73" s="58" t="s">
        <v>134</v>
      </c>
      <c r="DX73" s="58" t="s">
        <v>134</v>
      </c>
      <c r="DY73" s="58" t="s">
        <v>134</v>
      </c>
      <c r="DZ73" s="58" t="s">
        <v>134</v>
      </c>
      <c r="EA73" s="58" t="s">
        <v>134</v>
      </c>
      <c r="EB73" s="58" t="s">
        <v>134</v>
      </c>
      <c r="EC73" s="58" t="s">
        <v>134</v>
      </c>
      <c r="ED73" s="58" t="s">
        <v>134</v>
      </c>
      <c r="EE73" s="58" t="s">
        <v>134</v>
      </c>
      <c r="EF73" s="58" t="s">
        <v>134</v>
      </c>
      <c r="EG73" s="58" t="s">
        <v>134</v>
      </c>
      <c r="EH73" s="58" t="s">
        <v>134</v>
      </c>
      <c r="EI73" s="58" t="s">
        <v>134</v>
      </c>
      <c r="EJ73" s="58" t="s">
        <v>134</v>
      </c>
      <c r="EK73" s="58" t="s">
        <v>134</v>
      </c>
      <c r="EL73" s="58" t="s">
        <v>134</v>
      </c>
      <c r="EM73" s="58" t="s">
        <v>134</v>
      </c>
      <c r="EN73" s="58" t="s">
        <v>134</v>
      </c>
      <c r="EO73" s="58">
        <v>0.0</v>
      </c>
      <c r="EP73" s="58">
        <v>0.0</v>
      </c>
      <c r="EQ73" s="58">
        <v>0.0</v>
      </c>
      <c r="ER73" s="58" t="s">
        <v>134</v>
      </c>
      <c r="ES73" s="58" t="s">
        <v>134</v>
      </c>
      <c r="ET73" s="58" t="s">
        <v>134</v>
      </c>
    </row>
    <row r="74">
      <c r="A74" s="58" t="s">
        <v>513</v>
      </c>
      <c r="B74" s="58" t="s">
        <v>134</v>
      </c>
      <c r="C74" s="58" t="s">
        <v>134</v>
      </c>
      <c r="D74" s="58" t="s">
        <v>134</v>
      </c>
      <c r="E74" s="58" t="s">
        <v>134</v>
      </c>
      <c r="F74" s="58" t="s">
        <v>134</v>
      </c>
      <c r="G74" s="58" t="s">
        <v>134</v>
      </c>
      <c r="H74" s="58" t="s">
        <v>134</v>
      </c>
      <c r="I74" s="58">
        <v>0.0</v>
      </c>
      <c r="J74" s="58" t="s">
        <v>134</v>
      </c>
      <c r="K74" s="58">
        <v>0.0</v>
      </c>
      <c r="L74" s="58">
        <v>0.0</v>
      </c>
      <c r="M74" s="58" t="s">
        <v>134</v>
      </c>
      <c r="N74" s="58" t="s">
        <v>134</v>
      </c>
      <c r="O74" s="58" t="s">
        <v>134</v>
      </c>
      <c r="P74" s="58" t="s">
        <v>134</v>
      </c>
      <c r="Q74" s="58" t="s">
        <v>134</v>
      </c>
      <c r="R74" s="58" t="s">
        <v>134</v>
      </c>
      <c r="S74" s="58" t="s">
        <v>134</v>
      </c>
      <c r="T74" s="58" t="s">
        <v>134</v>
      </c>
      <c r="U74" s="58" t="s">
        <v>134</v>
      </c>
      <c r="V74" s="58" t="s">
        <v>134</v>
      </c>
      <c r="W74" s="58">
        <v>0.0</v>
      </c>
      <c r="X74" s="58" t="s">
        <v>134</v>
      </c>
      <c r="Y74" s="58" t="s">
        <v>134</v>
      </c>
      <c r="Z74" s="58" t="s">
        <v>134</v>
      </c>
      <c r="AA74" s="58" t="s">
        <v>134</v>
      </c>
      <c r="AB74" s="58" t="s">
        <v>134</v>
      </c>
      <c r="AC74" s="58" t="s">
        <v>134</v>
      </c>
      <c r="AD74" s="58" t="s">
        <v>134</v>
      </c>
      <c r="AE74" s="58" t="s">
        <v>134</v>
      </c>
      <c r="AF74" s="58">
        <v>0.0</v>
      </c>
      <c r="AG74" s="58">
        <v>0.0</v>
      </c>
      <c r="AH74" s="58">
        <v>0.0</v>
      </c>
      <c r="AI74" s="58">
        <v>0.0</v>
      </c>
      <c r="AJ74" s="58">
        <v>0.0</v>
      </c>
      <c r="AK74" s="58">
        <v>0.0</v>
      </c>
      <c r="AL74" s="58" t="s">
        <v>134</v>
      </c>
      <c r="AM74" s="58" t="s">
        <v>134</v>
      </c>
      <c r="AN74" s="58">
        <v>0.0</v>
      </c>
      <c r="AO74" s="58" t="s">
        <v>134</v>
      </c>
      <c r="AP74" s="58" t="s">
        <v>134</v>
      </c>
      <c r="AQ74" s="58" t="s">
        <v>134</v>
      </c>
      <c r="AR74" s="58" t="s">
        <v>134</v>
      </c>
      <c r="AS74" s="58" t="s">
        <v>134</v>
      </c>
      <c r="AT74" s="58" t="s">
        <v>134</v>
      </c>
      <c r="AU74" s="58" t="s">
        <v>134</v>
      </c>
      <c r="AV74" s="58" t="s">
        <v>134</v>
      </c>
      <c r="AW74" s="58" t="s">
        <v>134</v>
      </c>
      <c r="AX74" s="58" t="s">
        <v>134</v>
      </c>
      <c r="AY74" s="58" t="s">
        <v>134</v>
      </c>
      <c r="AZ74" s="58" t="s">
        <v>134</v>
      </c>
      <c r="BA74" s="58" t="s">
        <v>134</v>
      </c>
      <c r="BB74" s="58" t="s">
        <v>134</v>
      </c>
      <c r="BC74" s="58" t="s">
        <v>134</v>
      </c>
      <c r="BD74" s="58" t="s">
        <v>134</v>
      </c>
      <c r="BE74" s="58" t="s">
        <v>134</v>
      </c>
      <c r="BF74" s="58" t="s">
        <v>134</v>
      </c>
      <c r="BG74" s="58" t="s">
        <v>134</v>
      </c>
      <c r="BH74" s="58" t="s">
        <v>134</v>
      </c>
      <c r="BI74" s="58" t="s">
        <v>134</v>
      </c>
      <c r="BJ74" s="58" t="s">
        <v>134</v>
      </c>
      <c r="BK74" s="58" t="s">
        <v>134</v>
      </c>
      <c r="BL74" s="58" t="s">
        <v>134</v>
      </c>
      <c r="BM74" s="58" t="s">
        <v>134</v>
      </c>
      <c r="BN74" s="58" t="s">
        <v>134</v>
      </c>
      <c r="BO74" s="58" t="s">
        <v>134</v>
      </c>
      <c r="BP74" s="58" t="s">
        <v>134</v>
      </c>
      <c r="BQ74" s="58" t="s">
        <v>134</v>
      </c>
      <c r="BR74" s="58" t="s">
        <v>134</v>
      </c>
      <c r="BS74" s="58" t="s">
        <v>134</v>
      </c>
      <c r="BT74" s="58" t="s">
        <v>134</v>
      </c>
      <c r="BU74" s="58" t="s">
        <v>134</v>
      </c>
      <c r="BV74" s="58" t="s">
        <v>134</v>
      </c>
      <c r="BW74" s="58" t="s">
        <v>134</v>
      </c>
      <c r="BX74" s="58" t="s">
        <v>134</v>
      </c>
      <c r="BY74" s="58" t="s">
        <v>134</v>
      </c>
      <c r="BZ74" s="58" t="s">
        <v>134</v>
      </c>
      <c r="CA74" s="58" t="s">
        <v>134</v>
      </c>
      <c r="CB74" s="58" t="s">
        <v>134</v>
      </c>
      <c r="CC74" s="58" t="s">
        <v>134</v>
      </c>
      <c r="CD74" s="58" t="s">
        <v>134</v>
      </c>
      <c r="CE74" s="58" t="s">
        <v>134</v>
      </c>
      <c r="CF74" s="58" t="s">
        <v>134</v>
      </c>
      <c r="CG74" s="58" t="s">
        <v>134</v>
      </c>
      <c r="CH74" s="58" t="s">
        <v>134</v>
      </c>
      <c r="CI74" s="58" t="s">
        <v>134</v>
      </c>
      <c r="CJ74" s="58" t="s">
        <v>134</v>
      </c>
      <c r="CK74" s="58" t="s">
        <v>134</v>
      </c>
      <c r="CL74" s="58" t="s">
        <v>134</v>
      </c>
      <c r="CM74" s="58" t="s">
        <v>134</v>
      </c>
      <c r="CN74" s="58" t="s">
        <v>134</v>
      </c>
      <c r="CO74" s="58" t="s">
        <v>134</v>
      </c>
      <c r="CP74" s="58" t="s">
        <v>134</v>
      </c>
      <c r="CQ74" s="58" t="s">
        <v>134</v>
      </c>
      <c r="CR74" s="58" t="s">
        <v>134</v>
      </c>
      <c r="CS74" s="58" t="s">
        <v>134</v>
      </c>
      <c r="CT74" s="58" t="s">
        <v>134</v>
      </c>
      <c r="CU74" s="58" t="s">
        <v>134</v>
      </c>
      <c r="CV74" s="58" t="s">
        <v>134</v>
      </c>
      <c r="CW74" s="58" t="s">
        <v>134</v>
      </c>
      <c r="CX74" s="58" t="s">
        <v>134</v>
      </c>
      <c r="CY74" s="58" t="s">
        <v>134</v>
      </c>
      <c r="CZ74" s="58" t="s">
        <v>134</v>
      </c>
      <c r="DA74" s="58" t="s">
        <v>134</v>
      </c>
      <c r="DB74" s="58" t="s">
        <v>134</v>
      </c>
      <c r="DC74" s="58" t="s">
        <v>134</v>
      </c>
      <c r="DD74" s="58" t="s">
        <v>134</v>
      </c>
      <c r="DE74" s="58" t="s">
        <v>134</v>
      </c>
      <c r="DF74" s="58" t="s">
        <v>134</v>
      </c>
      <c r="DG74" s="58" t="s">
        <v>134</v>
      </c>
      <c r="DH74" s="58" t="s">
        <v>134</v>
      </c>
      <c r="DI74" s="58" t="s">
        <v>134</v>
      </c>
      <c r="DJ74" s="58" t="s">
        <v>134</v>
      </c>
      <c r="DK74" s="58" t="s">
        <v>134</v>
      </c>
      <c r="DL74" s="58" t="s">
        <v>134</v>
      </c>
      <c r="DM74" s="58" t="s">
        <v>134</v>
      </c>
      <c r="DN74" s="58" t="s">
        <v>134</v>
      </c>
      <c r="DO74" s="58" t="s">
        <v>134</v>
      </c>
      <c r="DP74" s="58" t="s">
        <v>134</v>
      </c>
      <c r="DQ74" s="58" t="s">
        <v>134</v>
      </c>
      <c r="DR74" s="58">
        <v>0.0</v>
      </c>
      <c r="DS74" s="58" t="s">
        <v>134</v>
      </c>
      <c r="DT74" s="58" t="s">
        <v>134</v>
      </c>
      <c r="DU74" s="58" t="s">
        <v>134</v>
      </c>
      <c r="DV74" s="58" t="s">
        <v>134</v>
      </c>
      <c r="DW74" s="58" t="s">
        <v>134</v>
      </c>
      <c r="DX74" s="58" t="s">
        <v>134</v>
      </c>
      <c r="DY74" s="58" t="s">
        <v>134</v>
      </c>
      <c r="DZ74" s="58" t="s">
        <v>134</v>
      </c>
      <c r="EA74" s="58" t="s">
        <v>134</v>
      </c>
      <c r="EB74" s="58" t="s">
        <v>134</v>
      </c>
      <c r="EC74" s="58" t="s">
        <v>134</v>
      </c>
      <c r="ED74" s="58" t="s">
        <v>134</v>
      </c>
      <c r="EE74" s="58" t="s">
        <v>134</v>
      </c>
      <c r="EF74" s="58" t="s">
        <v>134</v>
      </c>
      <c r="EG74" s="58" t="s">
        <v>134</v>
      </c>
      <c r="EH74" s="58" t="s">
        <v>134</v>
      </c>
      <c r="EI74" s="58" t="s">
        <v>134</v>
      </c>
      <c r="EJ74" s="58" t="s">
        <v>134</v>
      </c>
      <c r="EK74" s="58" t="s">
        <v>134</v>
      </c>
      <c r="EL74" s="58" t="s">
        <v>134</v>
      </c>
      <c r="EM74" s="58" t="s">
        <v>134</v>
      </c>
      <c r="EN74" s="58" t="s">
        <v>134</v>
      </c>
      <c r="EO74" s="58">
        <v>0.0</v>
      </c>
      <c r="EP74" s="58">
        <v>0.0</v>
      </c>
      <c r="EQ74" s="58">
        <v>0.0</v>
      </c>
      <c r="ER74" s="58" t="s">
        <v>134</v>
      </c>
      <c r="ES74" s="58" t="s">
        <v>134</v>
      </c>
      <c r="ET74" s="58" t="s">
        <v>134</v>
      </c>
    </row>
    <row r="75">
      <c r="A75" s="58" t="s">
        <v>116</v>
      </c>
      <c r="B75" s="58" t="s">
        <v>134</v>
      </c>
      <c r="C75" s="58" t="s">
        <v>134</v>
      </c>
      <c r="D75" s="58" t="s">
        <v>134</v>
      </c>
      <c r="E75" s="58" t="s">
        <v>134</v>
      </c>
      <c r="F75" s="58" t="s">
        <v>134</v>
      </c>
      <c r="G75" s="58" t="s">
        <v>134</v>
      </c>
      <c r="H75" s="58" t="s">
        <v>134</v>
      </c>
      <c r="I75" s="58" t="s">
        <v>134</v>
      </c>
      <c r="J75" s="58" t="s">
        <v>134</v>
      </c>
      <c r="K75" s="58">
        <v>0.0</v>
      </c>
      <c r="L75" s="58">
        <v>0.0</v>
      </c>
      <c r="M75" s="58" t="s">
        <v>134</v>
      </c>
      <c r="N75" s="58" t="s">
        <v>134</v>
      </c>
      <c r="O75" s="58" t="s">
        <v>134</v>
      </c>
      <c r="P75" s="58" t="s">
        <v>134</v>
      </c>
      <c r="Q75" s="58" t="s">
        <v>134</v>
      </c>
      <c r="R75" s="58" t="s">
        <v>134</v>
      </c>
      <c r="S75" s="58" t="s">
        <v>134</v>
      </c>
      <c r="T75" s="58" t="s">
        <v>134</v>
      </c>
      <c r="U75" s="58" t="s">
        <v>134</v>
      </c>
      <c r="V75" s="58" t="s">
        <v>134</v>
      </c>
      <c r="W75" s="58" t="s">
        <v>134</v>
      </c>
      <c r="X75" s="58" t="s">
        <v>134</v>
      </c>
      <c r="Y75" s="58" t="s">
        <v>134</v>
      </c>
      <c r="Z75" s="58" t="s">
        <v>134</v>
      </c>
      <c r="AA75" s="58" t="s">
        <v>134</v>
      </c>
      <c r="AB75" s="58" t="s">
        <v>134</v>
      </c>
      <c r="AC75" s="58" t="s">
        <v>134</v>
      </c>
      <c r="AD75" s="58" t="s">
        <v>134</v>
      </c>
      <c r="AE75" s="58" t="s">
        <v>134</v>
      </c>
      <c r="AF75" s="58" t="s">
        <v>134</v>
      </c>
      <c r="AG75" s="58" t="s">
        <v>134</v>
      </c>
      <c r="AH75" s="58" t="s">
        <v>134</v>
      </c>
      <c r="AI75" s="58" t="s">
        <v>134</v>
      </c>
      <c r="AJ75" s="58" t="s">
        <v>134</v>
      </c>
      <c r="AK75" s="58" t="s">
        <v>134</v>
      </c>
      <c r="AL75" s="58" t="s">
        <v>134</v>
      </c>
      <c r="AM75" s="58" t="s">
        <v>134</v>
      </c>
      <c r="AN75" s="58">
        <v>0.0</v>
      </c>
      <c r="AO75" s="58" t="s">
        <v>134</v>
      </c>
      <c r="AP75" s="58" t="s">
        <v>134</v>
      </c>
      <c r="AQ75" s="58" t="s">
        <v>134</v>
      </c>
      <c r="AR75" s="58" t="s">
        <v>134</v>
      </c>
      <c r="AS75" s="58" t="s">
        <v>134</v>
      </c>
      <c r="AT75" s="58" t="s">
        <v>134</v>
      </c>
      <c r="AU75" s="58" t="s">
        <v>134</v>
      </c>
      <c r="AV75" s="58" t="s">
        <v>134</v>
      </c>
      <c r="AW75" s="58" t="s">
        <v>134</v>
      </c>
      <c r="AX75" s="58" t="s">
        <v>134</v>
      </c>
      <c r="AY75" s="58" t="s">
        <v>134</v>
      </c>
      <c r="AZ75" s="58" t="s">
        <v>134</v>
      </c>
      <c r="BA75" s="58" t="s">
        <v>134</v>
      </c>
      <c r="BB75" s="58" t="s">
        <v>134</v>
      </c>
      <c r="BC75" s="58" t="s">
        <v>134</v>
      </c>
      <c r="BD75" s="58" t="s">
        <v>134</v>
      </c>
      <c r="BE75" s="58" t="s">
        <v>134</v>
      </c>
      <c r="BF75" s="58" t="s">
        <v>134</v>
      </c>
      <c r="BG75" s="58" t="s">
        <v>134</v>
      </c>
      <c r="BH75" s="58" t="s">
        <v>134</v>
      </c>
      <c r="BI75" s="58" t="s">
        <v>134</v>
      </c>
      <c r="BJ75" s="58" t="s">
        <v>134</v>
      </c>
      <c r="BK75" s="58" t="s">
        <v>134</v>
      </c>
      <c r="BL75" s="58" t="s">
        <v>134</v>
      </c>
      <c r="BM75" s="58" t="s">
        <v>134</v>
      </c>
      <c r="BN75" s="58" t="s">
        <v>134</v>
      </c>
      <c r="BO75" s="58" t="s">
        <v>134</v>
      </c>
      <c r="BP75" s="58" t="s">
        <v>134</v>
      </c>
      <c r="BQ75" s="58" t="s">
        <v>134</v>
      </c>
      <c r="BR75" s="58" t="s">
        <v>134</v>
      </c>
      <c r="BS75" s="58" t="s">
        <v>134</v>
      </c>
      <c r="BT75" s="58" t="s">
        <v>134</v>
      </c>
      <c r="BU75" s="58" t="s">
        <v>134</v>
      </c>
      <c r="BV75" s="58" t="s">
        <v>134</v>
      </c>
      <c r="BW75" s="58" t="s">
        <v>134</v>
      </c>
      <c r="BX75" s="58" t="s">
        <v>134</v>
      </c>
      <c r="BY75" s="58" t="s">
        <v>134</v>
      </c>
      <c r="BZ75" s="58" t="s">
        <v>134</v>
      </c>
      <c r="CA75" s="58" t="s">
        <v>134</v>
      </c>
      <c r="CB75" s="58" t="s">
        <v>134</v>
      </c>
      <c r="CC75" s="58" t="s">
        <v>134</v>
      </c>
      <c r="CD75" s="58" t="s">
        <v>134</v>
      </c>
      <c r="CE75" s="58" t="s">
        <v>134</v>
      </c>
      <c r="CF75" s="58" t="s">
        <v>134</v>
      </c>
      <c r="CG75" s="58" t="s">
        <v>134</v>
      </c>
      <c r="CH75" s="58" t="s">
        <v>134</v>
      </c>
      <c r="CI75" s="58" t="s">
        <v>134</v>
      </c>
      <c r="CJ75" s="58" t="s">
        <v>134</v>
      </c>
      <c r="CK75" s="58" t="s">
        <v>134</v>
      </c>
      <c r="CL75" s="58" t="s">
        <v>134</v>
      </c>
      <c r="CM75" s="58" t="s">
        <v>134</v>
      </c>
      <c r="CN75" s="58" t="s">
        <v>134</v>
      </c>
      <c r="CO75" s="58" t="s">
        <v>134</v>
      </c>
      <c r="CP75" s="58" t="s">
        <v>134</v>
      </c>
      <c r="CQ75" s="58" t="s">
        <v>134</v>
      </c>
      <c r="CR75" s="58" t="s">
        <v>134</v>
      </c>
      <c r="CS75" s="58" t="s">
        <v>134</v>
      </c>
      <c r="CT75" s="58" t="s">
        <v>134</v>
      </c>
      <c r="CU75" s="58" t="s">
        <v>134</v>
      </c>
      <c r="CV75" s="58" t="s">
        <v>134</v>
      </c>
      <c r="CW75" s="58" t="s">
        <v>134</v>
      </c>
      <c r="CX75" s="58" t="s">
        <v>134</v>
      </c>
      <c r="CY75" s="58" t="s">
        <v>134</v>
      </c>
      <c r="CZ75" s="58" t="s">
        <v>134</v>
      </c>
      <c r="DA75" s="58" t="s">
        <v>134</v>
      </c>
      <c r="DB75" s="58" t="s">
        <v>134</v>
      </c>
      <c r="DC75" s="58" t="s">
        <v>134</v>
      </c>
      <c r="DD75" s="58" t="s">
        <v>134</v>
      </c>
      <c r="DE75" s="58" t="s">
        <v>134</v>
      </c>
      <c r="DF75" s="58" t="s">
        <v>134</v>
      </c>
      <c r="DG75" s="58" t="s">
        <v>134</v>
      </c>
      <c r="DH75" s="58" t="s">
        <v>134</v>
      </c>
      <c r="DI75" s="58" t="s">
        <v>134</v>
      </c>
      <c r="DJ75" s="58" t="s">
        <v>134</v>
      </c>
      <c r="DK75" s="58" t="s">
        <v>134</v>
      </c>
      <c r="DL75" s="58" t="s">
        <v>134</v>
      </c>
      <c r="DM75" s="58" t="s">
        <v>134</v>
      </c>
      <c r="DN75" s="58" t="s">
        <v>134</v>
      </c>
      <c r="DO75" s="58" t="s">
        <v>134</v>
      </c>
      <c r="DP75" s="58" t="s">
        <v>134</v>
      </c>
      <c r="DQ75" s="58" t="s">
        <v>134</v>
      </c>
      <c r="DR75" s="58">
        <v>0.0</v>
      </c>
      <c r="DS75" s="58" t="s">
        <v>134</v>
      </c>
      <c r="DT75" s="58" t="s">
        <v>134</v>
      </c>
      <c r="DU75" s="58" t="s">
        <v>134</v>
      </c>
      <c r="DV75" s="58" t="s">
        <v>134</v>
      </c>
      <c r="DW75" s="58" t="s">
        <v>134</v>
      </c>
      <c r="DX75" s="58" t="s">
        <v>134</v>
      </c>
      <c r="DY75" s="58" t="s">
        <v>134</v>
      </c>
      <c r="DZ75" s="58" t="s">
        <v>134</v>
      </c>
      <c r="EA75" s="58" t="s">
        <v>134</v>
      </c>
      <c r="EB75" s="58" t="s">
        <v>134</v>
      </c>
      <c r="EC75" s="58" t="s">
        <v>134</v>
      </c>
      <c r="ED75" s="58" t="s">
        <v>134</v>
      </c>
      <c r="EE75" s="58" t="s">
        <v>134</v>
      </c>
      <c r="EF75" s="58" t="s">
        <v>134</v>
      </c>
      <c r="EG75" s="58" t="s">
        <v>134</v>
      </c>
      <c r="EH75" s="58" t="s">
        <v>134</v>
      </c>
      <c r="EI75" s="58" t="s">
        <v>134</v>
      </c>
      <c r="EJ75" s="58" t="s">
        <v>134</v>
      </c>
      <c r="EK75" s="58" t="s">
        <v>134</v>
      </c>
      <c r="EL75" s="58" t="s">
        <v>134</v>
      </c>
      <c r="EM75" s="58" t="s">
        <v>134</v>
      </c>
      <c r="EN75" s="58" t="s">
        <v>134</v>
      </c>
      <c r="EO75" s="58">
        <v>0.0</v>
      </c>
      <c r="EP75" s="58">
        <v>0.0</v>
      </c>
      <c r="EQ75" s="58">
        <v>0.0</v>
      </c>
      <c r="ER75" s="58" t="s">
        <v>134</v>
      </c>
      <c r="ES75" s="58" t="s">
        <v>134</v>
      </c>
      <c r="ET75" s="58" t="s">
        <v>134</v>
      </c>
    </row>
    <row r="76">
      <c r="A76" s="58" t="s">
        <v>514</v>
      </c>
      <c r="B76" s="58" t="s">
        <v>134</v>
      </c>
      <c r="C76" s="58" t="s">
        <v>134</v>
      </c>
      <c r="D76" s="58" t="s">
        <v>134</v>
      </c>
      <c r="E76" s="58" t="s">
        <v>134</v>
      </c>
      <c r="F76" s="58" t="s">
        <v>134</v>
      </c>
      <c r="G76" s="58" t="s">
        <v>134</v>
      </c>
      <c r="H76" s="58" t="s">
        <v>134</v>
      </c>
      <c r="I76" s="58">
        <v>0.0</v>
      </c>
      <c r="J76" s="58" t="s">
        <v>134</v>
      </c>
      <c r="K76" s="58">
        <v>0.0</v>
      </c>
      <c r="L76" s="58">
        <v>0.0</v>
      </c>
      <c r="M76" s="58" t="s">
        <v>134</v>
      </c>
      <c r="N76" s="58" t="s">
        <v>134</v>
      </c>
      <c r="O76" s="58" t="s">
        <v>134</v>
      </c>
      <c r="P76" s="58" t="s">
        <v>134</v>
      </c>
      <c r="Q76" s="58" t="s">
        <v>134</v>
      </c>
      <c r="R76" s="58" t="s">
        <v>134</v>
      </c>
      <c r="S76" s="58" t="s">
        <v>134</v>
      </c>
      <c r="T76" s="58" t="s">
        <v>134</v>
      </c>
      <c r="U76" s="58" t="s">
        <v>134</v>
      </c>
      <c r="V76" s="58" t="s">
        <v>134</v>
      </c>
      <c r="W76" s="58">
        <v>0.0</v>
      </c>
      <c r="X76" s="58" t="s">
        <v>134</v>
      </c>
      <c r="Y76" s="58" t="s">
        <v>134</v>
      </c>
      <c r="Z76" s="58" t="s">
        <v>134</v>
      </c>
      <c r="AA76" s="58" t="s">
        <v>134</v>
      </c>
      <c r="AB76" s="58" t="s">
        <v>134</v>
      </c>
      <c r="AC76" s="58" t="s">
        <v>134</v>
      </c>
      <c r="AD76" s="58" t="s">
        <v>134</v>
      </c>
      <c r="AE76" s="58" t="s">
        <v>134</v>
      </c>
      <c r="AF76" s="58">
        <v>0.0</v>
      </c>
      <c r="AG76" s="58">
        <v>0.0</v>
      </c>
      <c r="AH76" s="58">
        <v>0.0</v>
      </c>
      <c r="AI76" s="58">
        <v>0.0</v>
      </c>
      <c r="AJ76" s="58">
        <v>0.0</v>
      </c>
      <c r="AK76" s="58">
        <v>0.0</v>
      </c>
      <c r="AL76" s="58" t="s">
        <v>134</v>
      </c>
      <c r="AM76" s="58" t="s">
        <v>134</v>
      </c>
      <c r="AN76" s="58">
        <v>0.0</v>
      </c>
      <c r="AO76" s="58" t="s">
        <v>134</v>
      </c>
      <c r="AP76" s="58" t="s">
        <v>134</v>
      </c>
      <c r="AQ76" s="58" t="s">
        <v>134</v>
      </c>
      <c r="AR76" s="58" t="s">
        <v>134</v>
      </c>
      <c r="AS76" s="58" t="s">
        <v>134</v>
      </c>
      <c r="AT76" s="58" t="s">
        <v>134</v>
      </c>
      <c r="AU76" s="58" t="s">
        <v>134</v>
      </c>
      <c r="AV76" s="58" t="s">
        <v>134</v>
      </c>
      <c r="AW76" s="58" t="s">
        <v>134</v>
      </c>
      <c r="AX76" s="58" t="s">
        <v>134</v>
      </c>
      <c r="AY76" s="58" t="s">
        <v>134</v>
      </c>
      <c r="AZ76" s="58" t="s">
        <v>134</v>
      </c>
      <c r="BA76" s="58" t="s">
        <v>134</v>
      </c>
      <c r="BB76" s="58" t="s">
        <v>134</v>
      </c>
      <c r="BC76" s="58" t="s">
        <v>134</v>
      </c>
      <c r="BD76" s="58" t="s">
        <v>134</v>
      </c>
      <c r="BE76" s="58" t="s">
        <v>134</v>
      </c>
      <c r="BF76" s="58" t="s">
        <v>134</v>
      </c>
      <c r="BG76" s="58" t="s">
        <v>134</v>
      </c>
      <c r="BH76" s="58" t="s">
        <v>134</v>
      </c>
      <c r="BI76" s="58" t="s">
        <v>134</v>
      </c>
      <c r="BJ76" s="58" t="s">
        <v>134</v>
      </c>
      <c r="BK76" s="58" t="s">
        <v>134</v>
      </c>
      <c r="BL76" s="58" t="s">
        <v>134</v>
      </c>
      <c r="BM76" s="58" t="s">
        <v>134</v>
      </c>
      <c r="BN76" s="58">
        <v>0.01</v>
      </c>
      <c r="BO76" s="58" t="s">
        <v>134</v>
      </c>
      <c r="BP76" s="58" t="s">
        <v>134</v>
      </c>
      <c r="BQ76" s="58" t="s">
        <v>134</v>
      </c>
      <c r="BR76" s="58" t="s">
        <v>134</v>
      </c>
      <c r="BS76" s="58" t="s">
        <v>134</v>
      </c>
      <c r="BT76" s="58" t="s">
        <v>134</v>
      </c>
      <c r="BU76" s="58" t="s">
        <v>134</v>
      </c>
      <c r="BV76" s="58" t="s">
        <v>134</v>
      </c>
      <c r="BW76" s="58" t="s">
        <v>134</v>
      </c>
      <c r="BX76" s="58" t="s">
        <v>134</v>
      </c>
      <c r="BY76" s="58" t="s">
        <v>134</v>
      </c>
      <c r="BZ76" s="58" t="s">
        <v>134</v>
      </c>
      <c r="CA76" s="58" t="s">
        <v>134</v>
      </c>
      <c r="CB76" s="58" t="s">
        <v>134</v>
      </c>
      <c r="CC76" s="58" t="s">
        <v>134</v>
      </c>
      <c r="CD76" s="58" t="s">
        <v>134</v>
      </c>
      <c r="CE76" s="58" t="s">
        <v>134</v>
      </c>
      <c r="CF76" s="58" t="s">
        <v>134</v>
      </c>
      <c r="CG76" s="58" t="s">
        <v>134</v>
      </c>
      <c r="CH76" s="58" t="s">
        <v>134</v>
      </c>
      <c r="CI76" s="58" t="s">
        <v>134</v>
      </c>
      <c r="CJ76" s="58" t="s">
        <v>134</v>
      </c>
      <c r="CK76" s="58" t="s">
        <v>134</v>
      </c>
      <c r="CL76" s="58" t="s">
        <v>134</v>
      </c>
      <c r="CM76" s="58" t="s">
        <v>134</v>
      </c>
      <c r="CN76" s="58" t="s">
        <v>134</v>
      </c>
      <c r="CO76" s="58" t="s">
        <v>134</v>
      </c>
      <c r="CP76" s="58" t="s">
        <v>134</v>
      </c>
      <c r="CQ76" s="58" t="s">
        <v>134</v>
      </c>
      <c r="CR76" s="58" t="s">
        <v>134</v>
      </c>
      <c r="CS76" s="58" t="s">
        <v>134</v>
      </c>
      <c r="CT76" s="58" t="s">
        <v>134</v>
      </c>
      <c r="CU76" s="58" t="s">
        <v>134</v>
      </c>
      <c r="CV76" s="58" t="s">
        <v>134</v>
      </c>
      <c r="CW76" s="58" t="s">
        <v>134</v>
      </c>
      <c r="CX76" s="58" t="s">
        <v>134</v>
      </c>
      <c r="CY76" s="58" t="s">
        <v>134</v>
      </c>
      <c r="CZ76" s="58" t="s">
        <v>134</v>
      </c>
      <c r="DA76" s="58" t="s">
        <v>134</v>
      </c>
      <c r="DB76" s="58" t="s">
        <v>134</v>
      </c>
      <c r="DC76" s="58" t="s">
        <v>134</v>
      </c>
      <c r="DD76" s="58" t="s">
        <v>134</v>
      </c>
      <c r="DE76" s="58" t="s">
        <v>134</v>
      </c>
      <c r="DF76" s="58" t="s">
        <v>134</v>
      </c>
      <c r="DG76" s="58" t="s">
        <v>134</v>
      </c>
      <c r="DH76" s="58" t="s">
        <v>134</v>
      </c>
      <c r="DI76" s="58" t="s">
        <v>134</v>
      </c>
      <c r="DJ76" s="58" t="s">
        <v>134</v>
      </c>
      <c r="DK76" s="58" t="s">
        <v>134</v>
      </c>
      <c r="DL76" s="58" t="s">
        <v>134</v>
      </c>
      <c r="DM76" s="58" t="s">
        <v>134</v>
      </c>
      <c r="DN76" s="58" t="s">
        <v>134</v>
      </c>
      <c r="DO76" s="58" t="s">
        <v>134</v>
      </c>
      <c r="DP76" s="58" t="s">
        <v>134</v>
      </c>
      <c r="DQ76" s="58" t="s">
        <v>134</v>
      </c>
      <c r="DR76" s="58">
        <v>0.0</v>
      </c>
      <c r="DS76" s="58" t="s">
        <v>134</v>
      </c>
      <c r="DT76" s="58" t="s">
        <v>134</v>
      </c>
      <c r="DU76" s="58" t="s">
        <v>134</v>
      </c>
      <c r="DV76" s="58" t="s">
        <v>134</v>
      </c>
      <c r="DW76" s="58" t="s">
        <v>134</v>
      </c>
      <c r="DX76" s="58" t="s">
        <v>134</v>
      </c>
      <c r="DY76" s="58" t="s">
        <v>134</v>
      </c>
      <c r="DZ76" s="58" t="s">
        <v>134</v>
      </c>
      <c r="EA76" s="58" t="s">
        <v>134</v>
      </c>
      <c r="EB76" s="58" t="s">
        <v>134</v>
      </c>
      <c r="EC76" s="58" t="s">
        <v>134</v>
      </c>
      <c r="ED76" s="58" t="s">
        <v>134</v>
      </c>
      <c r="EE76" s="58" t="s">
        <v>134</v>
      </c>
      <c r="EF76" s="58" t="s">
        <v>134</v>
      </c>
      <c r="EG76" s="58" t="s">
        <v>134</v>
      </c>
      <c r="EH76" s="58" t="s">
        <v>134</v>
      </c>
      <c r="EI76" s="58" t="s">
        <v>134</v>
      </c>
      <c r="EJ76" s="58" t="s">
        <v>134</v>
      </c>
      <c r="EK76" s="58" t="s">
        <v>134</v>
      </c>
      <c r="EL76" s="58" t="s">
        <v>134</v>
      </c>
      <c r="EM76" s="58" t="s">
        <v>134</v>
      </c>
      <c r="EN76" s="58" t="s">
        <v>134</v>
      </c>
      <c r="EO76" s="58">
        <v>0.0</v>
      </c>
      <c r="EP76" s="58">
        <v>0.0</v>
      </c>
      <c r="EQ76" s="58">
        <v>0.0</v>
      </c>
      <c r="ER76" s="58" t="s">
        <v>134</v>
      </c>
      <c r="ES76" s="58" t="s">
        <v>134</v>
      </c>
      <c r="ET76" s="58" t="s">
        <v>134</v>
      </c>
    </row>
    <row r="77">
      <c r="A77" s="58" t="s">
        <v>464</v>
      </c>
      <c r="B77" s="58" t="s">
        <v>134</v>
      </c>
      <c r="C77" s="58" t="s">
        <v>134</v>
      </c>
      <c r="D77" s="58" t="s">
        <v>134</v>
      </c>
      <c r="E77" s="58" t="s">
        <v>134</v>
      </c>
      <c r="F77" s="58" t="s">
        <v>134</v>
      </c>
      <c r="G77" s="58" t="s">
        <v>134</v>
      </c>
      <c r="H77" s="58" t="s">
        <v>134</v>
      </c>
      <c r="I77" s="58" t="s">
        <v>134</v>
      </c>
      <c r="J77" s="58" t="s">
        <v>134</v>
      </c>
      <c r="K77" s="58">
        <v>0.0</v>
      </c>
      <c r="L77" s="58">
        <v>0.0</v>
      </c>
      <c r="M77" s="58" t="s">
        <v>134</v>
      </c>
      <c r="N77" s="58" t="s">
        <v>134</v>
      </c>
      <c r="O77" s="58" t="s">
        <v>134</v>
      </c>
      <c r="P77" s="58" t="s">
        <v>134</v>
      </c>
      <c r="Q77" s="58" t="s">
        <v>134</v>
      </c>
      <c r="R77" s="58" t="s">
        <v>134</v>
      </c>
      <c r="S77" s="58" t="s">
        <v>134</v>
      </c>
      <c r="T77" s="58" t="s">
        <v>134</v>
      </c>
      <c r="U77" s="58" t="s">
        <v>134</v>
      </c>
      <c r="V77" s="58" t="s">
        <v>134</v>
      </c>
      <c r="W77" s="58" t="s">
        <v>134</v>
      </c>
      <c r="X77" s="58" t="s">
        <v>134</v>
      </c>
      <c r="Y77" s="58" t="s">
        <v>134</v>
      </c>
      <c r="Z77" s="58" t="s">
        <v>134</v>
      </c>
      <c r="AA77" s="58" t="s">
        <v>134</v>
      </c>
      <c r="AB77" s="58" t="s">
        <v>134</v>
      </c>
      <c r="AC77" s="58" t="s">
        <v>134</v>
      </c>
      <c r="AD77" s="58" t="s">
        <v>134</v>
      </c>
      <c r="AE77" s="58" t="s">
        <v>134</v>
      </c>
      <c r="AF77" s="58" t="s">
        <v>134</v>
      </c>
      <c r="AG77" s="58" t="s">
        <v>134</v>
      </c>
      <c r="AH77" s="58" t="s">
        <v>134</v>
      </c>
      <c r="AI77" s="58" t="s">
        <v>134</v>
      </c>
      <c r="AJ77" s="58" t="s">
        <v>134</v>
      </c>
      <c r="AK77" s="58" t="s">
        <v>134</v>
      </c>
      <c r="AL77" s="58" t="s">
        <v>134</v>
      </c>
      <c r="AM77" s="58" t="s">
        <v>134</v>
      </c>
      <c r="AN77" s="58">
        <v>0.0</v>
      </c>
      <c r="AO77" s="58" t="s">
        <v>134</v>
      </c>
      <c r="AP77" s="58" t="s">
        <v>134</v>
      </c>
      <c r="AQ77" s="58" t="s">
        <v>134</v>
      </c>
      <c r="AR77" s="58" t="s">
        <v>134</v>
      </c>
      <c r="AS77" s="58" t="s">
        <v>134</v>
      </c>
      <c r="AT77" s="58" t="s">
        <v>134</v>
      </c>
      <c r="AU77" s="58" t="s">
        <v>134</v>
      </c>
      <c r="AV77" s="58" t="s">
        <v>134</v>
      </c>
      <c r="AW77" s="58" t="s">
        <v>134</v>
      </c>
      <c r="AX77" s="58" t="s">
        <v>134</v>
      </c>
      <c r="AY77" s="58" t="s">
        <v>134</v>
      </c>
      <c r="AZ77" s="58" t="s">
        <v>134</v>
      </c>
      <c r="BA77" s="58" t="s">
        <v>134</v>
      </c>
      <c r="BB77" s="58" t="s">
        <v>134</v>
      </c>
      <c r="BC77" s="58" t="s">
        <v>134</v>
      </c>
      <c r="BD77" s="58" t="s">
        <v>134</v>
      </c>
      <c r="BE77" s="58" t="s">
        <v>134</v>
      </c>
      <c r="BF77" s="58" t="s">
        <v>134</v>
      </c>
      <c r="BG77" s="58" t="s">
        <v>134</v>
      </c>
      <c r="BH77" s="58" t="s">
        <v>134</v>
      </c>
      <c r="BI77" s="58" t="s">
        <v>134</v>
      </c>
      <c r="BJ77" s="58" t="s">
        <v>134</v>
      </c>
      <c r="BK77" s="58" t="s">
        <v>134</v>
      </c>
      <c r="BL77" s="58" t="s">
        <v>134</v>
      </c>
      <c r="BM77" s="58" t="s">
        <v>134</v>
      </c>
      <c r="BN77" s="58" t="s">
        <v>134</v>
      </c>
      <c r="BO77" s="58" t="s">
        <v>134</v>
      </c>
      <c r="BP77" s="58" t="s">
        <v>134</v>
      </c>
      <c r="BQ77" s="58" t="s">
        <v>134</v>
      </c>
      <c r="BR77" s="58" t="s">
        <v>134</v>
      </c>
      <c r="BS77" s="58" t="s">
        <v>134</v>
      </c>
      <c r="BT77" s="58" t="s">
        <v>134</v>
      </c>
      <c r="BU77" s="58" t="s">
        <v>134</v>
      </c>
      <c r="BV77" s="58" t="s">
        <v>134</v>
      </c>
      <c r="BW77" s="58" t="s">
        <v>134</v>
      </c>
      <c r="BX77" s="58" t="s">
        <v>134</v>
      </c>
      <c r="BY77" s="58" t="s">
        <v>134</v>
      </c>
      <c r="BZ77" s="58" t="s">
        <v>134</v>
      </c>
      <c r="CA77" s="58" t="s">
        <v>134</v>
      </c>
      <c r="CB77" s="58" t="s">
        <v>134</v>
      </c>
      <c r="CC77" s="58" t="s">
        <v>134</v>
      </c>
      <c r="CD77" s="58" t="s">
        <v>134</v>
      </c>
      <c r="CE77" s="58" t="s">
        <v>134</v>
      </c>
      <c r="CF77" s="58" t="s">
        <v>134</v>
      </c>
      <c r="CG77" s="58" t="s">
        <v>134</v>
      </c>
      <c r="CH77" s="58" t="s">
        <v>134</v>
      </c>
      <c r="CI77" s="58" t="s">
        <v>134</v>
      </c>
      <c r="CJ77" s="58" t="s">
        <v>134</v>
      </c>
      <c r="CK77" s="58" t="s">
        <v>134</v>
      </c>
      <c r="CL77" s="58" t="s">
        <v>134</v>
      </c>
      <c r="CM77" s="58" t="s">
        <v>134</v>
      </c>
      <c r="CN77" s="58" t="s">
        <v>134</v>
      </c>
      <c r="CO77" s="58" t="s">
        <v>134</v>
      </c>
      <c r="CP77" s="58" t="s">
        <v>134</v>
      </c>
      <c r="CQ77" s="58" t="s">
        <v>134</v>
      </c>
      <c r="CR77" s="58" t="s">
        <v>134</v>
      </c>
      <c r="CS77" s="58" t="s">
        <v>134</v>
      </c>
      <c r="CT77" s="58" t="s">
        <v>134</v>
      </c>
      <c r="CU77" s="58" t="s">
        <v>134</v>
      </c>
      <c r="CV77" s="58" t="s">
        <v>134</v>
      </c>
      <c r="CW77" s="58" t="s">
        <v>134</v>
      </c>
      <c r="CX77" s="58" t="s">
        <v>134</v>
      </c>
      <c r="CY77" s="58" t="s">
        <v>134</v>
      </c>
      <c r="CZ77" s="58" t="s">
        <v>134</v>
      </c>
      <c r="DA77" s="58" t="s">
        <v>134</v>
      </c>
      <c r="DB77" s="58" t="s">
        <v>134</v>
      </c>
      <c r="DC77" s="58" t="s">
        <v>134</v>
      </c>
      <c r="DD77" s="58" t="s">
        <v>134</v>
      </c>
      <c r="DE77" s="58" t="s">
        <v>134</v>
      </c>
      <c r="DF77" s="58" t="s">
        <v>134</v>
      </c>
      <c r="DG77" s="58" t="s">
        <v>134</v>
      </c>
      <c r="DH77" s="58" t="s">
        <v>134</v>
      </c>
      <c r="DI77" s="58" t="s">
        <v>134</v>
      </c>
      <c r="DJ77" s="58" t="s">
        <v>134</v>
      </c>
      <c r="DK77" s="58" t="s">
        <v>134</v>
      </c>
      <c r="DL77" s="58" t="s">
        <v>134</v>
      </c>
      <c r="DM77" s="58" t="s">
        <v>134</v>
      </c>
      <c r="DN77" s="58" t="s">
        <v>134</v>
      </c>
      <c r="DO77" s="58" t="s">
        <v>134</v>
      </c>
      <c r="DP77" s="58" t="s">
        <v>134</v>
      </c>
      <c r="DQ77" s="58" t="s">
        <v>134</v>
      </c>
      <c r="DR77" s="58">
        <v>0.0</v>
      </c>
      <c r="DS77" s="58" t="s">
        <v>134</v>
      </c>
      <c r="DT77" s="58" t="s">
        <v>134</v>
      </c>
      <c r="DU77" s="58" t="s">
        <v>134</v>
      </c>
      <c r="DV77" s="58" t="s">
        <v>134</v>
      </c>
      <c r="DW77" s="58" t="s">
        <v>134</v>
      </c>
      <c r="DX77" s="58" t="s">
        <v>134</v>
      </c>
      <c r="DY77" s="58" t="s">
        <v>134</v>
      </c>
      <c r="DZ77" s="58" t="s">
        <v>134</v>
      </c>
      <c r="EA77" s="58" t="s">
        <v>134</v>
      </c>
      <c r="EB77" s="58" t="s">
        <v>134</v>
      </c>
      <c r="EC77" s="58" t="s">
        <v>134</v>
      </c>
      <c r="ED77" s="58" t="s">
        <v>134</v>
      </c>
      <c r="EE77" s="58" t="s">
        <v>134</v>
      </c>
      <c r="EF77" s="58" t="s">
        <v>134</v>
      </c>
      <c r="EG77" s="58" t="s">
        <v>134</v>
      </c>
      <c r="EH77" s="58" t="s">
        <v>134</v>
      </c>
      <c r="EI77" s="58" t="s">
        <v>134</v>
      </c>
      <c r="EJ77" s="58" t="s">
        <v>134</v>
      </c>
      <c r="EK77" s="58" t="s">
        <v>134</v>
      </c>
      <c r="EL77" s="58" t="s">
        <v>134</v>
      </c>
      <c r="EM77" s="58" t="s">
        <v>134</v>
      </c>
      <c r="EN77" s="58" t="s">
        <v>134</v>
      </c>
      <c r="EO77" s="58">
        <v>0.0</v>
      </c>
      <c r="EP77" s="58">
        <v>0.0</v>
      </c>
      <c r="EQ77" s="58">
        <v>0.0</v>
      </c>
      <c r="ER77" s="58" t="s">
        <v>134</v>
      </c>
      <c r="ES77" s="58" t="s">
        <v>134</v>
      </c>
      <c r="ET77" s="58" t="s">
        <v>134</v>
      </c>
    </row>
    <row r="78">
      <c r="A78" s="58" t="s">
        <v>115</v>
      </c>
      <c r="B78" s="58" t="s">
        <v>134</v>
      </c>
      <c r="C78" s="58" t="s">
        <v>134</v>
      </c>
      <c r="D78" s="58" t="s">
        <v>134</v>
      </c>
      <c r="E78" s="58" t="s">
        <v>134</v>
      </c>
      <c r="F78" s="58" t="s">
        <v>134</v>
      </c>
      <c r="G78" s="58" t="s">
        <v>134</v>
      </c>
      <c r="H78" s="58" t="s">
        <v>134</v>
      </c>
      <c r="I78" s="58" t="s">
        <v>134</v>
      </c>
      <c r="J78" s="58" t="s">
        <v>134</v>
      </c>
      <c r="K78" s="58">
        <v>0.0</v>
      </c>
      <c r="L78" s="58">
        <v>0.0</v>
      </c>
      <c r="M78" s="58" t="s">
        <v>134</v>
      </c>
      <c r="N78" s="58" t="s">
        <v>134</v>
      </c>
      <c r="O78" s="58" t="s">
        <v>134</v>
      </c>
      <c r="P78" s="58" t="s">
        <v>134</v>
      </c>
      <c r="Q78" s="58" t="s">
        <v>134</v>
      </c>
      <c r="R78" s="58" t="s">
        <v>134</v>
      </c>
      <c r="S78" s="58" t="s">
        <v>134</v>
      </c>
      <c r="T78" s="58" t="s">
        <v>134</v>
      </c>
      <c r="U78" s="58" t="s">
        <v>134</v>
      </c>
      <c r="V78" s="58" t="s">
        <v>134</v>
      </c>
      <c r="W78" s="58" t="s">
        <v>134</v>
      </c>
      <c r="X78" s="58" t="s">
        <v>134</v>
      </c>
      <c r="Y78" s="58" t="s">
        <v>134</v>
      </c>
      <c r="Z78" s="58" t="s">
        <v>134</v>
      </c>
      <c r="AA78" s="58" t="s">
        <v>134</v>
      </c>
      <c r="AB78" s="58" t="s">
        <v>134</v>
      </c>
      <c r="AC78" s="58" t="s">
        <v>134</v>
      </c>
      <c r="AD78" s="58" t="s">
        <v>134</v>
      </c>
      <c r="AE78" s="58" t="s">
        <v>134</v>
      </c>
      <c r="AF78" s="58" t="s">
        <v>134</v>
      </c>
      <c r="AG78" s="58" t="s">
        <v>134</v>
      </c>
      <c r="AH78" s="58" t="s">
        <v>134</v>
      </c>
      <c r="AI78" s="58" t="s">
        <v>134</v>
      </c>
      <c r="AJ78" s="58" t="s">
        <v>134</v>
      </c>
      <c r="AK78" s="58" t="s">
        <v>134</v>
      </c>
      <c r="AL78" s="58" t="s">
        <v>134</v>
      </c>
      <c r="AM78" s="58" t="s">
        <v>134</v>
      </c>
      <c r="AN78" s="58">
        <v>0.0</v>
      </c>
      <c r="AO78" s="58" t="s">
        <v>134</v>
      </c>
      <c r="AP78" s="58" t="s">
        <v>134</v>
      </c>
      <c r="AQ78" s="58" t="s">
        <v>134</v>
      </c>
      <c r="AR78" s="58" t="s">
        <v>134</v>
      </c>
      <c r="AS78" s="58" t="s">
        <v>134</v>
      </c>
      <c r="AT78" s="58" t="s">
        <v>134</v>
      </c>
      <c r="AU78" s="58" t="s">
        <v>134</v>
      </c>
      <c r="AV78" s="58" t="s">
        <v>134</v>
      </c>
      <c r="AW78" s="58" t="s">
        <v>134</v>
      </c>
      <c r="AX78" s="58" t="s">
        <v>134</v>
      </c>
      <c r="AY78" s="58" t="s">
        <v>134</v>
      </c>
      <c r="AZ78" s="58" t="s">
        <v>134</v>
      </c>
      <c r="BA78" s="58" t="s">
        <v>134</v>
      </c>
      <c r="BB78" s="58" t="s">
        <v>134</v>
      </c>
      <c r="BC78" s="58" t="s">
        <v>134</v>
      </c>
      <c r="BD78" s="58" t="s">
        <v>134</v>
      </c>
      <c r="BE78" s="58" t="s">
        <v>134</v>
      </c>
      <c r="BF78" s="58" t="s">
        <v>134</v>
      </c>
      <c r="BG78" s="58" t="s">
        <v>134</v>
      </c>
      <c r="BH78" s="58" t="s">
        <v>134</v>
      </c>
      <c r="BI78" s="58" t="s">
        <v>134</v>
      </c>
      <c r="BJ78" s="58" t="s">
        <v>134</v>
      </c>
      <c r="BK78" s="58" t="s">
        <v>134</v>
      </c>
      <c r="BL78" s="58" t="s">
        <v>134</v>
      </c>
      <c r="BM78" s="58" t="s">
        <v>134</v>
      </c>
      <c r="BN78" s="58" t="s">
        <v>134</v>
      </c>
      <c r="BO78" s="58" t="s">
        <v>134</v>
      </c>
      <c r="BP78" s="58" t="s">
        <v>134</v>
      </c>
      <c r="BQ78" s="58" t="s">
        <v>134</v>
      </c>
      <c r="BR78" s="58" t="s">
        <v>134</v>
      </c>
      <c r="BS78" s="58" t="s">
        <v>134</v>
      </c>
      <c r="BT78" s="58" t="s">
        <v>134</v>
      </c>
      <c r="BU78" s="58" t="s">
        <v>134</v>
      </c>
      <c r="BV78" s="58" t="s">
        <v>134</v>
      </c>
      <c r="BW78" s="58" t="s">
        <v>134</v>
      </c>
      <c r="BX78" s="58" t="s">
        <v>134</v>
      </c>
      <c r="BY78" s="58" t="s">
        <v>134</v>
      </c>
      <c r="BZ78" s="58" t="s">
        <v>134</v>
      </c>
      <c r="CA78" s="58" t="s">
        <v>134</v>
      </c>
      <c r="CB78" s="58" t="s">
        <v>134</v>
      </c>
      <c r="CC78" s="58" t="s">
        <v>134</v>
      </c>
      <c r="CD78" s="58" t="s">
        <v>134</v>
      </c>
      <c r="CE78" s="58" t="s">
        <v>134</v>
      </c>
      <c r="CF78" s="58" t="s">
        <v>134</v>
      </c>
      <c r="CG78" s="58" t="s">
        <v>134</v>
      </c>
      <c r="CH78" s="58" t="s">
        <v>134</v>
      </c>
      <c r="CI78" s="58" t="s">
        <v>134</v>
      </c>
      <c r="CJ78" s="58" t="s">
        <v>134</v>
      </c>
      <c r="CK78" s="58" t="s">
        <v>134</v>
      </c>
      <c r="CL78" s="58" t="s">
        <v>134</v>
      </c>
      <c r="CM78" s="58" t="s">
        <v>134</v>
      </c>
      <c r="CN78" s="58" t="s">
        <v>134</v>
      </c>
      <c r="CO78" s="58" t="s">
        <v>134</v>
      </c>
      <c r="CP78" s="58" t="s">
        <v>134</v>
      </c>
      <c r="CQ78" s="58" t="s">
        <v>134</v>
      </c>
      <c r="CR78" s="58" t="s">
        <v>134</v>
      </c>
      <c r="CS78" s="58" t="s">
        <v>134</v>
      </c>
      <c r="CT78" s="58" t="s">
        <v>134</v>
      </c>
      <c r="CU78" s="58" t="s">
        <v>134</v>
      </c>
      <c r="CV78" s="58" t="s">
        <v>134</v>
      </c>
      <c r="CW78" s="58" t="s">
        <v>134</v>
      </c>
      <c r="CX78" s="58" t="s">
        <v>134</v>
      </c>
      <c r="CY78" s="58" t="s">
        <v>134</v>
      </c>
      <c r="CZ78" s="58" t="s">
        <v>134</v>
      </c>
      <c r="DA78" s="58" t="s">
        <v>134</v>
      </c>
      <c r="DB78" s="58" t="s">
        <v>134</v>
      </c>
      <c r="DC78" s="58" t="s">
        <v>134</v>
      </c>
      <c r="DD78" s="58" t="s">
        <v>134</v>
      </c>
      <c r="DE78" s="58" t="s">
        <v>134</v>
      </c>
      <c r="DF78" s="58" t="s">
        <v>134</v>
      </c>
      <c r="DG78" s="58" t="s">
        <v>134</v>
      </c>
      <c r="DH78" s="58" t="s">
        <v>134</v>
      </c>
      <c r="DI78" s="58" t="s">
        <v>134</v>
      </c>
      <c r="DJ78" s="58" t="s">
        <v>134</v>
      </c>
      <c r="DK78" s="58" t="s">
        <v>134</v>
      </c>
      <c r="DL78" s="58" t="s">
        <v>134</v>
      </c>
      <c r="DM78" s="58" t="s">
        <v>134</v>
      </c>
      <c r="DN78" s="58" t="s">
        <v>134</v>
      </c>
      <c r="DO78" s="58" t="s">
        <v>134</v>
      </c>
      <c r="DP78" s="58" t="s">
        <v>134</v>
      </c>
      <c r="DQ78" s="58" t="s">
        <v>134</v>
      </c>
      <c r="DR78" s="58">
        <v>0.0</v>
      </c>
      <c r="DS78" s="58" t="s">
        <v>134</v>
      </c>
      <c r="DT78" s="58" t="s">
        <v>134</v>
      </c>
      <c r="DU78" s="58" t="s">
        <v>134</v>
      </c>
      <c r="DV78" s="58" t="s">
        <v>134</v>
      </c>
      <c r="DW78" s="58" t="s">
        <v>134</v>
      </c>
      <c r="DX78" s="58" t="s">
        <v>134</v>
      </c>
      <c r="DY78" s="58" t="s">
        <v>134</v>
      </c>
      <c r="DZ78" s="58" t="s">
        <v>134</v>
      </c>
      <c r="EA78" s="58" t="s">
        <v>134</v>
      </c>
      <c r="EB78" s="58" t="s">
        <v>134</v>
      </c>
      <c r="EC78" s="58" t="s">
        <v>134</v>
      </c>
      <c r="ED78" s="58" t="s">
        <v>134</v>
      </c>
      <c r="EE78" s="58" t="s">
        <v>134</v>
      </c>
      <c r="EF78" s="58" t="s">
        <v>134</v>
      </c>
      <c r="EG78" s="58" t="s">
        <v>134</v>
      </c>
      <c r="EH78" s="58" t="s">
        <v>134</v>
      </c>
      <c r="EI78" s="58" t="s">
        <v>134</v>
      </c>
      <c r="EJ78" s="58" t="s">
        <v>134</v>
      </c>
      <c r="EK78" s="58" t="s">
        <v>134</v>
      </c>
      <c r="EL78" s="58" t="s">
        <v>134</v>
      </c>
      <c r="EM78" s="58" t="s">
        <v>134</v>
      </c>
      <c r="EN78" s="58" t="s">
        <v>134</v>
      </c>
      <c r="EO78" s="58">
        <v>0.0</v>
      </c>
      <c r="EP78" s="58">
        <v>0.0</v>
      </c>
      <c r="EQ78" s="58">
        <v>0.0</v>
      </c>
      <c r="ER78" s="58" t="s">
        <v>134</v>
      </c>
      <c r="ES78" s="58" t="s">
        <v>134</v>
      </c>
      <c r="ET78" s="58" t="s">
        <v>134</v>
      </c>
    </row>
    <row r="79">
      <c r="A79" s="58" t="s">
        <v>67</v>
      </c>
      <c r="B79" s="58" t="s">
        <v>134</v>
      </c>
      <c r="C79" s="58" t="s">
        <v>134</v>
      </c>
      <c r="D79" s="58" t="s">
        <v>134</v>
      </c>
      <c r="E79" s="58" t="s">
        <v>134</v>
      </c>
      <c r="F79" s="58" t="s">
        <v>134</v>
      </c>
      <c r="G79" s="58" t="s">
        <v>134</v>
      </c>
      <c r="H79" s="58" t="s">
        <v>134</v>
      </c>
      <c r="I79" s="58">
        <v>0.1425</v>
      </c>
      <c r="J79" s="58" t="s">
        <v>134</v>
      </c>
      <c r="K79" s="58">
        <v>0.0</v>
      </c>
      <c r="L79" s="58">
        <v>0.0</v>
      </c>
      <c r="M79" s="58" t="s">
        <v>134</v>
      </c>
      <c r="N79" s="58" t="s">
        <v>134</v>
      </c>
      <c r="O79" s="58" t="s">
        <v>134</v>
      </c>
      <c r="P79" s="58" t="s">
        <v>134</v>
      </c>
      <c r="Q79" s="58" t="s">
        <v>134</v>
      </c>
      <c r="R79" s="58" t="s">
        <v>134</v>
      </c>
      <c r="S79" s="58" t="s">
        <v>134</v>
      </c>
      <c r="T79" s="58" t="s">
        <v>134</v>
      </c>
      <c r="U79" s="58" t="s">
        <v>134</v>
      </c>
      <c r="V79" s="58" t="s">
        <v>134</v>
      </c>
      <c r="W79" s="58" t="s">
        <v>134</v>
      </c>
      <c r="X79" s="58" t="s">
        <v>134</v>
      </c>
      <c r="Y79" s="58" t="s">
        <v>134</v>
      </c>
      <c r="Z79" s="58" t="s">
        <v>134</v>
      </c>
      <c r="AA79" s="58" t="s">
        <v>134</v>
      </c>
      <c r="AB79" s="58" t="s">
        <v>134</v>
      </c>
      <c r="AC79" s="58" t="s">
        <v>134</v>
      </c>
      <c r="AD79" s="58">
        <v>0.024966</v>
      </c>
      <c r="AE79" s="58" t="s">
        <v>134</v>
      </c>
      <c r="AF79" s="58" t="s">
        <v>134</v>
      </c>
      <c r="AG79" s="58" t="s">
        <v>134</v>
      </c>
      <c r="AH79" s="58" t="s">
        <v>134</v>
      </c>
      <c r="AI79" s="58" t="s">
        <v>134</v>
      </c>
      <c r="AJ79" s="58" t="s">
        <v>134</v>
      </c>
      <c r="AK79" s="58" t="s">
        <v>134</v>
      </c>
      <c r="AL79" s="58" t="s">
        <v>134</v>
      </c>
      <c r="AM79" s="58" t="s">
        <v>134</v>
      </c>
      <c r="AN79" s="58">
        <v>0.0</v>
      </c>
      <c r="AO79" s="58" t="s">
        <v>134</v>
      </c>
      <c r="AP79" s="58" t="s">
        <v>134</v>
      </c>
      <c r="AQ79" s="58" t="s">
        <v>134</v>
      </c>
      <c r="AR79" s="58" t="s">
        <v>134</v>
      </c>
      <c r="AS79" s="58" t="s">
        <v>134</v>
      </c>
      <c r="AT79" s="58" t="s">
        <v>134</v>
      </c>
      <c r="AU79" s="58" t="s">
        <v>134</v>
      </c>
      <c r="AV79" s="58" t="s">
        <v>134</v>
      </c>
      <c r="AW79" s="58" t="s">
        <v>134</v>
      </c>
      <c r="AX79" s="58" t="s">
        <v>134</v>
      </c>
      <c r="AY79" s="58">
        <v>0.35</v>
      </c>
      <c r="AZ79" s="58" t="s">
        <v>134</v>
      </c>
      <c r="BA79" s="58" t="s">
        <v>134</v>
      </c>
      <c r="BB79" s="58" t="s">
        <v>134</v>
      </c>
      <c r="BC79" s="58" t="s">
        <v>134</v>
      </c>
      <c r="BD79" s="58" t="s">
        <v>134</v>
      </c>
      <c r="BE79" s="58" t="s">
        <v>134</v>
      </c>
      <c r="BF79" s="58" t="s">
        <v>134</v>
      </c>
      <c r="BG79" s="58" t="s">
        <v>134</v>
      </c>
      <c r="BH79" s="58" t="s">
        <v>134</v>
      </c>
      <c r="BI79" s="58" t="s">
        <v>134</v>
      </c>
      <c r="BJ79" s="58" t="s">
        <v>134</v>
      </c>
      <c r="BK79" s="58" t="s">
        <v>134</v>
      </c>
      <c r="BL79" s="58" t="s">
        <v>134</v>
      </c>
      <c r="BM79" s="58" t="s">
        <v>134</v>
      </c>
      <c r="BN79" s="58" t="s">
        <v>134</v>
      </c>
      <c r="BO79" s="58" t="s">
        <v>134</v>
      </c>
      <c r="BP79" s="58" t="s">
        <v>134</v>
      </c>
      <c r="BQ79" s="58" t="s">
        <v>134</v>
      </c>
      <c r="BR79" s="58" t="s">
        <v>134</v>
      </c>
      <c r="BS79" s="58" t="s">
        <v>134</v>
      </c>
      <c r="BT79" s="58" t="s">
        <v>134</v>
      </c>
      <c r="BU79" s="58" t="s">
        <v>134</v>
      </c>
      <c r="BV79" s="58" t="s">
        <v>134</v>
      </c>
      <c r="BW79" s="58" t="s">
        <v>134</v>
      </c>
      <c r="BX79" s="58" t="s">
        <v>134</v>
      </c>
      <c r="BY79" s="58" t="s">
        <v>134</v>
      </c>
      <c r="BZ79" s="58" t="s">
        <v>134</v>
      </c>
      <c r="CA79" s="58" t="s">
        <v>134</v>
      </c>
      <c r="CB79" s="58" t="s">
        <v>134</v>
      </c>
      <c r="CC79" s="58" t="s">
        <v>134</v>
      </c>
      <c r="CD79" s="58" t="s">
        <v>134</v>
      </c>
      <c r="CE79" s="58" t="s">
        <v>134</v>
      </c>
      <c r="CF79" s="58" t="s">
        <v>134</v>
      </c>
      <c r="CG79" s="58" t="s">
        <v>134</v>
      </c>
      <c r="CH79" s="58" t="s">
        <v>134</v>
      </c>
      <c r="CI79" s="58" t="s">
        <v>134</v>
      </c>
      <c r="CJ79" s="58" t="s">
        <v>134</v>
      </c>
      <c r="CK79" s="58" t="s">
        <v>134</v>
      </c>
      <c r="CL79" s="58" t="s">
        <v>134</v>
      </c>
      <c r="CM79" s="58" t="s">
        <v>134</v>
      </c>
      <c r="CN79" s="58" t="s">
        <v>134</v>
      </c>
      <c r="CO79" s="58" t="s">
        <v>134</v>
      </c>
      <c r="CP79" s="58" t="s">
        <v>134</v>
      </c>
      <c r="CQ79" s="58" t="s">
        <v>134</v>
      </c>
      <c r="CR79" s="58" t="s">
        <v>134</v>
      </c>
      <c r="CS79" s="58" t="s">
        <v>134</v>
      </c>
      <c r="CT79" s="58" t="s">
        <v>134</v>
      </c>
      <c r="CU79" s="58" t="s">
        <v>134</v>
      </c>
      <c r="CV79" s="58" t="s">
        <v>134</v>
      </c>
      <c r="CW79" s="58" t="s">
        <v>134</v>
      </c>
      <c r="CX79" s="58" t="s">
        <v>134</v>
      </c>
      <c r="CY79" s="58" t="s">
        <v>134</v>
      </c>
      <c r="CZ79" s="58" t="s">
        <v>134</v>
      </c>
      <c r="DA79" s="58" t="s">
        <v>134</v>
      </c>
      <c r="DB79" s="58" t="s">
        <v>134</v>
      </c>
      <c r="DC79" s="58" t="s">
        <v>134</v>
      </c>
      <c r="DD79" s="58" t="s">
        <v>134</v>
      </c>
      <c r="DE79" s="58" t="s">
        <v>134</v>
      </c>
      <c r="DF79" s="58" t="s">
        <v>134</v>
      </c>
      <c r="DG79" s="58" t="s">
        <v>134</v>
      </c>
      <c r="DH79" s="58" t="s">
        <v>134</v>
      </c>
      <c r="DI79" s="58" t="s">
        <v>134</v>
      </c>
      <c r="DJ79" s="58" t="s">
        <v>134</v>
      </c>
      <c r="DK79" s="58" t="s">
        <v>134</v>
      </c>
      <c r="DL79" s="58" t="s">
        <v>134</v>
      </c>
      <c r="DM79" s="58" t="s">
        <v>134</v>
      </c>
      <c r="DN79" s="58" t="s">
        <v>134</v>
      </c>
      <c r="DO79" s="58" t="s">
        <v>134</v>
      </c>
      <c r="DP79" s="58" t="s">
        <v>134</v>
      </c>
      <c r="DQ79" s="58" t="s">
        <v>134</v>
      </c>
      <c r="DR79" s="58">
        <v>0.0</v>
      </c>
      <c r="DS79" s="58" t="s">
        <v>134</v>
      </c>
      <c r="DT79" s="58" t="s">
        <v>134</v>
      </c>
      <c r="DU79" s="58" t="s">
        <v>134</v>
      </c>
      <c r="DV79" s="58" t="s">
        <v>134</v>
      </c>
      <c r="DW79" s="58" t="s">
        <v>134</v>
      </c>
      <c r="DX79" s="58" t="s">
        <v>134</v>
      </c>
      <c r="DY79" s="58" t="s">
        <v>134</v>
      </c>
      <c r="DZ79" s="58" t="s">
        <v>134</v>
      </c>
      <c r="EA79" s="58" t="s">
        <v>134</v>
      </c>
      <c r="EB79" s="58" t="s">
        <v>134</v>
      </c>
      <c r="EC79" s="58" t="s">
        <v>134</v>
      </c>
      <c r="ED79" s="58" t="s">
        <v>134</v>
      </c>
      <c r="EE79" s="58" t="s">
        <v>134</v>
      </c>
      <c r="EF79" s="58" t="s">
        <v>134</v>
      </c>
      <c r="EG79" s="58" t="s">
        <v>134</v>
      </c>
      <c r="EH79" s="58" t="s">
        <v>134</v>
      </c>
      <c r="EI79" s="58" t="s">
        <v>134</v>
      </c>
      <c r="EJ79" s="58" t="s">
        <v>134</v>
      </c>
      <c r="EK79" s="58" t="s">
        <v>134</v>
      </c>
      <c r="EL79" s="58" t="s">
        <v>134</v>
      </c>
      <c r="EM79" s="58" t="s">
        <v>134</v>
      </c>
      <c r="EN79" s="58" t="s">
        <v>134</v>
      </c>
      <c r="EO79" s="58">
        <v>0.0</v>
      </c>
      <c r="EP79" s="58">
        <v>0.0</v>
      </c>
      <c r="EQ79" s="58">
        <v>0.0</v>
      </c>
      <c r="ER79" s="58" t="s">
        <v>134</v>
      </c>
      <c r="ES79" s="58" t="s">
        <v>134</v>
      </c>
      <c r="ET79" s="58" t="s">
        <v>134</v>
      </c>
    </row>
    <row r="80">
      <c r="A80" s="58" t="s">
        <v>209</v>
      </c>
      <c r="B80" s="58" t="s">
        <v>134</v>
      </c>
      <c r="C80" s="58" t="s">
        <v>134</v>
      </c>
      <c r="D80" s="58" t="s">
        <v>134</v>
      </c>
      <c r="E80" s="58" t="s">
        <v>134</v>
      </c>
      <c r="F80" s="58" t="s">
        <v>134</v>
      </c>
      <c r="G80" s="58" t="s">
        <v>134</v>
      </c>
      <c r="H80" s="58" t="s">
        <v>134</v>
      </c>
      <c r="I80" s="58" t="s">
        <v>134</v>
      </c>
      <c r="J80" s="58" t="s">
        <v>134</v>
      </c>
      <c r="K80" s="58">
        <v>0.0</v>
      </c>
      <c r="L80" s="58">
        <v>0.0</v>
      </c>
      <c r="M80" s="58" t="s">
        <v>134</v>
      </c>
      <c r="N80" s="58" t="s">
        <v>134</v>
      </c>
      <c r="O80" s="58" t="s">
        <v>134</v>
      </c>
      <c r="P80" s="58" t="s">
        <v>134</v>
      </c>
      <c r="Q80" s="58" t="s">
        <v>134</v>
      </c>
      <c r="R80" s="58" t="s">
        <v>134</v>
      </c>
      <c r="S80" s="58" t="s">
        <v>134</v>
      </c>
      <c r="T80" s="58" t="s">
        <v>134</v>
      </c>
      <c r="U80" s="58" t="s">
        <v>134</v>
      </c>
      <c r="V80" s="58" t="s">
        <v>134</v>
      </c>
      <c r="W80" s="58" t="s">
        <v>134</v>
      </c>
      <c r="X80" s="58" t="s">
        <v>134</v>
      </c>
      <c r="Y80" s="58" t="s">
        <v>134</v>
      </c>
      <c r="Z80" s="58" t="s">
        <v>134</v>
      </c>
      <c r="AA80" s="58" t="s">
        <v>134</v>
      </c>
      <c r="AB80" s="58" t="s">
        <v>134</v>
      </c>
      <c r="AC80" s="58" t="s">
        <v>134</v>
      </c>
      <c r="AD80" s="58" t="s">
        <v>134</v>
      </c>
      <c r="AE80" s="58" t="s">
        <v>134</v>
      </c>
      <c r="AF80" s="58" t="s">
        <v>134</v>
      </c>
      <c r="AG80" s="58" t="s">
        <v>134</v>
      </c>
      <c r="AH80" s="58" t="s">
        <v>134</v>
      </c>
      <c r="AI80" s="58" t="s">
        <v>134</v>
      </c>
      <c r="AJ80" s="58" t="s">
        <v>134</v>
      </c>
      <c r="AK80" s="58" t="s">
        <v>134</v>
      </c>
      <c r="AL80" s="58" t="s">
        <v>134</v>
      </c>
      <c r="AM80" s="58" t="s">
        <v>134</v>
      </c>
      <c r="AN80" s="58">
        <v>0.0</v>
      </c>
      <c r="AO80" s="58" t="s">
        <v>134</v>
      </c>
      <c r="AP80" s="58" t="s">
        <v>134</v>
      </c>
      <c r="AQ80" s="58" t="s">
        <v>134</v>
      </c>
      <c r="AR80" s="58" t="s">
        <v>134</v>
      </c>
      <c r="AS80" s="58" t="s">
        <v>134</v>
      </c>
      <c r="AT80" s="58" t="s">
        <v>134</v>
      </c>
      <c r="AU80" s="58" t="s">
        <v>134</v>
      </c>
      <c r="AV80" s="58" t="s">
        <v>134</v>
      </c>
      <c r="AW80" s="58" t="s">
        <v>134</v>
      </c>
      <c r="AX80" s="58" t="s">
        <v>134</v>
      </c>
      <c r="AY80" s="58" t="s">
        <v>134</v>
      </c>
      <c r="AZ80" s="58" t="s">
        <v>134</v>
      </c>
      <c r="BA80" s="58" t="s">
        <v>134</v>
      </c>
      <c r="BB80" s="58" t="s">
        <v>134</v>
      </c>
      <c r="BC80" s="58" t="s">
        <v>134</v>
      </c>
      <c r="BD80" s="58" t="s">
        <v>134</v>
      </c>
      <c r="BE80" s="58" t="s">
        <v>134</v>
      </c>
      <c r="BF80" s="58" t="s">
        <v>134</v>
      </c>
      <c r="BG80" s="58" t="s">
        <v>134</v>
      </c>
      <c r="BH80" s="58" t="s">
        <v>134</v>
      </c>
      <c r="BI80" s="58" t="s">
        <v>134</v>
      </c>
      <c r="BJ80" s="58" t="s">
        <v>134</v>
      </c>
      <c r="BK80" s="58" t="s">
        <v>134</v>
      </c>
      <c r="BL80" s="58" t="s">
        <v>134</v>
      </c>
      <c r="BM80" s="58" t="s">
        <v>134</v>
      </c>
      <c r="BN80" s="58" t="s">
        <v>134</v>
      </c>
      <c r="BO80" s="58" t="s">
        <v>134</v>
      </c>
      <c r="BP80" s="58" t="s">
        <v>134</v>
      </c>
      <c r="BQ80" s="58" t="s">
        <v>134</v>
      </c>
      <c r="BR80" s="58" t="s">
        <v>134</v>
      </c>
      <c r="BS80" s="58" t="s">
        <v>134</v>
      </c>
      <c r="BT80" s="58" t="s">
        <v>134</v>
      </c>
      <c r="BU80" s="58" t="s">
        <v>134</v>
      </c>
      <c r="BV80" s="58" t="s">
        <v>134</v>
      </c>
      <c r="BW80" s="58" t="s">
        <v>134</v>
      </c>
      <c r="BX80" s="58" t="s">
        <v>134</v>
      </c>
      <c r="BY80" s="58" t="s">
        <v>134</v>
      </c>
      <c r="BZ80" s="58" t="s">
        <v>134</v>
      </c>
      <c r="CA80" s="58" t="s">
        <v>134</v>
      </c>
      <c r="CB80" s="58" t="s">
        <v>134</v>
      </c>
      <c r="CC80" s="58" t="s">
        <v>134</v>
      </c>
      <c r="CD80" s="58" t="s">
        <v>134</v>
      </c>
      <c r="CE80" s="58" t="s">
        <v>134</v>
      </c>
      <c r="CF80" s="58" t="s">
        <v>134</v>
      </c>
      <c r="CG80" s="58" t="s">
        <v>134</v>
      </c>
      <c r="CH80" s="58" t="s">
        <v>134</v>
      </c>
      <c r="CI80" s="58" t="s">
        <v>134</v>
      </c>
      <c r="CJ80" s="58" t="s">
        <v>134</v>
      </c>
      <c r="CK80" s="58" t="s">
        <v>134</v>
      </c>
      <c r="CL80" s="58" t="s">
        <v>134</v>
      </c>
      <c r="CM80" s="58" t="s">
        <v>134</v>
      </c>
      <c r="CN80" s="58" t="s">
        <v>134</v>
      </c>
      <c r="CO80" s="58" t="s">
        <v>134</v>
      </c>
      <c r="CP80" s="58" t="s">
        <v>134</v>
      </c>
      <c r="CQ80" s="58" t="s">
        <v>134</v>
      </c>
      <c r="CR80" s="58" t="s">
        <v>134</v>
      </c>
      <c r="CS80" s="58" t="s">
        <v>134</v>
      </c>
      <c r="CT80" s="58" t="s">
        <v>134</v>
      </c>
      <c r="CU80" s="58" t="s">
        <v>134</v>
      </c>
      <c r="CV80" s="58" t="s">
        <v>134</v>
      </c>
      <c r="CW80" s="58" t="s">
        <v>134</v>
      </c>
      <c r="CX80" s="58" t="s">
        <v>134</v>
      </c>
      <c r="CY80" s="58" t="s">
        <v>134</v>
      </c>
      <c r="CZ80" s="58" t="s">
        <v>134</v>
      </c>
      <c r="DA80" s="58" t="s">
        <v>134</v>
      </c>
      <c r="DB80" s="58" t="s">
        <v>134</v>
      </c>
      <c r="DC80" s="58" t="s">
        <v>134</v>
      </c>
      <c r="DD80" s="58" t="s">
        <v>134</v>
      </c>
      <c r="DE80" s="58" t="s">
        <v>134</v>
      </c>
      <c r="DF80" s="58" t="s">
        <v>134</v>
      </c>
      <c r="DG80" s="58" t="s">
        <v>134</v>
      </c>
      <c r="DH80" s="58" t="s">
        <v>134</v>
      </c>
      <c r="DI80" s="58" t="s">
        <v>134</v>
      </c>
      <c r="DJ80" s="58" t="s">
        <v>134</v>
      </c>
      <c r="DK80" s="58" t="s">
        <v>134</v>
      </c>
      <c r="DL80" s="58" t="s">
        <v>134</v>
      </c>
      <c r="DM80" s="58" t="s">
        <v>134</v>
      </c>
      <c r="DN80" s="58" t="s">
        <v>134</v>
      </c>
      <c r="DO80" s="58" t="s">
        <v>134</v>
      </c>
      <c r="DP80" s="58" t="s">
        <v>134</v>
      </c>
      <c r="DQ80" s="58" t="s">
        <v>134</v>
      </c>
      <c r="DR80" s="58">
        <v>0.0</v>
      </c>
      <c r="DS80" s="58" t="s">
        <v>134</v>
      </c>
      <c r="DT80" s="58" t="s">
        <v>134</v>
      </c>
      <c r="DU80" s="58" t="s">
        <v>134</v>
      </c>
      <c r="DV80" s="58" t="s">
        <v>134</v>
      </c>
      <c r="DW80" s="58" t="s">
        <v>134</v>
      </c>
      <c r="DX80" s="58" t="s">
        <v>134</v>
      </c>
      <c r="DY80" s="58" t="s">
        <v>134</v>
      </c>
      <c r="DZ80" s="58" t="s">
        <v>134</v>
      </c>
      <c r="EA80" s="58" t="s">
        <v>134</v>
      </c>
      <c r="EB80" s="58" t="s">
        <v>134</v>
      </c>
      <c r="EC80" s="58" t="s">
        <v>134</v>
      </c>
      <c r="ED80" s="58" t="s">
        <v>134</v>
      </c>
      <c r="EE80" s="58" t="s">
        <v>134</v>
      </c>
      <c r="EF80" s="58" t="s">
        <v>134</v>
      </c>
      <c r="EG80" s="58" t="s">
        <v>134</v>
      </c>
      <c r="EH80" s="58" t="s">
        <v>134</v>
      </c>
      <c r="EI80" s="58" t="s">
        <v>134</v>
      </c>
      <c r="EJ80" s="58" t="s">
        <v>134</v>
      </c>
      <c r="EK80" s="58" t="s">
        <v>134</v>
      </c>
      <c r="EL80" s="58" t="s">
        <v>134</v>
      </c>
      <c r="EM80" s="58" t="s">
        <v>134</v>
      </c>
      <c r="EN80" s="58" t="s">
        <v>134</v>
      </c>
      <c r="EO80" s="58">
        <v>0.0</v>
      </c>
      <c r="EP80" s="58">
        <v>0.0</v>
      </c>
      <c r="EQ80" s="58">
        <v>0.0</v>
      </c>
      <c r="ER80" s="58" t="s">
        <v>134</v>
      </c>
      <c r="ES80" s="58" t="s">
        <v>134</v>
      </c>
      <c r="ET80" s="58" t="s">
        <v>134</v>
      </c>
    </row>
    <row r="81">
      <c r="A81" s="58" t="s">
        <v>466</v>
      </c>
      <c r="B81" s="58" t="s">
        <v>134</v>
      </c>
      <c r="C81" s="58" t="s">
        <v>134</v>
      </c>
      <c r="D81" s="58" t="s">
        <v>134</v>
      </c>
      <c r="E81" s="58" t="s">
        <v>134</v>
      </c>
      <c r="F81" s="58" t="s">
        <v>134</v>
      </c>
      <c r="G81" s="58" t="s">
        <v>134</v>
      </c>
      <c r="H81" s="58" t="s">
        <v>134</v>
      </c>
      <c r="I81" s="58" t="s">
        <v>134</v>
      </c>
      <c r="J81" s="58" t="s">
        <v>134</v>
      </c>
      <c r="K81" s="58">
        <v>0.0</v>
      </c>
      <c r="L81" s="58">
        <v>0.0</v>
      </c>
      <c r="M81" s="58" t="s">
        <v>134</v>
      </c>
      <c r="N81" s="58" t="s">
        <v>134</v>
      </c>
      <c r="O81" s="58" t="s">
        <v>134</v>
      </c>
      <c r="P81" s="58" t="s">
        <v>134</v>
      </c>
      <c r="Q81" s="58" t="s">
        <v>134</v>
      </c>
      <c r="R81" s="58" t="s">
        <v>134</v>
      </c>
      <c r="S81" s="58" t="s">
        <v>134</v>
      </c>
      <c r="T81" s="58" t="s">
        <v>134</v>
      </c>
      <c r="U81" s="58" t="s">
        <v>134</v>
      </c>
      <c r="V81" s="58" t="s">
        <v>134</v>
      </c>
      <c r="W81" s="58" t="s">
        <v>134</v>
      </c>
      <c r="X81" s="58" t="s">
        <v>134</v>
      </c>
      <c r="Y81" s="58" t="s">
        <v>134</v>
      </c>
      <c r="Z81" s="58" t="s">
        <v>134</v>
      </c>
      <c r="AA81" s="58" t="s">
        <v>134</v>
      </c>
      <c r="AB81" s="58" t="s">
        <v>134</v>
      </c>
      <c r="AC81" s="58" t="s">
        <v>134</v>
      </c>
      <c r="AD81" s="58" t="s">
        <v>134</v>
      </c>
      <c r="AE81" s="58" t="s">
        <v>134</v>
      </c>
      <c r="AF81" s="58" t="s">
        <v>134</v>
      </c>
      <c r="AG81" s="58" t="s">
        <v>134</v>
      </c>
      <c r="AH81" s="58" t="s">
        <v>134</v>
      </c>
      <c r="AI81" s="58" t="s">
        <v>134</v>
      </c>
      <c r="AJ81" s="58" t="s">
        <v>134</v>
      </c>
      <c r="AK81" s="58" t="s">
        <v>134</v>
      </c>
      <c r="AL81" s="58" t="s">
        <v>134</v>
      </c>
      <c r="AM81" s="58" t="s">
        <v>134</v>
      </c>
      <c r="AN81" s="58">
        <v>0.0</v>
      </c>
      <c r="AO81" s="58" t="s">
        <v>134</v>
      </c>
      <c r="AP81" s="58" t="s">
        <v>134</v>
      </c>
      <c r="AQ81" s="58" t="s">
        <v>134</v>
      </c>
      <c r="AR81" s="58" t="s">
        <v>134</v>
      </c>
      <c r="AS81" s="58" t="s">
        <v>134</v>
      </c>
      <c r="AT81" s="58" t="s">
        <v>134</v>
      </c>
      <c r="AU81" s="58" t="s">
        <v>134</v>
      </c>
      <c r="AV81" s="58" t="s">
        <v>134</v>
      </c>
      <c r="AW81" s="58" t="s">
        <v>134</v>
      </c>
      <c r="AX81" s="58" t="s">
        <v>134</v>
      </c>
      <c r="AY81" s="58" t="s">
        <v>134</v>
      </c>
      <c r="AZ81" s="58" t="s">
        <v>134</v>
      </c>
      <c r="BA81" s="58" t="s">
        <v>134</v>
      </c>
      <c r="BB81" s="58" t="s">
        <v>134</v>
      </c>
      <c r="BC81" s="58" t="s">
        <v>134</v>
      </c>
      <c r="BD81" s="58" t="s">
        <v>134</v>
      </c>
      <c r="BE81" s="58" t="s">
        <v>134</v>
      </c>
      <c r="BF81" s="58" t="s">
        <v>134</v>
      </c>
      <c r="BG81" s="58" t="s">
        <v>134</v>
      </c>
      <c r="BH81" s="58" t="s">
        <v>134</v>
      </c>
      <c r="BI81" s="58" t="s">
        <v>134</v>
      </c>
      <c r="BJ81" s="58" t="s">
        <v>134</v>
      </c>
      <c r="BK81" s="58" t="s">
        <v>134</v>
      </c>
      <c r="BL81" s="58" t="s">
        <v>134</v>
      </c>
      <c r="BM81" s="58" t="s">
        <v>134</v>
      </c>
      <c r="BN81" s="58" t="s">
        <v>134</v>
      </c>
      <c r="BO81" s="58" t="s">
        <v>134</v>
      </c>
      <c r="BP81" s="58" t="s">
        <v>134</v>
      </c>
      <c r="BQ81" s="58" t="s">
        <v>134</v>
      </c>
      <c r="BR81" s="58" t="s">
        <v>134</v>
      </c>
      <c r="BS81" s="58" t="s">
        <v>134</v>
      </c>
      <c r="BT81" s="58" t="s">
        <v>134</v>
      </c>
      <c r="BU81" s="58" t="s">
        <v>134</v>
      </c>
      <c r="BV81" s="58" t="s">
        <v>134</v>
      </c>
      <c r="BW81" s="58" t="s">
        <v>134</v>
      </c>
      <c r="BX81" s="58" t="s">
        <v>134</v>
      </c>
      <c r="BY81" s="58" t="s">
        <v>134</v>
      </c>
      <c r="BZ81" s="58" t="s">
        <v>134</v>
      </c>
      <c r="CA81" s="58" t="s">
        <v>134</v>
      </c>
      <c r="CB81" s="58" t="s">
        <v>134</v>
      </c>
      <c r="CC81" s="58" t="s">
        <v>134</v>
      </c>
      <c r="CD81" s="58" t="s">
        <v>134</v>
      </c>
      <c r="CE81" s="58" t="s">
        <v>134</v>
      </c>
      <c r="CF81" s="58" t="s">
        <v>134</v>
      </c>
      <c r="CG81" s="58" t="s">
        <v>134</v>
      </c>
      <c r="CH81" s="58" t="s">
        <v>134</v>
      </c>
      <c r="CI81" s="58" t="s">
        <v>134</v>
      </c>
      <c r="CJ81" s="58" t="s">
        <v>134</v>
      </c>
      <c r="CK81" s="58" t="s">
        <v>134</v>
      </c>
      <c r="CL81" s="58" t="s">
        <v>134</v>
      </c>
      <c r="CM81" s="58" t="s">
        <v>134</v>
      </c>
      <c r="CN81" s="58" t="s">
        <v>134</v>
      </c>
      <c r="CO81" s="58" t="s">
        <v>134</v>
      </c>
      <c r="CP81" s="58" t="s">
        <v>134</v>
      </c>
      <c r="CQ81" s="58" t="s">
        <v>134</v>
      </c>
      <c r="CR81" s="58" t="s">
        <v>134</v>
      </c>
      <c r="CS81" s="58" t="s">
        <v>134</v>
      </c>
      <c r="CT81" s="58" t="s">
        <v>134</v>
      </c>
      <c r="CU81" s="58" t="s">
        <v>134</v>
      </c>
      <c r="CV81" s="58" t="s">
        <v>134</v>
      </c>
      <c r="CW81" s="58" t="s">
        <v>134</v>
      </c>
      <c r="CX81" s="58" t="s">
        <v>134</v>
      </c>
      <c r="CY81" s="58" t="s">
        <v>134</v>
      </c>
      <c r="CZ81" s="58" t="s">
        <v>134</v>
      </c>
      <c r="DA81" s="58" t="s">
        <v>134</v>
      </c>
      <c r="DB81" s="58" t="s">
        <v>134</v>
      </c>
      <c r="DC81" s="58" t="s">
        <v>134</v>
      </c>
      <c r="DD81" s="58" t="s">
        <v>134</v>
      </c>
      <c r="DE81" s="58" t="s">
        <v>134</v>
      </c>
      <c r="DF81" s="58" t="s">
        <v>134</v>
      </c>
      <c r="DG81" s="58" t="s">
        <v>134</v>
      </c>
      <c r="DH81" s="58" t="s">
        <v>134</v>
      </c>
      <c r="DI81" s="58" t="s">
        <v>134</v>
      </c>
      <c r="DJ81" s="58" t="s">
        <v>134</v>
      </c>
      <c r="DK81" s="58" t="s">
        <v>134</v>
      </c>
      <c r="DL81" s="58" t="s">
        <v>134</v>
      </c>
      <c r="DM81" s="58" t="s">
        <v>134</v>
      </c>
      <c r="DN81" s="58" t="s">
        <v>134</v>
      </c>
      <c r="DO81" s="58" t="s">
        <v>134</v>
      </c>
      <c r="DP81" s="58" t="s">
        <v>134</v>
      </c>
      <c r="DQ81" s="58" t="s">
        <v>134</v>
      </c>
      <c r="DR81" s="58">
        <v>0.0</v>
      </c>
      <c r="DS81" s="58" t="s">
        <v>134</v>
      </c>
      <c r="DT81" s="58" t="s">
        <v>134</v>
      </c>
      <c r="DU81" s="58" t="s">
        <v>134</v>
      </c>
      <c r="DV81" s="58" t="s">
        <v>134</v>
      </c>
      <c r="DW81" s="58" t="s">
        <v>134</v>
      </c>
      <c r="DX81" s="58" t="s">
        <v>134</v>
      </c>
      <c r="DY81" s="58" t="s">
        <v>134</v>
      </c>
      <c r="DZ81" s="58" t="s">
        <v>134</v>
      </c>
      <c r="EA81" s="58" t="s">
        <v>134</v>
      </c>
      <c r="EB81" s="58" t="s">
        <v>134</v>
      </c>
      <c r="EC81" s="58" t="s">
        <v>134</v>
      </c>
      <c r="ED81" s="58" t="s">
        <v>134</v>
      </c>
      <c r="EE81" s="58" t="s">
        <v>134</v>
      </c>
      <c r="EF81" s="58" t="s">
        <v>134</v>
      </c>
      <c r="EG81" s="58" t="s">
        <v>134</v>
      </c>
      <c r="EH81" s="58" t="s">
        <v>134</v>
      </c>
      <c r="EI81" s="58" t="s">
        <v>134</v>
      </c>
      <c r="EJ81" s="58" t="s">
        <v>134</v>
      </c>
      <c r="EK81" s="58" t="s">
        <v>134</v>
      </c>
      <c r="EL81" s="58" t="s">
        <v>134</v>
      </c>
      <c r="EM81" s="58" t="s">
        <v>134</v>
      </c>
      <c r="EN81" s="58" t="s">
        <v>134</v>
      </c>
      <c r="EO81" s="58">
        <v>0.0</v>
      </c>
      <c r="EP81" s="58">
        <v>0.0</v>
      </c>
      <c r="EQ81" s="58">
        <v>0.0</v>
      </c>
      <c r="ER81" s="58" t="s">
        <v>134</v>
      </c>
      <c r="ES81" s="58" t="s">
        <v>134</v>
      </c>
      <c r="ET81" s="58" t="s">
        <v>134</v>
      </c>
    </row>
    <row r="82">
      <c r="A82" s="58" t="s">
        <v>58</v>
      </c>
      <c r="B82" s="58" t="s">
        <v>134</v>
      </c>
      <c r="C82" s="58" t="s">
        <v>134</v>
      </c>
      <c r="D82" s="58" t="s">
        <v>134</v>
      </c>
      <c r="E82" s="58" t="s">
        <v>134</v>
      </c>
      <c r="F82" s="58" t="s">
        <v>134</v>
      </c>
      <c r="G82" s="58" t="s">
        <v>134</v>
      </c>
      <c r="H82" s="58" t="s">
        <v>134</v>
      </c>
      <c r="I82" s="58" t="s">
        <v>134</v>
      </c>
      <c r="J82" s="58" t="s">
        <v>134</v>
      </c>
      <c r="K82" s="58">
        <v>0.0</v>
      </c>
      <c r="L82" s="58">
        <v>0.0</v>
      </c>
      <c r="M82" s="58" t="s">
        <v>134</v>
      </c>
      <c r="N82" s="58" t="s">
        <v>134</v>
      </c>
      <c r="O82" s="58" t="s">
        <v>134</v>
      </c>
      <c r="P82" s="58" t="s">
        <v>134</v>
      </c>
      <c r="Q82" s="58" t="s">
        <v>134</v>
      </c>
      <c r="R82" s="58" t="s">
        <v>134</v>
      </c>
      <c r="S82" s="58" t="s">
        <v>134</v>
      </c>
      <c r="T82" s="58" t="s">
        <v>134</v>
      </c>
      <c r="U82" s="58" t="s">
        <v>134</v>
      </c>
      <c r="V82" s="58" t="s">
        <v>134</v>
      </c>
      <c r="W82" s="58" t="s">
        <v>134</v>
      </c>
      <c r="X82" s="58" t="s">
        <v>134</v>
      </c>
      <c r="Y82" s="58" t="s">
        <v>134</v>
      </c>
      <c r="Z82" s="58" t="s">
        <v>134</v>
      </c>
      <c r="AA82" s="58" t="s">
        <v>134</v>
      </c>
      <c r="AB82" s="58">
        <v>0.03</v>
      </c>
      <c r="AC82" s="58" t="s">
        <v>134</v>
      </c>
      <c r="AD82" s="58" t="s">
        <v>134</v>
      </c>
      <c r="AE82" s="58" t="s">
        <v>134</v>
      </c>
      <c r="AF82" s="58" t="s">
        <v>134</v>
      </c>
      <c r="AG82" s="58" t="s">
        <v>134</v>
      </c>
      <c r="AH82" s="58" t="s">
        <v>134</v>
      </c>
      <c r="AI82" s="58" t="s">
        <v>134</v>
      </c>
      <c r="AJ82" s="58" t="s">
        <v>134</v>
      </c>
      <c r="AK82" s="58" t="s">
        <v>134</v>
      </c>
      <c r="AL82" s="58" t="s">
        <v>134</v>
      </c>
      <c r="AM82" s="58" t="s">
        <v>134</v>
      </c>
      <c r="AN82" s="58" t="s">
        <v>134</v>
      </c>
      <c r="AO82" s="58" t="s">
        <v>134</v>
      </c>
      <c r="AP82" s="58" t="s">
        <v>134</v>
      </c>
      <c r="AQ82" s="58" t="s">
        <v>134</v>
      </c>
      <c r="AR82" s="58" t="s">
        <v>134</v>
      </c>
      <c r="AS82" s="58" t="s">
        <v>134</v>
      </c>
      <c r="AT82" s="58" t="s">
        <v>134</v>
      </c>
      <c r="AU82" s="58" t="s">
        <v>134</v>
      </c>
      <c r="AV82" s="58" t="s">
        <v>134</v>
      </c>
      <c r="AW82" s="58" t="s">
        <v>134</v>
      </c>
      <c r="AX82" s="58" t="s">
        <v>134</v>
      </c>
      <c r="AY82" s="58" t="s">
        <v>134</v>
      </c>
      <c r="AZ82" s="58" t="s">
        <v>134</v>
      </c>
      <c r="BA82" s="58" t="s">
        <v>134</v>
      </c>
      <c r="BB82" s="58" t="s">
        <v>134</v>
      </c>
      <c r="BC82" s="58" t="s">
        <v>134</v>
      </c>
      <c r="BD82" s="58" t="s">
        <v>134</v>
      </c>
      <c r="BE82" s="58" t="s">
        <v>134</v>
      </c>
      <c r="BF82" s="58" t="s">
        <v>134</v>
      </c>
      <c r="BG82" s="58" t="s">
        <v>134</v>
      </c>
      <c r="BH82" s="58" t="s">
        <v>134</v>
      </c>
      <c r="BI82" s="58" t="s">
        <v>134</v>
      </c>
      <c r="BJ82" s="58" t="s">
        <v>134</v>
      </c>
      <c r="BK82" s="58" t="s">
        <v>134</v>
      </c>
      <c r="BL82" s="58" t="s">
        <v>134</v>
      </c>
      <c r="BM82" s="58" t="s">
        <v>134</v>
      </c>
      <c r="BN82" s="58" t="s">
        <v>134</v>
      </c>
      <c r="BO82" s="58" t="s">
        <v>134</v>
      </c>
      <c r="BP82" s="58" t="s">
        <v>134</v>
      </c>
      <c r="BQ82" s="58" t="s">
        <v>134</v>
      </c>
      <c r="BR82" s="58" t="s">
        <v>134</v>
      </c>
      <c r="BS82" s="58" t="s">
        <v>134</v>
      </c>
      <c r="BT82" s="58" t="s">
        <v>134</v>
      </c>
      <c r="BU82" s="58" t="s">
        <v>134</v>
      </c>
      <c r="BV82" s="58" t="s">
        <v>134</v>
      </c>
      <c r="BW82" s="58" t="s">
        <v>134</v>
      </c>
      <c r="BX82" s="58" t="s">
        <v>134</v>
      </c>
      <c r="BY82" s="58" t="s">
        <v>134</v>
      </c>
      <c r="BZ82" s="58" t="s">
        <v>134</v>
      </c>
      <c r="CA82" s="58" t="s">
        <v>134</v>
      </c>
      <c r="CB82" s="58" t="s">
        <v>134</v>
      </c>
      <c r="CC82" s="58" t="s">
        <v>134</v>
      </c>
      <c r="CD82" s="58" t="s">
        <v>134</v>
      </c>
      <c r="CE82" s="58" t="s">
        <v>134</v>
      </c>
      <c r="CF82" s="58" t="s">
        <v>134</v>
      </c>
      <c r="CG82" s="58" t="s">
        <v>134</v>
      </c>
      <c r="CH82" s="58" t="s">
        <v>134</v>
      </c>
      <c r="CI82" s="58" t="s">
        <v>134</v>
      </c>
      <c r="CJ82" s="58" t="s">
        <v>134</v>
      </c>
      <c r="CK82" s="58" t="s">
        <v>134</v>
      </c>
      <c r="CL82" s="58" t="s">
        <v>134</v>
      </c>
      <c r="CM82" s="58" t="s">
        <v>134</v>
      </c>
      <c r="CN82" s="58" t="s">
        <v>134</v>
      </c>
      <c r="CO82" s="58" t="s">
        <v>134</v>
      </c>
      <c r="CP82" s="58" t="s">
        <v>134</v>
      </c>
      <c r="CQ82" s="58" t="s">
        <v>134</v>
      </c>
      <c r="CR82" s="58" t="s">
        <v>134</v>
      </c>
      <c r="CS82" s="58" t="s">
        <v>134</v>
      </c>
      <c r="CT82" s="58" t="s">
        <v>134</v>
      </c>
      <c r="CU82" s="58" t="s">
        <v>134</v>
      </c>
      <c r="CV82" s="58" t="s">
        <v>134</v>
      </c>
      <c r="CW82" s="58" t="s">
        <v>134</v>
      </c>
      <c r="CX82" s="58" t="s">
        <v>134</v>
      </c>
      <c r="CY82" s="58" t="s">
        <v>134</v>
      </c>
      <c r="CZ82" s="58" t="s">
        <v>134</v>
      </c>
      <c r="DA82" s="58" t="s">
        <v>134</v>
      </c>
      <c r="DB82" s="58" t="s">
        <v>134</v>
      </c>
      <c r="DC82" s="58" t="s">
        <v>134</v>
      </c>
      <c r="DD82" s="58" t="s">
        <v>134</v>
      </c>
      <c r="DE82" s="58" t="s">
        <v>134</v>
      </c>
      <c r="DF82" s="58" t="s">
        <v>134</v>
      </c>
      <c r="DG82" s="58" t="s">
        <v>134</v>
      </c>
      <c r="DH82" s="58" t="s">
        <v>134</v>
      </c>
      <c r="DI82" s="58" t="s">
        <v>134</v>
      </c>
      <c r="DJ82" s="58" t="s">
        <v>134</v>
      </c>
      <c r="DK82" s="58" t="s">
        <v>134</v>
      </c>
      <c r="DL82" s="58" t="s">
        <v>134</v>
      </c>
      <c r="DM82" s="58" t="s">
        <v>134</v>
      </c>
      <c r="DN82" s="58" t="s">
        <v>134</v>
      </c>
      <c r="DO82" s="58" t="s">
        <v>134</v>
      </c>
      <c r="DP82" s="58" t="s">
        <v>134</v>
      </c>
      <c r="DQ82" s="58" t="s">
        <v>134</v>
      </c>
      <c r="DR82" s="58">
        <v>0.0</v>
      </c>
      <c r="DS82" s="58" t="s">
        <v>134</v>
      </c>
      <c r="DT82" s="58" t="s">
        <v>134</v>
      </c>
      <c r="DU82" s="58" t="s">
        <v>134</v>
      </c>
      <c r="DV82" s="58" t="s">
        <v>134</v>
      </c>
      <c r="DW82" s="58" t="s">
        <v>134</v>
      </c>
      <c r="DX82" s="58" t="s">
        <v>134</v>
      </c>
      <c r="DY82" s="58" t="s">
        <v>134</v>
      </c>
      <c r="DZ82" s="58" t="s">
        <v>134</v>
      </c>
      <c r="EA82" s="58" t="s">
        <v>134</v>
      </c>
      <c r="EB82" s="58" t="s">
        <v>134</v>
      </c>
      <c r="EC82" s="58" t="s">
        <v>134</v>
      </c>
      <c r="ED82" s="58" t="s">
        <v>134</v>
      </c>
      <c r="EE82" s="58" t="s">
        <v>134</v>
      </c>
      <c r="EF82" s="58" t="s">
        <v>134</v>
      </c>
      <c r="EG82" s="58" t="s">
        <v>134</v>
      </c>
      <c r="EH82" s="58" t="s">
        <v>134</v>
      </c>
      <c r="EI82" s="58" t="s">
        <v>134</v>
      </c>
      <c r="EJ82" s="58" t="s">
        <v>134</v>
      </c>
      <c r="EK82" s="58" t="s">
        <v>134</v>
      </c>
      <c r="EL82" s="58" t="s">
        <v>134</v>
      </c>
      <c r="EM82" s="58" t="s">
        <v>134</v>
      </c>
      <c r="EN82" s="58" t="s">
        <v>134</v>
      </c>
      <c r="EO82" s="58">
        <v>0.0</v>
      </c>
      <c r="EP82" s="58">
        <v>0.0</v>
      </c>
      <c r="EQ82" s="58">
        <v>0.0</v>
      </c>
      <c r="ER82" s="58" t="s">
        <v>134</v>
      </c>
      <c r="ES82" s="58" t="s">
        <v>134</v>
      </c>
      <c r="ET82" s="58" t="s">
        <v>134</v>
      </c>
    </row>
    <row r="83">
      <c r="A83" s="58" t="s">
        <v>232</v>
      </c>
      <c r="B83" s="58" t="s">
        <v>134</v>
      </c>
      <c r="C83" s="58" t="s">
        <v>134</v>
      </c>
      <c r="D83" s="58" t="s">
        <v>134</v>
      </c>
      <c r="E83" s="58" t="s">
        <v>134</v>
      </c>
      <c r="F83" s="58" t="s">
        <v>134</v>
      </c>
      <c r="G83" s="58" t="s">
        <v>134</v>
      </c>
      <c r="H83" s="58" t="s">
        <v>134</v>
      </c>
      <c r="I83" s="58" t="s">
        <v>134</v>
      </c>
      <c r="J83" s="58" t="s">
        <v>134</v>
      </c>
      <c r="K83" s="58">
        <v>0.0</v>
      </c>
      <c r="L83" s="58">
        <v>0.0</v>
      </c>
      <c r="M83" s="58" t="s">
        <v>134</v>
      </c>
      <c r="N83" s="58" t="s">
        <v>134</v>
      </c>
      <c r="O83" s="58" t="s">
        <v>134</v>
      </c>
      <c r="P83" s="58" t="s">
        <v>134</v>
      </c>
      <c r="Q83" s="58" t="s">
        <v>134</v>
      </c>
      <c r="R83" s="58" t="s">
        <v>134</v>
      </c>
      <c r="S83" s="58" t="s">
        <v>134</v>
      </c>
      <c r="T83" s="58" t="s">
        <v>134</v>
      </c>
      <c r="U83" s="58" t="s">
        <v>134</v>
      </c>
      <c r="V83" s="58" t="s">
        <v>134</v>
      </c>
      <c r="W83" s="58" t="s">
        <v>134</v>
      </c>
      <c r="X83" s="58" t="s">
        <v>134</v>
      </c>
      <c r="Y83" s="58" t="s">
        <v>134</v>
      </c>
      <c r="Z83" s="58" t="s">
        <v>134</v>
      </c>
      <c r="AA83" s="58" t="s">
        <v>134</v>
      </c>
      <c r="AB83" s="58">
        <v>0.0</v>
      </c>
      <c r="AC83" s="58" t="s">
        <v>134</v>
      </c>
      <c r="AD83" s="58" t="s">
        <v>134</v>
      </c>
      <c r="AE83" s="58" t="s">
        <v>134</v>
      </c>
      <c r="AF83" s="58" t="s">
        <v>134</v>
      </c>
      <c r="AG83" s="58" t="s">
        <v>134</v>
      </c>
      <c r="AH83" s="58" t="s">
        <v>134</v>
      </c>
      <c r="AI83" s="58" t="s">
        <v>134</v>
      </c>
      <c r="AJ83" s="58" t="s">
        <v>134</v>
      </c>
      <c r="AK83" s="58" t="s">
        <v>134</v>
      </c>
      <c r="AL83" s="58" t="s">
        <v>134</v>
      </c>
      <c r="AM83" s="58" t="s">
        <v>134</v>
      </c>
      <c r="AN83" s="58" t="s">
        <v>134</v>
      </c>
      <c r="AO83" s="58" t="s">
        <v>134</v>
      </c>
      <c r="AP83" s="58" t="s">
        <v>134</v>
      </c>
      <c r="AQ83" s="58" t="s">
        <v>134</v>
      </c>
      <c r="AR83" s="58" t="s">
        <v>134</v>
      </c>
      <c r="AS83" s="58" t="s">
        <v>134</v>
      </c>
      <c r="AT83" s="58" t="s">
        <v>134</v>
      </c>
      <c r="AU83" s="58" t="s">
        <v>134</v>
      </c>
      <c r="AV83" s="58" t="s">
        <v>134</v>
      </c>
      <c r="AW83" s="58" t="s">
        <v>134</v>
      </c>
      <c r="AX83" s="58" t="s">
        <v>134</v>
      </c>
      <c r="AY83" s="58" t="s">
        <v>134</v>
      </c>
      <c r="AZ83" s="58" t="s">
        <v>134</v>
      </c>
      <c r="BA83" s="58" t="s">
        <v>134</v>
      </c>
      <c r="BB83" s="58" t="s">
        <v>134</v>
      </c>
      <c r="BC83" s="58" t="s">
        <v>134</v>
      </c>
      <c r="BD83" s="58" t="s">
        <v>134</v>
      </c>
      <c r="BE83" s="58" t="s">
        <v>134</v>
      </c>
      <c r="BF83" s="58" t="s">
        <v>134</v>
      </c>
      <c r="BG83" s="58" t="s">
        <v>134</v>
      </c>
      <c r="BH83" s="58" t="s">
        <v>134</v>
      </c>
      <c r="BI83" s="58" t="s">
        <v>134</v>
      </c>
      <c r="BJ83" s="58" t="s">
        <v>134</v>
      </c>
      <c r="BK83" s="58" t="s">
        <v>134</v>
      </c>
      <c r="BL83" s="58" t="s">
        <v>134</v>
      </c>
      <c r="BM83" s="58" t="s">
        <v>134</v>
      </c>
      <c r="BN83" s="58" t="s">
        <v>134</v>
      </c>
      <c r="BO83" s="58" t="s">
        <v>134</v>
      </c>
      <c r="BP83" s="58" t="s">
        <v>134</v>
      </c>
      <c r="BQ83" s="58" t="s">
        <v>134</v>
      </c>
      <c r="BR83" s="58" t="s">
        <v>134</v>
      </c>
      <c r="BS83" s="58" t="s">
        <v>134</v>
      </c>
      <c r="BT83" s="58" t="s">
        <v>134</v>
      </c>
      <c r="BU83" s="58" t="s">
        <v>134</v>
      </c>
      <c r="BV83" s="58" t="s">
        <v>134</v>
      </c>
      <c r="BW83" s="58" t="s">
        <v>134</v>
      </c>
      <c r="BX83" s="58" t="s">
        <v>134</v>
      </c>
      <c r="BY83" s="58" t="s">
        <v>134</v>
      </c>
      <c r="BZ83" s="58" t="s">
        <v>134</v>
      </c>
      <c r="CA83" s="58" t="s">
        <v>134</v>
      </c>
      <c r="CB83" s="58" t="s">
        <v>134</v>
      </c>
      <c r="CC83" s="58" t="s">
        <v>134</v>
      </c>
      <c r="CD83" s="58" t="s">
        <v>134</v>
      </c>
      <c r="CE83" s="58" t="s">
        <v>134</v>
      </c>
      <c r="CF83" s="58" t="s">
        <v>134</v>
      </c>
      <c r="CG83" s="58" t="s">
        <v>134</v>
      </c>
      <c r="CH83" s="58" t="s">
        <v>134</v>
      </c>
      <c r="CI83" s="58" t="s">
        <v>134</v>
      </c>
      <c r="CJ83" s="58" t="s">
        <v>134</v>
      </c>
      <c r="CK83" s="58" t="s">
        <v>134</v>
      </c>
      <c r="CL83" s="58" t="s">
        <v>134</v>
      </c>
      <c r="CM83" s="58" t="s">
        <v>134</v>
      </c>
      <c r="CN83" s="58" t="s">
        <v>134</v>
      </c>
      <c r="CO83" s="58" t="s">
        <v>134</v>
      </c>
      <c r="CP83" s="58" t="s">
        <v>134</v>
      </c>
      <c r="CQ83" s="58" t="s">
        <v>134</v>
      </c>
      <c r="CR83" s="58" t="s">
        <v>134</v>
      </c>
      <c r="CS83" s="58" t="s">
        <v>134</v>
      </c>
      <c r="CT83" s="58" t="s">
        <v>134</v>
      </c>
      <c r="CU83" s="58" t="s">
        <v>134</v>
      </c>
      <c r="CV83" s="58" t="s">
        <v>134</v>
      </c>
      <c r="CW83" s="58" t="s">
        <v>134</v>
      </c>
      <c r="CX83" s="58" t="s">
        <v>134</v>
      </c>
      <c r="CY83" s="58" t="s">
        <v>134</v>
      </c>
      <c r="CZ83" s="58" t="s">
        <v>134</v>
      </c>
      <c r="DA83" s="58" t="s">
        <v>134</v>
      </c>
      <c r="DB83" s="58" t="s">
        <v>134</v>
      </c>
      <c r="DC83" s="58" t="s">
        <v>134</v>
      </c>
      <c r="DD83" s="58" t="s">
        <v>134</v>
      </c>
      <c r="DE83" s="58" t="s">
        <v>134</v>
      </c>
      <c r="DF83" s="58" t="s">
        <v>134</v>
      </c>
      <c r="DG83" s="58" t="s">
        <v>134</v>
      </c>
      <c r="DH83" s="58" t="s">
        <v>134</v>
      </c>
      <c r="DI83" s="58" t="s">
        <v>134</v>
      </c>
      <c r="DJ83" s="58" t="s">
        <v>134</v>
      </c>
      <c r="DK83" s="58" t="s">
        <v>134</v>
      </c>
      <c r="DL83" s="58" t="s">
        <v>134</v>
      </c>
      <c r="DM83" s="58" t="s">
        <v>134</v>
      </c>
      <c r="DN83" s="58" t="s">
        <v>134</v>
      </c>
      <c r="DO83" s="58" t="s">
        <v>134</v>
      </c>
      <c r="DP83" s="58" t="s">
        <v>134</v>
      </c>
      <c r="DQ83" s="58" t="s">
        <v>134</v>
      </c>
      <c r="DR83" s="58">
        <v>0.0</v>
      </c>
      <c r="DS83" s="58" t="s">
        <v>134</v>
      </c>
      <c r="DT83" s="58" t="s">
        <v>134</v>
      </c>
      <c r="DU83" s="58" t="s">
        <v>134</v>
      </c>
      <c r="DV83" s="58" t="s">
        <v>134</v>
      </c>
      <c r="DW83" s="58" t="s">
        <v>134</v>
      </c>
      <c r="DX83" s="58" t="s">
        <v>134</v>
      </c>
      <c r="DY83" s="58" t="s">
        <v>134</v>
      </c>
      <c r="DZ83" s="58" t="s">
        <v>134</v>
      </c>
      <c r="EA83" s="58" t="s">
        <v>134</v>
      </c>
      <c r="EB83" s="58" t="s">
        <v>134</v>
      </c>
      <c r="EC83" s="58" t="s">
        <v>134</v>
      </c>
      <c r="ED83" s="58" t="s">
        <v>134</v>
      </c>
      <c r="EE83" s="58" t="s">
        <v>134</v>
      </c>
      <c r="EF83" s="58" t="s">
        <v>134</v>
      </c>
      <c r="EG83" s="58" t="s">
        <v>134</v>
      </c>
      <c r="EH83" s="58" t="s">
        <v>134</v>
      </c>
      <c r="EI83" s="58" t="s">
        <v>134</v>
      </c>
      <c r="EJ83" s="58" t="s">
        <v>134</v>
      </c>
      <c r="EK83" s="58" t="s">
        <v>134</v>
      </c>
      <c r="EL83" s="58" t="s">
        <v>134</v>
      </c>
      <c r="EM83" s="58" t="s">
        <v>134</v>
      </c>
      <c r="EN83" s="58" t="s">
        <v>134</v>
      </c>
      <c r="EO83" s="58">
        <v>0.0</v>
      </c>
      <c r="EP83" s="58">
        <v>0.0</v>
      </c>
      <c r="EQ83" s="58">
        <v>0.0</v>
      </c>
      <c r="ER83" s="58" t="s">
        <v>134</v>
      </c>
      <c r="ES83" s="58" t="s">
        <v>134</v>
      </c>
      <c r="ET83" s="58" t="s">
        <v>134</v>
      </c>
    </row>
    <row r="84">
      <c r="A84" s="58" t="s">
        <v>476</v>
      </c>
      <c r="B84" s="58" t="s">
        <v>134</v>
      </c>
      <c r="C84" s="58" t="s">
        <v>134</v>
      </c>
      <c r="D84" s="58" t="s">
        <v>134</v>
      </c>
      <c r="E84" s="58" t="s">
        <v>134</v>
      </c>
      <c r="F84" s="58" t="s">
        <v>134</v>
      </c>
      <c r="G84" s="58" t="s">
        <v>134</v>
      </c>
      <c r="H84" s="58" t="s">
        <v>134</v>
      </c>
      <c r="I84" s="58" t="s">
        <v>134</v>
      </c>
      <c r="J84" s="58" t="s">
        <v>134</v>
      </c>
      <c r="K84" s="58">
        <v>0.0</v>
      </c>
      <c r="L84" s="58">
        <v>0.0</v>
      </c>
      <c r="M84" s="58" t="s">
        <v>134</v>
      </c>
      <c r="N84" s="58" t="s">
        <v>134</v>
      </c>
      <c r="O84" s="58" t="s">
        <v>134</v>
      </c>
      <c r="P84" s="58" t="s">
        <v>134</v>
      </c>
      <c r="Q84" s="58" t="s">
        <v>134</v>
      </c>
      <c r="R84" s="58" t="s">
        <v>134</v>
      </c>
      <c r="S84" s="58" t="s">
        <v>134</v>
      </c>
      <c r="T84" s="58" t="s">
        <v>134</v>
      </c>
      <c r="U84" s="58" t="s">
        <v>134</v>
      </c>
      <c r="V84" s="58" t="s">
        <v>134</v>
      </c>
      <c r="W84" s="58" t="s">
        <v>134</v>
      </c>
      <c r="X84" s="58" t="s">
        <v>134</v>
      </c>
      <c r="Y84" s="58" t="s">
        <v>134</v>
      </c>
      <c r="Z84" s="58" t="s">
        <v>134</v>
      </c>
      <c r="AA84" s="58" t="s">
        <v>134</v>
      </c>
      <c r="AB84" s="58" t="s">
        <v>134</v>
      </c>
      <c r="AC84" s="58" t="s">
        <v>134</v>
      </c>
      <c r="AD84" s="58" t="s">
        <v>134</v>
      </c>
      <c r="AE84" s="58" t="s">
        <v>134</v>
      </c>
      <c r="AF84" s="58" t="s">
        <v>134</v>
      </c>
      <c r="AG84" s="58" t="s">
        <v>134</v>
      </c>
      <c r="AH84" s="58" t="s">
        <v>134</v>
      </c>
      <c r="AI84" s="58" t="s">
        <v>134</v>
      </c>
      <c r="AJ84" s="58" t="s">
        <v>134</v>
      </c>
      <c r="AK84" s="58" t="s">
        <v>134</v>
      </c>
      <c r="AL84" s="58" t="s">
        <v>134</v>
      </c>
      <c r="AM84" s="58" t="s">
        <v>134</v>
      </c>
      <c r="AN84" s="58">
        <v>0.0</v>
      </c>
      <c r="AO84" s="58" t="s">
        <v>134</v>
      </c>
      <c r="AP84" s="58" t="s">
        <v>134</v>
      </c>
      <c r="AQ84" s="58" t="s">
        <v>134</v>
      </c>
      <c r="AR84" s="58" t="s">
        <v>134</v>
      </c>
      <c r="AS84" s="58" t="s">
        <v>134</v>
      </c>
      <c r="AT84" s="58" t="s">
        <v>134</v>
      </c>
      <c r="AU84" s="58" t="s">
        <v>134</v>
      </c>
      <c r="AV84" s="58" t="s">
        <v>134</v>
      </c>
      <c r="AW84" s="58" t="s">
        <v>134</v>
      </c>
      <c r="AX84" s="58" t="s">
        <v>134</v>
      </c>
      <c r="AY84" s="58" t="s">
        <v>134</v>
      </c>
      <c r="AZ84" s="58" t="s">
        <v>134</v>
      </c>
      <c r="BA84" s="58" t="s">
        <v>134</v>
      </c>
      <c r="BB84" s="58" t="s">
        <v>134</v>
      </c>
      <c r="BC84" s="58" t="s">
        <v>134</v>
      </c>
      <c r="BD84" s="58" t="s">
        <v>134</v>
      </c>
      <c r="BE84" s="58" t="s">
        <v>134</v>
      </c>
      <c r="BF84" s="58" t="s">
        <v>134</v>
      </c>
      <c r="BG84" s="58" t="s">
        <v>134</v>
      </c>
      <c r="BH84" s="58" t="s">
        <v>134</v>
      </c>
      <c r="BI84" s="58" t="s">
        <v>134</v>
      </c>
      <c r="BJ84" s="58" t="s">
        <v>134</v>
      </c>
      <c r="BK84" s="58" t="s">
        <v>134</v>
      </c>
      <c r="BL84" s="58" t="s">
        <v>134</v>
      </c>
      <c r="BM84" s="58" t="s">
        <v>134</v>
      </c>
      <c r="BN84" s="58" t="s">
        <v>134</v>
      </c>
      <c r="BO84" s="58" t="s">
        <v>134</v>
      </c>
      <c r="BP84" s="58" t="s">
        <v>134</v>
      </c>
      <c r="BQ84" s="58" t="s">
        <v>134</v>
      </c>
      <c r="BR84" s="58" t="s">
        <v>134</v>
      </c>
      <c r="BS84" s="58" t="s">
        <v>134</v>
      </c>
      <c r="BT84" s="58" t="s">
        <v>134</v>
      </c>
      <c r="BU84" s="58" t="s">
        <v>134</v>
      </c>
      <c r="BV84" s="58" t="s">
        <v>134</v>
      </c>
      <c r="BW84" s="58" t="s">
        <v>134</v>
      </c>
      <c r="BX84" s="58" t="s">
        <v>134</v>
      </c>
      <c r="BY84" s="58" t="s">
        <v>134</v>
      </c>
      <c r="BZ84" s="58" t="s">
        <v>134</v>
      </c>
      <c r="CA84" s="58" t="s">
        <v>134</v>
      </c>
      <c r="CB84" s="58" t="s">
        <v>134</v>
      </c>
      <c r="CC84" s="58" t="s">
        <v>134</v>
      </c>
      <c r="CD84" s="58" t="s">
        <v>134</v>
      </c>
      <c r="CE84" s="58" t="s">
        <v>134</v>
      </c>
      <c r="CF84" s="58" t="s">
        <v>134</v>
      </c>
      <c r="CG84" s="58" t="s">
        <v>134</v>
      </c>
      <c r="CH84" s="58" t="s">
        <v>134</v>
      </c>
      <c r="CI84" s="58" t="s">
        <v>134</v>
      </c>
      <c r="CJ84" s="58" t="s">
        <v>134</v>
      </c>
      <c r="CK84" s="58" t="s">
        <v>134</v>
      </c>
      <c r="CL84" s="58" t="s">
        <v>134</v>
      </c>
      <c r="CM84" s="58" t="s">
        <v>134</v>
      </c>
      <c r="CN84" s="58" t="s">
        <v>134</v>
      </c>
      <c r="CO84" s="58" t="s">
        <v>134</v>
      </c>
      <c r="CP84" s="58" t="s">
        <v>134</v>
      </c>
      <c r="CQ84" s="58" t="s">
        <v>134</v>
      </c>
      <c r="CR84" s="58" t="s">
        <v>134</v>
      </c>
      <c r="CS84" s="58" t="s">
        <v>134</v>
      </c>
      <c r="CT84" s="58" t="s">
        <v>134</v>
      </c>
      <c r="CU84" s="58" t="s">
        <v>134</v>
      </c>
      <c r="CV84" s="58" t="s">
        <v>134</v>
      </c>
      <c r="CW84" s="58" t="s">
        <v>134</v>
      </c>
      <c r="CX84" s="58" t="s">
        <v>134</v>
      </c>
      <c r="CY84" s="58" t="s">
        <v>134</v>
      </c>
      <c r="CZ84" s="58" t="s">
        <v>134</v>
      </c>
      <c r="DA84" s="58" t="s">
        <v>134</v>
      </c>
      <c r="DB84" s="58" t="s">
        <v>134</v>
      </c>
      <c r="DC84" s="58" t="s">
        <v>134</v>
      </c>
      <c r="DD84" s="58" t="s">
        <v>134</v>
      </c>
      <c r="DE84" s="58" t="s">
        <v>134</v>
      </c>
      <c r="DF84" s="58" t="s">
        <v>134</v>
      </c>
      <c r="DG84" s="58" t="s">
        <v>134</v>
      </c>
      <c r="DH84" s="58" t="s">
        <v>134</v>
      </c>
      <c r="DI84" s="58" t="s">
        <v>134</v>
      </c>
      <c r="DJ84" s="58" t="s">
        <v>134</v>
      </c>
      <c r="DK84" s="58" t="s">
        <v>134</v>
      </c>
      <c r="DL84" s="58" t="s">
        <v>134</v>
      </c>
      <c r="DM84" s="58" t="s">
        <v>134</v>
      </c>
      <c r="DN84" s="58" t="s">
        <v>134</v>
      </c>
      <c r="DO84" s="58" t="s">
        <v>134</v>
      </c>
      <c r="DP84" s="58" t="s">
        <v>134</v>
      </c>
      <c r="DQ84" s="58" t="s">
        <v>134</v>
      </c>
      <c r="DR84" s="58">
        <v>0.0</v>
      </c>
      <c r="DS84" s="58" t="s">
        <v>134</v>
      </c>
      <c r="DT84" s="58" t="s">
        <v>134</v>
      </c>
      <c r="DU84" s="58" t="s">
        <v>134</v>
      </c>
      <c r="DV84" s="58" t="s">
        <v>134</v>
      </c>
      <c r="DW84" s="58" t="s">
        <v>134</v>
      </c>
      <c r="DX84" s="58" t="s">
        <v>134</v>
      </c>
      <c r="DY84" s="58" t="s">
        <v>134</v>
      </c>
      <c r="DZ84" s="58" t="s">
        <v>134</v>
      </c>
      <c r="EA84" s="58" t="s">
        <v>134</v>
      </c>
      <c r="EB84" s="58" t="s">
        <v>134</v>
      </c>
      <c r="EC84" s="58" t="s">
        <v>134</v>
      </c>
      <c r="ED84" s="58" t="s">
        <v>134</v>
      </c>
      <c r="EE84" s="58" t="s">
        <v>134</v>
      </c>
      <c r="EF84" s="58" t="s">
        <v>134</v>
      </c>
      <c r="EG84" s="58" t="s">
        <v>134</v>
      </c>
      <c r="EH84" s="58" t="s">
        <v>134</v>
      </c>
      <c r="EI84" s="58" t="s">
        <v>134</v>
      </c>
      <c r="EJ84" s="58" t="s">
        <v>134</v>
      </c>
      <c r="EK84" s="58" t="s">
        <v>134</v>
      </c>
      <c r="EL84" s="58" t="s">
        <v>134</v>
      </c>
      <c r="EM84" s="58" t="s">
        <v>134</v>
      </c>
      <c r="EN84" s="58" t="s">
        <v>134</v>
      </c>
      <c r="EO84" s="58">
        <v>0.0</v>
      </c>
      <c r="EP84" s="58">
        <v>0.0</v>
      </c>
      <c r="EQ84" s="58">
        <v>0.0</v>
      </c>
      <c r="ER84" s="58" t="s">
        <v>134</v>
      </c>
      <c r="ES84" s="58" t="s">
        <v>134</v>
      </c>
      <c r="ET84" s="58" t="s">
        <v>134</v>
      </c>
    </row>
    <row r="85">
      <c r="A85" s="58" t="s">
        <v>87</v>
      </c>
      <c r="B85" s="58" t="s">
        <v>134</v>
      </c>
      <c r="C85" s="58" t="s">
        <v>134</v>
      </c>
      <c r="D85" s="58" t="s">
        <v>134</v>
      </c>
      <c r="E85" s="58" t="s">
        <v>134</v>
      </c>
      <c r="F85" s="58" t="s">
        <v>134</v>
      </c>
      <c r="G85" s="58" t="s">
        <v>134</v>
      </c>
      <c r="H85" s="58" t="s">
        <v>134</v>
      </c>
      <c r="I85" s="58">
        <v>0.1473</v>
      </c>
      <c r="J85" s="58" t="s">
        <v>134</v>
      </c>
      <c r="K85" s="58">
        <v>0.0</v>
      </c>
      <c r="L85" s="58">
        <v>0.0</v>
      </c>
      <c r="M85" s="58" t="s">
        <v>134</v>
      </c>
      <c r="N85" s="58" t="s">
        <v>134</v>
      </c>
      <c r="O85" s="58" t="s">
        <v>134</v>
      </c>
      <c r="P85" s="58" t="s">
        <v>134</v>
      </c>
      <c r="Q85" s="58" t="s">
        <v>134</v>
      </c>
      <c r="R85" s="58" t="s">
        <v>134</v>
      </c>
      <c r="S85" s="58" t="s">
        <v>134</v>
      </c>
      <c r="T85" s="58" t="s">
        <v>134</v>
      </c>
      <c r="U85" s="58" t="s">
        <v>134</v>
      </c>
      <c r="V85" s="58" t="s">
        <v>134</v>
      </c>
      <c r="W85" s="58" t="s">
        <v>134</v>
      </c>
      <c r="X85" s="58" t="s">
        <v>134</v>
      </c>
      <c r="Y85" s="58" t="s">
        <v>134</v>
      </c>
      <c r="Z85" s="58" t="s">
        <v>134</v>
      </c>
      <c r="AA85" s="58" t="s">
        <v>134</v>
      </c>
      <c r="AB85" s="58" t="s">
        <v>134</v>
      </c>
      <c r="AC85" s="58" t="s">
        <v>134</v>
      </c>
      <c r="AD85" s="58" t="s">
        <v>134</v>
      </c>
      <c r="AE85" s="58" t="s">
        <v>134</v>
      </c>
      <c r="AF85" s="58" t="s">
        <v>134</v>
      </c>
      <c r="AG85" s="58" t="s">
        <v>134</v>
      </c>
      <c r="AH85" s="58" t="s">
        <v>134</v>
      </c>
      <c r="AI85" s="58" t="s">
        <v>134</v>
      </c>
      <c r="AJ85" s="58" t="s">
        <v>134</v>
      </c>
      <c r="AK85" s="58" t="s">
        <v>134</v>
      </c>
      <c r="AL85" s="58" t="s">
        <v>134</v>
      </c>
      <c r="AM85" s="58" t="s">
        <v>134</v>
      </c>
      <c r="AN85" s="58">
        <v>0.0</v>
      </c>
      <c r="AO85" s="58" t="s">
        <v>134</v>
      </c>
      <c r="AP85" s="58" t="s">
        <v>134</v>
      </c>
      <c r="AQ85" s="58" t="s">
        <v>134</v>
      </c>
      <c r="AR85" s="58" t="s">
        <v>134</v>
      </c>
      <c r="AS85" s="58" t="s">
        <v>134</v>
      </c>
      <c r="AT85" s="58" t="s">
        <v>134</v>
      </c>
      <c r="AU85" s="58" t="s">
        <v>134</v>
      </c>
      <c r="AV85" s="58" t="s">
        <v>134</v>
      </c>
      <c r="AW85" s="58">
        <v>0.025</v>
      </c>
      <c r="AX85" s="58" t="s">
        <v>134</v>
      </c>
      <c r="AY85" s="58" t="s">
        <v>134</v>
      </c>
      <c r="AZ85" s="58" t="s">
        <v>134</v>
      </c>
      <c r="BA85" s="58" t="s">
        <v>134</v>
      </c>
      <c r="BB85" s="58" t="s">
        <v>134</v>
      </c>
      <c r="BC85" s="58" t="s">
        <v>134</v>
      </c>
      <c r="BD85" s="58" t="s">
        <v>134</v>
      </c>
      <c r="BE85" s="58" t="s">
        <v>134</v>
      </c>
      <c r="BF85" s="58" t="s">
        <v>134</v>
      </c>
      <c r="BG85" s="58" t="s">
        <v>134</v>
      </c>
      <c r="BH85" s="58" t="s">
        <v>134</v>
      </c>
      <c r="BI85" s="58" t="s">
        <v>134</v>
      </c>
      <c r="BJ85" s="58" t="s">
        <v>134</v>
      </c>
      <c r="BK85" s="58" t="s">
        <v>134</v>
      </c>
      <c r="BL85" s="58" t="s">
        <v>134</v>
      </c>
      <c r="BM85" s="58" t="s">
        <v>134</v>
      </c>
      <c r="BN85" s="58" t="s">
        <v>134</v>
      </c>
      <c r="BO85" s="58" t="s">
        <v>134</v>
      </c>
      <c r="BP85" s="58" t="s">
        <v>134</v>
      </c>
      <c r="BQ85" s="58" t="s">
        <v>134</v>
      </c>
      <c r="BR85" s="58" t="s">
        <v>134</v>
      </c>
      <c r="BS85" s="58" t="s">
        <v>134</v>
      </c>
      <c r="BT85" s="58" t="s">
        <v>134</v>
      </c>
      <c r="BU85" s="58" t="s">
        <v>134</v>
      </c>
      <c r="BV85" s="58" t="s">
        <v>134</v>
      </c>
      <c r="BW85" s="58" t="s">
        <v>134</v>
      </c>
      <c r="BX85" s="58" t="s">
        <v>134</v>
      </c>
      <c r="BY85" s="58" t="s">
        <v>134</v>
      </c>
      <c r="BZ85" s="58" t="s">
        <v>134</v>
      </c>
      <c r="CA85" s="58" t="s">
        <v>134</v>
      </c>
      <c r="CB85" s="58" t="s">
        <v>134</v>
      </c>
      <c r="CC85" s="58" t="s">
        <v>134</v>
      </c>
      <c r="CD85" s="58" t="s">
        <v>134</v>
      </c>
      <c r="CE85" s="58" t="s">
        <v>134</v>
      </c>
      <c r="CF85" s="58" t="s">
        <v>134</v>
      </c>
      <c r="CG85" s="58" t="s">
        <v>134</v>
      </c>
      <c r="CH85" s="58" t="s">
        <v>134</v>
      </c>
      <c r="CI85" s="58" t="s">
        <v>134</v>
      </c>
      <c r="CJ85" s="58" t="s">
        <v>134</v>
      </c>
      <c r="CK85" s="58" t="s">
        <v>134</v>
      </c>
      <c r="CL85" s="58" t="s">
        <v>134</v>
      </c>
      <c r="CM85" s="58" t="s">
        <v>134</v>
      </c>
      <c r="CN85" s="58" t="s">
        <v>134</v>
      </c>
      <c r="CO85" s="58" t="s">
        <v>134</v>
      </c>
      <c r="CP85" s="58" t="s">
        <v>134</v>
      </c>
      <c r="CQ85" s="58" t="s">
        <v>134</v>
      </c>
      <c r="CR85" s="58" t="s">
        <v>134</v>
      </c>
      <c r="CS85" s="58" t="s">
        <v>134</v>
      </c>
      <c r="CT85" s="58" t="s">
        <v>134</v>
      </c>
      <c r="CU85" s="58" t="s">
        <v>134</v>
      </c>
      <c r="CV85" s="58" t="s">
        <v>134</v>
      </c>
      <c r="CW85" s="58" t="s">
        <v>134</v>
      </c>
      <c r="CX85" s="58" t="s">
        <v>134</v>
      </c>
      <c r="CY85" s="58" t="s">
        <v>134</v>
      </c>
      <c r="CZ85" s="58" t="s">
        <v>134</v>
      </c>
      <c r="DA85" s="58" t="s">
        <v>134</v>
      </c>
      <c r="DB85" s="58" t="s">
        <v>134</v>
      </c>
      <c r="DC85" s="58" t="s">
        <v>134</v>
      </c>
      <c r="DD85" s="58" t="s">
        <v>134</v>
      </c>
      <c r="DE85" s="58" t="s">
        <v>134</v>
      </c>
      <c r="DF85" s="58" t="s">
        <v>134</v>
      </c>
      <c r="DG85" s="58" t="s">
        <v>134</v>
      </c>
      <c r="DH85" s="58" t="s">
        <v>134</v>
      </c>
      <c r="DI85" s="58" t="s">
        <v>134</v>
      </c>
      <c r="DJ85" s="58">
        <v>0.0909</v>
      </c>
      <c r="DK85" s="58" t="s">
        <v>134</v>
      </c>
      <c r="DL85" s="58" t="s">
        <v>134</v>
      </c>
      <c r="DM85" s="58" t="s">
        <v>134</v>
      </c>
      <c r="DN85" s="58" t="s">
        <v>134</v>
      </c>
      <c r="DO85" s="58" t="s">
        <v>134</v>
      </c>
      <c r="DP85" s="58" t="s">
        <v>134</v>
      </c>
      <c r="DQ85" s="58" t="s">
        <v>134</v>
      </c>
      <c r="DR85" s="58">
        <v>0.0</v>
      </c>
      <c r="DS85" s="58" t="s">
        <v>134</v>
      </c>
      <c r="DT85" s="58" t="s">
        <v>134</v>
      </c>
      <c r="DU85" s="58" t="s">
        <v>134</v>
      </c>
      <c r="DV85" s="58" t="s">
        <v>134</v>
      </c>
      <c r="DW85" s="58" t="s">
        <v>134</v>
      </c>
      <c r="DX85" s="58" t="s">
        <v>134</v>
      </c>
      <c r="DY85" s="58" t="s">
        <v>134</v>
      </c>
      <c r="DZ85" s="58" t="s">
        <v>134</v>
      </c>
      <c r="EA85" s="58" t="s">
        <v>134</v>
      </c>
      <c r="EB85" s="58" t="s">
        <v>134</v>
      </c>
      <c r="EC85" s="58" t="s">
        <v>134</v>
      </c>
      <c r="ED85" s="58" t="s">
        <v>134</v>
      </c>
      <c r="EE85" s="58" t="s">
        <v>134</v>
      </c>
      <c r="EF85" s="58" t="s">
        <v>134</v>
      </c>
      <c r="EG85" s="58" t="s">
        <v>134</v>
      </c>
      <c r="EH85" s="58" t="s">
        <v>134</v>
      </c>
      <c r="EI85" s="58" t="s">
        <v>134</v>
      </c>
      <c r="EJ85" s="58" t="s">
        <v>134</v>
      </c>
      <c r="EK85" s="58" t="s">
        <v>134</v>
      </c>
      <c r="EL85" s="58" t="s">
        <v>134</v>
      </c>
      <c r="EM85" s="58" t="s">
        <v>134</v>
      </c>
      <c r="EN85" s="58" t="s">
        <v>134</v>
      </c>
      <c r="EO85" s="58">
        <v>0.0</v>
      </c>
      <c r="EP85" s="58">
        <v>0.0</v>
      </c>
      <c r="EQ85" s="58">
        <v>0.0</v>
      </c>
      <c r="ER85" s="58" t="s">
        <v>134</v>
      </c>
      <c r="ES85" s="58" t="s">
        <v>134</v>
      </c>
      <c r="ET85" s="58" t="s">
        <v>134</v>
      </c>
    </row>
    <row r="86">
      <c r="A86" s="58" t="s">
        <v>85</v>
      </c>
      <c r="B86" s="58" t="s">
        <v>134</v>
      </c>
      <c r="C86" s="58" t="s">
        <v>134</v>
      </c>
      <c r="D86" s="58" t="s">
        <v>134</v>
      </c>
      <c r="E86" s="58" t="s">
        <v>134</v>
      </c>
      <c r="F86" s="58" t="s">
        <v>134</v>
      </c>
      <c r="G86" s="58" t="s">
        <v>134</v>
      </c>
      <c r="H86" s="58" t="s">
        <v>134</v>
      </c>
      <c r="I86" s="58" t="s">
        <v>134</v>
      </c>
      <c r="J86" s="58" t="s">
        <v>134</v>
      </c>
      <c r="K86" s="58">
        <v>0.0</v>
      </c>
      <c r="L86" s="58">
        <v>0.0</v>
      </c>
      <c r="M86" s="58" t="s">
        <v>134</v>
      </c>
      <c r="N86" s="58" t="s">
        <v>134</v>
      </c>
      <c r="O86" s="58" t="s">
        <v>134</v>
      </c>
      <c r="P86" s="58" t="s">
        <v>134</v>
      </c>
      <c r="Q86" s="58" t="s">
        <v>134</v>
      </c>
      <c r="R86" s="58" t="s">
        <v>134</v>
      </c>
      <c r="S86" s="58" t="s">
        <v>134</v>
      </c>
      <c r="T86" s="58" t="s">
        <v>134</v>
      </c>
      <c r="U86" s="58" t="s">
        <v>134</v>
      </c>
      <c r="V86" s="58" t="s">
        <v>134</v>
      </c>
      <c r="W86" s="58" t="s">
        <v>134</v>
      </c>
      <c r="X86" s="58" t="s">
        <v>134</v>
      </c>
      <c r="Y86" s="58" t="s">
        <v>134</v>
      </c>
      <c r="Z86" s="58" t="s">
        <v>134</v>
      </c>
      <c r="AA86" s="58" t="s">
        <v>134</v>
      </c>
      <c r="AB86" s="58" t="s">
        <v>134</v>
      </c>
      <c r="AC86" s="58" t="s">
        <v>134</v>
      </c>
      <c r="AD86" s="58" t="s">
        <v>134</v>
      </c>
      <c r="AE86" s="58" t="s">
        <v>134</v>
      </c>
      <c r="AF86" s="58" t="s">
        <v>134</v>
      </c>
      <c r="AG86" s="58" t="s">
        <v>134</v>
      </c>
      <c r="AH86" s="58" t="s">
        <v>134</v>
      </c>
      <c r="AI86" s="58" t="s">
        <v>134</v>
      </c>
      <c r="AJ86" s="58" t="s">
        <v>134</v>
      </c>
      <c r="AK86" s="58" t="s">
        <v>134</v>
      </c>
      <c r="AL86" s="58" t="s">
        <v>134</v>
      </c>
      <c r="AM86" s="58" t="s">
        <v>134</v>
      </c>
      <c r="AN86" s="58">
        <v>0.0</v>
      </c>
      <c r="AO86" s="58" t="s">
        <v>134</v>
      </c>
      <c r="AP86" s="58" t="s">
        <v>134</v>
      </c>
      <c r="AQ86" s="58" t="s">
        <v>134</v>
      </c>
      <c r="AR86" s="58" t="s">
        <v>134</v>
      </c>
      <c r="AS86" s="58" t="s">
        <v>134</v>
      </c>
      <c r="AT86" s="58" t="s">
        <v>134</v>
      </c>
      <c r="AU86" s="58" t="s">
        <v>134</v>
      </c>
      <c r="AV86" s="58" t="s">
        <v>134</v>
      </c>
      <c r="AW86" s="58" t="s">
        <v>134</v>
      </c>
      <c r="AX86" s="58" t="s">
        <v>134</v>
      </c>
      <c r="AY86" s="58" t="s">
        <v>134</v>
      </c>
      <c r="AZ86" s="58" t="s">
        <v>134</v>
      </c>
      <c r="BA86" s="58" t="s">
        <v>134</v>
      </c>
      <c r="BB86" s="58" t="s">
        <v>134</v>
      </c>
      <c r="BC86" s="58" t="s">
        <v>134</v>
      </c>
      <c r="BD86" s="58" t="s">
        <v>134</v>
      </c>
      <c r="BE86" s="58" t="s">
        <v>134</v>
      </c>
      <c r="BF86" s="58" t="s">
        <v>134</v>
      </c>
      <c r="BG86" s="58" t="s">
        <v>134</v>
      </c>
      <c r="BH86" s="58" t="s">
        <v>134</v>
      </c>
      <c r="BI86" s="58" t="s">
        <v>134</v>
      </c>
      <c r="BJ86" s="58" t="s">
        <v>134</v>
      </c>
      <c r="BK86" s="58" t="s">
        <v>134</v>
      </c>
      <c r="BL86" s="58" t="s">
        <v>134</v>
      </c>
      <c r="BM86" s="58" t="s">
        <v>134</v>
      </c>
      <c r="BN86" s="58" t="s">
        <v>134</v>
      </c>
      <c r="BO86" s="58" t="s">
        <v>134</v>
      </c>
      <c r="BP86" s="58" t="s">
        <v>134</v>
      </c>
      <c r="BQ86" s="58" t="s">
        <v>134</v>
      </c>
      <c r="BR86" s="58" t="s">
        <v>134</v>
      </c>
      <c r="BS86" s="58" t="s">
        <v>134</v>
      </c>
      <c r="BT86" s="58" t="s">
        <v>134</v>
      </c>
      <c r="BU86" s="58" t="s">
        <v>134</v>
      </c>
      <c r="BV86" s="58" t="s">
        <v>134</v>
      </c>
      <c r="BW86" s="58" t="s">
        <v>134</v>
      </c>
      <c r="BX86" s="58" t="s">
        <v>134</v>
      </c>
      <c r="BY86" s="58" t="s">
        <v>134</v>
      </c>
      <c r="BZ86" s="58" t="s">
        <v>134</v>
      </c>
      <c r="CA86" s="58" t="s">
        <v>134</v>
      </c>
      <c r="CB86" s="58" t="s">
        <v>134</v>
      </c>
      <c r="CC86" s="58" t="s">
        <v>134</v>
      </c>
      <c r="CD86" s="58" t="s">
        <v>134</v>
      </c>
      <c r="CE86" s="58" t="s">
        <v>134</v>
      </c>
      <c r="CF86" s="58" t="s">
        <v>134</v>
      </c>
      <c r="CG86" s="58" t="s">
        <v>134</v>
      </c>
      <c r="CH86" s="58" t="s">
        <v>134</v>
      </c>
      <c r="CI86" s="58" t="s">
        <v>134</v>
      </c>
      <c r="CJ86" s="58" t="s">
        <v>134</v>
      </c>
      <c r="CK86" s="58" t="s">
        <v>134</v>
      </c>
      <c r="CL86" s="58" t="s">
        <v>134</v>
      </c>
      <c r="CM86" s="58" t="s">
        <v>134</v>
      </c>
      <c r="CN86" s="58" t="s">
        <v>134</v>
      </c>
      <c r="CO86" s="58" t="s">
        <v>134</v>
      </c>
      <c r="CP86" s="58" t="s">
        <v>134</v>
      </c>
      <c r="CQ86" s="58" t="s">
        <v>134</v>
      </c>
      <c r="CR86" s="58" t="s">
        <v>134</v>
      </c>
      <c r="CS86" s="58" t="s">
        <v>134</v>
      </c>
      <c r="CT86" s="58" t="s">
        <v>134</v>
      </c>
      <c r="CU86" s="58" t="s">
        <v>134</v>
      </c>
      <c r="CV86" s="58" t="s">
        <v>134</v>
      </c>
      <c r="CW86" s="58" t="s">
        <v>134</v>
      </c>
      <c r="CX86" s="58" t="s">
        <v>134</v>
      </c>
      <c r="CY86" s="58" t="s">
        <v>134</v>
      </c>
      <c r="CZ86" s="58" t="s">
        <v>134</v>
      </c>
      <c r="DA86" s="58" t="s">
        <v>134</v>
      </c>
      <c r="DB86" s="58" t="s">
        <v>134</v>
      </c>
      <c r="DC86" s="58" t="s">
        <v>134</v>
      </c>
      <c r="DD86" s="58" t="s">
        <v>134</v>
      </c>
      <c r="DE86" s="58" t="s">
        <v>134</v>
      </c>
      <c r="DF86" s="58" t="s">
        <v>134</v>
      </c>
      <c r="DG86" s="58" t="s">
        <v>134</v>
      </c>
      <c r="DH86" s="58" t="s">
        <v>134</v>
      </c>
      <c r="DI86" s="58" t="s">
        <v>134</v>
      </c>
      <c r="DJ86" s="58" t="s">
        <v>134</v>
      </c>
      <c r="DK86" s="58" t="s">
        <v>134</v>
      </c>
      <c r="DL86" s="58" t="s">
        <v>134</v>
      </c>
      <c r="DM86" s="58" t="s">
        <v>134</v>
      </c>
      <c r="DN86" s="58" t="s">
        <v>134</v>
      </c>
      <c r="DO86" s="58" t="s">
        <v>134</v>
      </c>
      <c r="DP86" s="58" t="s">
        <v>134</v>
      </c>
      <c r="DQ86" s="58" t="s">
        <v>134</v>
      </c>
      <c r="DR86" s="58">
        <v>0.0</v>
      </c>
      <c r="DS86" s="58" t="s">
        <v>134</v>
      </c>
      <c r="DT86" s="58" t="s">
        <v>134</v>
      </c>
      <c r="DU86" s="58" t="s">
        <v>134</v>
      </c>
      <c r="DV86" s="58" t="s">
        <v>134</v>
      </c>
      <c r="DW86" s="58" t="s">
        <v>134</v>
      </c>
      <c r="DX86" s="58" t="s">
        <v>134</v>
      </c>
      <c r="DY86" s="58" t="s">
        <v>134</v>
      </c>
      <c r="DZ86" s="58" t="s">
        <v>134</v>
      </c>
      <c r="EA86" s="58" t="s">
        <v>134</v>
      </c>
      <c r="EB86" s="58" t="s">
        <v>134</v>
      </c>
      <c r="EC86" s="58" t="s">
        <v>134</v>
      </c>
      <c r="ED86" s="58" t="s">
        <v>134</v>
      </c>
      <c r="EE86" s="58" t="s">
        <v>134</v>
      </c>
      <c r="EF86" s="58" t="s">
        <v>134</v>
      </c>
      <c r="EG86" s="58" t="s">
        <v>134</v>
      </c>
      <c r="EH86" s="58" t="s">
        <v>134</v>
      </c>
      <c r="EI86" s="58" t="s">
        <v>134</v>
      </c>
      <c r="EJ86" s="58" t="s">
        <v>134</v>
      </c>
      <c r="EK86" s="58" t="s">
        <v>134</v>
      </c>
      <c r="EL86" s="58" t="s">
        <v>134</v>
      </c>
      <c r="EM86" s="58" t="s">
        <v>134</v>
      </c>
      <c r="EN86" s="58" t="s">
        <v>134</v>
      </c>
      <c r="EO86" s="58">
        <v>0.0</v>
      </c>
      <c r="EP86" s="58">
        <v>0.0</v>
      </c>
      <c r="EQ86" s="58">
        <v>0.0</v>
      </c>
      <c r="ER86" s="58" t="s">
        <v>134</v>
      </c>
      <c r="ES86" s="58" t="s">
        <v>134</v>
      </c>
      <c r="ET86" s="58" t="s">
        <v>134</v>
      </c>
    </row>
    <row r="87">
      <c r="A87" s="58" t="s">
        <v>91</v>
      </c>
      <c r="B87" s="58" t="s">
        <v>134</v>
      </c>
      <c r="C87" s="58" t="s">
        <v>134</v>
      </c>
      <c r="D87" s="58" t="s">
        <v>134</v>
      </c>
      <c r="E87" s="58" t="s">
        <v>134</v>
      </c>
      <c r="F87" s="58" t="s">
        <v>134</v>
      </c>
      <c r="G87" s="58" t="s">
        <v>134</v>
      </c>
      <c r="H87" s="58" t="s">
        <v>134</v>
      </c>
      <c r="I87" s="58" t="s">
        <v>134</v>
      </c>
      <c r="J87" s="58" t="s">
        <v>134</v>
      </c>
      <c r="K87" s="58">
        <v>0.0</v>
      </c>
      <c r="L87" s="58">
        <v>0.0</v>
      </c>
      <c r="M87" s="58" t="s">
        <v>134</v>
      </c>
      <c r="N87" s="58" t="s">
        <v>134</v>
      </c>
      <c r="O87" s="58" t="s">
        <v>134</v>
      </c>
      <c r="P87" s="58" t="s">
        <v>134</v>
      </c>
      <c r="Q87" s="58" t="s">
        <v>134</v>
      </c>
      <c r="R87" s="58" t="s">
        <v>134</v>
      </c>
      <c r="S87" s="58" t="s">
        <v>134</v>
      </c>
      <c r="T87" s="58" t="s">
        <v>134</v>
      </c>
      <c r="U87" s="58" t="s">
        <v>134</v>
      </c>
      <c r="V87" s="58" t="s">
        <v>134</v>
      </c>
      <c r="W87" s="58" t="s">
        <v>134</v>
      </c>
      <c r="X87" s="58" t="s">
        <v>134</v>
      </c>
      <c r="Y87" s="58" t="s">
        <v>134</v>
      </c>
      <c r="Z87" s="58" t="s">
        <v>134</v>
      </c>
      <c r="AA87" s="58" t="s">
        <v>134</v>
      </c>
      <c r="AB87" s="58" t="s">
        <v>134</v>
      </c>
      <c r="AC87" s="58" t="s">
        <v>134</v>
      </c>
      <c r="AD87" s="58" t="s">
        <v>134</v>
      </c>
      <c r="AE87" s="58" t="s">
        <v>134</v>
      </c>
      <c r="AF87" s="58" t="s">
        <v>134</v>
      </c>
      <c r="AG87" s="58" t="s">
        <v>134</v>
      </c>
      <c r="AH87" s="58" t="s">
        <v>134</v>
      </c>
      <c r="AI87" s="58" t="s">
        <v>134</v>
      </c>
      <c r="AJ87" s="58" t="s">
        <v>134</v>
      </c>
      <c r="AK87" s="58" t="s">
        <v>134</v>
      </c>
      <c r="AL87" s="58" t="s">
        <v>134</v>
      </c>
      <c r="AM87" s="58" t="s">
        <v>134</v>
      </c>
      <c r="AN87" s="58">
        <v>0.0</v>
      </c>
      <c r="AO87" s="58" t="s">
        <v>134</v>
      </c>
      <c r="AP87" s="58" t="s">
        <v>134</v>
      </c>
      <c r="AQ87" s="58" t="s">
        <v>134</v>
      </c>
      <c r="AR87" s="58" t="s">
        <v>134</v>
      </c>
      <c r="AS87" s="58" t="s">
        <v>134</v>
      </c>
      <c r="AT87" s="58" t="s">
        <v>134</v>
      </c>
      <c r="AU87" s="58" t="s">
        <v>134</v>
      </c>
      <c r="AV87" s="58" t="s">
        <v>134</v>
      </c>
      <c r="AW87" s="58" t="s">
        <v>134</v>
      </c>
      <c r="AX87" s="58" t="s">
        <v>134</v>
      </c>
      <c r="AY87" s="58" t="s">
        <v>134</v>
      </c>
      <c r="AZ87" s="58" t="s">
        <v>134</v>
      </c>
      <c r="BA87" s="58" t="s">
        <v>134</v>
      </c>
      <c r="BB87" s="58" t="s">
        <v>134</v>
      </c>
      <c r="BC87" s="58" t="s">
        <v>134</v>
      </c>
      <c r="BD87" s="58" t="s">
        <v>134</v>
      </c>
      <c r="BE87" s="58" t="s">
        <v>134</v>
      </c>
      <c r="BF87" s="58" t="s">
        <v>134</v>
      </c>
      <c r="BG87" s="58" t="s">
        <v>134</v>
      </c>
      <c r="BH87" s="58" t="s">
        <v>134</v>
      </c>
      <c r="BI87" s="58" t="s">
        <v>134</v>
      </c>
      <c r="BJ87" s="58" t="s">
        <v>134</v>
      </c>
      <c r="BK87" s="58" t="s">
        <v>134</v>
      </c>
      <c r="BL87" s="58" t="s">
        <v>134</v>
      </c>
      <c r="BM87" s="58" t="s">
        <v>134</v>
      </c>
      <c r="BN87" s="58" t="s">
        <v>134</v>
      </c>
      <c r="BO87" s="58" t="s">
        <v>134</v>
      </c>
      <c r="BP87" s="58" t="s">
        <v>134</v>
      </c>
      <c r="BQ87" s="58" t="s">
        <v>134</v>
      </c>
      <c r="BR87" s="58" t="s">
        <v>134</v>
      </c>
      <c r="BS87" s="58" t="s">
        <v>134</v>
      </c>
      <c r="BT87" s="58" t="s">
        <v>134</v>
      </c>
      <c r="BU87" s="58" t="s">
        <v>134</v>
      </c>
      <c r="BV87" s="58" t="s">
        <v>134</v>
      </c>
      <c r="BW87" s="58" t="s">
        <v>134</v>
      </c>
      <c r="BX87" s="58" t="s">
        <v>134</v>
      </c>
      <c r="BY87" s="58" t="s">
        <v>134</v>
      </c>
      <c r="BZ87" s="58" t="s">
        <v>134</v>
      </c>
      <c r="CA87" s="58" t="s">
        <v>134</v>
      </c>
      <c r="CB87" s="58" t="s">
        <v>134</v>
      </c>
      <c r="CC87" s="58" t="s">
        <v>134</v>
      </c>
      <c r="CD87" s="58" t="s">
        <v>134</v>
      </c>
      <c r="CE87" s="58" t="s">
        <v>134</v>
      </c>
      <c r="CF87" s="58" t="s">
        <v>134</v>
      </c>
      <c r="CG87" s="58" t="s">
        <v>134</v>
      </c>
      <c r="CH87" s="58" t="s">
        <v>134</v>
      </c>
      <c r="CI87" s="58" t="s">
        <v>134</v>
      </c>
      <c r="CJ87" s="58" t="s">
        <v>134</v>
      </c>
      <c r="CK87" s="58" t="s">
        <v>134</v>
      </c>
      <c r="CL87" s="58" t="s">
        <v>134</v>
      </c>
      <c r="CM87" s="58" t="s">
        <v>134</v>
      </c>
      <c r="CN87" s="58" t="s">
        <v>134</v>
      </c>
      <c r="CO87" s="58" t="s">
        <v>134</v>
      </c>
      <c r="CP87" s="58" t="s">
        <v>134</v>
      </c>
      <c r="CQ87" s="58" t="s">
        <v>134</v>
      </c>
      <c r="CR87" s="58" t="s">
        <v>134</v>
      </c>
      <c r="CS87" s="58" t="s">
        <v>134</v>
      </c>
      <c r="CT87" s="58" t="s">
        <v>134</v>
      </c>
      <c r="CU87" s="58" t="s">
        <v>134</v>
      </c>
      <c r="CV87" s="58" t="s">
        <v>134</v>
      </c>
      <c r="CW87" s="58" t="s">
        <v>134</v>
      </c>
      <c r="CX87" s="58" t="s">
        <v>134</v>
      </c>
      <c r="CY87" s="58" t="s">
        <v>134</v>
      </c>
      <c r="CZ87" s="58" t="s">
        <v>134</v>
      </c>
      <c r="DA87" s="58" t="s">
        <v>134</v>
      </c>
      <c r="DB87" s="58" t="s">
        <v>134</v>
      </c>
      <c r="DC87" s="58" t="s">
        <v>134</v>
      </c>
      <c r="DD87" s="58" t="s">
        <v>134</v>
      </c>
      <c r="DE87" s="58" t="s">
        <v>134</v>
      </c>
      <c r="DF87" s="58" t="s">
        <v>134</v>
      </c>
      <c r="DG87" s="58" t="s">
        <v>134</v>
      </c>
      <c r="DH87" s="58" t="s">
        <v>134</v>
      </c>
      <c r="DI87" s="58" t="s">
        <v>134</v>
      </c>
      <c r="DJ87" s="58" t="s">
        <v>134</v>
      </c>
      <c r="DK87" s="58" t="s">
        <v>134</v>
      </c>
      <c r="DL87" s="58" t="s">
        <v>134</v>
      </c>
      <c r="DM87" s="58" t="s">
        <v>134</v>
      </c>
      <c r="DN87" s="58" t="s">
        <v>134</v>
      </c>
      <c r="DO87" s="58" t="s">
        <v>134</v>
      </c>
      <c r="DP87" s="58" t="s">
        <v>134</v>
      </c>
      <c r="DQ87" s="58" t="s">
        <v>134</v>
      </c>
      <c r="DR87" s="58">
        <v>0.0</v>
      </c>
      <c r="DS87" s="58" t="s">
        <v>134</v>
      </c>
      <c r="DT87" s="58" t="s">
        <v>134</v>
      </c>
      <c r="DU87" s="58" t="s">
        <v>134</v>
      </c>
      <c r="DV87" s="58" t="s">
        <v>134</v>
      </c>
      <c r="DW87" s="58" t="s">
        <v>134</v>
      </c>
      <c r="DX87" s="58" t="s">
        <v>134</v>
      </c>
      <c r="DY87" s="58" t="s">
        <v>134</v>
      </c>
      <c r="DZ87" s="58" t="s">
        <v>134</v>
      </c>
      <c r="EA87" s="58" t="s">
        <v>134</v>
      </c>
      <c r="EB87" s="58" t="s">
        <v>134</v>
      </c>
      <c r="EC87" s="58" t="s">
        <v>134</v>
      </c>
      <c r="ED87" s="58" t="s">
        <v>134</v>
      </c>
      <c r="EE87" s="58" t="s">
        <v>134</v>
      </c>
      <c r="EF87" s="58" t="s">
        <v>134</v>
      </c>
      <c r="EG87" s="58" t="s">
        <v>134</v>
      </c>
      <c r="EH87" s="58" t="s">
        <v>134</v>
      </c>
      <c r="EI87" s="58" t="s">
        <v>134</v>
      </c>
      <c r="EJ87" s="58" t="s">
        <v>134</v>
      </c>
      <c r="EK87" s="58" t="s">
        <v>134</v>
      </c>
      <c r="EL87" s="58" t="s">
        <v>134</v>
      </c>
      <c r="EM87" s="58" t="s">
        <v>134</v>
      </c>
      <c r="EN87" s="58" t="s">
        <v>134</v>
      </c>
      <c r="EO87" s="58">
        <v>0.0</v>
      </c>
      <c r="EP87" s="58">
        <v>0.0</v>
      </c>
      <c r="EQ87" s="58">
        <v>0.0</v>
      </c>
      <c r="ER87" s="58" t="s">
        <v>134</v>
      </c>
      <c r="ES87" s="58" t="s">
        <v>134</v>
      </c>
      <c r="ET87" s="58" t="s">
        <v>134</v>
      </c>
    </row>
    <row r="88">
      <c r="A88" s="58" t="s">
        <v>84</v>
      </c>
      <c r="B88" s="58" t="s">
        <v>134</v>
      </c>
      <c r="C88" s="58" t="s">
        <v>134</v>
      </c>
      <c r="D88" s="58" t="s">
        <v>134</v>
      </c>
      <c r="E88" s="58" t="s">
        <v>134</v>
      </c>
      <c r="F88" s="58" t="s">
        <v>134</v>
      </c>
      <c r="G88" s="58" t="s">
        <v>134</v>
      </c>
      <c r="H88" s="58" t="s">
        <v>134</v>
      </c>
      <c r="I88" s="58" t="s">
        <v>134</v>
      </c>
      <c r="J88" s="58" t="s">
        <v>134</v>
      </c>
      <c r="K88" s="58">
        <v>0.0</v>
      </c>
      <c r="L88" s="58">
        <v>0.0</v>
      </c>
      <c r="M88" s="58" t="s">
        <v>134</v>
      </c>
      <c r="N88" s="58" t="s">
        <v>134</v>
      </c>
      <c r="O88" s="58" t="s">
        <v>134</v>
      </c>
      <c r="P88" s="58" t="s">
        <v>134</v>
      </c>
      <c r="Q88" s="58" t="s">
        <v>134</v>
      </c>
      <c r="R88" s="58" t="s">
        <v>134</v>
      </c>
      <c r="S88" s="58" t="s">
        <v>134</v>
      </c>
      <c r="T88" s="58" t="s">
        <v>134</v>
      </c>
      <c r="U88" s="58" t="s">
        <v>134</v>
      </c>
      <c r="V88" s="58" t="s">
        <v>134</v>
      </c>
      <c r="W88" s="58" t="s">
        <v>134</v>
      </c>
      <c r="X88" s="58" t="s">
        <v>134</v>
      </c>
      <c r="Y88" s="58" t="s">
        <v>134</v>
      </c>
      <c r="Z88" s="58" t="s">
        <v>134</v>
      </c>
      <c r="AA88" s="58" t="s">
        <v>134</v>
      </c>
      <c r="AB88" s="58" t="s">
        <v>134</v>
      </c>
      <c r="AC88" s="58" t="s">
        <v>134</v>
      </c>
      <c r="AD88" s="58" t="s">
        <v>134</v>
      </c>
      <c r="AE88" s="58" t="s">
        <v>134</v>
      </c>
      <c r="AF88" s="58" t="s">
        <v>134</v>
      </c>
      <c r="AG88" s="58" t="s">
        <v>134</v>
      </c>
      <c r="AH88" s="58" t="s">
        <v>134</v>
      </c>
      <c r="AI88" s="58" t="s">
        <v>134</v>
      </c>
      <c r="AJ88" s="58" t="s">
        <v>134</v>
      </c>
      <c r="AK88" s="58" t="s">
        <v>134</v>
      </c>
      <c r="AL88" s="58" t="s">
        <v>134</v>
      </c>
      <c r="AM88" s="58" t="s">
        <v>134</v>
      </c>
      <c r="AN88" s="58">
        <v>0.0</v>
      </c>
      <c r="AO88" s="58" t="s">
        <v>134</v>
      </c>
      <c r="AP88" s="58" t="s">
        <v>134</v>
      </c>
      <c r="AQ88" s="58" t="s">
        <v>134</v>
      </c>
      <c r="AR88" s="58" t="s">
        <v>134</v>
      </c>
      <c r="AS88" s="58" t="s">
        <v>134</v>
      </c>
      <c r="AT88" s="58" t="s">
        <v>134</v>
      </c>
      <c r="AU88" s="58" t="s">
        <v>134</v>
      </c>
      <c r="AV88" s="58" t="s">
        <v>134</v>
      </c>
      <c r="AW88" s="58" t="s">
        <v>134</v>
      </c>
      <c r="AX88" s="58" t="s">
        <v>134</v>
      </c>
      <c r="AY88" s="58" t="s">
        <v>134</v>
      </c>
      <c r="AZ88" s="58" t="s">
        <v>134</v>
      </c>
      <c r="BA88" s="58" t="s">
        <v>134</v>
      </c>
      <c r="BB88" s="58" t="s">
        <v>134</v>
      </c>
      <c r="BC88" s="58" t="s">
        <v>134</v>
      </c>
      <c r="BD88" s="58" t="s">
        <v>134</v>
      </c>
      <c r="BE88" s="58" t="s">
        <v>134</v>
      </c>
      <c r="BF88" s="58" t="s">
        <v>134</v>
      </c>
      <c r="BG88" s="58" t="s">
        <v>134</v>
      </c>
      <c r="BH88" s="58" t="s">
        <v>134</v>
      </c>
      <c r="BI88" s="58" t="s">
        <v>134</v>
      </c>
      <c r="BJ88" s="58" t="s">
        <v>134</v>
      </c>
      <c r="BK88" s="58" t="s">
        <v>134</v>
      </c>
      <c r="BL88" s="58" t="s">
        <v>134</v>
      </c>
      <c r="BM88" s="58" t="s">
        <v>134</v>
      </c>
      <c r="BN88" s="58" t="s">
        <v>134</v>
      </c>
      <c r="BO88" s="58" t="s">
        <v>134</v>
      </c>
      <c r="BP88" s="58" t="s">
        <v>134</v>
      </c>
      <c r="BQ88" s="58" t="s">
        <v>134</v>
      </c>
      <c r="BR88" s="58" t="s">
        <v>134</v>
      </c>
      <c r="BS88" s="58" t="s">
        <v>134</v>
      </c>
      <c r="BT88" s="58" t="s">
        <v>134</v>
      </c>
      <c r="BU88" s="58" t="s">
        <v>134</v>
      </c>
      <c r="BV88" s="58" t="s">
        <v>134</v>
      </c>
      <c r="BW88" s="58" t="s">
        <v>134</v>
      </c>
      <c r="BX88" s="58" t="s">
        <v>134</v>
      </c>
      <c r="BY88" s="58" t="s">
        <v>134</v>
      </c>
      <c r="BZ88" s="58" t="s">
        <v>134</v>
      </c>
      <c r="CA88" s="58" t="s">
        <v>134</v>
      </c>
      <c r="CB88" s="58" t="s">
        <v>134</v>
      </c>
      <c r="CC88" s="58" t="s">
        <v>134</v>
      </c>
      <c r="CD88" s="58" t="s">
        <v>134</v>
      </c>
      <c r="CE88" s="58" t="s">
        <v>134</v>
      </c>
      <c r="CF88" s="58" t="s">
        <v>134</v>
      </c>
      <c r="CG88" s="58" t="s">
        <v>134</v>
      </c>
      <c r="CH88" s="58" t="s">
        <v>134</v>
      </c>
      <c r="CI88" s="58" t="s">
        <v>134</v>
      </c>
      <c r="CJ88" s="58" t="s">
        <v>134</v>
      </c>
      <c r="CK88" s="58" t="s">
        <v>134</v>
      </c>
      <c r="CL88" s="58" t="s">
        <v>134</v>
      </c>
      <c r="CM88" s="58" t="s">
        <v>134</v>
      </c>
      <c r="CN88" s="58" t="s">
        <v>134</v>
      </c>
      <c r="CO88" s="58" t="s">
        <v>134</v>
      </c>
      <c r="CP88" s="58" t="s">
        <v>134</v>
      </c>
      <c r="CQ88" s="58" t="s">
        <v>134</v>
      </c>
      <c r="CR88" s="58" t="s">
        <v>134</v>
      </c>
      <c r="CS88" s="58" t="s">
        <v>134</v>
      </c>
      <c r="CT88" s="58" t="s">
        <v>134</v>
      </c>
      <c r="CU88" s="58" t="s">
        <v>134</v>
      </c>
      <c r="CV88" s="58" t="s">
        <v>134</v>
      </c>
      <c r="CW88" s="58" t="s">
        <v>134</v>
      </c>
      <c r="CX88" s="58" t="s">
        <v>134</v>
      </c>
      <c r="CY88" s="58" t="s">
        <v>134</v>
      </c>
      <c r="CZ88" s="58" t="s">
        <v>134</v>
      </c>
      <c r="DA88" s="58" t="s">
        <v>134</v>
      </c>
      <c r="DB88" s="58" t="s">
        <v>134</v>
      </c>
      <c r="DC88" s="58" t="s">
        <v>134</v>
      </c>
      <c r="DD88" s="58" t="s">
        <v>134</v>
      </c>
      <c r="DE88" s="58" t="s">
        <v>134</v>
      </c>
      <c r="DF88" s="58" t="s">
        <v>134</v>
      </c>
      <c r="DG88" s="58" t="s">
        <v>134</v>
      </c>
      <c r="DH88" s="58" t="s">
        <v>134</v>
      </c>
      <c r="DI88" s="58" t="s">
        <v>134</v>
      </c>
      <c r="DJ88" s="58" t="s">
        <v>134</v>
      </c>
      <c r="DK88" s="58" t="s">
        <v>134</v>
      </c>
      <c r="DL88" s="58" t="s">
        <v>134</v>
      </c>
      <c r="DM88" s="58" t="s">
        <v>134</v>
      </c>
      <c r="DN88" s="58" t="s">
        <v>134</v>
      </c>
      <c r="DO88" s="58" t="s">
        <v>134</v>
      </c>
      <c r="DP88" s="58" t="s">
        <v>134</v>
      </c>
      <c r="DQ88" s="58" t="s">
        <v>134</v>
      </c>
      <c r="DR88" s="58">
        <v>0.0</v>
      </c>
      <c r="DS88" s="58" t="s">
        <v>134</v>
      </c>
      <c r="DT88" s="58" t="s">
        <v>134</v>
      </c>
      <c r="DU88" s="58" t="s">
        <v>134</v>
      </c>
      <c r="DV88" s="58" t="s">
        <v>134</v>
      </c>
      <c r="DW88" s="58" t="s">
        <v>134</v>
      </c>
      <c r="DX88" s="58" t="s">
        <v>134</v>
      </c>
      <c r="DY88" s="58" t="s">
        <v>134</v>
      </c>
      <c r="DZ88" s="58" t="s">
        <v>134</v>
      </c>
      <c r="EA88" s="58" t="s">
        <v>134</v>
      </c>
      <c r="EB88" s="58" t="s">
        <v>134</v>
      </c>
      <c r="EC88" s="58" t="s">
        <v>134</v>
      </c>
      <c r="ED88" s="58" t="s">
        <v>134</v>
      </c>
      <c r="EE88" s="58" t="s">
        <v>134</v>
      </c>
      <c r="EF88" s="58" t="s">
        <v>134</v>
      </c>
      <c r="EG88" s="58" t="s">
        <v>134</v>
      </c>
      <c r="EH88" s="58" t="s">
        <v>134</v>
      </c>
      <c r="EI88" s="58" t="s">
        <v>134</v>
      </c>
      <c r="EJ88" s="58" t="s">
        <v>134</v>
      </c>
      <c r="EK88" s="58" t="s">
        <v>134</v>
      </c>
      <c r="EL88" s="58" t="s">
        <v>134</v>
      </c>
      <c r="EM88" s="58" t="s">
        <v>134</v>
      </c>
      <c r="EN88" s="58" t="s">
        <v>134</v>
      </c>
      <c r="EO88" s="58">
        <v>0.0</v>
      </c>
      <c r="EP88" s="58">
        <v>0.0</v>
      </c>
      <c r="EQ88" s="58">
        <v>0.0</v>
      </c>
      <c r="ER88" s="58" t="s">
        <v>134</v>
      </c>
      <c r="ES88" s="58" t="s">
        <v>134</v>
      </c>
      <c r="ET88" s="58" t="s">
        <v>134</v>
      </c>
    </row>
    <row r="89">
      <c r="A89" s="58" t="s">
        <v>92</v>
      </c>
      <c r="B89" s="58" t="s">
        <v>134</v>
      </c>
      <c r="C89" s="58" t="s">
        <v>134</v>
      </c>
      <c r="D89" s="58" t="s">
        <v>134</v>
      </c>
      <c r="E89" s="58" t="s">
        <v>134</v>
      </c>
      <c r="F89" s="58" t="s">
        <v>134</v>
      </c>
      <c r="G89" s="58" t="s">
        <v>134</v>
      </c>
      <c r="H89" s="58" t="s">
        <v>134</v>
      </c>
      <c r="I89" s="58" t="s">
        <v>134</v>
      </c>
      <c r="J89" s="58" t="s">
        <v>134</v>
      </c>
      <c r="K89" s="58">
        <v>0.0</v>
      </c>
      <c r="L89" s="58">
        <v>0.0</v>
      </c>
      <c r="M89" s="58" t="s">
        <v>134</v>
      </c>
      <c r="N89" s="58" t="s">
        <v>134</v>
      </c>
      <c r="O89" s="58" t="s">
        <v>134</v>
      </c>
      <c r="P89" s="58" t="s">
        <v>134</v>
      </c>
      <c r="Q89" s="58" t="s">
        <v>134</v>
      </c>
      <c r="R89" s="58" t="s">
        <v>134</v>
      </c>
      <c r="S89" s="58" t="s">
        <v>134</v>
      </c>
      <c r="T89" s="58" t="s">
        <v>134</v>
      </c>
      <c r="U89" s="58" t="s">
        <v>134</v>
      </c>
      <c r="V89" s="58" t="s">
        <v>134</v>
      </c>
      <c r="W89" s="58" t="s">
        <v>134</v>
      </c>
      <c r="X89" s="58" t="s">
        <v>134</v>
      </c>
      <c r="Y89" s="58" t="s">
        <v>134</v>
      </c>
      <c r="Z89" s="58" t="s">
        <v>134</v>
      </c>
      <c r="AA89" s="58" t="s">
        <v>134</v>
      </c>
      <c r="AB89" s="58" t="s">
        <v>134</v>
      </c>
      <c r="AC89" s="58" t="s">
        <v>134</v>
      </c>
      <c r="AD89" s="58" t="s">
        <v>134</v>
      </c>
      <c r="AE89" s="58" t="s">
        <v>134</v>
      </c>
      <c r="AF89" s="58" t="s">
        <v>134</v>
      </c>
      <c r="AG89" s="58" t="s">
        <v>134</v>
      </c>
      <c r="AH89" s="58" t="s">
        <v>134</v>
      </c>
      <c r="AI89" s="58" t="s">
        <v>134</v>
      </c>
      <c r="AJ89" s="58" t="s">
        <v>134</v>
      </c>
      <c r="AK89" s="58" t="s">
        <v>134</v>
      </c>
      <c r="AL89" s="58" t="s">
        <v>134</v>
      </c>
      <c r="AM89" s="58" t="s">
        <v>134</v>
      </c>
      <c r="AN89" s="58">
        <v>0.0</v>
      </c>
      <c r="AO89" s="58" t="s">
        <v>134</v>
      </c>
      <c r="AP89" s="58" t="s">
        <v>134</v>
      </c>
      <c r="AQ89" s="58" t="s">
        <v>134</v>
      </c>
      <c r="AR89" s="58" t="s">
        <v>134</v>
      </c>
      <c r="AS89" s="58" t="s">
        <v>134</v>
      </c>
      <c r="AT89" s="58" t="s">
        <v>134</v>
      </c>
      <c r="AU89" s="58" t="s">
        <v>134</v>
      </c>
      <c r="AV89" s="58" t="s">
        <v>134</v>
      </c>
      <c r="AW89" s="58" t="s">
        <v>134</v>
      </c>
      <c r="AX89" s="58" t="s">
        <v>134</v>
      </c>
      <c r="AY89" s="58" t="s">
        <v>134</v>
      </c>
      <c r="AZ89" s="58" t="s">
        <v>134</v>
      </c>
      <c r="BA89" s="58" t="s">
        <v>134</v>
      </c>
      <c r="BB89" s="58" t="s">
        <v>134</v>
      </c>
      <c r="BC89" s="58" t="s">
        <v>134</v>
      </c>
      <c r="BD89" s="58" t="s">
        <v>134</v>
      </c>
      <c r="BE89" s="58" t="s">
        <v>134</v>
      </c>
      <c r="BF89" s="58" t="s">
        <v>134</v>
      </c>
      <c r="BG89" s="58" t="s">
        <v>134</v>
      </c>
      <c r="BH89" s="58" t="s">
        <v>134</v>
      </c>
      <c r="BI89" s="58" t="s">
        <v>134</v>
      </c>
      <c r="BJ89" s="58" t="s">
        <v>134</v>
      </c>
      <c r="BK89" s="58" t="s">
        <v>134</v>
      </c>
      <c r="BL89" s="58" t="s">
        <v>134</v>
      </c>
      <c r="BM89" s="58" t="s">
        <v>134</v>
      </c>
      <c r="BN89" s="58" t="s">
        <v>134</v>
      </c>
      <c r="BO89" s="58" t="s">
        <v>134</v>
      </c>
      <c r="BP89" s="58" t="s">
        <v>134</v>
      </c>
      <c r="BQ89" s="58" t="s">
        <v>134</v>
      </c>
      <c r="BR89" s="58" t="s">
        <v>134</v>
      </c>
      <c r="BS89" s="58" t="s">
        <v>134</v>
      </c>
      <c r="BT89" s="58" t="s">
        <v>134</v>
      </c>
      <c r="BU89" s="58" t="s">
        <v>134</v>
      </c>
      <c r="BV89" s="58" t="s">
        <v>134</v>
      </c>
      <c r="BW89" s="58" t="s">
        <v>134</v>
      </c>
      <c r="BX89" s="58" t="s">
        <v>134</v>
      </c>
      <c r="BY89" s="58" t="s">
        <v>134</v>
      </c>
      <c r="BZ89" s="58" t="s">
        <v>134</v>
      </c>
      <c r="CA89" s="58" t="s">
        <v>134</v>
      </c>
      <c r="CB89" s="58" t="s">
        <v>134</v>
      </c>
      <c r="CC89" s="58" t="s">
        <v>134</v>
      </c>
      <c r="CD89" s="58" t="s">
        <v>134</v>
      </c>
      <c r="CE89" s="58" t="s">
        <v>134</v>
      </c>
      <c r="CF89" s="58" t="s">
        <v>134</v>
      </c>
      <c r="CG89" s="58" t="s">
        <v>134</v>
      </c>
      <c r="CH89" s="58" t="s">
        <v>134</v>
      </c>
      <c r="CI89" s="58" t="s">
        <v>134</v>
      </c>
      <c r="CJ89" s="58" t="s">
        <v>134</v>
      </c>
      <c r="CK89" s="58" t="s">
        <v>134</v>
      </c>
      <c r="CL89" s="58" t="s">
        <v>134</v>
      </c>
      <c r="CM89" s="58" t="s">
        <v>134</v>
      </c>
      <c r="CN89" s="58" t="s">
        <v>134</v>
      </c>
      <c r="CO89" s="58" t="s">
        <v>134</v>
      </c>
      <c r="CP89" s="58" t="s">
        <v>134</v>
      </c>
      <c r="CQ89" s="58" t="s">
        <v>134</v>
      </c>
      <c r="CR89" s="58" t="s">
        <v>134</v>
      </c>
      <c r="CS89" s="58" t="s">
        <v>134</v>
      </c>
      <c r="CT89" s="58" t="s">
        <v>134</v>
      </c>
      <c r="CU89" s="58" t="s">
        <v>134</v>
      </c>
      <c r="CV89" s="58" t="s">
        <v>134</v>
      </c>
      <c r="CW89" s="58" t="s">
        <v>134</v>
      </c>
      <c r="CX89" s="58" t="s">
        <v>134</v>
      </c>
      <c r="CY89" s="58" t="s">
        <v>134</v>
      </c>
      <c r="CZ89" s="58" t="s">
        <v>134</v>
      </c>
      <c r="DA89" s="58" t="s">
        <v>134</v>
      </c>
      <c r="DB89" s="58" t="s">
        <v>134</v>
      </c>
      <c r="DC89" s="58" t="s">
        <v>134</v>
      </c>
      <c r="DD89" s="58" t="s">
        <v>134</v>
      </c>
      <c r="DE89" s="58" t="s">
        <v>134</v>
      </c>
      <c r="DF89" s="58" t="s">
        <v>134</v>
      </c>
      <c r="DG89" s="58" t="s">
        <v>134</v>
      </c>
      <c r="DH89" s="58" t="s">
        <v>134</v>
      </c>
      <c r="DI89" s="58" t="s">
        <v>134</v>
      </c>
      <c r="DJ89" s="58" t="s">
        <v>134</v>
      </c>
      <c r="DK89" s="58" t="s">
        <v>134</v>
      </c>
      <c r="DL89" s="58" t="s">
        <v>134</v>
      </c>
      <c r="DM89" s="58" t="s">
        <v>134</v>
      </c>
      <c r="DN89" s="58" t="s">
        <v>134</v>
      </c>
      <c r="DO89" s="58" t="s">
        <v>134</v>
      </c>
      <c r="DP89" s="58" t="s">
        <v>134</v>
      </c>
      <c r="DQ89" s="58" t="s">
        <v>134</v>
      </c>
      <c r="DR89" s="58">
        <v>0.0</v>
      </c>
      <c r="DS89" s="58" t="s">
        <v>134</v>
      </c>
      <c r="DT89" s="58" t="s">
        <v>134</v>
      </c>
      <c r="DU89" s="58" t="s">
        <v>134</v>
      </c>
      <c r="DV89" s="58" t="s">
        <v>134</v>
      </c>
      <c r="DW89" s="58" t="s">
        <v>134</v>
      </c>
      <c r="DX89" s="58" t="s">
        <v>134</v>
      </c>
      <c r="DY89" s="58" t="s">
        <v>134</v>
      </c>
      <c r="DZ89" s="58" t="s">
        <v>134</v>
      </c>
      <c r="EA89" s="58" t="s">
        <v>134</v>
      </c>
      <c r="EB89" s="58" t="s">
        <v>134</v>
      </c>
      <c r="EC89" s="58" t="s">
        <v>134</v>
      </c>
      <c r="ED89" s="58" t="s">
        <v>134</v>
      </c>
      <c r="EE89" s="58" t="s">
        <v>134</v>
      </c>
      <c r="EF89" s="58" t="s">
        <v>134</v>
      </c>
      <c r="EG89" s="58" t="s">
        <v>134</v>
      </c>
      <c r="EH89" s="58" t="s">
        <v>134</v>
      </c>
      <c r="EI89" s="58" t="s">
        <v>134</v>
      </c>
      <c r="EJ89" s="58" t="s">
        <v>134</v>
      </c>
      <c r="EK89" s="58" t="s">
        <v>134</v>
      </c>
      <c r="EL89" s="58" t="s">
        <v>134</v>
      </c>
      <c r="EM89" s="58" t="s">
        <v>134</v>
      </c>
      <c r="EN89" s="58" t="s">
        <v>134</v>
      </c>
      <c r="EO89" s="58">
        <v>0.0</v>
      </c>
      <c r="EP89" s="58">
        <v>0.0</v>
      </c>
      <c r="EQ89" s="58">
        <v>0.0</v>
      </c>
      <c r="ER89" s="58" t="s">
        <v>134</v>
      </c>
      <c r="ES89" s="58" t="s">
        <v>134</v>
      </c>
      <c r="ET89" s="58" t="s">
        <v>134</v>
      </c>
    </row>
    <row r="90">
      <c r="A90" s="58" t="s">
        <v>246</v>
      </c>
      <c r="B90" s="58" t="s">
        <v>134</v>
      </c>
      <c r="C90" s="58" t="s">
        <v>134</v>
      </c>
      <c r="D90" s="58" t="s">
        <v>134</v>
      </c>
      <c r="E90" s="58" t="s">
        <v>134</v>
      </c>
      <c r="F90" s="58" t="s">
        <v>134</v>
      </c>
      <c r="G90" s="58" t="s">
        <v>134</v>
      </c>
      <c r="H90" s="58" t="s">
        <v>134</v>
      </c>
      <c r="I90" s="58" t="s">
        <v>134</v>
      </c>
      <c r="J90" s="58" t="s">
        <v>134</v>
      </c>
      <c r="K90" s="58">
        <v>0.0</v>
      </c>
      <c r="L90" s="58">
        <v>0.0</v>
      </c>
      <c r="M90" s="58" t="s">
        <v>134</v>
      </c>
      <c r="N90" s="58" t="s">
        <v>134</v>
      </c>
      <c r="O90" s="58" t="s">
        <v>134</v>
      </c>
      <c r="P90" s="58" t="s">
        <v>134</v>
      </c>
      <c r="Q90" s="58" t="s">
        <v>134</v>
      </c>
      <c r="R90" s="58" t="s">
        <v>134</v>
      </c>
      <c r="S90" s="58" t="s">
        <v>134</v>
      </c>
      <c r="T90" s="58" t="s">
        <v>134</v>
      </c>
      <c r="U90" s="58" t="s">
        <v>134</v>
      </c>
      <c r="V90" s="58" t="s">
        <v>134</v>
      </c>
      <c r="W90" s="58" t="s">
        <v>134</v>
      </c>
      <c r="X90" s="58" t="s">
        <v>134</v>
      </c>
      <c r="Y90" s="58" t="s">
        <v>134</v>
      </c>
      <c r="Z90" s="58" t="s">
        <v>134</v>
      </c>
      <c r="AA90" s="58" t="s">
        <v>134</v>
      </c>
      <c r="AB90" s="58" t="s">
        <v>134</v>
      </c>
      <c r="AC90" s="58" t="s">
        <v>134</v>
      </c>
      <c r="AD90" s="58" t="s">
        <v>134</v>
      </c>
      <c r="AE90" s="58" t="s">
        <v>134</v>
      </c>
      <c r="AF90" s="58" t="s">
        <v>134</v>
      </c>
      <c r="AG90" s="58" t="s">
        <v>134</v>
      </c>
      <c r="AH90" s="58" t="s">
        <v>134</v>
      </c>
      <c r="AI90" s="58" t="s">
        <v>134</v>
      </c>
      <c r="AJ90" s="58" t="s">
        <v>134</v>
      </c>
      <c r="AK90" s="58" t="s">
        <v>134</v>
      </c>
      <c r="AL90" s="58" t="s">
        <v>134</v>
      </c>
      <c r="AM90" s="58" t="s">
        <v>134</v>
      </c>
      <c r="AN90" s="58" t="s">
        <v>134</v>
      </c>
      <c r="AO90" s="58" t="s">
        <v>134</v>
      </c>
      <c r="AP90" s="58" t="s">
        <v>134</v>
      </c>
      <c r="AQ90" s="58" t="s">
        <v>134</v>
      </c>
      <c r="AR90" s="58" t="s">
        <v>134</v>
      </c>
      <c r="AS90" s="58" t="s">
        <v>134</v>
      </c>
      <c r="AT90" s="58" t="s">
        <v>134</v>
      </c>
      <c r="AU90" s="58" t="s">
        <v>134</v>
      </c>
      <c r="AV90" s="58" t="s">
        <v>134</v>
      </c>
      <c r="AW90" s="58" t="s">
        <v>134</v>
      </c>
      <c r="AX90" s="58" t="s">
        <v>134</v>
      </c>
      <c r="AY90" s="58" t="s">
        <v>134</v>
      </c>
      <c r="AZ90" s="58" t="s">
        <v>134</v>
      </c>
      <c r="BA90" s="58" t="s">
        <v>134</v>
      </c>
      <c r="BB90" s="58" t="s">
        <v>134</v>
      </c>
      <c r="BC90" s="58" t="s">
        <v>134</v>
      </c>
      <c r="BD90" s="58" t="s">
        <v>134</v>
      </c>
      <c r="BE90" s="58" t="s">
        <v>134</v>
      </c>
      <c r="BF90" s="58" t="s">
        <v>134</v>
      </c>
      <c r="BG90" s="58" t="s">
        <v>134</v>
      </c>
      <c r="BH90" s="58" t="s">
        <v>134</v>
      </c>
      <c r="BI90" s="58" t="s">
        <v>134</v>
      </c>
      <c r="BJ90" s="58" t="s">
        <v>134</v>
      </c>
      <c r="BK90" s="58" t="s">
        <v>134</v>
      </c>
      <c r="BL90" s="58" t="s">
        <v>134</v>
      </c>
      <c r="BM90" s="58" t="s">
        <v>134</v>
      </c>
      <c r="BN90" s="58" t="s">
        <v>134</v>
      </c>
      <c r="BO90" s="58" t="s">
        <v>134</v>
      </c>
      <c r="BP90" s="58">
        <v>0.2235</v>
      </c>
      <c r="BQ90" s="58" t="s">
        <v>134</v>
      </c>
      <c r="BR90" s="58" t="s">
        <v>134</v>
      </c>
      <c r="BS90" s="58" t="s">
        <v>134</v>
      </c>
      <c r="BT90" s="58" t="s">
        <v>134</v>
      </c>
      <c r="BU90" s="58" t="s">
        <v>134</v>
      </c>
      <c r="BV90" s="58" t="s">
        <v>134</v>
      </c>
      <c r="BW90" s="58" t="s">
        <v>134</v>
      </c>
      <c r="BX90" s="58" t="s">
        <v>134</v>
      </c>
      <c r="BY90" s="58" t="s">
        <v>134</v>
      </c>
      <c r="BZ90" s="58" t="s">
        <v>134</v>
      </c>
      <c r="CA90" s="58" t="s">
        <v>134</v>
      </c>
      <c r="CB90" s="58" t="s">
        <v>134</v>
      </c>
      <c r="CC90" s="58" t="s">
        <v>134</v>
      </c>
      <c r="CD90" s="58" t="s">
        <v>134</v>
      </c>
      <c r="CE90" s="58" t="s">
        <v>134</v>
      </c>
      <c r="CF90" s="58" t="s">
        <v>134</v>
      </c>
      <c r="CG90" s="58" t="s">
        <v>134</v>
      </c>
      <c r="CH90" s="58" t="s">
        <v>134</v>
      </c>
      <c r="CI90" s="58" t="s">
        <v>134</v>
      </c>
      <c r="CJ90" s="58" t="s">
        <v>134</v>
      </c>
      <c r="CK90" s="58" t="s">
        <v>134</v>
      </c>
      <c r="CL90" s="58" t="s">
        <v>134</v>
      </c>
      <c r="CM90" s="58" t="s">
        <v>134</v>
      </c>
      <c r="CN90" s="58" t="s">
        <v>134</v>
      </c>
      <c r="CO90" s="58" t="s">
        <v>134</v>
      </c>
      <c r="CP90" s="58" t="s">
        <v>134</v>
      </c>
      <c r="CQ90" s="58" t="s">
        <v>134</v>
      </c>
      <c r="CR90" s="58" t="s">
        <v>134</v>
      </c>
      <c r="CS90" s="58" t="s">
        <v>134</v>
      </c>
      <c r="CT90" s="58" t="s">
        <v>134</v>
      </c>
      <c r="CU90" s="58" t="s">
        <v>134</v>
      </c>
      <c r="CV90" s="58" t="s">
        <v>134</v>
      </c>
      <c r="CW90" s="58" t="s">
        <v>134</v>
      </c>
      <c r="CX90" s="58" t="s">
        <v>134</v>
      </c>
      <c r="CY90" s="58" t="s">
        <v>134</v>
      </c>
      <c r="CZ90" s="58" t="s">
        <v>134</v>
      </c>
      <c r="DA90" s="58" t="s">
        <v>134</v>
      </c>
      <c r="DB90" s="58" t="s">
        <v>134</v>
      </c>
      <c r="DC90" s="58" t="s">
        <v>134</v>
      </c>
      <c r="DD90" s="58" t="s">
        <v>134</v>
      </c>
      <c r="DE90" s="58" t="s">
        <v>134</v>
      </c>
      <c r="DF90" s="58" t="s">
        <v>134</v>
      </c>
      <c r="DG90" s="58" t="s">
        <v>134</v>
      </c>
      <c r="DH90" s="58" t="s">
        <v>134</v>
      </c>
      <c r="DI90" s="58" t="s">
        <v>134</v>
      </c>
      <c r="DJ90" s="58" t="s">
        <v>134</v>
      </c>
      <c r="DK90" s="58" t="s">
        <v>134</v>
      </c>
      <c r="DL90" s="58" t="s">
        <v>134</v>
      </c>
      <c r="DM90" s="58" t="s">
        <v>134</v>
      </c>
      <c r="DN90" s="58" t="s">
        <v>134</v>
      </c>
      <c r="DO90" s="58" t="s">
        <v>134</v>
      </c>
      <c r="DP90" s="58" t="s">
        <v>134</v>
      </c>
      <c r="DQ90" s="58" t="s">
        <v>134</v>
      </c>
      <c r="DR90" s="58">
        <v>0.0</v>
      </c>
      <c r="DS90" s="58" t="s">
        <v>134</v>
      </c>
      <c r="DT90" s="58" t="s">
        <v>134</v>
      </c>
      <c r="DU90" s="58" t="s">
        <v>134</v>
      </c>
      <c r="DV90" s="58" t="s">
        <v>134</v>
      </c>
      <c r="DW90" s="58" t="s">
        <v>134</v>
      </c>
      <c r="DX90" s="58" t="s">
        <v>134</v>
      </c>
      <c r="DY90" s="58" t="s">
        <v>134</v>
      </c>
      <c r="DZ90" s="58" t="s">
        <v>134</v>
      </c>
      <c r="EA90" s="58" t="s">
        <v>134</v>
      </c>
      <c r="EB90" s="58" t="s">
        <v>134</v>
      </c>
      <c r="EC90" s="58" t="s">
        <v>134</v>
      </c>
      <c r="ED90" s="58" t="s">
        <v>134</v>
      </c>
      <c r="EE90" s="58" t="s">
        <v>134</v>
      </c>
      <c r="EF90" s="58" t="s">
        <v>134</v>
      </c>
      <c r="EG90" s="58" t="s">
        <v>134</v>
      </c>
      <c r="EH90" s="58" t="s">
        <v>134</v>
      </c>
      <c r="EI90" s="58" t="s">
        <v>134</v>
      </c>
      <c r="EJ90" s="58" t="s">
        <v>134</v>
      </c>
      <c r="EK90" s="58" t="s">
        <v>134</v>
      </c>
      <c r="EL90" s="58" t="s">
        <v>134</v>
      </c>
      <c r="EM90" s="58" t="s">
        <v>134</v>
      </c>
      <c r="EN90" s="58" t="s">
        <v>134</v>
      </c>
      <c r="EO90" s="58">
        <v>0.0</v>
      </c>
      <c r="EP90" s="58">
        <v>0.0</v>
      </c>
      <c r="EQ90" s="58">
        <v>0.0</v>
      </c>
      <c r="ER90" s="58" t="s">
        <v>134</v>
      </c>
      <c r="ES90" s="58" t="s">
        <v>134</v>
      </c>
      <c r="ET90" s="58" t="s">
        <v>134</v>
      </c>
    </row>
    <row r="91">
      <c r="A91" s="58" t="s">
        <v>477</v>
      </c>
      <c r="B91" s="58" t="s">
        <v>134</v>
      </c>
      <c r="C91" s="58" t="s">
        <v>134</v>
      </c>
      <c r="D91" s="58" t="s">
        <v>134</v>
      </c>
      <c r="E91" s="58" t="s">
        <v>134</v>
      </c>
      <c r="F91" s="58" t="s">
        <v>134</v>
      </c>
      <c r="G91" s="58" t="s">
        <v>134</v>
      </c>
      <c r="H91" s="58" t="s">
        <v>134</v>
      </c>
      <c r="I91" s="58" t="s">
        <v>134</v>
      </c>
      <c r="J91" s="58" t="s">
        <v>134</v>
      </c>
      <c r="K91" s="58">
        <v>0.0</v>
      </c>
      <c r="L91" s="58">
        <v>0.0</v>
      </c>
      <c r="M91" s="58" t="s">
        <v>134</v>
      </c>
      <c r="N91" s="58" t="s">
        <v>134</v>
      </c>
      <c r="O91" s="58" t="s">
        <v>134</v>
      </c>
      <c r="P91" s="58" t="s">
        <v>134</v>
      </c>
      <c r="Q91" s="58" t="s">
        <v>134</v>
      </c>
      <c r="R91" s="58" t="s">
        <v>134</v>
      </c>
      <c r="S91" s="58" t="s">
        <v>134</v>
      </c>
      <c r="T91" s="58" t="s">
        <v>134</v>
      </c>
      <c r="U91" s="58" t="s">
        <v>134</v>
      </c>
      <c r="V91" s="58" t="s">
        <v>134</v>
      </c>
      <c r="W91" s="58" t="s">
        <v>134</v>
      </c>
      <c r="X91" s="58" t="s">
        <v>134</v>
      </c>
      <c r="Y91" s="58" t="s">
        <v>134</v>
      </c>
      <c r="Z91" s="58" t="s">
        <v>134</v>
      </c>
      <c r="AA91" s="58" t="s">
        <v>134</v>
      </c>
      <c r="AB91" s="58" t="s">
        <v>134</v>
      </c>
      <c r="AC91" s="58" t="s">
        <v>134</v>
      </c>
      <c r="AD91" s="58" t="s">
        <v>134</v>
      </c>
      <c r="AE91" s="58" t="s">
        <v>134</v>
      </c>
      <c r="AF91" s="58" t="s">
        <v>134</v>
      </c>
      <c r="AG91" s="58" t="s">
        <v>134</v>
      </c>
      <c r="AH91" s="58" t="s">
        <v>134</v>
      </c>
      <c r="AI91" s="58" t="s">
        <v>134</v>
      </c>
      <c r="AJ91" s="58" t="s">
        <v>134</v>
      </c>
      <c r="AK91" s="58" t="s">
        <v>134</v>
      </c>
      <c r="AL91" s="58" t="s">
        <v>134</v>
      </c>
      <c r="AM91" s="58" t="s">
        <v>134</v>
      </c>
      <c r="AN91" s="58">
        <v>0.0</v>
      </c>
      <c r="AO91" s="58" t="s">
        <v>134</v>
      </c>
      <c r="AP91" s="58" t="s">
        <v>134</v>
      </c>
      <c r="AQ91" s="58" t="s">
        <v>134</v>
      </c>
      <c r="AR91" s="58" t="s">
        <v>134</v>
      </c>
      <c r="AS91" s="58" t="s">
        <v>134</v>
      </c>
      <c r="AT91" s="58" t="s">
        <v>134</v>
      </c>
      <c r="AU91" s="58" t="s">
        <v>134</v>
      </c>
      <c r="AV91" s="58" t="s">
        <v>134</v>
      </c>
      <c r="AW91" s="58" t="s">
        <v>134</v>
      </c>
      <c r="AX91" s="58" t="s">
        <v>134</v>
      </c>
      <c r="AY91" s="58" t="s">
        <v>134</v>
      </c>
      <c r="AZ91" s="58" t="s">
        <v>134</v>
      </c>
      <c r="BA91" s="58" t="s">
        <v>134</v>
      </c>
      <c r="BB91" s="58" t="s">
        <v>134</v>
      </c>
      <c r="BC91" s="58" t="s">
        <v>134</v>
      </c>
      <c r="BD91" s="58" t="s">
        <v>134</v>
      </c>
      <c r="BE91" s="58" t="s">
        <v>134</v>
      </c>
      <c r="BF91" s="58" t="s">
        <v>134</v>
      </c>
      <c r="BG91" s="58" t="s">
        <v>134</v>
      </c>
      <c r="BH91" s="58" t="s">
        <v>134</v>
      </c>
      <c r="BI91" s="58" t="s">
        <v>134</v>
      </c>
      <c r="BJ91" s="58" t="s">
        <v>134</v>
      </c>
      <c r="BK91" s="58" t="s">
        <v>134</v>
      </c>
      <c r="BL91" s="58" t="s">
        <v>134</v>
      </c>
      <c r="BM91" s="58" t="s">
        <v>134</v>
      </c>
      <c r="BN91" s="58" t="s">
        <v>134</v>
      </c>
      <c r="BO91" s="58" t="s">
        <v>134</v>
      </c>
      <c r="BP91" s="58" t="s">
        <v>134</v>
      </c>
      <c r="BQ91" s="58">
        <v>0.0945</v>
      </c>
      <c r="BR91" s="58" t="s">
        <v>134</v>
      </c>
      <c r="BS91" s="58" t="s">
        <v>134</v>
      </c>
      <c r="BT91" s="58" t="s">
        <v>134</v>
      </c>
      <c r="BU91" s="58" t="s">
        <v>134</v>
      </c>
      <c r="BV91" s="58" t="s">
        <v>134</v>
      </c>
      <c r="BW91" s="58" t="s">
        <v>134</v>
      </c>
      <c r="BX91" s="58" t="s">
        <v>134</v>
      </c>
      <c r="BY91" s="58" t="s">
        <v>134</v>
      </c>
      <c r="BZ91" s="58" t="s">
        <v>134</v>
      </c>
      <c r="CA91" s="58" t="s">
        <v>134</v>
      </c>
      <c r="CB91" s="58" t="s">
        <v>134</v>
      </c>
      <c r="CC91" s="58" t="s">
        <v>134</v>
      </c>
      <c r="CD91" s="58" t="s">
        <v>134</v>
      </c>
      <c r="CE91" s="58" t="s">
        <v>134</v>
      </c>
      <c r="CF91" s="58" t="s">
        <v>134</v>
      </c>
      <c r="CG91" s="58" t="s">
        <v>134</v>
      </c>
      <c r="CH91" s="58" t="s">
        <v>134</v>
      </c>
      <c r="CI91" s="58" t="s">
        <v>134</v>
      </c>
      <c r="CJ91" s="58" t="s">
        <v>134</v>
      </c>
      <c r="CK91" s="58" t="s">
        <v>134</v>
      </c>
      <c r="CL91" s="58" t="s">
        <v>134</v>
      </c>
      <c r="CM91" s="58" t="s">
        <v>134</v>
      </c>
      <c r="CN91" s="58" t="s">
        <v>134</v>
      </c>
      <c r="CO91" s="58" t="s">
        <v>134</v>
      </c>
      <c r="CP91" s="58" t="s">
        <v>134</v>
      </c>
      <c r="CQ91" s="58" t="s">
        <v>134</v>
      </c>
      <c r="CR91" s="58" t="s">
        <v>134</v>
      </c>
      <c r="CS91" s="58" t="s">
        <v>134</v>
      </c>
      <c r="CT91" s="58" t="s">
        <v>134</v>
      </c>
      <c r="CU91" s="58" t="s">
        <v>134</v>
      </c>
      <c r="CV91" s="58" t="s">
        <v>134</v>
      </c>
      <c r="CW91" s="58" t="s">
        <v>134</v>
      </c>
      <c r="CX91" s="58" t="s">
        <v>134</v>
      </c>
      <c r="CY91" s="58" t="s">
        <v>134</v>
      </c>
      <c r="CZ91" s="58" t="s">
        <v>134</v>
      </c>
      <c r="DA91" s="58" t="s">
        <v>134</v>
      </c>
      <c r="DB91" s="58" t="s">
        <v>134</v>
      </c>
      <c r="DC91" s="58" t="s">
        <v>134</v>
      </c>
      <c r="DD91" s="58" t="s">
        <v>134</v>
      </c>
      <c r="DE91" s="58" t="s">
        <v>134</v>
      </c>
      <c r="DF91" s="58" t="s">
        <v>134</v>
      </c>
      <c r="DG91" s="58" t="s">
        <v>134</v>
      </c>
      <c r="DH91" s="58" t="s">
        <v>134</v>
      </c>
      <c r="DI91" s="58" t="s">
        <v>134</v>
      </c>
      <c r="DJ91" s="58" t="s">
        <v>134</v>
      </c>
      <c r="DK91" s="58" t="s">
        <v>134</v>
      </c>
      <c r="DL91" s="58" t="s">
        <v>134</v>
      </c>
      <c r="DM91" s="58" t="s">
        <v>134</v>
      </c>
      <c r="DN91" s="58" t="s">
        <v>134</v>
      </c>
      <c r="DO91" s="58" t="s">
        <v>134</v>
      </c>
      <c r="DP91" s="58" t="s">
        <v>134</v>
      </c>
      <c r="DQ91" s="58" t="s">
        <v>134</v>
      </c>
      <c r="DR91" s="58">
        <v>0.0</v>
      </c>
      <c r="DS91" s="58" t="s">
        <v>134</v>
      </c>
      <c r="DT91" s="58" t="s">
        <v>134</v>
      </c>
      <c r="DU91" s="58" t="s">
        <v>134</v>
      </c>
      <c r="DV91" s="58" t="s">
        <v>134</v>
      </c>
      <c r="DW91" s="58" t="s">
        <v>134</v>
      </c>
      <c r="DX91" s="58" t="s">
        <v>134</v>
      </c>
      <c r="DY91" s="58" t="s">
        <v>134</v>
      </c>
      <c r="DZ91" s="58" t="s">
        <v>134</v>
      </c>
      <c r="EA91" s="58" t="s">
        <v>134</v>
      </c>
      <c r="EB91" s="58" t="s">
        <v>134</v>
      </c>
      <c r="EC91" s="58" t="s">
        <v>134</v>
      </c>
      <c r="ED91" s="58" t="s">
        <v>134</v>
      </c>
      <c r="EE91" s="58" t="s">
        <v>134</v>
      </c>
      <c r="EF91" s="58" t="s">
        <v>134</v>
      </c>
      <c r="EG91" s="58" t="s">
        <v>134</v>
      </c>
      <c r="EH91" s="58" t="s">
        <v>134</v>
      </c>
      <c r="EI91" s="58" t="s">
        <v>134</v>
      </c>
      <c r="EJ91" s="58" t="s">
        <v>134</v>
      </c>
      <c r="EK91" s="58" t="s">
        <v>134</v>
      </c>
      <c r="EL91" s="58" t="s">
        <v>134</v>
      </c>
      <c r="EM91" s="58" t="s">
        <v>134</v>
      </c>
      <c r="EN91" s="58" t="s">
        <v>134</v>
      </c>
      <c r="EO91" s="58">
        <v>0.0</v>
      </c>
      <c r="EP91" s="58">
        <v>0.0</v>
      </c>
      <c r="EQ91" s="58">
        <v>0.0</v>
      </c>
      <c r="ER91" s="58" t="s">
        <v>134</v>
      </c>
      <c r="ES91" s="58" t="s">
        <v>134</v>
      </c>
      <c r="ET91" s="58" t="s">
        <v>134</v>
      </c>
    </row>
    <row r="92">
      <c r="A92" s="58" t="s">
        <v>97</v>
      </c>
      <c r="B92" s="58" t="s">
        <v>134</v>
      </c>
      <c r="C92" s="58" t="s">
        <v>134</v>
      </c>
      <c r="D92" s="58" t="s">
        <v>134</v>
      </c>
      <c r="E92" s="58" t="s">
        <v>134</v>
      </c>
      <c r="F92" s="58" t="s">
        <v>134</v>
      </c>
      <c r="G92" s="58" t="s">
        <v>134</v>
      </c>
      <c r="H92" s="58" t="s">
        <v>134</v>
      </c>
      <c r="I92" s="58">
        <v>0.0747</v>
      </c>
      <c r="J92" s="58" t="s">
        <v>134</v>
      </c>
      <c r="K92" s="58">
        <v>0.0</v>
      </c>
      <c r="L92" s="58">
        <v>0.0</v>
      </c>
      <c r="M92" s="58" t="s">
        <v>134</v>
      </c>
      <c r="N92" s="58" t="s">
        <v>134</v>
      </c>
      <c r="O92" s="58" t="s">
        <v>134</v>
      </c>
      <c r="P92" s="58" t="s">
        <v>134</v>
      </c>
      <c r="Q92" s="58" t="s">
        <v>134</v>
      </c>
      <c r="R92" s="58" t="s">
        <v>134</v>
      </c>
      <c r="S92" s="58" t="s">
        <v>134</v>
      </c>
      <c r="T92" s="58" t="s">
        <v>134</v>
      </c>
      <c r="U92" s="58" t="s">
        <v>134</v>
      </c>
      <c r="V92" s="58" t="s">
        <v>134</v>
      </c>
      <c r="W92" s="58" t="s">
        <v>134</v>
      </c>
      <c r="X92" s="58" t="s">
        <v>134</v>
      </c>
      <c r="Y92" s="58" t="s">
        <v>134</v>
      </c>
      <c r="Z92" s="58" t="s">
        <v>134</v>
      </c>
      <c r="AA92" s="58" t="s">
        <v>134</v>
      </c>
      <c r="AB92" s="58" t="s">
        <v>134</v>
      </c>
      <c r="AC92" s="58" t="s">
        <v>134</v>
      </c>
      <c r="AD92" s="58" t="s">
        <v>134</v>
      </c>
      <c r="AE92" s="58" t="s">
        <v>134</v>
      </c>
      <c r="AF92" s="58" t="s">
        <v>134</v>
      </c>
      <c r="AG92" s="58" t="s">
        <v>134</v>
      </c>
      <c r="AH92" s="58" t="s">
        <v>134</v>
      </c>
      <c r="AI92" s="58" t="s">
        <v>134</v>
      </c>
      <c r="AJ92" s="58" t="s">
        <v>134</v>
      </c>
      <c r="AK92" s="58" t="s">
        <v>134</v>
      </c>
      <c r="AL92" s="58" t="s">
        <v>134</v>
      </c>
      <c r="AM92" s="58" t="s">
        <v>134</v>
      </c>
      <c r="AN92" s="58">
        <v>0.0</v>
      </c>
      <c r="AO92" s="58" t="s">
        <v>134</v>
      </c>
      <c r="AP92" s="58" t="s">
        <v>134</v>
      </c>
      <c r="AQ92" s="58" t="s">
        <v>134</v>
      </c>
      <c r="AR92" s="58" t="s">
        <v>134</v>
      </c>
      <c r="AS92" s="58" t="s">
        <v>134</v>
      </c>
      <c r="AT92" s="58" t="s">
        <v>134</v>
      </c>
      <c r="AU92" s="58" t="s">
        <v>134</v>
      </c>
      <c r="AV92" s="58" t="s">
        <v>134</v>
      </c>
      <c r="AW92" s="58" t="s">
        <v>134</v>
      </c>
      <c r="AX92" s="58" t="s">
        <v>134</v>
      </c>
      <c r="AY92" s="58" t="s">
        <v>134</v>
      </c>
      <c r="AZ92" s="58" t="s">
        <v>134</v>
      </c>
      <c r="BA92" s="58" t="s">
        <v>134</v>
      </c>
      <c r="BB92" s="58" t="s">
        <v>134</v>
      </c>
      <c r="BC92" s="58" t="s">
        <v>134</v>
      </c>
      <c r="BD92" s="58" t="s">
        <v>134</v>
      </c>
      <c r="BE92" s="58" t="s">
        <v>134</v>
      </c>
      <c r="BF92" s="58" t="s">
        <v>134</v>
      </c>
      <c r="BG92" s="58" t="s">
        <v>134</v>
      </c>
      <c r="BH92" s="58" t="s">
        <v>134</v>
      </c>
      <c r="BI92" s="58" t="s">
        <v>134</v>
      </c>
      <c r="BJ92" s="58" t="s">
        <v>134</v>
      </c>
      <c r="BK92" s="58" t="s">
        <v>134</v>
      </c>
      <c r="BL92" s="58" t="s">
        <v>134</v>
      </c>
      <c r="BM92" s="58" t="s">
        <v>134</v>
      </c>
      <c r="BN92" s="58" t="s">
        <v>134</v>
      </c>
      <c r="BO92" s="58" t="s">
        <v>134</v>
      </c>
      <c r="BP92" s="58" t="s">
        <v>134</v>
      </c>
      <c r="BQ92" s="58" t="s">
        <v>134</v>
      </c>
      <c r="BR92" s="58" t="s">
        <v>134</v>
      </c>
      <c r="BS92" s="58" t="s">
        <v>134</v>
      </c>
      <c r="BT92" s="58" t="s">
        <v>134</v>
      </c>
      <c r="BU92" s="58" t="s">
        <v>134</v>
      </c>
      <c r="BV92" s="58" t="s">
        <v>134</v>
      </c>
      <c r="BW92" s="58" t="s">
        <v>134</v>
      </c>
      <c r="BX92" s="58" t="s">
        <v>134</v>
      </c>
      <c r="BY92" s="58" t="s">
        <v>134</v>
      </c>
      <c r="BZ92" s="58" t="s">
        <v>134</v>
      </c>
      <c r="CA92" s="58" t="s">
        <v>134</v>
      </c>
      <c r="CB92" s="58" t="s">
        <v>134</v>
      </c>
      <c r="CC92" s="58" t="s">
        <v>134</v>
      </c>
      <c r="CD92" s="58" t="s">
        <v>134</v>
      </c>
      <c r="CE92" s="58" t="s">
        <v>134</v>
      </c>
      <c r="CF92" s="58" t="s">
        <v>134</v>
      </c>
      <c r="CG92" s="58" t="s">
        <v>134</v>
      </c>
      <c r="CH92" s="58" t="s">
        <v>134</v>
      </c>
      <c r="CI92" s="58" t="s">
        <v>134</v>
      </c>
      <c r="CJ92" s="58" t="s">
        <v>134</v>
      </c>
      <c r="CK92" s="58" t="s">
        <v>134</v>
      </c>
      <c r="CL92" s="58" t="s">
        <v>134</v>
      </c>
      <c r="CM92" s="58" t="s">
        <v>134</v>
      </c>
      <c r="CN92" s="58" t="s">
        <v>134</v>
      </c>
      <c r="CO92" s="58" t="s">
        <v>134</v>
      </c>
      <c r="CP92" s="58" t="s">
        <v>134</v>
      </c>
      <c r="CQ92" s="58" t="s">
        <v>134</v>
      </c>
      <c r="CR92" s="58" t="s">
        <v>134</v>
      </c>
      <c r="CS92" s="58" t="s">
        <v>134</v>
      </c>
      <c r="CT92" s="58" t="s">
        <v>134</v>
      </c>
      <c r="CU92" s="58" t="s">
        <v>134</v>
      </c>
      <c r="CV92" s="58" t="s">
        <v>134</v>
      </c>
      <c r="CW92" s="58" t="s">
        <v>134</v>
      </c>
      <c r="CX92" s="58" t="s">
        <v>134</v>
      </c>
      <c r="CY92" s="58" t="s">
        <v>134</v>
      </c>
      <c r="CZ92" s="58" t="s">
        <v>134</v>
      </c>
      <c r="DA92" s="58" t="s">
        <v>134</v>
      </c>
      <c r="DB92" s="58" t="s">
        <v>134</v>
      </c>
      <c r="DC92" s="58" t="s">
        <v>134</v>
      </c>
      <c r="DD92" s="58" t="s">
        <v>134</v>
      </c>
      <c r="DE92" s="58" t="s">
        <v>134</v>
      </c>
      <c r="DF92" s="58" t="s">
        <v>134</v>
      </c>
      <c r="DG92" s="58" t="s">
        <v>134</v>
      </c>
      <c r="DH92" s="58" t="s">
        <v>134</v>
      </c>
      <c r="DI92" s="58" t="s">
        <v>134</v>
      </c>
      <c r="DJ92" s="58" t="s">
        <v>134</v>
      </c>
      <c r="DK92" s="58" t="s">
        <v>134</v>
      </c>
      <c r="DL92" s="58" t="s">
        <v>134</v>
      </c>
      <c r="DM92" s="58" t="s">
        <v>134</v>
      </c>
      <c r="DN92" s="58" t="s">
        <v>134</v>
      </c>
      <c r="DO92" s="58" t="s">
        <v>134</v>
      </c>
      <c r="DP92" s="58" t="s">
        <v>134</v>
      </c>
      <c r="DQ92" s="58" t="s">
        <v>134</v>
      </c>
      <c r="DR92" s="58">
        <v>0.0</v>
      </c>
      <c r="DS92" s="58" t="s">
        <v>134</v>
      </c>
      <c r="DT92" s="58" t="s">
        <v>134</v>
      </c>
      <c r="DU92" s="58" t="s">
        <v>134</v>
      </c>
      <c r="DV92" s="58" t="s">
        <v>134</v>
      </c>
      <c r="DW92" s="58" t="s">
        <v>134</v>
      </c>
      <c r="DX92" s="58" t="s">
        <v>134</v>
      </c>
      <c r="DY92" s="58" t="s">
        <v>134</v>
      </c>
      <c r="DZ92" s="58" t="s">
        <v>134</v>
      </c>
      <c r="EA92" s="58" t="s">
        <v>134</v>
      </c>
      <c r="EB92" s="58" t="s">
        <v>134</v>
      </c>
      <c r="EC92" s="58" t="s">
        <v>134</v>
      </c>
      <c r="ED92" s="58" t="s">
        <v>134</v>
      </c>
      <c r="EE92" s="58" t="s">
        <v>134</v>
      </c>
      <c r="EF92" s="58" t="s">
        <v>134</v>
      </c>
      <c r="EG92" s="58" t="s">
        <v>134</v>
      </c>
      <c r="EH92" s="58" t="s">
        <v>134</v>
      </c>
      <c r="EI92" s="58" t="s">
        <v>134</v>
      </c>
      <c r="EJ92" s="58" t="s">
        <v>134</v>
      </c>
      <c r="EK92" s="58" t="s">
        <v>134</v>
      </c>
      <c r="EL92" s="58" t="s">
        <v>134</v>
      </c>
      <c r="EM92" s="58" t="s">
        <v>134</v>
      </c>
      <c r="EN92" s="58" t="s">
        <v>134</v>
      </c>
      <c r="EO92" s="58">
        <v>0.0</v>
      </c>
      <c r="EP92" s="58">
        <v>0.0</v>
      </c>
      <c r="EQ92" s="58">
        <v>0.0</v>
      </c>
      <c r="ER92" s="58" t="s">
        <v>134</v>
      </c>
      <c r="ES92" s="58" t="s">
        <v>134</v>
      </c>
      <c r="ET92" s="58" t="s">
        <v>134</v>
      </c>
    </row>
    <row r="93">
      <c r="A93" s="58" t="s">
        <v>69</v>
      </c>
      <c r="B93" s="58" t="s">
        <v>134</v>
      </c>
      <c r="C93" s="58" t="s">
        <v>134</v>
      </c>
      <c r="D93" s="58" t="s">
        <v>134</v>
      </c>
      <c r="E93" s="58" t="s">
        <v>134</v>
      </c>
      <c r="F93" s="58" t="s">
        <v>134</v>
      </c>
      <c r="G93" s="58" t="s">
        <v>134</v>
      </c>
      <c r="H93" s="58" t="s">
        <v>134</v>
      </c>
      <c r="I93" s="58">
        <v>0.0707</v>
      </c>
      <c r="J93" s="58" t="s">
        <v>134</v>
      </c>
      <c r="K93" s="58">
        <v>4.0E-4</v>
      </c>
      <c r="L93" s="58">
        <v>0.0</v>
      </c>
      <c r="M93" s="58" t="s">
        <v>134</v>
      </c>
      <c r="N93" s="58" t="s">
        <v>134</v>
      </c>
      <c r="O93" s="58" t="s">
        <v>134</v>
      </c>
      <c r="P93" s="58" t="s">
        <v>134</v>
      </c>
      <c r="Q93" s="58" t="s">
        <v>134</v>
      </c>
      <c r="R93" s="58" t="s">
        <v>134</v>
      </c>
      <c r="S93" s="58" t="s">
        <v>134</v>
      </c>
      <c r="T93" s="58" t="s">
        <v>134</v>
      </c>
      <c r="U93" s="58" t="s">
        <v>134</v>
      </c>
      <c r="V93" s="58" t="s">
        <v>134</v>
      </c>
      <c r="W93" s="58" t="s">
        <v>134</v>
      </c>
      <c r="X93" s="58" t="s">
        <v>134</v>
      </c>
      <c r="Y93" s="58" t="s">
        <v>134</v>
      </c>
      <c r="Z93" s="58" t="s">
        <v>134</v>
      </c>
      <c r="AA93" s="58" t="s">
        <v>134</v>
      </c>
      <c r="AB93" s="58" t="s">
        <v>134</v>
      </c>
      <c r="AC93" s="58" t="s">
        <v>134</v>
      </c>
      <c r="AD93" s="58">
        <v>0.00876</v>
      </c>
      <c r="AE93" s="58" t="s">
        <v>134</v>
      </c>
      <c r="AF93" s="58" t="s">
        <v>134</v>
      </c>
      <c r="AG93" s="58" t="s">
        <v>134</v>
      </c>
      <c r="AH93" s="58" t="s">
        <v>134</v>
      </c>
      <c r="AI93" s="58" t="s">
        <v>134</v>
      </c>
      <c r="AJ93" s="58" t="s">
        <v>134</v>
      </c>
      <c r="AK93" s="58" t="s">
        <v>134</v>
      </c>
      <c r="AL93" s="58" t="s">
        <v>134</v>
      </c>
      <c r="AM93" s="58" t="s">
        <v>134</v>
      </c>
      <c r="AN93" s="58">
        <v>0.0535</v>
      </c>
      <c r="AO93" s="58" t="s">
        <v>134</v>
      </c>
      <c r="AP93" s="58" t="s">
        <v>134</v>
      </c>
      <c r="AQ93" s="58" t="s">
        <v>134</v>
      </c>
      <c r="AR93" s="58" t="s">
        <v>134</v>
      </c>
      <c r="AS93" s="58" t="s">
        <v>134</v>
      </c>
      <c r="AT93" s="58" t="s">
        <v>134</v>
      </c>
      <c r="AU93" s="58" t="s">
        <v>134</v>
      </c>
      <c r="AV93" s="58" t="s">
        <v>134</v>
      </c>
      <c r="AW93" s="58">
        <v>0.0066</v>
      </c>
      <c r="AX93" s="58" t="s">
        <v>134</v>
      </c>
      <c r="AY93" s="58" t="s">
        <v>134</v>
      </c>
      <c r="AZ93" s="58" t="s">
        <v>134</v>
      </c>
      <c r="BA93" s="58" t="s">
        <v>134</v>
      </c>
      <c r="BB93" s="58">
        <v>0.0066</v>
      </c>
      <c r="BC93" s="58" t="s">
        <v>134</v>
      </c>
      <c r="BD93" s="58" t="s">
        <v>134</v>
      </c>
      <c r="BE93" s="58" t="s">
        <v>134</v>
      </c>
      <c r="BF93" s="58" t="s">
        <v>134</v>
      </c>
      <c r="BG93" s="58" t="s">
        <v>134</v>
      </c>
      <c r="BH93" s="58" t="s">
        <v>134</v>
      </c>
      <c r="BI93" s="58" t="s">
        <v>134</v>
      </c>
      <c r="BJ93" s="58" t="s">
        <v>134</v>
      </c>
      <c r="BK93" s="58" t="s">
        <v>134</v>
      </c>
      <c r="BL93" s="58" t="s">
        <v>134</v>
      </c>
      <c r="BM93" s="58" t="s">
        <v>134</v>
      </c>
      <c r="BN93" s="58" t="s">
        <v>134</v>
      </c>
      <c r="BO93" s="58" t="s">
        <v>134</v>
      </c>
      <c r="BP93" s="58" t="s">
        <v>134</v>
      </c>
      <c r="BQ93" s="58" t="s">
        <v>134</v>
      </c>
      <c r="BR93" s="58" t="s">
        <v>134</v>
      </c>
      <c r="BS93" s="58" t="s">
        <v>134</v>
      </c>
      <c r="BT93" s="58" t="s">
        <v>134</v>
      </c>
      <c r="BU93" s="58" t="s">
        <v>134</v>
      </c>
      <c r="BV93" s="58" t="s">
        <v>134</v>
      </c>
      <c r="BW93" s="58" t="s">
        <v>134</v>
      </c>
      <c r="BX93" s="58" t="s">
        <v>134</v>
      </c>
      <c r="BY93" s="58" t="s">
        <v>134</v>
      </c>
      <c r="BZ93" s="58" t="s">
        <v>134</v>
      </c>
      <c r="CA93" s="58" t="s">
        <v>134</v>
      </c>
      <c r="CB93" s="58" t="s">
        <v>134</v>
      </c>
      <c r="CC93" s="58" t="s">
        <v>134</v>
      </c>
      <c r="CD93" s="58" t="s">
        <v>134</v>
      </c>
      <c r="CE93" s="58" t="s">
        <v>134</v>
      </c>
      <c r="CF93" s="58" t="s">
        <v>134</v>
      </c>
      <c r="CG93" s="58" t="s">
        <v>134</v>
      </c>
      <c r="CH93" s="58" t="s">
        <v>134</v>
      </c>
      <c r="CI93" s="58" t="s">
        <v>134</v>
      </c>
      <c r="CJ93" s="58">
        <v>0.0526</v>
      </c>
      <c r="CK93" s="58" t="s">
        <v>134</v>
      </c>
      <c r="CL93" s="58" t="s">
        <v>134</v>
      </c>
      <c r="CM93" s="58" t="s">
        <v>134</v>
      </c>
      <c r="CN93" s="58" t="s">
        <v>134</v>
      </c>
      <c r="CO93" s="58" t="s">
        <v>134</v>
      </c>
      <c r="CP93" s="58" t="s">
        <v>134</v>
      </c>
      <c r="CQ93" s="58" t="s">
        <v>134</v>
      </c>
      <c r="CR93" s="58" t="s">
        <v>134</v>
      </c>
      <c r="CS93" s="58" t="s">
        <v>134</v>
      </c>
      <c r="CT93" s="58" t="s">
        <v>134</v>
      </c>
      <c r="CU93" s="58" t="s">
        <v>134</v>
      </c>
      <c r="CV93" s="58" t="s">
        <v>134</v>
      </c>
      <c r="CW93" s="58" t="s">
        <v>134</v>
      </c>
      <c r="CX93" s="58" t="s">
        <v>134</v>
      </c>
      <c r="CY93" s="58" t="s">
        <v>134</v>
      </c>
      <c r="CZ93" s="58" t="s">
        <v>134</v>
      </c>
      <c r="DA93" s="58" t="s">
        <v>134</v>
      </c>
      <c r="DB93" s="58" t="s">
        <v>134</v>
      </c>
      <c r="DC93" s="58" t="s">
        <v>134</v>
      </c>
      <c r="DD93" s="58" t="s">
        <v>134</v>
      </c>
      <c r="DE93" s="58" t="s">
        <v>134</v>
      </c>
      <c r="DF93" s="58" t="s">
        <v>134</v>
      </c>
      <c r="DG93" s="58" t="s">
        <v>134</v>
      </c>
      <c r="DH93" s="58" t="s">
        <v>134</v>
      </c>
      <c r="DI93" s="58" t="s">
        <v>134</v>
      </c>
      <c r="DJ93" s="58" t="s">
        <v>134</v>
      </c>
      <c r="DK93" s="58" t="s">
        <v>134</v>
      </c>
      <c r="DL93" s="58" t="s">
        <v>134</v>
      </c>
      <c r="DM93" s="58" t="s">
        <v>134</v>
      </c>
      <c r="DN93" s="58" t="s">
        <v>134</v>
      </c>
      <c r="DO93" s="58" t="s">
        <v>134</v>
      </c>
      <c r="DP93" s="58" t="s">
        <v>134</v>
      </c>
      <c r="DQ93" s="58" t="s">
        <v>134</v>
      </c>
      <c r="DR93" s="58">
        <v>0.0</v>
      </c>
      <c r="DS93" s="58" t="s">
        <v>134</v>
      </c>
      <c r="DT93" s="58" t="s">
        <v>134</v>
      </c>
      <c r="DU93" s="58" t="s">
        <v>134</v>
      </c>
      <c r="DV93" s="58" t="s">
        <v>134</v>
      </c>
      <c r="DW93" s="58" t="s">
        <v>134</v>
      </c>
      <c r="DX93" s="58" t="s">
        <v>134</v>
      </c>
      <c r="DY93" s="58" t="s">
        <v>134</v>
      </c>
      <c r="DZ93" s="58" t="s">
        <v>134</v>
      </c>
      <c r="EA93" s="58" t="s">
        <v>134</v>
      </c>
      <c r="EB93" s="58" t="s">
        <v>134</v>
      </c>
      <c r="EC93" s="58" t="s">
        <v>134</v>
      </c>
      <c r="ED93" s="58" t="s">
        <v>134</v>
      </c>
      <c r="EE93" s="58" t="s">
        <v>134</v>
      </c>
      <c r="EF93" s="58" t="s">
        <v>134</v>
      </c>
      <c r="EG93" s="58" t="s">
        <v>134</v>
      </c>
      <c r="EH93" s="58" t="s">
        <v>134</v>
      </c>
      <c r="EI93" s="58" t="s">
        <v>134</v>
      </c>
      <c r="EJ93" s="58" t="s">
        <v>134</v>
      </c>
      <c r="EK93" s="58" t="s">
        <v>134</v>
      </c>
      <c r="EL93" s="58" t="s">
        <v>134</v>
      </c>
      <c r="EM93" s="58" t="s">
        <v>134</v>
      </c>
      <c r="EN93" s="58" t="s">
        <v>134</v>
      </c>
      <c r="EO93" s="58">
        <v>0.0</v>
      </c>
      <c r="EP93" s="58">
        <v>0.0</v>
      </c>
      <c r="EQ93" s="58">
        <v>0.0</v>
      </c>
      <c r="ER93" s="58" t="s">
        <v>134</v>
      </c>
      <c r="ES93" s="58" t="s">
        <v>134</v>
      </c>
      <c r="ET93" s="58" t="s">
        <v>134</v>
      </c>
    </row>
    <row r="94">
      <c r="A94" s="58" t="s">
        <v>323</v>
      </c>
      <c r="B94" s="58" t="s">
        <v>134</v>
      </c>
      <c r="C94" s="58" t="s">
        <v>134</v>
      </c>
      <c r="D94" s="58" t="s">
        <v>134</v>
      </c>
      <c r="E94" s="58" t="s">
        <v>134</v>
      </c>
      <c r="F94" s="58" t="s">
        <v>134</v>
      </c>
      <c r="G94" s="58" t="s">
        <v>134</v>
      </c>
      <c r="H94" s="58" t="s">
        <v>134</v>
      </c>
      <c r="I94" s="196">
        <v>0.085</v>
      </c>
      <c r="J94" s="58" t="s">
        <v>134</v>
      </c>
      <c r="K94" s="58">
        <v>0.0</v>
      </c>
      <c r="L94" s="58">
        <v>0.0</v>
      </c>
      <c r="M94" s="58" t="s">
        <v>134</v>
      </c>
      <c r="N94" s="58" t="s">
        <v>134</v>
      </c>
      <c r="O94" s="58" t="s">
        <v>134</v>
      </c>
      <c r="P94" s="58" t="s">
        <v>134</v>
      </c>
      <c r="Q94" s="58" t="s">
        <v>134</v>
      </c>
      <c r="R94" s="58" t="s">
        <v>134</v>
      </c>
      <c r="S94" s="58" t="s">
        <v>134</v>
      </c>
      <c r="T94" s="58" t="s">
        <v>134</v>
      </c>
      <c r="U94" s="58" t="s">
        <v>134</v>
      </c>
      <c r="V94" s="58" t="s">
        <v>134</v>
      </c>
      <c r="W94" s="58" t="s">
        <v>134</v>
      </c>
      <c r="X94" s="58" t="s">
        <v>134</v>
      </c>
      <c r="Y94" s="58" t="s">
        <v>134</v>
      </c>
      <c r="Z94" s="58" t="s">
        <v>134</v>
      </c>
      <c r="AA94" s="58" t="s">
        <v>134</v>
      </c>
      <c r="AB94" s="58" t="s">
        <v>134</v>
      </c>
      <c r="AC94" s="58" t="s">
        <v>134</v>
      </c>
      <c r="AD94" s="58" t="s">
        <v>134</v>
      </c>
      <c r="AE94" s="58" t="s">
        <v>134</v>
      </c>
      <c r="AF94" s="58" t="s">
        <v>134</v>
      </c>
      <c r="AG94" s="58" t="s">
        <v>134</v>
      </c>
      <c r="AH94" s="58" t="s">
        <v>134</v>
      </c>
      <c r="AI94" s="58" t="s">
        <v>134</v>
      </c>
      <c r="AJ94" s="58" t="s">
        <v>134</v>
      </c>
      <c r="AK94" s="58">
        <v>0.3</v>
      </c>
      <c r="AL94" s="58" t="s">
        <v>134</v>
      </c>
      <c r="AM94" s="58" t="s">
        <v>134</v>
      </c>
      <c r="AN94" s="58">
        <v>0.0659</v>
      </c>
      <c r="AO94" s="58" t="s">
        <v>134</v>
      </c>
      <c r="AP94" s="58" t="s">
        <v>134</v>
      </c>
      <c r="AQ94" s="58" t="s">
        <v>134</v>
      </c>
      <c r="AR94" s="58" t="s">
        <v>134</v>
      </c>
      <c r="AS94" s="58" t="s">
        <v>134</v>
      </c>
      <c r="AT94" s="58" t="s">
        <v>134</v>
      </c>
      <c r="AU94" s="58" t="s">
        <v>134</v>
      </c>
      <c r="AV94" s="58" t="s">
        <v>134</v>
      </c>
      <c r="AW94" s="58" t="s">
        <v>134</v>
      </c>
      <c r="AX94" s="58" t="s">
        <v>134</v>
      </c>
      <c r="AY94" s="58" t="s">
        <v>134</v>
      </c>
      <c r="AZ94" s="58" t="s">
        <v>134</v>
      </c>
      <c r="BA94" s="58" t="s">
        <v>134</v>
      </c>
      <c r="BB94" s="58" t="s">
        <v>134</v>
      </c>
      <c r="BC94" s="58" t="s">
        <v>134</v>
      </c>
      <c r="BD94" s="58" t="s">
        <v>134</v>
      </c>
      <c r="BE94" s="58" t="s">
        <v>134</v>
      </c>
      <c r="BF94" s="58" t="s">
        <v>134</v>
      </c>
      <c r="BG94" s="58" t="s">
        <v>134</v>
      </c>
      <c r="BH94" s="58" t="s">
        <v>134</v>
      </c>
      <c r="BI94" s="58" t="s">
        <v>134</v>
      </c>
      <c r="BJ94" s="58" t="s">
        <v>134</v>
      </c>
      <c r="BK94" s="58" t="s">
        <v>134</v>
      </c>
      <c r="BL94" s="58" t="s">
        <v>134</v>
      </c>
      <c r="BM94" s="58" t="s">
        <v>134</v>
      </c>
      <c r="BN94" s="58" t="s">
        <v>134</v>
      </c>
      <c r="BO94" s="58" t="s">
        <v>134</v>
      </c>
      <c r="BP94" s="58" t="s">
        <v>134</v>
      </c>
      <c r="BQ94" s="58" t="s">
        <v>134</v>
      </c>
      <c r="BR94" s="58" t="s">
        <v>134</v>
      </c>
      <c r="BS94" s="58" t="s">
        <v>134</v>
      </c>
      <c r="BT94" s="58" t="s">
        <v>134</v>
      </c>
      <c r="BU94" s="58" t="s">
        <v>134</v>
      </c>
      <c r="BV94" s="58" t="s">
        <v>134</v>
      </c>
      <c r="BW94" s="58" t="s">
        <v>134</v>
      </c>
      <c r="BX94" s="58" t="s">
        <v>134</v>
      </c>
      <c r="BY94" s="58" t="s">
        <v>134</v>
      </c>
      <c r="BZ94" s="58" t="s">
        <v>134</v>
      </c>
      <c r="CA94" s="58" t="s">
        <v>134</v>
      </c>
      <c r="CB94" s="58" t="s">
        <v>134</v>
      </c>
      <c r="CC94" s="58" t="s">
        <v>134</v>
      </c>
      <c r="CD94" s="58" t="s">
        <v>134</v>
      </c>
      <c r="CE94" s="58" t="s">
        <v>134</v>
      </c>
      <c r="CF94" s="58" t="s">
        <v>134</v>
      </c>
      <c r="CG94" s="58" t="s">
        <v>134</v>
      </c>
      <c r="CH94" s="58" t="s">
        <v>134</v>
      </c>
      <c r="CI94" s="58" t="s">
        <v>134</v>
      </c>
      <c r="CJ94" s="58" t="s">
        <v>134</v>
      </c>
      <c r="CK94" s="58" t="s">
        <v>134</v>
      </c>
      <c r="CL94" s="58" t="s">
        <v>134</v>
      </c>
      <c r="CM94" s="58" t="s">
        <v>134</v>
      </c>
      <c r="CN94" s="58" t="s">
        <v>134</v>
      </c>
      <c r="CO94" s="58" t="s">
        <v>134</v>
      </c>
      <c r="CP94" s="58" t="s">
        <v>134</v>
      </c>
      <c r="CQ94" s="58" t="s">
        <v>134</v>
      </c>
      <c r="CR94" s="58" t="s">
        <v>134</v>
      </c>
      <c r="CS94" s="58" t="s">
        <v>134</v>
      </c>
      <c r="CT94" s="58" t="s">
        <v>134</v>
      </c>
      <c r="CU94" s="58" t="s">
        <v>134</v>
      </c>
      <c r="CV94" s="58" t="s">
        <v>134</v>
      </c>
      <c r="CW94" s="58" t="s">
        <v>134</v>
      </c>
      <c r="CX94" s="58" t="s">
        <v>134</v>
      </c>
      <c r="CY94" s="58" t="s">
        <v>134</v>
      </c>
      <c r="CZ94" s="58" t="s">
        <v>134</v>
      </c>
      <c r="DA94" s="58" t="s">
        <v>134</v>
      </c>
      <c r="DB94" s="58" t="s">
        <v>134</v>
      </c>
      <c r="DC94" s="58" t="s">
        <v>134</v>
      </c>
      <c r="DD94" s="58" t="s">
        <v>134</v>
      </c>
      <c r="DE94" s="58" t="s">
        <v>134</v>
      </c>
      <c r="DF94" s="58" t="s">
        <v>134</v>
      </c>
      <c r="DG94" s="58" t="s">
        <v>134</v>
      </c>
      <c r="DH94" s="58" t="s">
        <v>134</v>
      </c>
      <c r="DI94" s="58" t="s">
        <v>134</v>
      </c>
      <c r="DJ94" s="58" t="s">
        <v>134</v>
      </c>
      <c r="DK94" s="58" t="s">
        <v>134</v>
      </c>
      <c r="DL94" s="58" t="s">
        <v>134</v>
      </c>
      <c r="DM94" s="58" t="s">
        <v>134</v>
      </c>
      <c r="DN94" s="58" t="s">
        <v>134</v>
      </c>
      <c r="DO94" s="58" t="s">
        <v>134</v>
      </c>
      <c r="DP94" s="58" t="s">
        <v>134</v>
      </c>
      <c r="DQ94" s="58" t="s">
        <v>134</v>
      </c>
      <c r="DR94" s="58">
        <v>0.0</v>
      </c>
      <c r="DS94" s="58" t="s">
        <v>134</v>
      </c>
      <c r="DT94" s="58" t="s">
        <v>134</v>
      </c>
      <c r="DU94" s="58" t="s">
        <v>134</v>
      </c>
      <c r="DV94" s="58" t="s">
        <v>134</v>
      </c>
      <c r="DW94" s="58" t="s">
        <v>134</v>
      </c>
      <c r="DX94" s="58" t="s">
        <v>134</v>
      </c>
      <c r="DY94" s="58" t="s">
        <v>134</v>
      </c>
      <c r="DZ94" s="58" t="s">
        <v>134</v>
      </c>
      <c r="EA94" s="58" t="s">
        <v>134</v>
      </c>
      <c r="EB94" s="58" t="s">
        <v>134</v>
      </c>
      <c r="EC94" s="58" t="s">
        <v>134</v>
      </c>
      <c r="ED94" s="58" t="s">
        <v>134</v>
      </c>
      <c r="EE94" s="58" t="s">
        <v>134</v>
      </c>
      <c r="EF94" s="58" t="s">
        <v>134</v>
      </c>
      <c r="EG94" s="58" t="s">
        <v>134</v>
      </c>
      <c r="EH94" s="58" t="s">
        <v>134</v>
      </c>
      <c r="EI94" s="58" t="s">
        <v>134</v>
      </c>
      <c r="EJ94" s="58" t="s">
        <v>134</v>
      </c>
      <c r="EK94" s="58" t="s">
        <v>134</v>
      </c>
      <c r="EL94" s="58" t="s">
        <v>134</v>
      </c>
      <c r="EM94" s="58" t="s">
        <v>134</v>
      </c>
      <c r="EN94" s="58" t="s">
        <v>134</v>
      </c>
      <c r="EO94" s="58">
        <v>0.0</v>
      </c>
      <c r="EP94" s="58">
        <v>0.0</v>
      </c>
      <c r="EQ94" s="58">
        <v>0.0</v>
      </c>
      <c r="ER94" s="58" t="s">
        <v>134</v>
      </c>
      <c r="ES94" s="58" t="s">
        <v>134</v>
      </c>
      <c r="ET94" s="58" t="s">
        <v>134</v>
      </c>
    </row>
    <row r="95">
      <c r="A95" s="58" t="s">
        <v>478</v>
      </c>
      <c r="B95" s="58" t="s">
        <v>134</v>
      </c>
      <c r="C95" s="58" t="s">
        <v>134</v>
      </c>
      <c r="D95" s="58" t="s">
        <v>134</v>
      </c>
      <c r="E95" s="58" t="s">
        <v>134</v>
      </c>
      <c r="F95" s="58" t="s">
        <v>134</v>
      </c>
      <c r="G95" s="58" t="s">
        <v>134</v>
      </c>
      <c r="H95" s="58" t="s">
        <v>134</v>
      </c>
      <c r="I95" s="58">
        <v>0.0885</v>
      </c>
      <c r="J95" s="58" t="s">
        <v>134</v>
      </c>
      <c r="K95" s="58">
        <v>0.0</v>
      </c>
      <c r="L95" s="58">
        <v>0.0</v>
      </c>
      <c r="M95" s="58" t="s">
        <v>134</v>
      </c>
      <c r="N95" s="58" t="s">
        <v>134</v>
      </c>
      <c r="O95" s="58" t="s">
        <v>134</v>
      </c>
      <c r="P95" s="58" t="s">
        <v>134</v>
      </c>
      <c r="Q95" s="58" t="s">
        <v>134</v>
      </c>
      <c r="R95" s="58" t="s">
        <v>134</v>
      </c>
      <c r="S95" s="58" t="s">
        <v>134</v>
      </c>
      <c r="T95" s="58" t="s">
        <v>134</v>
      </c>
      <c r="U95" s="58" t="s">
        <v>134</v>
      </c>
      <c r="V95" s="58" t="s">
        <v>134</v>
      </c>
      <c r="W95" s="58" t="s">
        <v>134</v>
      </c>
      <c r="X95" s="58" t="s">
        <v>134</v>
      </c>
      <c r="Y95" s="58" t="s">
        <v>134</v>
      </c>
      <c r="Z95" s="58" t="s">
        <v>134</v>
      </c>
      <c r="AA95" s="58" t="s">
        <v>134</v>
      </c>
      <c r="AB95" s="58" t="s">
        <v>134</v>
      </c>
      <c r="AC95" s="58" t="s">
        <v>134</v>
      </c>
      <c r="AD95" s="58" t="s">
        <v>134</v>
      </c>
      <c r="AE95" s="58" t="s">
        <v>134</v>
      </c>
      <c r="AF95" s="58" t="s">
        <v>134</v>
      </c>
      <c r="AG95" s="58" t="s">
        <v>134</v>
      </c>
      <c r="AH95" s="58" t="s">
        <v>134</v>
      </c>
      <c r="AI95" s="58" t="s">
        <v>134</v>
      </c>
      <c r="AJ95" s="58" t="s">
        <v>134</v>
      </c>
      <c r="AK95" s="58" t="s">
        <v>134</v>
      </c>
      <c r="AL95" s="58">
        <v>0.1238191992</v>
      </c>
      <c r="AM95" s="58" t="s">
        <v>134</v>
      </c>
      <c r="AN95" s="58">
        <v>0.0</v>
      </c>
      <c r="AO95" s="58" t="s">
        <v>134</v>
      </c>
      <c r="AP95" s="58" t="s">
        <v>134</v>
      </c>
      <c r="AQ95" s="58" t="s">
        <v>134</v>
      </c>
      <c r="AR95" s="58" t="s">
        <v>134</v>
      </c>
      <c r="AS95" s="58" t="s">
        <v>134</v>
      </c>
      <c r="AT95" s="58" t="s">
        <v>134</v>
      </c>
      <c r="AU95" s="58" t="s">
        <v>134</v>
      </c>
      <c r="AV95" s="58" t="s">
        <v>134</v>
      </c>
      <c r="AW95" s="58" t="s">
        <v>134</v>
      </c>
      <c r="AX95" s="58" t="s">
        <v>134</v>
      </c>
      <c r="AY95" s="58" t="s">
        <v>134</v>
      </c>
      <c r="AZ95" s="58" t="s">
        <v>134</v>
      </c>
      <c r="BA95" s="58" t="s">
        <v>134</v>
      </c>
      <c r="BB95" s="58" t="s">
        <v>134</v>
      </c>
      <c r="BC95" s="58" t="s">
        <v>134</v>
      </c>
      <c r="BD95" s="58" t="s">
        <v>134</v>
      </c>
      <c r="BE95" s="58" t="s">
        <v>134</v>
      </c>
      <c r="BF95" s="58" t="s">
        <v>134</v>
      </c>
      <c r="BG95" s="58" t="s">
        <v>134</v>
      </c>
      <c r="BH95" s="58" t="s">
        <v>134</v>
      </c>
      <c r="BI95" s="58" t="s">
        <v>134</v>
      </c>
      <c r="BJ95" s="58" t="s">
        <v>134</v>
      </c>
      <c r="BK95" s="58" t="s">
        <v>134</v>
      </c>
      <c r="BL95" s="58" t="s">
        <v>134</v>
      </c>
      <c r="BM95" s="58" t="s">
        <v>134</v>
      </c>
      <c r="BN95" s="58" t="s">
        <v>134</v>
      </c>
      <c r="BO95" s="58" t="s">
        <v>134</v>
      </c>
      <c r="BP95" s="58" t="s">
        <v>134</v>
      </c>
      <c r="BQ95" s="58">
        <v>0.0945</v>
      </c>
      <c r="BR95" s="58">
        <v>0.0905</v>
      </c>
      <c r="BS95" s="58" t="s">
        <v>134</v>
      </c>
      <c r="BT95" s="58" t="s">
        <v>134</v>
      </c>
      <c r="BU95" s="58" t="s">
        <v>134</v>
      </c>
      <c r="BV95" s="58" t="s">
        <v>134</v>
      </c>
      <c r="BW95" s="58" t="s">
        <v>134</v>
      </c>
      <c r="BX95" s="58" t="s">
        <v>134</v>
      </c>
      <c r="BY95" s="58" t="s">
        <v>134</v>
      </c>
      <c r="BZ95" s="58" t="s">
        <v>134</v>
      </c>
      <c r="CA95" s="58" t="s">
        <v>134</v>
      </c>
      <c r="CB95" s="58" t="s">
        <v>134</v>
      </c>
      <c r="CC95" s="58" t="s">
        <v>134</v>
      </c>
      <c r="CD95" s="58" t="s">
        <v>134</v>
      </c>
      <c r="CE95" s="58" t="s">
        <v>134</v>
      </c>
      <c r="CF95" s="58" t="s">
        <v>134</v>
      </c>
      <c r="CG95" s="58" t="s">
        <v>134</v>
      </c>
      <c r="CH95" s="58" t="s">
        <v>134</v>
      </c>
      <c r="CI95" s="58" t="s">
        <v>134</v>
      </c>
      <c r="CJ95" s="58" t="s">
        <v>134</v>
      </c>
      <c r="CK95" s="58" t="s">
        <v>134</v>
      </c>
      <c r="CL95" s="58" t="s">
        <v>134</v>
      </c>
      <c r="CM95" s="58" t="s">
        <v>134</v>
      </c>
      <c r="CN95" s="58" t="s">
        <v>134</v>
      </c>
      <c r="CO95" s="58" t="s">
        <v>134</v>
      </c>
      <c r="CP95" s="58" t="s">
        <v>134</v>
      </c>
      <c r="CQ95" s="58" t="s">
        <v>134</v>
      </c>
      <c r="CR95" s="58" t="s">
        <v>134</v>
      </c>
      <c r="CS95" s="58" t="s">
        <v>134</v>
      </c>
      <c r="CT95" s="58" t="s">
        <v>134</v>
      </c>
      <c r="CU95" s="58" t="s">
        <v>134</v>
      </c>
      <c r="CV95" s="58">
        <v>0.2773</v>
      </c>
      <c r="CW95" s="58" t="s">
        <v>134</v>
      </c>
      <c r="CX95" s="58" t="s">
        <v>134</v>
      </c>
      <c r="CY95" s="58" t="s">
        <v>134</v>
      </c>
      <c r="CZ95" s="58" t="s">
        <v>134</v>
      </c>
      <c r="DA95" s="58" t="s">
        <v>134</v>
      </c>
      <c r="DB95" s="58" t="s">
        <v>134</v>
      </c>
      <c r="DC95" s="58" t="s">
        <v>134</v>
      </c>
      <c r="DD95" s="58" t="s">
        <v>134</v>
      </c>
      <c r="DE95" s="58" t="s">
        <v>134</v>
      </c>
      <c r="DF95" s="58" t="s">
        <v>134</v>
      </c>
      <c r="DG95" s="58" t="s">
        <v>134</v>
      </c>
      <c r="DH95" s="58" t="s">
        <v>134</v>
      </c>
      <c r="DI95" s="58" t="s">
        <v>134</v>
      </c>
      <c r="DJ95" s="58" t="s">
        <v>134</v>
      </c>
      <c r="DK95" s="58" t="s">
        <v>134</v>
      </c>
      <c r="DL95" s="58" t="s">
        <v>134</v>
      </c>
      <c r="DM95" s="58" t="s">
        <v>134</v>
      </c>
      <c r="DN95" s="58" t="s">
        <v>134</v>
      </c>
      <c r="DO95" s="58" t="s">
        <v>134</v>
      </c>
      <c r="DP95" s="58" t="s">
        <v>134</v>
      </c>
      <c r="DQ95" s="58" t="s">
        <v>134</v>
      </c>
      <c r="DR95" s="58">
        <v>0.0</v>
      </c>
      <c r="DS95" s="58" t="s">
        <v>134</v>
      </c>
      <c r="DT95" s="58" t="s">
        <v>134</v>
      </c>
      <c r="DU95" s="58" t="s">
        <v>134</v>
      </c>
      <c r="DV95" s="58" t="s">
        <v>134</v>
      </c>
      <c r="DW95" s="58" t="s">
        <v>134</v>
      </c>
      <c r="DX95" s="58" t="s">
        <v>134</v>
      </c>
      <c r="DY95" s="58" t="s">
        <v>134</v>
      </c>
      <c r="DZ95" s="58" t="s">
        <v>134</v>
      </c>
      <c r="EA95" s="58" t="s">
        <v>134</v>
      </c>
      <c r="EB95" s="58">
        <v>0.12</v>
      </c>
      <c r="EC95" s="58">
        <v>0.45</v>
      </c>
      <c r="ED95" s="58" t="s">
        <v>134</v>
      </c>
      <c r="EE95" s="58" t="s">
        <v>134</v>
      </c>
      <c r="EF95" s="58" t="s">
        <v>134</v>
      </c>
      <c r="EG95" s="58" t="s">
        <v>134</v>
      </c>
      <c r="EH95" s="58" t="s">
        <v>134</v>
      </c>
      <c r="EI95" s="58" t="s">
        <v>134</v>
      </c>
      <c r="EJ95" s="58" t="s">
        <v>134</v>
      </c>
      <c r="EK95" s="58" t="s">
        <v>134</v>
      </c>
      <c r="EL95" s="58" t="s">
        <v>134</v>
      </c>
      <c r="EM95" s="58" t="s">
        <v>134</v>
      </c>
      <c r="EN95" s="58" t="s">
        <v>134</v>
      </c>
      <c r="EO95" s="58">
        <v>0.0</v>
      </c>
      <c r="EP95" s="58">
        <v>0.12</v>
      </c>
      <c r="EQ95" s="58">
        <v>0.45</v>
      </c>
      <c r="ER95" s="58" t="s">
        <v>134</v>
      </c>
      <c r="ES95" s="58" t="s">
        <v>134</v>
      </c>
      <c r="ET95" s="58" t="s">
        <v>134</v>
      </c>
    </row>
    <row r="96">
      <c r="A96" s="58" t="s">
        <v>479</v>
      </c>
      <c r="B96" s="58" t="s">
        <v>134</v>
      </c>
      <c r="C96" s="58" t="s">
        <v>134</v>
      </c>
      <c r="D96" s="58" t="s">
        <v>134</v>
      </c>
      <c r="E96" s="58" t="s">
        <v>134</v>
      </c>
      <c r="F96" s="58" t="s">
        <v>134</v>
      </c>
      <c r="G96" s="58" t="s">
        <v>134</v>
      </c>
      <c r="H96" s="58" t="s">
        <v>134</v>
      </c>
      <c r="I96" s="58">
        <v>0.0857</v>
      </c>
      <c r="J96" s="58" t="s">
        <v>134</v>
      </c>
      <c r="K96" s="58">
        <v>0.0</v>
      </c>
      <c r="L96" s="58">
        <v>0.0</v>
      </c>
      <c r="M96" s="58" t="s">
        <v>134</v>
      </c>
      <c r="N96" s="58" t="s">
        <v>134</v>
      </c>
      <c r="O96" s="58" t="s">
        <v>134</v>
      </c>
      <c r="P96" s="58" t="s">
        <v>134</v>
      </c>
      <c r="Q96" s="58" t="s">
        <v>134</v>
      </c>
      <c r="R96" s="58" t="s">
        <v>134</v>
      </c>
      <c r="S96" s="58" t="s">
        <v>134</v>
      </c>
      <c r="T96" s="58" t="s">
        <v>134</v>
      </c>
      <c r="U96" s="58" t="s">
        <v>134</v>
      </c>
      <c r="V96" s="58" t="s">
        <v>134</v>
      </c>
      <c r="W96" s="58" t="s">
        <v>134</v>
      </c>
      <c r="X96" s="58" t="s">
        <v>134</v>
      </c>
      <c r="Y96" s="58" t="s">
        <v>134</v>
      </c>
      <c r="Z96" s="58" t="s">
        <v>134</v>
      </c>
      <c r="AA96" s="58" t="s">
        <v>134</v>
      </c>
      <c r="AB96" s="58" t="s">
        <v>134</v>
      </c>
      <c r="AC96" s="58" t="s">
        <v>134</v>
      </c>
      <c r="AD96" s="58" t="s">
        <v>134</v>
      </c>
      <c r="AE96" s="58" t="s">
        <v>134</v>
      </c>
      <c r="AF96" s="58" t="s">
        <v>134</v>
      </c>
      <c r="AG96" s="58" t="s">
        <v>134</v>
      </c>
      <c r="AH96" s="58" t="s">
        <v>134</v>
      </c>
      <c r="AI96" s="58" t="s">
        <v>134</v>
      </c>
      <c r="AJ96" s="58" t="s">
        <v>134</v>
      </c>
      <c r="AK96" s="58" t="s">
        <v>134</v>
      </c>
      <c r="AL96" s="58" t="s">
        <v>134</v>
      </c>
      <c r="AM96" s="58" t="s">
        <v>134</v>
      </c>
      <c r="AN96" s="58">
        <v>0.2313</v>
      </c>
      <c r="AO96" s="58" t="s">
        <v>134</v>
      </c>
      <c r="AP96" s="58" t="s">
        <v>134</v>
      </c>
      <c r="AQ96" s="58" t="s">
        <v>134</v>
      </c>
      <c r="AR96" s="58" t="s">
        <v>134</v>
      </c>
      <c r="AS96" s="58" t="s">
        <v>134</v>
      </c>
      <c r="AT96" s="58" t="s">
        <v>134</v>
      </c>
      <c r="AU96" s="58" t="s">
        <v>134</v>
      </c>
      <c r="AV96" s="58" t="s">
        <v>134</v>
      </c>
      <c r="AW96" s="58" t="s">
        <v>134</v>
      </c>
      <c r="AX96" s="58" t="s">
        <v>134</v>
      </c>
      <c r="AY96" s="58" t="s">
        <v>134</v>
      </c>
      <c r="AZ96" s="58" t="s">
        <v>134</v>
      </c>
      <c r="BA96" s="58" t="s">
        <v>134</v>
      </c>
      <c r="BB96" s="58" t="s">
        <v>134</v>
      </c>
      <c r="BC96" s="58" t="s">
        <v>134</v>
      </c>
      <c r="BD96" s="58" t="s">
        <v>134</v>
      </c>
      <c r="BE96" s="58" t="s">
        <v>134</v>
      </c>
      <c r="BF96" s="58" t="s">
        <v>134</v>
      </c>
      <c r="BG96" s="58" t="s">
        <v>134</v>
      </c>
      <c r="BH96" s="58" t="s">
        <v>134</v>
      </c>
      <c r="BI96" s="58" t="s">
        <v>134</v>
      </c>
      <c r="BJ96" s="58" t="s">
        <v>134</v>
      </c>
      <c r="BK96" s="58" t="s">
        <v>134</v>
      </c>
      <c r="BL96" s="58" t="s">
        <v>134</v>
      </c>
      <c r="BM96" s="58">
        <v>0.0805</v>
      </c>
      <c r="BN96" s="58" t="s">
        <v>134</v>
      </c>
      <c r="BO96" s="58" t="s">
        <v>134</v>
      </c>
      <c r="BP96" s="58" t="s">
        <v>134</v>
      </c>
      <c r="BQ96" s="58">
        <v>0.0945</v>
      </c>
      <c r="BR96" s="58" t="s">
        <v>134</v>
      </c>
      <c r="BS96" s="58" t="s">
        <v>134</v>
      </c>
      <c r="BT96" s="58" t="s">
        <v>134</v>
      </c>
      <c r="BU96" s="58" t="s">
        <v>134</v>
      </c>
      <c r="BV96" s="58" t="s">
        <v>134</v>
      </c>
      <c r="BW96" s="58" t="s">
        <v>134</v>
      </c>
      <c r="BX96" s="58" t="s">
        <v>134</v>
      </c>
      <c r="BY96" s="58" t="s">
        <v>134</v>
      </c>
      <c r="BZ96" s="58" t="s">
        <v>134</v>
      </c>
      <c r="CA96" s="58" t="s">
        <v>134</v>
      </c>
      <c r="CB96" s="58" t="s">
        <v>134</v>
      </c>
      <c r="CC96" s="58" t="s">
        <v>134</v>
      </c>
      <c r="CD96" s="58" t="s">
        <v>134</v>
      </c>
      <c r="CE96" s="58" t="s">
        <v>134</v>
      </c>
      <c r="CF96" s="58" t="s">
        <v>134</v>
      </c>
      <c r="CG96" s="58" t="s">
        <v>134</v>
      </c>
      <c r="CH96" s="58" t="s">
        <v>134</v>
      </c>
      <c r="CI96" s="58" t="s">
        <v>134</v>
      </c>
      <c r="CJ96" s="58" t="s">
        <v>134</v>
      </c>
      <c r="CK96" s="58" t="s">
        <v>134</v>
      </c>
      <c r="CL96" s="58" t="s">
        <v>134</v>
      </c>
      <c r="CM96" s="58" t="s">
        <v>134</v>
      </c>
      <c r="CN96" s="58" t="s">
        <v>134</v>
      </c>
      <c r="CO96" s="58" t="s">
        <v>134</v>
      </c>
      <c r="CP96" s="58" t="s">
        <v>134</v>
      </c>
      <c r="CQ96" s="58" t="s">
        <v>134</v>
      </c>
      <c r="CR96" s="58" t="s">
        <v>134</v>
      </c>
      <c r="CS96" s="58" t="s">
        <v>134</v>
      </c>
      <c r="CT96" s="58" t="s">
        <v>134</v>
      </c>
      <c r="CU96" s="58" t="s">
        <v>134</v>
      </c>
      <c r="CV96" s="58" t="s">
        <v>134</v>
      </c>
      <c r="CW96" s="58" t="s">
        <v>134</v>
      </c>
      <c r="CX96" s="58" t="s">
        <v>134</v>
      </c>
      <c r="CY96" s="58">
        <v>0.1682</v>
      </c>
      <c r="CZ96" s="58" t="s">
        <v>134</v>
      </c>
      <c r="DA96" s="58" t="s">
        <v>134</v>
      </c>
      <c r="DB96" s="58" t="s">
        <v>134</v>
      </c>
      <c r="DC96" s="58" t="s">
        <v>134</v>
      </c>
      <c r="DD96" s="58" t="s">
        <v>134</v>
      </c>
      <c r="DE96" s="58" t="s">
        <v>134</v>
      </c>
      <c r="DF96" s="58" t="s">
        <v>134</v>
      </c>
      <c r="DG96" s="58" t="s">
        <v>134</v>
      </c>
      <c r="DH96" s="58" t="s">
        <v>134</v>
      </c>
      <c r="DI96" s="58" t="s">
        <v>134</v>
      </c>
      <c r="DJ96" s="58" t="s">
        <v>134</v>
      </c>
      <c r="DK96" s="58" t="s">
        <v>134</v>
      </c>
      <c r="DL96" s="58" t="s">
        <v>134</v>
      </c>
      <c r="DM96" s="58" t="s">
        <v>134</v>
      </c>
      <c r="DN96" s="58" t="s">
        <v>134</v>
      </c>
      <c r="DO96" s="58" t="s">
        <v>134</v>
      </c>
      <c r="DP96" s="58" t="s">
        <v>134</v>
      </c>
      <c r="DQ96" s="58" t="s">
        <v>134</v>
      </c>
      <c r="DR96" s="58">
        <v>0.0</v>
      </c>
      <c r="DS96" s="58" t="s">
        <v>134</v>
      </c>
      <c r="DT96" s="58" t="s">
        <v>134</v>
      </c>
      <c r="DU96" s="58">
        <v>0.1682</v>
      </c>
      <c r="DV96" s="58" t="s">
        <v>134</v>
      </c>
      <c r="DW96" s="58" t="s">
        <v>134</v>
      </c>
      <c r="DX96" s="58" t="s">
        <v>134</v>
      </c>
      <c r="DY96" s="58" t="s">
        <v>134</v>
      </c>
      <c r="DZ96" s="58" t="s">
        <v>134</v>
      </c>
      <c r="EA96" s="58" t="s">
        <v>134</v>
      </c>
      <c r="EB96" s="58" t="s">
        <v>134</v>
      </c>
      <c r="EC96" s="58" t="s">
        <v>134</v>
      </c>
      <c r="ED96" s="58" t="s">
        <v>134</v>
      </c>
      <c r="EE96" s="58" t="s">
        <v>134</v>
      </c>
      <c r="EF96" s="58" t="s">
        <v>134</v>
      </c>
      <c r="EG96" s="58" t="s">
        <v>134</v>
      </c>
      <c r="EH96" s="58" t="s">
        <v>134</v>
      </c>
      <c r="EI96" s="58" t="s">
        <v>134</v>
      </c>
      <c r="EJ96" s="58" t="s">
        <v>134</v>
      </c>
      <c r="EK96" s="58" t="s">
        <v>134</v>
      </c>
      <c r="EL96" s="58" t="s">
        <v>134</v>
      </c>
      <c r="EM96" s="58" t="s">
        <v>134</v>
      </c>
      <c r="EN96" s="58" t="s">
        <v>134</v>
      </c>
      <c r="EO96" s="58">
        <v>0.0</v>
      </c>
      <c r="EP96" s="58">
        <v>0.0</v>
      </c>
      <c r="EQ96" s="58">
        <v>0.0</v>
      </c>
      <c r="ER96" s="58" t="s">
        <v>134</v>
      </c>
      <c r="ES96" s="58" t="s">
        <v>134</v>
      </c>
      <c r="ET96" s="58" t="s">
        <v>134</v>
      </c>
    </row>
    <row r="97">
      <c r="A97" s="58" t="s">
        <v>105</v>
      </c>
      <c r="B97" s="58" t="s">
        <v>134</v>
      </c>
      <c r="C97" s="58" t="s">
        <v>134</v>
      </c>
      <c r="D97" s="58" t="s">
        <v>134</v>
      </c>
      <c r="E97" s="58" t="s">
        <v>134</v>
      </c>
      <c r="F97" s="58" t="s">
        <v>134</v>
      </c>
      <c r="G97" s="58" t="s">
        <v>134</v>
      </c>
      <c r="H97" s="58" t="s">
        <v>134</v>
      </c>
      <c r="I97" s="58" t="s">
        <v>134</v>
      </c>
      <c r="J97" s="58" t="s">
        <v>134</v>
      </c>
      <c r="K97" s="58">
        <v>0.0</v>
      </c>
      <c r="L97" s="58">
        <v>0.0</v>
      </c>
      <c r="M97" s="58" t="s">
        <v>134</v>
      </c>
      <c r="N97" s="58" t="s">
        <v>134</v>
      </c>
      <c r="O97" s="58" t="s">
        <v>134</v>
      </c>
      <c r="P97" s="58" t="s">
        <v>134</v>
      </c>
      <c r="Q97" s="58" t="s">
        <v>134</v>
      </c>
      <c r="R97" s="58" t="s">
        <v>134</v>
      </c>
      <c r="S97" s="58" t="s">
        <v>134</v>
      </c>
      <c r="T97" s="58" t="s">
        <v>134</v>
      </c>
      <c r="U97" s="58" t="s">
        <v>134</v>
      </c>
      <c r="V97" s="58" t="s">
        <v>134</v>
      </c>
      <c r="W97" s="58" t="s">
        <v>134</v>
      </c>
      <c r="X97" s="58" t="s">
        <v>134</v>
      </c>
      <c r="Y97" s="58" t="s">
        <v>134</v>
      </c>
      <c r="Z97" s="58" t="s">
        <v>134</v>
      </c>
      <c r="AA97" s="58" t="s">
        <v>134</v>
      </c>
      <c r="AB97" s="58" t="s">
        <v>134</v>
      </c>
      <c r="AC97" s="58" t="s">
        <v>134</v>
      </c>
      <c r="AD97" s="58" t="s">
        <v>134</v>
      </c>
      <c r="AE97" s="58" t="s">
        <v>134</v>
      </c>
      <c r="AF97" s="58" t="s">
        <v>134</v>
      </c>
      <c r="AG97" s="58" t="s">
        <v>134</v>
      </c>
      <c r="AH97" s="58" t="s">
        <v>134</v>
      </c>
      <c r="AI97" s="58" t="s">
        <v>134</v>
      </c>
      <c r="AJ97" s="58" t="s">
        <v>134</v>
      </c>
      <c r="AK97" s="58" t="s">
        <v>134</v>
      </c>
      <c r="AL97" s="58" t="s">
        <v>134</v>
      </c>
      <c r="AM97" s="58" t="s">
        <v>134</v>
      </c>
      <c r="AN97" s="58">
        <v>0.0</v>
      </c>
      <c r="AO97" s="58" t="s">
        <v>134</v>
      </c>
      <c r="AP97" s="58" t="s">
        <v>134</v>
      </c>
      <c r="AQ97" s="58" t="s">
        <v>134</v>
      </c>
      <c r="AR97" s="58" t="s">
        <v>134</v>
      </c>
      <c r="AS97" s="58" t="s">
        <v>134</v>
      </c>
      <c r="AT97" s="58" t="s">
        <v>134</v>
      </c>
      <c r="AU97" s="58" t="s">
        <v>134</v>
      </c>
      <c r="AV97" s="58" t="s">
        <v>134</v>
      </c>
      <c r="AW97" s="58" t="s">
        <v>134</v>
      </c>
      <c r="AX97" s="58" t="s">
        <v>134</v>
      </c>
      <c r="AY97" s="58" t="s">
        <v>134</v>
      </c>
      <c r="AZ97" s="58" t="s">
        <v>134</v>
      </c>
      <c r="BA97" s="58" t="s">
        <v>134</v>
      </c>
      <c r="BB97" s="58" t="s">
        <v>134</v>
      </c>
      <c r="BC97" s="58" t="s">
        <v>134</v>
      </c>
      <c r="BD97" s="58" t="s">
        <v>134</v>
      </c>
      <c r="BE97" s="58" t="s">
        <v>134</v>
      </c>
      <c r="BF97" s="58" t="s">
        <v>134</v>
      </c>
      <c r="BG97" s="58" t="s">
        <v>134</v>
      </c>
      <c r="BH97" s="58" t="s">
        <v>134</v>
      </c>
      <c r="BI97" s="58" t="s">
        <v>134</v>
      </c>
      <c r="BJ97" s="58" t="s">
        <v>134</v>
      </c>
      <c r="BK97" s="58" t="s">
        <v>134</v>
      </c>
      <c r="BL97" s="58" t="s">
        <v>134</v>
      </c>
      <c r="BM97" s="58" t="s">
        <v>134</v>
      </c>
      <c r="BN97" s="58" t="s">
        <v>134</v>
      </c>
      <c r="BO97" s="58" t="s">
        <v>134</v>
      </c>
      <c r="BP97" s="58" t="s">
        <v>134</v>
      </c>
      <c r="BQ97" s="58" t="s">
        <v>134</v>
      </c>
      <c r="BR97" s="58" t="s">
        <v>134</v>
      </c>
      <c r="BS97" s="58" t="s">
        <v>134</v>
      </c>
      <c r="BT97" s="58" t="s">
        <v>134</v>
      </c>
      <c r="BU97" s="58" t="s">
        <v>134</v>
      </c>
      <c r="BV97" s="58" t="s">
        <v>134</v>
      </c>
      <c r="BW97" s="58" t="s">
        <v>134</v>
      </c>
      <c r="BX97" s="58" t="s">
        <v>134</v>
      </c>
      <c r="BY97" s="58" t="s">
        <v>134</v>
      </c>
      <c r="BZ97" s="58" t="s">
        <v>134</v>
      </c>
      <c r="CA97" s="58" t="s">
        <v>134</v>
      </c>
      <c r="CB97" s="58" t="s">
        <v>134</v>
      </c>
      <c r="CC97" s="58" t="s">
        <v>134</v>
      </c>
      <c r="CD97" s="58" t="s">
        <v>134</v>
      </c>
      <c r="CE97" s="58" t="s">
        <v>134</v>
      </c>
      <c r="CF97" s="58" t="s">
        <v>134</v>
      </c>
      <c r="CG97" s="58" t="s">
        <v>134</v>
      </c>
      <c r="CH97" s="58" t="s">
        <v>134</v>
      </c>
      <c r="CI97" s="58" t="s">
        <v>134</v>
      </c>
      <c r="CJ97" s="58" t="s">
        <v>134</v>
      </c>
      <c r="CK97" s="58" t="s">
        <v>134</v>
      </c>
      <c r="CL97" s="58" t="s">
        <v>134</v>
      </c>
      <c r="CM97" s="58" t="s">
        <v>134</v>
      </c>
      <c r="CN97" s="58" t="s">
        <v>134</v>
      </c>
      <c r="CO97" s="58" t="s">
        <v>134</v>
      </c>
      <c r="CP97" s="58" t="s">
        <v>134</v>
      </c>
      <c r="CQ97" s="58" t="s">
        <v>134</v>
      </c>
      <c r="CR97" s="58" t="s">
        <v>134</v>
      </c>
      <c r="CS97" s="58" t="s">
        <v>134</v>
      </c>
      <c r="CT97" s="58" t="s">
        <v>134</v>
      </c>
      <c r="CU97" s="58" t="s">
        <v>134</v>
      </c>
      <c r="CV97" s="58" t="s">
        <v>134</v>
      </c>
      <c r="CW97" s="58" t="s">
        <v>134</v>
      </c>
      <c r="CX97" s="58" t="s">
        <v>134</v>
      </c>
      <c r="CY97" s="58" t="s">
        <v>134</v>
      </c>
      <c r="CZ97" s="58" t="s">
        <v>134</v>
      </c>
      <c r="DA97" s="58" t="s">
        <v>134</v>
      </c>
      <c r="DB97" s="58" t="s">
        <v>134</v>
      </c>
      <c r="DC97" s="58" t="s">
        <v>134</v>
      </c>
      <c r="DD97" s="58" t="s">
        <v>134</v>
      </c>
      <c r="DE97" s="58" t="s">
        <v>134</v>
      </c>
      <c r="DF97" s="58" t="s">
        <v>134</v>
      </c>
      <c r="DG97" s="58" t="s">
        <v>134</v>
      </c>
      <c r="DH97" s="58" t="s">
        <v>134</v>
      </c>
      <c r="DI97" s="58" t="s">
        <v>134</v>
      </c>
      <c r="DJ97" s="58" t="s">
        <v>134</v>
      </c>
      <c r="DK97" s="58" t="s">
        <v>134</v>
      </c>
      <c r="DL97" s="58" t="s">
        <v>134</v>
      </c>
      <c r="DM97" s="58" t="s">
        <v>134</v>
      </c>
      <c r="DN97" s="58" t="s">
        <v>134</v>
      </c>
      <c r="DO97" s="58" t="s">
        <v>134</v>
      </c>
      <c r="DP97" s="58" t="s">
        <v>134</v>
      </c>
      <c r="DQ97" s="58" t="s">
        <v>134</v>
      </c>
      <c r="DR97" s="58">
        <v>0.0</v>
      </c>
      <c r="DS97" s="58" t="s">
        <v>134</v>
      </c>
      <c r="DT97" s="58" t="s">
        <v>134</v>
      </c>
      <c r="DU97" s="58" t="s">
        <v>134</v>
      </c>
      <c r="DV97" s="58" t="s">
        <v>134</v>
      </c>
      <c r="DW97" s="58" t="s">
        <v>134</v>
      </c>
      <c r="DX97" s="58" t="s">
        <v>134</v>
      </c>
      <c r="DY97" s="58" t="s">
        <v>134</v>
      </c>
      <c r="DZ97" s="58" t="s">
        <v>134</v>
      </c>
      <c r="EA97" s="58" t="s">
        <v>134</v>
      </c>
      <c r="EB97" s="58" t="s">
        <v>134</v>
      </c>
      <c r="EC97" s="58" t="s">
        <v>134</v>
      </c>
      <c r="ED97" s="58" t="s">
        <v>134</v>
      </c>
      <c r="EE97" s="58" t="s">
        <v>134</v>
      </c>
      <c r="EF97" s="58" t="s">
        <v>134</v>
      </c>
      <c r="EG97" s="58" t="s">
        <v>134</v>
      </c>
      <c r="EH97" s="58" t="s">
        <v>134</v>
      </c>
      <c r="EI97" s="58" t="s">
        <v>134</v>
      </c>
      <c r="EJ97" s="58" t="s">
        <v>134</v>
      </c>
      <c r="EK97" s="58" t="s">
        <v>134</v>
      </c>
      <c r="EL97" s="58" t="s">
        <v>134</v>
      </c>
      <c r="EM97" s="58" t="s">
        <v>134</v>
      </c>
      <c r="EN97" s="58" t="s">
        <v>134</v>
      </c>
      <c r="EO97" s="58">
        <v>0.0</v>
      </c>
      <c r="EP97" s="58">
        <v>0.0</v>
      </c>
      <c r="EQ97" s="58">
        <v>0.0</v>
      </c>
      <c r="ER97" s="58" t="s">
        <v>134</v>
      </c>
      <c r="ES97" s="58" t="s">
        <v>134</v>
      </c>
      <c r="ET97" s="58" t="s">
        <v>134</v>
      </c>
    </row>
    <row r="98">
      <c r="A98" s="58" t="s">
        <v>102</v>
      </c>
      <c r="B98" s="58" t="s">
        <v>134</v>
      </c>
      <c r="C98" s="58" t="s">
        <v>134</v>
      </c>
      <c r="D98" s="58" t="s">
        <v>134</v>
      </c>
      <c r="E98" s="58" t="s">
        <v>134</v>
      </c>
      <c r="F98" s="58" t="s">
        <v>134</v>
      </c>
      <c r="G98" s="58" t="s">
        <v>134</v>
      </c>
      <c r="H98" s="58" t="s">
        <v>134</v>
      </c>
      <c r="I98" s="58" t="s">
        <v>134</v>
      </c>
      <c r="J98" s="58" t="s">
        <v>134</v>
      </c>
      <c r="K98" s="58">
        <v>0.0</v>
      </c>
      <c r="L98" s="58">
        <v>0.0</v>
      </c>
      <c r="M98" s="58" t="s">
        <v>134</v>
      </c>
      <c r="N98" s="58" t="s">
        <v>134</v>
      </c>
      <c r="O98" s="58" t="s">
        <v>134</v>
      </c>
      <c r="P98" s="58" t="s">
        <v>134</v>
      </c>
      <c r="Q98" s="58" t="s">
        <v>134</v>
      </c>
      <c r="R98" s="58" t="s">
        <v>134</v>
      </c>
      <c r="S98" s="58" t="s">
        <v>134</v>
      </c>
      <c r="T98" s="58" t="s">
        <v>134</v>
      </c>
      <c r="U98" s="58" t="s">
        <v>134</v>
      </c>
      <c r="V98" s="58" t="s">
        <v>134</v>
      </c>
      <c r="W98" s="58" t="s">
        <v>134</v>
      </c>
      <c r="X98" s="58" t="s">
        <v>134</v>
      </c>
      <c r="Y98" s="58" t="s">
        <v>134</v>
      </c>
      <c r="Z98" s="58" t="s">
        <v>134</v>
      </c>
      <c r="AA98" s="58" t="s">
        <v>134</v>
      </c>
      <c r="AB98" s="58" t="s">
        <v>134</v>
      </c>
      <c r="AC98" s="58" t="s">
        <v>134</v>
      </c>
      <c r="AD98" s="58" t="s">
        <v>134</v>
      </c>
      <c r="AE98" s="58" t="s">
        <v>134</v>
      </c>
      <c r="AF98" s="58" t="s">
        <v>134</v>
      </c>
      <c r="AG98" s="58" t="s">
        <v>134</v>
      </c>
      <c r="AH98" s="58" t="s">
        <v>134</v>
      </c>
      <c r="AI98" s="58" t="s">
        <v>134</v>
      </c>
      <c r="AJ98" s="58" t="s">
        <v>134</v>
      </c>
      <c r="AK98" s="58" t="s">
        <v>134</v>
      </c>
      <c r="AL98" s="58" t="s">
        <v>134</v>
      </c>
      <c r="AM98" s="58" t="s">
        <v>134</v>
      </c>
      <c r="AN98" s="58">
        <v>0.0</v>
      </c>
      <c r="AO98" s="58" t="s">
        <v>134</v>
      </c>
      <c r="AP98" s="58" t="s">
        <v>134</v>
      </c>
      <c r="AQ98" s="58" t="s">
        <v>134</v>
      </c>
      <c r="AR98" s="58" t="s">
        <v>134</v>
      </c>
      <c r="AS98" s="58" t="s">
        <v>134</v>
      </c>
      <c r="AT98" s="58" t="s">
        <v>134</v>
      </c>
      <c r="AU98" s="58" t="s">
        <v>134</v>
      </c>
      <c r="AV98" s="58" t="s">
        <v>134</v>
      </c>
      <c r="AW98" s="58" t="s">
        <v>134</v>
      </c>
      <c r="AX98" s="58" t="s">
        <v>134</v>
      </c>
      <c r="AY98" s="58" t="s">
        <v>134</v>
      </c>
      <c r="AZ98" s="58" t="s">
        <v>134</v>
      </c>
      <c r="BA98" s="58" t="s">
        <v>134</v>
      </c>
      <c r="BB98" s="58" t="s">
        <v>134</v>
      </c>
      <c r="BC98" s="58" t="s">
        <v>134</v>
      </c>
      <c r="BD98" s="58" t="s">
        <v>134</v>
      </c>
      <c r="BE98" s="58" t="s">
        <v>134</v>
      </c>
      <c r="BF98" s="58" t="s">
        <v>134</v>
      </c>
      <c r="BG98" s="58" t="s">
        <v>134</v>
      </c>
      <c r="BH98" s="58" t="s">
        <v>134</v>
      </c>
      <c r="BI98" s="58" t="s">
        <v>134</v>
      </c>
      <c r="BJ98" s="58" t="s">
        <v>134</v>
      </c>
      <c r="BK98" s="58" t="s">
        <v>134</v>
      </c>
      <c r="BL98" s="58" t="s">
        <v>134</v>
      </c>
      <c r="BM98" s="58" t="s">
        <v>134</v>
      </c>
      <c r="BN98" s="58" t="s">
        <v>134</v>
      </c>
      <c r="BO98" s="58" t="s">
        <v>134</v>
      </c>
      <c r="BP98" s="58" t="s">
        <v>134</v>
      </c>
      <c r="BQ98" s="58" t="s">
        <v>134</v>
      </c>
      <c r="BR98" s="58" t="s">
        <v>134</v>
      </c>
      <c r="BS98" s="58" t="s">
        <v>134</v>
      </c>
      <c r="BT98" s="58" t="s">
        <v>134</v>
      </c>
      <c r="BU98" s="58" t="s">
        <v>134</v>
      </c>
      <c r="BV98" s="58" t="s">
        <v>134</v>
      </c>
      <c r="BW98" s="58" t="s">
        <v>134</v>
      </c>
      <c r="BX98" s="58" t="s">
        <v>134</v>
      </c>
      <c r="BY98" s="58" t="s">
        <v>134</v>
      </c>
      <c r="BZ98" s="58" t="s">
        <v>134</v>
      </c>
      <c r="CA98" s="58" t="s">
        <v>134</v>
      </c>
      <c r="CB98" s="58" t="s">
        <v>134</v>
      </c>
      <c r="CC98" s="58" t="s">
        <v>134</v>
      </c>
      <c r="CD98" s="58" t="s">
        <v>134</v>
      </c>
      <c r="CE98" s="58" t="s">
        <v>134</v>
      </c>
      <c r="CF98" s="58" t="s">
        <v>134</v>
      </c>
      <c r="CG98" s="58" t="s">
        <v>134</v>
      </c>
      <c r="CH98" s="58" t="s">
        <v>134</v>
      </c>
      <c r="CI98" s="58" t="s">
        <v>134</v>
      </c>
      <c r="CJ98" s="58" t="s">
        <v>134</v>
      </c>
      <c r="CK98" s="58" t="s">
        <v>134</v>
      </c>
      <c r="CL98" s="58" t="s">
        <v>134</v>
      </c>
      <c r="CM98" s="58" t="s">
        <v>134</v>
      </c>
      <c r="CN98" s="58" t="s">
        <v>134</v>
      </c>
      <c r="CO98" s="58" t="s">
        <v>134</v>
      </c>
      <c r="CP98" s="58" t="s">
        <v>134</v>
      </c>
      <c r="CQ98" s="58" t="s">
        <v>134</v>
      </c>
      <c r="CR98" s="58" t="s">
        <v>134</v>
      </c>
      <c r="CS98" s="58" t="s">
        <v>134</v>
      </c>
      <c r="CT98" s="58" t="s">
        <v>134</v>
      </c>
      <c r="CU98" s="58" t="s">
        <v>134</v>
      </c>
      <c r="CV98" s="58" t="s">
        <v>134</v>
      </c>
      <c r="CW98" s="58" t="s">
        <v>134</v>
      </c>
      <c r="CX98" s="58" t="s">
        <v>134</v>
      </c>
      <c r="CY98" s="58" t="s">
        <v>134</v>
      </c>
      <c r="CZ98" s="58" t="s">
        <v>134</v>
      </c>
      <c r="DA98" s="58" t="s">
        <v>134</v>
      </c>
      <c r="DB98" s="58" t="s">
        <v>134</v>
      </c>
      <c r="DC98" s="58" t="s">
        <v>134</v>
      </c>
      <c r="DD98" s="58" t="s">
        <v>134</v>
      </c>
      <c r="DE98" s="58" t="s">
        <v>134</v>
      </c>
      <c r="DF98" s="58" t="s">
        <v>134</v>
      </c>
      <c r="DG98" s="58" t="s">
        <v>134</v>
      </c>
      <c r="DH98" s="58" t="s">
        <v>134</v>
      </c>
      <c r="DI98" s="58" t="s">
        <v>134</v>
      </c>
      <c r="DJ98" s="58" t="s">
        <v>134</v>
      </c>
      <c r="DK98" s="58" t="s">
        <v>134</v>
      </c>
      <c r="DL98" s="58" t="s">
        <v>134</v>
      </c>
      <c r="DM98" s="58" t="s">
        <v>134</v>
      </c>
      <c r="DN98" s="58" t="s">
        <v>134</v>
      </c>
      <c r="DO98" s="58" t="s">
        <v>134</v>
      </c>
      <c r="DP98" s="58" t="s">
        <v>134</v>
      </c>
      <c r="DQ98" s="58" t="s">
        <v>134</v>
      </c>
      <c r="DR98" s="58">
        <v>0.0</v>
      </c>
      <c r="DS98" s="58" t="s">
        <v>134</v>
      </c>
      <c r="DT98" s="58" t="s">
        <v>134</v>
      </c>
      <c r="DU98" s="58" t="s">
        <v>134</v>
      </c>
      <c r="DV98" s="58" t="s">
        <v>134</v>
      </c>
      <c r="DW98" s="58" t="s">
        <v>134</v>
      </c>
      <c r="DX98" s="58" t="s">
        <v>134</v>
      </c>
      <c r="DY98" s="58" t="s">
        <v>134</v>
      </c>
      <c r="DZ98" s="58" t="s">
        <v>134</v>
      </c>
      <c r="EA98" s="58" t="s">
        <v>134</v>
      </c>
      <c r="EB98" s="58" t="s">
        <v>134</v>
      </c>
      <c r="EC98" s="58" t="s">
        <v>134</v>
      </c>
      <c r="ED98" s="58" t="s">
        <v>134</v>
      </c>
      <c r="EE98" s="58" t="s">
        <v>134</v>
      </c>
      <c r="EF98" s="58" t="s">
        <v>134</v>
      </c>
      <c r="EG98" s="58" t="s">
        <v>134</v>
      </c>
      <c r="EH98" s="58" t="s">
        <v>134</v>
      </c>
      <c r="EI98" s="58" t="s">
        <v>134</v>
      </c>
      <c r="EJ98" s="58" t="s">
        <v>134</v>
      </c>
      <c r="EK98" s="58" t="s">
        <v>134</v>
      </c>
      <c r="EL98" s="58" t="s">
        <v>134</v>
      </c>
      <c r="EM98" s="58" t="s">
        <v>134</v>
      </c>
      <c r="EN98" s="58" t="s">
        <v>134</v>
      </c>
      <c r="EO98" s="58">
        <v>0.0</v>
      </c>
      <c r="EP98" s="58">
        <v>0.0</v>
      </c>
      <c r="EQ98" s="58">
        <v>0.0</v>
      </c>
      <c r="ER98" s="58" t="s">
        <v>134</v>
      </c>
      <c r="ES98" s="58" t="s">
        <v>134</v>
      </c>
      <c r="ET98" s="58" t="s">
        <v>134</v>
      </c>
    </row>
    <row r="99">
      <c r="A99" s="58" t="s">
        <v>98</v>
      </c>
      <c r="B99" s="58" t="s">
        <v>134</v>
      </c>
      <c r="C99" s="58" t="s">
        <v>134</v>
      </c>
      <c r="D99" s="58" t="s">
        <v>134</v>
      </c>
      <c r="E99" s="58" t="s">
        <v>134</v>
      </c>
      <c r="F99" s="58" t="s">
        <v>134</v>
      </c>
      <c r="G99" s="58" t="s">
        <v>134</v>
      </c>
      <c r="H99" s="58" t="s">
        <v>134</v>
      </c>
      <c r="I99" s="58" t="s">
        <v>134</v>
      </c>
      <c r="J99" s="58" t="s">
        <v>134</v>
      </c>
      <c r="K99" s="58">
        <v>0.0</v>
      </c>
      <c r="L99" s="58">
        <v>0.0</v>
      </c>
      <c r="M99" s="58" t="s">
        <v>134</v>
      </c>
      <c r="N99" s="58" t="s">
        <v>134</v>
      </c>
      <c r="O99" s="58" t="s">
        <v>134</v>
      </c>
      <c r="P99" s="58" t="s">
        <v>134</v>
      </c>
      <c r="Q99" s="58" t="s">
        <v>134</v>
      </c>
      <c r="R99" s="58" t="s">
        <v>134</v>
      </c>
      <c r="S99" s="58" t="s">
        <v>134</v>
      </c>
      <c r="T99" s="58" t="s">
        <v>134</v>
      </c>
      <c r="U99" s="58" t="s">
        <v>134</v>
      </c>
      <c r="V99" s="58" t="s">
        <v>134</v>
      </c>
      <c r="W99" s="58" t="s">
        <v>134</v>
      </c>
      <c r="X99" s="58" t="s">
        <v>134</v>
      </c>
      <c r="Y99" s="58" t="s">
        <v>134</v>
      </c>
      <c r="Z99" s="58" t="s">
        <v>134</v>
      </c>
      <c r="AA99" s="58" t="s">
        <v>134</v>
      </c>
      <c r="AB99" s="58" t="s">
        <v>134</v>
      </c>
      <c r="AC99" s="58" t="s">
        <v>134</v>
      </c>
      <c r="AD99" s="58" t="s">
        <v>134</v>
      </c>
      <c r="AE99" s="58" t="s">
        <v>134</v>
      </c>
      <c r="AF99" s="58" t="s">
        <v>134</v>
      </c>
      <c r="AG99" s="58" t="s">
        <v>134</v>
      </c>
      <c r="AH99" s="58" t="s">
        <v>134</v>
      </c>
      <c r="AI99" s="58" t="s">
        <v>134</v>
      </c>
      <c r="AJ99" s="58" t="s">
        <v>134</v>
      </c>
      <c r="AK99" s="58" t="s">
        <v>134</v>
      </c>
      <c r="AL99" s="58" t="s">
        <v>134</v>
      </c>
      <c r="AM99" s="58" t="s">
        <v>134</v>
      </c>
      <c r="AN99" s="58">
        <v>0.0</v>
      </c>
      <c r="AO99" s="58" t="s">
        <v>134</v>
      </c>
      <c r="AP99" s="58" t="s">
        <v>134</v>
      </c>
      <c r="AQ99" s="58" t="s">
        <v>134</v>
      </c>
      <c r="AR99" s="58" t="s">
        <v>134</v>
      </c>
      <c r="AS99" s="58" t="s">
        <v>134</v>
      </c>
      <c r="AT99" s="58" t="s">
        <v>134</v>
      </c>
      <c r="AU99" s="58" t="s">
        <v>134</v>
      </c>
      <c r="AV99" s="58" t="s">
        <v>134</v>
      </c>
      <c r="AW99" s="58" t="s">
        <v>134</v>
      </c>
      <c r="AX99" s="58" t="s">
        <v>134</v>
      </c>
      <c r="AY99" s="58" t="s">
        <v>134</v>
      </c>
      <c r="AZ99" s="58" t="s">
        <v>134</v>
      </c>
      <c r="BA99" s="58" t="s">
        <v>134</v>
      </c>
      <c r="BB99" s="58" t="s">
        <v>134</v>
      </c>
      <c r="BC99" s="58" t="s">
        <v>134</v>
      </c>
      <c r="BD99" s="58" t="s">
        <v>134</v>
      </c>
      <c r="BE99" s="58" t="s">
        <v>134</v>
      </c>
      <c r="BF99" s="58" t="s">
        <v>134</v>
      </c>
      <c r="BG99" s="58" t="s">
        <v>134</v>
      </c>
      <c r="BH99" s="58" t="s">
        <v>134</v>
      </c>
      <c r="BI99" s="58" t="s">
        <v>134</v>
      </c>
      <c r="BJ99" s="58" t="s">
        <v>134</v>
      </c>
      <c r="BK99" s="58" t="s">
        <v>134</v>
      </c>
      <c r="BL99" s="58" t="s">
        <v>134</v>
      </c>
      <c r="BM99" s="58" t="s">
        <v>134</v>
      </c>
      <c r="BN99" s="58" t="s">
        <v>134</v>
      </c>
      <c r="BO99" s="58" t="s">
        <v>134</v>
      </c>
      <c r="BP99" s="58" t="s">
        <v>134</v>
      </c>
      <c r="BQ99" s="58" t="s">
        <v>134</v>
      </c>
      <c r="BR99" s="58" t="s">
        <v>134</v>
      </c>
      <c r="BS99" s="58" t="s">
        <v>134</v>
      </c>
      <c r="BT99" s="58" t="s">
        <v>134</v>
      </c>
      <c r="BU99" s="58" t="s">
        <v>134</v>
      </c>
      <c r="BV99" s="58" t="s">
        <v>134</v>
      </c>
      <c r="BW99" s="58" t="s">
        <v>134</v>
      </c>
      <c r="BX99" s="58" t="s">
        <v>134</v>
      </c>
      <c r="BY99" s="58" t="s">
        <v>134</v>
      </c>
      <c r="BZ99" s="58" t="s">
        <v>134</v>
      </c>
      <c r="CA99" s="58" t="s">
        <v>134</v>
      </c>
      <c r="CB99" s="58" t="s">
        <v>134</v>
      </c>
      <c r="CC99" s="58" t="s">
        <v>134</v>
      </c>
      <c r="CD99" s="58" t="s">
        <v>134</v>
      </c>
      <c r="CE99" s="58" t="s">
        <v>134</v>
      </c>
      <c r="CF99" s="58" t="s">
        <v>134</v>
      </c>
      <c r="CG99" s="58" t="s">
        <v>134</v>
      </c>
      <c r="CH99" s="58" t="s">
        <v>134</v>
      </c>
      <c r="CI99" s="58" t="s">
        <v>134</v>
      </c>
      <c r="CJ99" s="58" t="s">
        <v>134</v>
      </c>
      <c r="CK99" s="58" t="s">
        <v>134</v>
      </c>
      <c r="CL99" s="58" t="s">
        <v>134</v>
      </c>
      <c r="CM99" s="58" t="s">
        <v>134</v>
      </c>
      <c r="CN99" s="58" t="s">
        <v>134</v>
      </c>
      <c r="CO99" s="58" t="s">
        <v>134</v>
      </c>
      <c r="CP99" s="58" t="s">
        <v>134</v>
      </c>
      <c r="CQ99" s="58" t="s">
        <v>134</v>
      </c>
      <c r="CR99" s="58" t="s">
        <v>134</v>
      </c>
      <c r="CS99" s="58" t="s">
        <v>134</v>
      </c>
      <c r="CT99" s="58" t="s">
        <v>134</v>
      </c>
      <c r="CU99" s="58" t="s">
        <v>134</v>
      </c>
      <c r="CV99" s="58" t="s">
        <v>134</v>
      </c>
      <c r="CW99" s="58" t="s">
        <v>134</v>
      </c>
      <c r="CX99" s="58" t="s">
        <v>134</v>
      </c>
      <c r="CY99" s="58" t="s">
        <v>134</v>
      </c>
      <c r="CZ99" s="58" t="s">
        <v>134</v>
      </c>
      <c r="DA99" s="58" t="s">
        <v>134</v>
      </c>
      <c r="DB99" s="58" t="s">
        <v>134</v>
      </c>
      <c r="DC99" s="58" t="s">
        <v>134</v>
      </c>
      <c r="DD99" s="58" t="s">
        <v>134</v>
      </c>
      <c r="DE99" s="58" t="s">
        <v>134</v>
      </c>
      <c r="DF99" s="58" t="s">
        <v>134</v>
      </c>
      <c r="DG99" s="58" t="s">
        <v>134</v>
      </c>
      <c r="DH99" s="58" t="s">
        <v>134</v>
      </c>
      <c r="DI99" s="58" t="s">
        <v>134</v>
      </c>
      <c r="DJ99" s="58" t="s">
        <v>134</v>
      </c>
      <c r="DK99" s="58" t="s">
        <v>134</v>
      </c>
      <c r="DL99" s="58" t="s">
        <v>134</v>
      </c>
      <c r="DM99" s="58" t="s">
        <v>134</v>
      </c>
      <c r="DN99" s="58" t="s">
        <v>134</v>
      </c>
      <c r="DO99" s="58" t="s">
        <v>134</v>
      </c>
      <c r="DP99" s="58" t="s">
        <v>134</v>
      </c>
      <c r="DQ99" s="58" t="s">
        <v>134</v>
      </c>
      <c r="DR99" s="58">
        <v>0.0</v>
      </c>
      <c r="DS99" s="58" t="s">
        <v>134</v>
      </c>
      <c r="DT99" s="58" t="s">
        <v>134</v>
      </c>
      <c r="DU99" s="58" t="s">
        <v>134</v>
      </c>
      <c r="DV99" s="58" t="s">
        <v>134</v>
      </c>
      <c r="DW99" s="58" t="s">
        <v>134</v>
      </c>
      <c r="DX99" s="58" t="s">
        <v>134</v>
      </c>
      <c r="DY99" s="58" t="s">
        <v>134</v>
      </c>
      <c r="DZ99" s="58" t="s">
        <v>134</v>
      </c>
      <c r="EA99" s="58" t="s">
        <v>134</v>
      </c>
      <c r="EB99" s="58" t="s">
        <v>134</v>
      </c>
      <c r="EC99" s="58" t="s">
        <v>134</v>
      </c>
      <c r="ED99" s="58" t="s">
        <v>134</v>
      </c>
      <c r="EE99" s="58" t="s">
        <v>134</v>
      </c>
      <c r="EF99" s="58" t="s">
        <v>134</v>
      </c>
      <c r="EG99" s="58" t="s">
        <v>134</v>
      </c>
      <c r="EH99" s="58" t="s">
        <v>134</v>
      </c>
      <c r="EI99" s="58" t="s">
        <v>134</v>
      </c>
      <c r="EJ99" s="58" t="s">
        <v>134</v>
      </c>
      <c r="EK99" s="58" t="s">
        <v>134</v>
      </c>
      <c r="EL99" s="58" t="s">
        <v>134</v>
      </c>
      <c r="EM99" s="58" t="s">
        <v>134</v>
      </c>
      <c r="EN99" s="58" t="s">
        <v>134</v>
      </c>
      <c r="EO99" s="58">
        <v>0.0</v>
      </c>
      <c r="EP99" s="58">
        <v>0.0</v>
      </c>
      <c r="EQ99" s="58">
        <v>0.0</v>
      </c>
      <c r="ER99" s="58" t="s">
        <v>134</v>
      </c>
      <c r="ES99" s="58" t="s">
        <v>134</v>
      </c>
      <c r="ET99" s="58" t="s">
        <v>134</v>
      </c>
    </row>
    <row r="100">
      <c r="A100" s="58" t="s">
        <v>68</v>
      </c>
      <c r="B100" s="58" t="s">
        <v>134</v>
      </c>
      <c r="C100" s="58" t="s">
        <v>134</v>
      </c>
      <c r="D100" s="58" t="s">
        <v>134</v>
      </c>
      <c r="E100" s="58" t="s">
        <v>134</v>
      </c>
      <c r="F100" s="58" t="s">
        <v>134</v>
      </c>
      <c r="G100" s="58" t="s">
        <v>134</v>
      </c>
      <c r="H100" s="58" t="s">
        <v>134</v>
      </c>
      <c r="I100" s="58">
        <v>0.0503</v>
      </c>
      <c r="J100" s="58" t="s">
        <v>134</v>
      </c>
      <c r="K100" s="58">
        <v>0.0</v>
      </c>
      <c r="L100" s="58">
        <v>0.0</v>
      </c>
      <c r="M100" s="58" t="s">
        <v>134</v>
      </c>
      <c r="N100" s="58" t="s">
        <v>134</v>
      </c>
      <c r="O100" s="58" t="s">
        <v>134</v>
      </c>
      <c r="P100" s="58" t="s">
        <v>134</v>
      </c>
      <c r="Q100" s="58" t="s">
        <v>134</v>
      </c>
      <c r="R100" s="58" t="s">
        <v>134</v>
      </c>
      <c r="S100" s="58" t="s">
        <v>134</v>
      </c>
      <c r="T100" s="58" t="s">
        <v>134</v>
      </c>
      <c r="U100" s="58" t="s">
        <v>134</v>
      </c>
      <c r="V100" s="58" t="s">
        <v>134</v>
      </c>
      <c r="W100" s="58" t="s">
        <v>134</v>
      </c>
      <c r="X100" s="58" t="s">
        <v>134</v>
      </c>
      <c r="Y100" s="58" t="s">
        <v>134</v>
      </c>
      <c r="Z100" s="58" t="s">
        <v>134</v>
      </c>
      <c r="AA100" s="58" t="s">
        <v>134</v>
      </c>
      <c r="AB100" s="58" t="s">
        <v>134</v>
      </c>
      <c r="AC100" s="58" t="s">
        <v>134</v>
      </c>
      <c r="AD100" s="58" t="s">
        <v>134</v>
      </c>
      <c r="AE100" s="58" t="s">
        <v>134</v>
      </c>
      <c r="AF100" s="58" t="s">
        <v>134</v>
      </c>
      <c r="AG100" s="58" t="s">
        <v>134</v>
      </c>
      <c r="AH100" s="58" t="s">
        <v>134</v>
      </c>
      <c r="AI100" s="58" t="s">
        <v>134</v>
      </c>
      <c r="AJ100" s="58" t="s">
        <v>134</v>
      </c>
      <c r="AK100" s="58" t="s">
        <v>134</v>
      </c>
      <c r="AL100" s="58" t="s">
        <v>134</v>
      </c>
      <c r="AM100" s="58" t="s">
        <v>134</v>
      </c>
      <c r="AN100" s="58">
        <v>0.0413</v>
      </c>
      <c r="AO100" s="58" t="s">
        <v>134</v>
      </c>
      <c r="AP100" s="58" t="s">
        <v>134</v>
      </c>
      <c r="AQ100" s="58" t="s">
        <v>134</v>
      </c>
      <c r="AR100" s="58" t="s">
        <v>134</v>
      </c>
      <c r="AS100" s="58" t="s">
        <v>134</v>
      </c>
      <c r="AT100" s="58" t="s">
        <v>134</v>
      </c>
      <c r="AU100" s="58" t="s">
        <v>134</v>
      </c>
      <c r="AV100" s="58" t="s">
        <v>134</v>
      </c>
      <c r="AW100" s="58" t="s">
        <v>134</v>
      </c>
      <c r="AX100" s="58" t="s">
        <v>134</v>
      </c>
      <c r="AY100" s="58" t="s">
        <v>134</v>
      </c>
      <c r="AZ100" s="58" t="s">
        <v>134</v>
      </c>
      <c r="BA100" s="58" t="s">
        <v>134</v>
      </c>
      <c r="BB100" s="58" t="s">
        <v>134</v>
      </c>
      <c r="BC100" s="58" t="s">
        <v>134</v>
      </c>
      <c r="BD100" s="58" t="s">
        <v>134</v>
      </c>
      <c r="BE100" s="58" t="s">
        <v>134</v>
      </c>
      <c r="BF100" s="58" t="s">
        <v>134</v>
      </c>
      <c r="BG100" s="58" t="s">
        <v>134</v>
      </c>
      <c r="BH100" s="58" t="s">
        <v>134</v>
      </c>
      <c r="BI100" s="58" t="s">
        <v>134</v>
      </c>
      <c r="BJ100" s="58" t="s">
        <v>134</v>
      </c>
      <c r="BK100" s="58" t="s">
        <v>134</v>
      </c>
      <c r="BL100" s="58" t="s">
        <v>134</v>
      </c>
      <c r="BM100" s="58" t="s">
        <v>134</v>
      </c>
      <c r="BN100" s="58" t="s">
        <v>134</v>
      </c>
      <c r="BO100" s="58" t="s">
        <v>134</v>
      </c>
      <c r="BP100" s="58" t="s">
        <v>134</v>
      </c>
      <c r="BQ100" s="58" t="s">
        <v>134</v>
      </c>
      <c r="BR100" s="58" t="s">
        <v>134</v>
      </c>
      <c r="BS100" s="58" t="s">
        <v>134</v>
      </c>
      <c r="BT100" s="58" t="s">
        <v>134</v>
      </c>
      <c r="BU100" s="58" t="s">
        <v>134</v>
      </c>
      <c r="BV100" s="58" t="s">
        <v>134</v>
      </c>
      <c r="BW100" s="58" t="s">
        <v>134</v>
      </c>
      <c r="BX100" s="58" t="s">
        <v>134</v>
      </c>
      <c r="BY100" s="58" t="s">
        <v>134</v>
      </c>
      <c r="BZ100" s="58" t="s">
        <v>134</v>
      </c>
      <c r="CA100" s="58" t="s">
        <v>134</v>
      </c>
      <c r="CB100" s="58" t="s">
        <v>134</v>
      </c>
      <c r="CC100" s="58" t="s">
        <v>134</v>
      </c>
      <c r="CD100" s="58" t="s">
        <v>134</v>
      </c>
      <c r="CE100" s="58" t="s">
        <v>134</v>
      </c>
      <c r="CF100" s="58" t="s">
        <v>134</v>
      </c>
      <c r="CG100" s="58" t="s">
        <v>134</v>
      </c>
      <c r="CH100" s="58" t="s">
        <v>134</v>
      </c>
      <c r="CI100" s="58" t="s">
        <v>134</v>
      </c>
      <c r="CJ100" s="58" t="s">
        <v>134</v>
      </c>
      <c r="CK100" s="58" t="s">
        <v>134</v>
      </c>
      <c r="CL100" s="58" t="s">
        <v>134</v>
      </c>
      <c r="CM100" s="58" t="s">
        <v>134</v>
      </c>
      <c r="CN100" s="58" t="s">
        <v>134</v>
      </c>
      <c r="CO100" s="58" t="s">
        <v>134</v>
      </c>
      <c r="CP100" s="58" t="s">
        <v>134</v>
      </c>
      <c r="CQ100" s="58" t="s">
        <v>134</v>
      </c>
      <c r="CR100" s="58" t="s">
        <v>134</v>
      </c>
      <c r="CS100" s="58" t="s">
        <v>134</v>
      </c>
      <c r="CT100" s="58" t="s">
        <v>134</v>
      </c>
      <c r="CU100" s="58" t="s">
        <v>134</v>
      </c>
      <c r="CV100" s="58" t="s">
        <v>134</v>
      </c>
      <c r="CW100" s="58" t="s">
        <v>134</v>
      </c>
      <c r="CX100" s="58" t="s">
        <v>134</v>
      </c>
      <c r="CY100" s="58" t="s">
        <v>134</v>
      </c>
      <c r="CZ100" s="58" t="s">
        <v>134</v>
      </c>
      <c r="DA100" s="58" t="s">
        <v>134</v>
      </c>
      <c r="DB100" s="58" t="s">
        <v>134</v>
      </c>
      <c r="DC100" s="58" t="s">
        <v>134</v>
      </c>
      <c r="DD100" s="58" t="s">
        <v>134</v>
      </c>
      <c r="DE100" s="58" t="s">
        <v>134</v>
      </c>
      <c r="DF100" s="58" t="s">
        <v>134</v>
      </c>
      <c r="DG100" s="58" t="s">
        <v>134</v>
      </c>
      <c r="DH100" s="58" t="s">
        <v>134</v>
      </c>
      <c r="DI100" s="58" t="s">
        <v>134</v>
      </c>
      <c r="DJ100" s="58" t="s">
        <v>134</v>
      </c>
      <c r="DK100" s="58" t="s">
        <v>134</v>
      </c>
      <c r="DL100" s="58" t="s">
        <v>134</v>
      </c>
      <c r="DM100" s="58" t="s">
        <v>134</v>
      </c>
      <c r="DN100" s="58" t="s">
        <v>134</v>
      </c>
      <c r="DO100" s="58" t="s">
        <v>134</v>
      </c>
      <c r="DP100" s="58" t="s">
        <v>134</v>
      </c>
      <c r="DQ100" s="58" t="s">
        <v>134</v>
      </c>
      <c r="DR100" s="58">
        <v>0.0</v>
      </c>
      <c r="DS100" s="58" t="s">
        <v>134</v>
      </c>
      <c r="DT100" s="58" t="s">
        <v>134</v>
      </c>
      <c r="DU100" s="58" t="s">
        <v>134</v>
      </c>
      <c r="DV100" s="58" t="s">
        <v>134</v>
      </c>
      <c r="DW100" s="58" t="s">
        <v>134</v>
      </c>
      <c r="DX100" s="58" t="s">
        <v>134</v>
      </c>
      <c r="DY100" s="58" t="s">
        <v>134</v>
      </c>
      <c r="DZ100" s="58" t="s">
        <v>134</v>
      </c>
      <c r="EA100" s="58" t="s">
        <v>134</v>
      </c>
      <c r="EB100" s="58" t="s">
        <v>134</v>
      </c>
      <c r="EC100" s="58" t="s">
        <v>134</v>
      </c>
      <c r="ED100" s="58" t="s">
        <v>134</v>
      </c>
      <c r="EE100" s="58" t="s">
        <v>134</v>
      </c>
      <c r="EF100" s="58" t="s">
        <v>134</v>
      </c>
      <c r="EG100" s="58" t="s">
        <v>134</v>
      </c>
      <c r="EH100" s="58" t="s">
        <v>134</v>
      </c>
      <c r="EI100" s="58" t="s">
        <v>134</v>
      </c>
      <c r="EJ100" s="58" t="s">
        <v>134</v>
      </c>
      <c r="EK100" s="58" t="s">
        <v>134</v>
      </c>
      <c r="EL100" s="58" t="s">
        <v>134</v>
      </c>
      <c r="EM100" s="58" t="s">
        <v>134</v>
      </c>
      <c r="EN100" s="58" t="s">
        <v>134</v>
      </c>
      <c r="EO100" s="58">
        <v>0.0</v>
      </c>
      <c r="EP100" s="58">
        <v>0.0</v>
      </c>
      <c r="EQ100" s="58">
        <v>0.0</v>
      </c>
      <c r="ER100" s="58" t="s">
        <v>134</v>
      </c>
      <c r="ES100" s="58" t="s">
        <v>134</v>
      </c>
      <c r="ET100" s="58" t="s">
        <v>134</v>
      </c>
    </row>
    <row r="101">
      <c r="A101" s="58" t="s">
        <v>62</v>
      </c>
      <c r="B101" s="58" t="s">
        <v>134</v>
      </c>
      <c r="C101" s="58" t="s">
        <v>134</v>
      </c>
      <c r="D101" s="58" t="s">
        <v>134</v>
      </c>
      <c r="E101" s="58" t="s">
        <v>134</v>
      </c>
      <c r="F101" s="58" t="s">
        <v>134</v>
      </c>
      <c r="G101" s="58" t="s">
        <v>134</v>
      </c>
      <c r="H101" s="58" t="s">
        <v>134</v>
      </c>
      <c r="I101" s="58">
        <v>0.0462</v>
      </c>
      <c r="J101" s="58" t="s">
        <v>134</v>
      </c>
      <c r="K101" s="58">
        <v>0.0</v>
      </c>
      <c r="L101" s="58">
        <v>0.0</v>
      </c>
      <c r="M101" s="58" t="s">
        <v>134</v>
      </c>
      <c r="N101" s="58" t="s">
        <v>134</v>
      </c>
      <c r="O101" s="58" t="s">
        <v>134</v>
      </c>
      <c r="P101" s="58" t="s">
        <v>134</v>
      </c>
      <c r="Q101" s="58" t="s">
        <v>134</v>
      </c>
      <c r="R101" s="58" t="s">
        <v>134</v>
      </c>
      <c r="S101" s="58" t="s">
        <v>134</v>
      </c>
      <c r="T101" s="58" t="s">
        <v>134</v>
      </c>
      <c r="U101" s="58" t="s">
        <v>134</v>
      </c>
      <c r="V101" s="58" t="s">
        <v>134</v>
      </c>
      <c r="W101" s="58" t="s">
        <v>134</v>
      </c>
      <c r="X101" s="58" t="s">
        <v>134</v>
      </c>
      <c r="Y101" s="58" t="s">
        <v>134</v>
      </c>
      <c r="Z101" s="58" t="s">
        <v>134</v>
      </c>
      <c r="AA101" s="58" t="s">
        <v>134</v>
      </c>
      <c r="AB101" s="58" t="s">
        <v>134</v>
      </c>
      <c r="AC101" s="58" t="s">
        <v>134</v>
      </c>
      <c r="AD101" s="58" t="s">
        <v>134</v>
      </c>
      <c r="AE101" s="58" t="s">
        <v>134</v>
      </c>
      <c r="AF101" s="58" t="s">
        <v>134</v>
      </c>
      <c r="AG101" s="58" t="s">
        <v>134</v>
      </c>
      <c r="AH101" s="58" t="s">
        <v>134</v>
      </c>
      <c r="AI101" s="58" t="s">
        <v>134</v>
      </c>
      <c r="AJ101" s="58" t="s">
        <v>134</v>
      </c>
      <c r="AK101" s="58" t="s">
        <v>134</v>
      </c>
      <c r="AL101" s="58" t="s">
        <v>134</v>
      </c>
      <c r="AM101" s="58" t="s">
        <v>134</v>
      </c>
      <c r="AN101" s="58">
        <v>0.0066</v>
      </c>
      <c r="AO101" s="58" t="s">
        <v>134</v>
      </c>
      <c r="AP101" s="58" t="s">
        <v>134</v>
      </c>
      <c r="AQ101" s="58" t="s">
        <v>134</v>
      </c>
      <c r="AR101" s="58" t="s">
        <v>134</v>
      </c>
      <c r="AS101" s="58" t="s">
        <v>134</v>
      </c>
      <c r="AT101" s="58" t="s">
        <v>134</v>
      </c>
      <c r="AU101" s="58" t="s">
        <v>134</v>
      </c>
      <c r="AV101" s="58" t="s">
        <v>134</v>
      </c>
      <c r="AW101" s="58" t="s">
        <v>134</v>
      </c>
      <c r="AX101" s="58" t="s">
        <v>134</v>
      </c>
      <c r="AY101" s="58" t="s">
        <v>134</v>
      </c>
      <c r="AZ101" s="58" t="s">
        <v>134</v>
      </c>
      <c r="BA101" s="58" t="s">
        <v>134</v>
      </c>
      <c r="BB101" s="58" t="s">
        <v>134</v>
      </c>
      <c r="BC101" s="58" t="s">
        <v>134</v>
      </c>
      <c r="BD101" s="58" t="s">
        <v>134</v>
      </c>
      <c r="BE101" s="58" t="s">
        <v>134</v>
      </c>
      <c r="BF101" s="58" t="s">
        <v>134</v>
      </c>
      <c r="BG101" s="58" t="s">
        <v>134</v>
      </c>
      <c r="BH101" s="58" t="s">
        <v>134</v>
      </c>
      <c r="BI101" s="58" t="s">
        <v>134</v>
      </c>
      <c r="BJ101" s="58" t="s">
        <v>134</v>
      </c>
      <c r="BK101" s="58" t="s">
        <v>134</v>
      </c>
      <c r="BL101" s="58" t="s">
        <v>134</v>
      </c>
      <c r="BM101" s="58" t="s">
        <v>134</v>
      </c>
      <c r="BN101" s="58" t="s">
        <v>134</v>
      </c>
      <c r="BO101" s="58" t="s">
        <v>134</v>
      </c>
      <c r="BP101" s="58" t="s">
        <v>134</v>
      </c>
      <c r="BQ101" s="58" t="s">
        <v>134</v>
      </c>
      <c r="BR101" s="58" t="s">
        <v>134</v>
      </c>
      <c r="BS101" s="58" t="s">
        <v>134</v>
      </c>
      <c r="BT101" s="58" t="s">
        <v>134</v>
      </c>
      <c r="BU101" s="58" t="s">
        <v>134</v>
      </c>
      <c r="BV101" s="58" t="s">
        <v>134</v>
      </c>
      <c r="BW101" s="58" t="s">
        <v>134</v>
      </c>
      <c r="BX101" s="58" t="s">
        <v>134</v>
      </c>
      <c r="BY101" s="58" t="s">
        <v>134</v>
      </c>
      <c r="BZ101" s="58" t="s">
        <v>134</v>
      </c>
      <c r="CA101" s="58" t="s">
        <v>134</v>
      </c>
      <c r="CB101" s="58" t="s">
        <v>134</v>
      </c>
      <c r="CC101" s="58" t="s">
        <v>134</v>
      </c>
      <c r="CD101" s="58" t="s">
        <v>134</v>
      </c>
      <c r="CE101" s="58" t="s">
        <v>134</v>
      </c>
      <c r="CF101" s="58" t="s">
        <v>134</v>
      </c>
      <c r="CG101" s="58" t="s">
        <v>134</v>
      </c>
      <c r="CH101" s="58" t="s">
        <v>134</v>
      </c>
      <c r="CI101" s="58" t="s">
        <v>134</v>
      </c>
      <c r="CJ101" s="58" t="s">
        <v>134</v>
      </c>
      <c r="CK101" s="58" t="s">
        <v>134</v>
      </c>
      <c r="CL101" s="58" t="s">
        <v>134</v>
      </c>
      <c r="CM101" s="58" t="s">
        <v>134</v>
      </c>
      <c r="CN101" s="58" t="s">
        <v>134</v>
      </c>
      <c r="CO101" s="58" t="s">
        <v>134</v>
      </c>
      <c r="CP101" s="58" t="s">
        <v>134</v>
      </c>
      <c r="CQ101" s="58" t="s">
        <v>134</v>
      </c>
      <c r="CR101" s="58" t="s">
        <v>134</v>
      </c>
      <c r="CS101" s="58" t="s">
        <v>134</v>
      </c>
      <c r="CT101" s="58" t="s">
        <v>134</v>
      </c>
      <c r="CU101" s="58" t="s">
        <v>134</v>
      </c>
      <c r="CV101" s="58" t="s">
        <v>134</v>
      </c>
      <c r="CW101" s="58" t="s">
        <v>134</v>
      </c>
      <c r="CX101" s="58" t="s">
        <v>134</v>
      </c>
      <c r="CY101" s="58" t="s">
        <v>134</v>
      </c>
      <c r="CZ101" s="58" t="s">
        <v>134</v>
      </c>
      <c r="DA101" s="58" t="s">
        <v>134</v>
      </c>
      <c r="DB101" s="58" t="s">
        <v>134</v>
      </c>
      <c r="DC101" s="58" t="s">
        <v>134</v>
      </c>
      <c r="DD101" s="58" t="s">
        <v>134</v>
      </c>
      <c r="DE101" s="58" t="s">
        <v>134</v>
      </c>
      <c r="DF101" s="58" t="s">
        <v>134</v>
      </c>
      <c r="DG101" s="58" t="s">
        <v>134</v>
      </c>
      <c r="DH101" s="58" t="s">
        <v>134</v>
      </c>
      <c r="DI101" s="58" t="s">
        <v>134</v>
      </c>
      <c r="DJ101" s="58" t="s">
        <v>134</v>
      </c>
      <c r="DK101" s="58" t="s">
        <v>134</v>
      </c>
      <c r="DL101" s="58" t="s">
        <v>134</v>
      </c>
      <c r="DM101" s="58" t="s">
        <v>134</v>
      </c>
      <c r="DN101" s="58" t="s">
        <v>134</v>
      </c>
      <c r="DO101" s="58" t="s">
        <v>134</v>
      </c>
      <c r="DP101" s="58" t="s">
        <v>134</v>
      </c>
      <c r="DQ101" s="58" t="s">
        <v>134</v>
      </c>
      <c r="DR101" s="58">
        <v>0.0</v>
      </c>
      <c r="DS101" s="58" t="s">
        <v>134</v>
      </c>
      <c r="DT101" s="58" t="s">
        <v>134</v>
      </c>
      <c r="DU101" s="58" t="s">
        <v>134</v>
      </c>
      <c r="DV101" s="58" t="s">
        <v>134</v>
      </c>
      <c r="DW101" s="58" t="s">
        <v>134</v>
      </c>
      <c r="DX101" s="58" t="s">
        <v>134</v>
      </c>
      <c r="DY101" s="58" t="s">
        <v>134</v>
      </c>
      <c r="DZ101" s="58" t="s">
        <v>134</v>
      </c>
      <c r="EA101" s="58" t="s">
        <v>134</v>
      </c>
      <c r="EB101" s="58" t="s">
        <v>134</v>
      </c>
      <c r="EC101" s="58" t="s">
        <v>134</v>
      </c>
      <c r="ED101" s="58" t="s">
        <v>134</v>
      </c>
      <c r="EE101" s="58" t="s">
        <v>134</v>
      </c>
      <c r="EF101" s="58">
        <v>1.0</v>
      </c>
      <c r="EG101" s="58">
        <v>1.0</v>
      </c>
      <c r="EH101" s="58">
        <v>1.0</v>
      </c>
      <c r="EI101" s="58">
        <v>0.0</v>
      </c>
      <c r="EJ101" s="58">
        <v>0.0</v>
      </c>
      <c r="EK101" s="58">
        <v>0.0</v>
      </c>
      <c r="EL101" s="58">
        <v>1.0</v>
      </c>
      <c r="EM101" s="58" t="s">
        <v>134</v>
      </c>
      <c r="EN101" s="58" t="s">
        <v>134</v>
      </c>
      <c r="EO101" s="58">
        <v>0.0</v>
      </c>
      <c r="EP101" s="58">
        <v>0.0</v>
      </c>
      <c r="EQ101" s="58">
        <v>0.0</v>
      </c>
      <c r="ER101" s="58" t="s">
        <v>134</v>
      </c>
      <c r="ES101" s="58" t="s">
        <v>134</v>
      </c>
      <c r="ET101" s="58" t="s">
        <v>134</v>
      </c>
    </row>
    <row r="102">
      <c r="A102" s="58" t="s">
        <v>241</v>
      </c>
      <c r="B102" s="58" t="s">
        <v>134</v>
      </c>
      <c r="C102" s="58" t="s">
        <v>134</v>
      </c>
      <c r="D102" s="58" t="s">
        <v>134</v>
      </c>
      <c r="E102" s="58" t="s">
        <v>134</v>
      </c>
      <c r="F102" s="58" t="s">
        <v>134</v>
      </c>
      <c r="G102" s="58" t="s">
        <v>134</v>
      </c>
      <c r="H102" s="58" t="s">
        <v>134</v>
      </c>
      <c r="I102" s="58" t="s">
        <v>134</v>
      </c>
      <c r="J102" s="58" t="s">
        <v>134</v>
      </c>
      <c r="K102" s="58" t="s">
        <v>134</v>
      </c>
      <c r="L102" s="58" t="s">
        <v>134</v>
      </c>
      <c r="M102" s="58" t="s">
        <v>134</v>
      </c>
      <c r="N102" s="58" t="s">
        <v>134</v>
      </c>
      <c r="O102" s="58" t="s">
        <v>134</v>
      </c>
      <c r="P102" s="58" t="s">
        <v>134</v>
      </c>
      <c r="Q102" s="58" t="s">
        <v>134</v>
      </c>
      <c r="R102" s="58" t="s">
        <v>134</v>
      </c>
      <c r="S102" s="58" t="s">
        <v>134</v>
      </c>
      <c r="T102" s="58" t="s">
        <v>134</v>
      </c>
      <c r="U102" s="58" t="s">
        <v>134</v>
      </c>
      <c r="V102" s="58" t="s">
        <v>134</v>
      </c>
      <c r="W102" s="58" t="s">
        <v>134</v>
      </c>
      <c r="X102" s="58" t="s">
        <v>134</v>
      </c>
      <c r="Y102" s="58" t="s">
        <v>134</v>
      </c>
      <c r="Z102" s="58" t="s">
        <v>134</v>
      </c>
      <c r="AA102" s="58" t="s">
        <v>134</v>
      </c>
      <c r="AB102" s="58" t="s">
        <v>134</v>
      </c>
      <c r="AC102" s="58" t="s">
        <v>134</v>
      </c>
      <c r="AD102" s="58" t="s">
        <v>134</v>
      </c>
      <c r="AE102" s="58" t="s">
        <v>134</v>
      </c>
      <c r="AF102" s="58" t="s">
        <v>134</v>
      </c>
      <c r="AG102" s="58" t="s">
        <v>134</v>
      </c>
      <c r="AH102" s="58" t="s">
        <v>134</v>
      </c>
      <c r="AI102" s="58" t="s">
        <v>134</v>
      </c>
      <c r="AJ102" s="58" t="s">
        <v>134</v>
      </c>
      <c r="AK102" s="58" t="s">
        <v>134</v>
      </c>
      <c r="AL102" s="58" t="s">
        <v>134</v>
      </c>
      <c r="AM102" s="58" t="s">
        <v>134</v>
      </c>
      <c r="AN102" s="58" t="s">
        <v>134</v>
      </c>
      <c r="AO102" s="58" t="s">
        <v>134</v>
      </c>
      <c r="AP102" s="58" t="s">
        <v>134</v>
      </c>
      <c r="AQ102" s="58" t="s">
        <v>134</v>
      </c>
      <c r="AR102" s="58" t="s">
        <v>134</v>
      </c>
      <c r="AS102" s="58" t="s">
        <v>134</v>
      </c>
      <c r="AT102" s="58" t="s">
        <v>134</v>
      </c>
      <c r="AU102" s="58" t="s">
        <v>134</v>
      </c>
      <c r="AV102" s="58" t="s">
        <v>134</v>
      </c>
      <c r="AW102" s="58" t="s">
        <v>134</v>
      </c>
      <c r="AX102" s="58" t="s">
        <v>134</v>
      </c>
      <c r="AY102" s="58" t="s">
        <v>134</v>
      </c>
      <c r="AZ102" s="58" t="s">
        <v>134</v>
      </c>
      <c r="BA102" s="58" t="s">
        <v>134</v>
      </c>
      <c r="BB102" s="58" t="s">
        <v>134</v>
      </c>
      <c r="BC102" s="58" t="s">
        <v>134</v>
      </c>
      <c r="BD102" s="58" t="s">
        <v>134</v>
      </c>
      <c r="BE102" s="58" t="s">
        <v>134</v>
      </c>
      <c r="BF102" s="58" t="s">
        <v>134</v>
      </c>
      <c r="BG102" s="58" t="s">
        <v>134</v>
      </c>
      <c r="BH102" s="58" t="s">
        <v>134</v>
      </c>
      <c r="BI102" s="58" t="s">
        <v>134</v>
      </c>
      <c r="BJ102" s="58" t="s">
        <v>134</v>
      </c>
      <c r="BK102" s="58" t="s">
        <v>134</v>
      </c>
      <c r="BL102" s="58" t="s">
        <v>134</v>
      </c>
      <c r="BM102" s="58" t="s">
        <v>134</v>
      </c>
      <c r="BN102" s="58" t="s">
        <v>134</v>
      </c>
      <c r="BO102" s="58" t="s">
        <v>134</v>
      </c>
      <c r="BP102" s="58" t="s">
        <v>134</v>
      </c>
      <c r="BQ102" s="58" t="s">
        <v>134</v>
      </c>
      <c r="BR102" s="58" t="s">
        <v>134</v>
      </c>
      <c r="BS102" s="58" t="s">
        <v>134</v>
      </c>
      <c r="BT102" s="58" t="s">
        <v>134</v>
      </c>
      <c r="BU102" s="58" t="s">
        <v>134</v>
      </c>
      <c r="BV102" s="58" t="s">
        <v>134</v>
      </c>
      <c r="BW102" s="58" t="s">
        <v>134</v>
      </c>
      <c r="BX102" s="58" t="s">
        <v>134</v>
      </c>
      <c r="BY102" s="58" t="s">
        <v>134</v>
      </c>
      <c r="BZ102" s="58" t="s">
        <v>134</v>
      </c>
      <c r="CA102" s="58" t="s">
        <v>134</v>
      </c>
      <c r="CB102" s="58" t="s">
        <v>134</v>
      </c>
      <c r="CC102" s="58" t="s">
        <v>134</v>
      </c>
      <c r="CD102" s="58" t="s">
        <v>134</v>
      </c>
      <c r="CE102" s="58" t="s">
        <v>134</v>
      </c>
      <c r="CF102" s="58" t="s">
        <v>134</v>
      </c>
      <c r="CG102" s="58" t="s">
        <v>134</v>
      </c>
      <c r="CH102" s="58" t="s">
        <v>134</v>
      </c>
      <c r="CI102" s="58" t="s">
        <v>134</v>
      </c>
      <c r="CJ102" s="58" t="s">
        <v>134</v>
      </c>
      <c r="CK102" s="58" t="s">
        <v>134</v>
      </c>
      <c r="CL102" s="58" t="s">
        <v>134</v>
      </c>
      <c r="CM102" s="58" t="s">
        <v>134</v>
      </c>
      <c r="CN102" s="58" t="s">
        <v>134</v>
      </c>
      <c r="CO102" s="58" t="s">
        <v>134</v>
      </c>
      <c r="CP102" s="58" t="s">
        <v>134</v>
      </c>
      <c r="CQ102" s="58" t="s">
        <v>134</v>
      </c>
      <c r="CR102" s="58" t="s">
        <v>134</v>
      </c>
      <c r="CS102" s="58" t="s">
        <v>134</v>
      </c>
      <c r="CT102" s="58" t="s">
        <v>134</v>
      </c>
      <c r="CU102" s="58" t="s">
        <v>134</v>
      </c>
      <c r="CV102" s="58" t="s">
        <v>134</v>
      </c>
      <c r="CW102" s="58" t="s">
        <v>134</v>
      </c>
      <c r="CX102" s="58" t="s">
        <v>134</v>
      </c>
      <c r="CY102" s="58" t="s">
        <v>134</v>
      </c>
      <c r="CZ102" s="58" t="s">
        <v>134</v>
      </c>
      <c r="DA102" s="58" t="s">
        <v>134</v>
      </c>
      <c r="DB102" s="58" t="s">
        <v>134</v>
      </c>
      <c r="DC102" s="58" t="s">
        <v>134</v>
      </c>
      <c r="DD102" s="58" t="s">
        <v>134</v>
      </c>
      <c r="DE102" s="58" t="s">
        <v>134</v>
      </c>
      <c r="DF102" s="58" t="s">
        <v>134</v>
      </c>
      <c r="DG102" s="58" t="s">
        <v>134</v>
      </c>
      <c r="DH102" s="58" t="s">
        <v>134</v>
      </c>
      <c r="DI102" s="58" t="s">
        <v>134</v>
      </c>
      <c r="DJ102" s="58" t="s">
        <v>134</v>
      </c>
      <c r="DK102" s="58" t="s">
        <v>134</v>
      </c>
      <c r="DL102" s="58" t="s">
        <v>134</v>
      </c>
      <c r="DM102" s="58" t="s">
        <v>134</v>
      </c>
      <c r="DN102" s="58" t="s">
        <v>134</v>
      </c>
      <c r="DO102" s="58" t="s">
        <v>134</v>
      </c>
      <c r="DP102" s="58" t="s">
        <v>134</v>
      </c>
      <c r="DQ102" s="58" t="s">
        <v>134</v>
      </c>
      <c r="DR102" s="58" t="s">
        <v>134</v>
      </c>
      <c r="DS102" s="58" t="s">
        <v>134</v>
      </c>
      <c r="DT102" s="58" t="s">
        <v>134</v>
      </c>
      <c r="DU102" s="58" t="s">
        <v>134</v>
      </c>
      <c r="DV102" s="58" t="s">
        <v>134</v>
      </c>
      <c r="DW102" s="58" t="s">
        <v>134</v>
      </c>
      <c r="DX102" s="58" t="s">
        <v>134</v>
      </c>
      <c r="DY102" s="58" t="s">
        <v>134</v>
      </c>
      <c r="DZ102" s="58" t="s">
        <v>134</v>
      </c>
      <c r="EA102" s="58" t="s">
        <v>134</v>
      </c>
      <c r="EB102" s="58" t="s">
        <v>134</v>
      </c>
      <c r="EC102" s="58" t="s">
        <v>134</v>
      </c>
      <c r="ED102" s="58" t="s">
        <v>134</v>
      </c>
      <c r="EE102" s="58" t="s">
        <v>134</v>
      </c>
      <c r="EF102" s="58" t="s">
        <v>134</v>
      </c>
      <c r="EG102" s="58" t="s">
        <v>134</v>
      </c>
      <c r="EH102" s="58" t="s">
        <v>134</v>
      </c>
      <c r="EI102" s="58">
        <v>0.0</v>
      </c>
      <c r="EJ102" s="58" t="s">
        <v>134</v>
      </c>
      <c r="EK102" s="58" t="s">
        <v>134</v>
      </c>
      <c r="EL102" s="58" t="s">
        <v>134</v>
      </c>
      <c r="EM102" s="58" t="s">
        <v>134</v>
      </c>
      <c r="EN102" s="58">
        <v>0.0</v>
      </c>
      <c r="EO102" s="58">
        <v>0.0</v>
      </c>
      <c r="EP102" s="58">
        <v>0.0</v>
      </c>
      <c r="EQ102" s="58">
        <v>0.0</v>
      </c>
      <c r="ER102" s="58" t="s">
        <v>134</v>
      </c>
      <c r="ES102" s="58" t="s">
        <v>134</v>
      </c>
      <c r="ET102" s="58" t="s">
        <v>134</v>
      </c>
    </row>
    <row r="103">
      <c r="A103" s="58" t="s">
        <v>96</v>
      </c>
      <c r="B103" s="58" t="s">
        <v>134</v>
      </c>
      <c r="C103" s="58" t="s">
        <v>134</v>
      </c>
      <c r="D103" s="58" t="s">
        <v>134</v>
      </c>
      <c r="E103" s="58" t="s">
        <v>134</v>
      </c>
      <c r="F103" s="58" t="s">
        <v>134</v>
      </c>
      <c r="G103" s="58" t="s">
        <v>134</v>
      </c>
      <c r="H103" s="58" t="s">
        <v>134</v>
      </c>
      <c r="I103" s="58">
        <v>0.0831</v>
      </c>
      <c r="J103" s="58" t="s">
        <v>134</v>
      </c>
      <c r="K103" s="58">
        <v>0.0</v>
      </c>
      <c r="L103" s="58">
        <v>0.0</v>
      </c>
      <c r="M103" s="58" t="s">
        <v>134</v>
      </c>
      <c r="N103" s="58" t="s">
        <v>134</v>
      </c>
      <c r="O103" s="58" t="s">
        <v>134</v>
      </c>
      <c r="P103" s="58" t="s">
        <v>134</v>
      </c>
      <c r="Q103" s="58" t="s">
        <v>134</v>
      </c>
      <c r="R103" s="58" t="s">
        <v>134</v>
      </c>
      <c r="S103" s="58" t="s">
        <v>134</v>
      </c>
      <c r="T103" s="58" t="s">
        <v>134</v>
      </c>
      <c r="U103" s="58" t="s">
        <v>134</v>
      </c>
      <c r="V103" s="58" t="s">
        <v>134</v>
      </c>
      <c r="W103" s="58" t="s">
        <v>134</v>
      </c>
      <c r="X103" s="58" t="s">
        <v>134</v>
      </c>
      <c r="Y103" s="58" t="s">
        <v>134</v>
      </c>
      <c r="Z103" s="58" t="s">
        <v>134</v>
      </c>
      <c r="AA103" s="58" t="s">
        <v>134</v>
      </c>
      <c r="AB103" s="58" t="s">
        <v>134</v>
      </c>
      <c r="AC103" s="58" t="s">
        <v>134</v>
      </c>
      <c r="AD103" s="58" t="s">
        <v>134</v>
      </c>
      <c r="AE103" s="58" t="s">
        <v>134</v>
      </c>
      <c r="AF103" s="58" t="s">
        <v>134</v>
      </c>
      <c r="AG103" s="58" t="s">
        <v>134</v>
      </c>
      <c r="AH103" s="58" t="s">
        <v>134</v>
      </c>
      <c r="AI103" s="58" t="s">
        <v>134</v>
      </c>
      <c r="AJ103" s="58" t="s">
        <v>134</v>
      </c>
      <c r="AK103" s="58" t="s">
        <v>134</v>
      </c>
      <c r="AL103" s="58" t="s">
        <v>134</v>
      </c>
      <c r="AM103" s="58" t="s">
        <v>134</v>
      </c>
      <c r="AN103" s="58">
        <v>0.0</v>
      </c>
      <c r="AO103" s="58" t="s">
        <v>134</v>
      </c>
      <c r="AP103" s="58" t="s">
        <v>134</v>
      </c>
      <c r="AQ103" s="58" t="s">
        <v>134</v>
      </c>
      <c r="AR103" s="58" t="s">
        <v>134</v>
      </c>
      <c r="AS103" s="58" t="s">
        <v>134</v>
      </c>
      <c r="AT103" s="58" t="s">
        <v>134</v>
      </c>
      <c r="AU103" s="58" t="s">
        <v>134</v>
      </c>
      <c r="AV103" s="58" t="s">
        <v>134</v>
      </c>
      <c r="AW103" s="58" t="s">
        <v>134</v>
      </c>
      <c r="AX103" s="58" t="s">
        <v>134</v>
      </c>
      <c r="AY103" s="58" t="s">
        <v>134</v>
      </c>
      <c r="AZ103" s="58" t="s">
        <v>134</v>
      </c>
      <c r="BA103" s="58" t="s">
        <v>134</v>
      </c>
      <c r="BB103" s="58" t="s">
        <v>134</v>
      </c>
      <c r="BC103" s="58" t="s">
        <v>134</v>
      </c>
      <c r="BD103" s="58" t="s">
        <v>134</v>
      </c>
      <c r="BE103" s="58" t="s">
        <v>134</v>
      </c>
      <c r="BF103" s="58" t="s">
        <v>134</v>
      </c>
      <c r="BG103" s="58" t="s">
        <v>134</v>
      </c>
      <c r="BH103" s="58" t="s">
        <v>134</v>
      </c>
      <c r="BI103" s="58" t="s">
        <v>134</v>
      </c>
      <c r="BJ103" s="58" t="s">
        <v>134</v>
      </c>
      <c r="BK103" s="58" t="s">
        <v>134</v>
      </c>
      <c r="BL103" s="58" t="s">
        <v>134</v>
      </c>
      <c r="BM103" s="58" t="s">
        <v>134</v>
      </c>
      <c r="BN103" s="58" t="s">
        <v>134</v>
      </c>
      <c r="BO103" s="58" t="s">
        <v>134</v>
      </c>
      <c r="BP103" s="58" t="s">
        <v>134</v>
      </c>
      <c r="BQ103" s="58" t="s">
        <v>134</v>
      </c>
      <c r="BR103" s="58" t="s">
        <v>134</v>
      </c>
      <c r="BS103" s="58" t="s">
        <v>134</v>
      </c>
      <c r="BT103" s="58" t="s">
        <v>134</v>
      </c>
      <c r="BU103" s="58" t="s">
        <v>134</v>
      </c>
      <c r="BV103" s="58" t="s">
        <v>134</v>
      </c>
      <c r="BW103" s="58" t="s">
        <v>134</v>
      </c>
      <c r="BX103" s="58" t="s">
        <v>134</v>
      </c>
      <c r="BY103" s="58" t="s">
        <v>134</v>
      </c>
      <c r="BZ103" s="58" t="s">
        <v>134</v>
      </c>
      <c r="CA103" s="58" t="s">
        <v>134</v>
      </c>
      <c r="CB103" s="58" t="s">
        <v>134</v>
      </c>
      <c r="CC103" s="58" t="s">
        <v>134</v>
      </c>
      <c r="CD103" s="58" t="s">
        <v>134</v>
      </c>
      <c r="CE103" s="58" t="s">
        <v>134</v>
      </c>
      <c r="CF103" s="58" t="s">
        <v>134</v>
      </c>
      <c r="CG103" s="58" t="s">
        <v>134</v>
      </c>
      <c r="CH103" s="58" t="s">
        <v>134</v>
      </c>
      <c r="CI103" s="58" t="s">
        <v>134</v>
      </c>
      <c r="CJ103" s="58" t="s">
        <v>134</v>
      </c>
      <c r="CK103" s="58" t="s">
        <v>134</v>
      </c>
      <c r="CL103" s="58" t="s">
        <v>134</v>
      </c>
      <c r="CM103" s="58" t="s">
        <v>134</v>
      </c>
      <c r="CN103" s="58" t="s">
        <v>134</v>
      </c>
      <c r="CO103" s="58" t="s">
        <v>134</v>
      </c>
      <c r="CP103" s="58" t="s">
        <v>134</v>
      </c>
      <c r="CQ103" s="58" t="s">
        <v>134</v>
      </c>
      <c r="CR103" s="58" t="s">
        <v>134</v>
      </c>
      <c r="CS103" s="58" t="s">
        <v>134</v>
      </c>
      <c r="CT103" s="58" t="s">
        <v>134</v>
      </c>
      <c r="CU103" s="58" t="s">
        <v>134</v>
      </c>
      <c r="CV103" s="58" t="s">
        <v>134</v>
      </c>
      <c r="CW103" s="58" t="s">
        <v>134</v>
      </c>
      <c r="CX103" s="58" t="s">
        <v>134</v>
      </c>
      <c r="CY103" s="58" t="s">
        <v>134</v>
      </c>
      <c r="CZ103" s="58" t="s">
        <v>134</v>
      </c>
      <c r="DA103" s="58" t="s">
        <v>134</v>
      </c>
      <c r="DB103" s="58" t="s">
        <v>134</v>
      </c>
      <c r="DC103" s="58" t="s">
        <v>134</v>
      </c>
      <c r="DD103" s="58" t="s">
        <v>134</v>
      </c>
      <c r="DE103" s="58" t="s">
        <v>134</v>
      </c>
      <c r="DF103" s="58" t="s">
        <v>134</v>
      </c>
      <c r="DG103" s="58" t="s">
        <v>134</v>
      </c>
      <c r="DH103" s="58" t="s">
        <v>134</v>
      </c>
      <c r="DI103" s="58" t="s">
        <v>134</v>
      </c>
      <c r="DJ103" s="58" t="s">
        <v>134</v>
      </c>
      <c r="DK103" s="58" t="s">
        <v>134</v>
      </c>
      <c r="DL103" s="58" t="s">
        <v>134</v>
      </c>
      <c r="DM103" s="58" t="s">
        <v>134</v>
      </c>
      <c r="DN103" s="58" t="s">
        <v>134</v>
      </c>
      <c r="DO103" s="58" t="s">
        <v>134</v>
      </c>
      <c r="DP103" s="58" t="s">
        <v>134</v>
      </c>
      <c r="DQ103" s="58" t="s">
        <v>134</v>
      </c>
      <c r="DR103" s="196">
        <v>0.0</v>
      </c>
      <c r="DS103" s="58" t="s">
        <v>134</v>
      </c>
      <c r="DT103" s="58" t="s">
        <v>134</v>
      </c>
      <c r="DU103" s="58" t="s">
        <v>134</v>
      </c>
      <c r="DV103" s="58" t="s">
        <v>134</v>
      </c>
      <c r="DW103" s="58" t="s">
        <v>134</v>
      </c>
      <c r="DX103" s="58" t="s">
        <v>134</v>
      </c>
      <c r="DY103" s="58" t="s">
        <v>134</v>
      </c>
      <c r="DZ103" s="58" t="s">
        <v>134</v>
      </c>
      <c r="EA103" s="58" t="s">
        <v>134</v>
      </c>
      <c r="EB103" s="58" t="s">
        <v>134</v>
      </c>
      <c r="EC103" s="58" t="s">
        <v>134</v>
      </c>
      <c r="ED103" s="58" t="s">
        <v>134</v>
      </c>
      <c r="EE103" s="58" t="s">
        <v>134</v>
      </c>
      <c r="EF103" s="196">
        <v>0.0</v>
      </c>
      <c r="EG103" s="196">
        <v>0.0</v>
      </c>
      <c r="EH103" s="196">
        <v>0.0</v>
      </c>
      <c r="EI103" s="196">
        <v>0.0</v>
      </c>
      <c r="EJ103" s="196">
        <v>0.0</v>
      </c>
      <c r="EK103" s="196">
        <v>0.0</v>
      </c>
      <c r="EL103" s="196">
        <v>0.0</v>
      </c>
      <c r="EM103" s="196">
        <v>0.0</v>
      </c>
      <c r="EN103" s="196">
        <v>0.0</v>
      </c>
      <c r="EO103" s="58">
        <v>0.0</v>
      </c>
      <c r="EP103" s="58">
        <v>0.0</v>
      </c>
      <c r="EQ103" s="58">
        <v>0.0</v>
      </c>
      <c r="ER103" s="58" t="s">
        <v>134</v>
      </c>
      <c r="ES103" s="58" t="s">
        <v>134</v>
      </c>
      <c r="ET103" s="58" t="s">
        <v>134</v>
      </c>
    </row>
    <row r="104">
      <c r="A104" s="58" t="s">
        <v>248</v>
      </c>
      <c r="B104" s="58" t="s">
        <v>134</v>
      </c>
      <c r="C104" s="58" t="s">
        <v>134</v>
      </c>
      <c r="D104" s="58" t="s">
        <v>134</v>
      </c>
      <c r="E104" s="58" t="s">
        <v>134</v>
      </c>
      <c r="F104" s="58" t="s">
        <v>134</v>
      </c>
      <c r="G104" s="58" t="s">
        <v>134</v>
      </c>
      <c r="H104" s="58" t="s">
        <v>134</v>
      </c>
      <c r="I104" s="58" t="s">
        <v>134</v>
      </c>
      <c r="J104" s="58" t="s">
        <v>134</v>
      </c>
      <c r="K104" s="58">
        <v>0.0</v>
      </c>
      <c r="L104" s="58">
        <v>0.0</v>
      </c>
      <c r="M104" s="58" t="s">
        <v>134</v>
      </c>
      <c r="N104" s="58" t="s">
        <v>134</v>
      </c>
      <c r="O104" s="58" t="s">
        <v>134</v>
      </c>
      <c r="P104" s="58" t="s">
        <v>134</v>
      </c>
      <c r="Q104" s="58" t="s">
        <v>134</v>
      </c>
      <c r="R104" s="58" t="s">
        <v>134</v>
      </c>
      <c r="S104" s="58" t="s">
        <v>134</v>
      </c>
      <c r="T104" s="58" t="s">
        <v>134</v>
      </c>
      <c r="U104" s="58" t="s">
        <v>134</v>
      </c>
      <c r="V104" s="58" t="s">
        <v>134</v>
      </c>
      <c r="W104" s="58" t="s">
        <v>134</v>
      </c>
      <c r="X104" s="58" t="s">
        <v>134</v>
      </c>
      <c r="Y104" s="58" t="s">
        <v>134</v>
      </c>
      <c r="Z104" s="58" t="s">
        <v>134</v>
      </c>
      <c r="AA104" s="58" t="s">
        <v>134</v>
      </c>
      <c r="AB104" s="58" t="s">
        <v>134</v>
      </c>
      <c r="AC104" s="58" t="s">
        <v>134</v>
      </c>
      <c r="AD104" s="58" t="s">
        <v>134</v>
      </c>
      <c r="AE104" s="58" t="s">
        <v>134</v>
      </c>
      <c r="AF104" s="58" t="s">
        <v>134</v>
      </c>
      <c r="AG104" s="58" t="s">
        <v>134</v>
      </c>
      <c r="AH104" s="58" t="s">
        <v>134</v>
      </c>
      <c r="AI104" s="58" t="s">
        <v>134</v>
      </c>
      <c r="AJ104" s="58" t="s">
        <v>134</v>
      </c>
      <c r="AK104" s="58" t="s">
        <v>134</v>
      </c>
      <c r="AL104" s="58" t="s">
        <v>134</v>
      </c>
      <c r="AM104" s="58" t="s">
        <v>134</v>
      </c>
      <c r="AN104" s="58" t="s">
        <v>134</v>
      </c>
      <c r="AO104" s="58" t="s">
        <v>134</v>
      </c>
      <c r="AP104" s="58" t="s">
        <v>134</v>
      </c>
      <c r="AQ104" s="58" t="s">
        <v>134</v>
      </c>
      <c r="AR104" s="58" t="s">
        <v>134</v>
      </c>
      <c r="AS104" s="58" t="s">
        <v>134</v>
      </c>
      <c r="AT104" s="58" t="s">
        <v>134</v>
      </c>
      <c r="AU104" s="58" t="s">
        <v>134</v>
      </c>
      <c r="AV104" s="58" t="s">
        <v>134</v>
      </c>
      <c r="AW104" s="58" t="s">
        <v>134</v>
      </c>
      <c r="AX104" s="58" t="s">
        <v>134</v>
      </c>
      <c r="AY104" s="58" t="s">
        <v>134</v>
      </c>
      <c r="AZ104" s="58" t="s">
        <v>134</v>
      </c>
      <c r="BA104" s="58" t="s">
        <v>134</v>
      </c>
      <c r="BB104" s="58" t="s">
        <v>134</v>
      </c>
      <c r="BC104" s="58" t="s">
        <v>134</v>
      </c>
      <c r="BD104" s="58" t="s">
        <v>134</v>
      </c>
      <c r="BE104" s="58" t="s">
        <v>134</v>
      </c>
      <c r="BF104" s="58" t="s">
        <v>134</v>
      </c>
      <c r="BG104" s="58" t="s">
        <v>134</v>
      </c>
      <c r="BH104" s="58" t="s">
        <v>134</v>
      </c>
      <c r="BI104" s="58" t="s">
        <v>134</v>
      </c>
      <c r="BJ104" s="58" t="s">
        <v>134</v>
      </c>
      <c r="BK104" s="58" t="s">
        <v>134</v>
      </c>
      <c r="BL104" s="58" t="s">
        <v>134</v>
      </c>
      <c r="BM104" s="58" t="s">
        <v>134</v>
      </c>
      <c r="BN104" s="58" t="s">
        <v>134</v>
      </c>
      <c r="BO104" s="58" t="s">
        <v>134</v>
      </c>
      <c r="BP104" s="58" t="s">
        <v>134</v>
      </c>
      <c r="BQ104" s="58" t="s">
        <v>134</v>
      </c>
      <c r="BR104" s="58" t="s">
        <v>134</v>
      </c>
      <c r="BS104" s="58" t="s">
        <v>134</v>
      </c>
      <c r="BT104" s="58" t="s">
        <v>134</v>
      </c>
      <c r="BU104" s="58" t="s">
        <v>134</v>
      </c>
      <c r="BV104" s="58" t="s">
        <v>134</v>
      </c>
      <c r="BW104" s="58" t="s">
        <v>134</v>
      </c>
      <c r="BX104" s="58" t="s">
        <v>134</v>
      </c>
      <c r="BY104" s="58" t="s">
        <v>134</v>
      </c>
      <c r="BZ104" s="58" t="s">
        <v>134</v>
      </c>
      <c r="CA104" s="58" t="s">
        <v>134</v>
      </c>
      <c r="CB104" s="58" t="s">
        <v>134</v>
      </c>
      <c r="CC104" s="58" t="s">
        <v>134</v>
      </c>
      <c r="CD104" s="58" t="s">
        <v>134</v>
      </c>
      <c r="CE104" s="58" t="s">
        <v>134</v>
      </c>
      <c r="CF104" s="58" t="s">
        <v>134</v>
      </c>
      <c r="CG104" s="58" t="s">
        <v>134</v>
      </c>
      <c r="CH104" s="58" t="s">
        <v>134</v>
      </c>
      <c r="CI104" s="58" t="s">
        <v>134</v>
      </c>
      <c r="CJ104" s="58" t="s">
        <v>134</v>
      </c>
      <c r="CK104" s="58" t="s">
        <v>134</v>
      </c>
      <c r="CL104" s="58" t="s">
        <v>134</v>
      </c>
      <c r="CM104" s="58" t="s">
        <v>134</v>
      </c>
      <c r="CN104" s="58" t="s">
        <v>134</v>
      </c>
      <c r="CO104" s="58" t="s">
        <v>134</v>
      </c>
      <c r="CP104" s="58" t="s">
        <v>134</v>
      </c>
      <c r="CQ104" s="58" t="s">
        <v>134</v>
      </c>
      <c r="CR104" s="58" t="s">
        <v>134</v>
      </c>
      <c r="CS104" s="58" t="s">
        <v>134</v>
      </c>
      <c r="CT104" s="58" t="s">
        <v>134</v>
      </c>
      <c r="CU104" s="58" t="s">
        <v>134</v>
      </c>
      <c r="CV104" s="58" t="s">
        <v>134</v>
      </c>
      <c r="CW104" s="58" t="s">
        <v>134</v>
      </c>
      <c r="CX104" s="58" t="s">
        <v>134</v>
      </c>
      <c r="CY104" s="58" t="s">
        <v>134</v>
      </c>
      <c r="CZ104" s="58" t="s">
        <v>134</v>
      </c>
      <c r="DA104" s="58" t="s">
        <v>134</v>
      </c>
      <c r="DB104" s="58" t="s">
        <v>134</v>
      </c>
      <c r="DC104" s="58" t="s">
        <v>134</v>
      </c>
      <c r="DD104" s="58" t="s">
        <v>134</v>
      </c>
      <c r="DE104" s="58" t="s">
        <v>134</v>
      </c>
      <c r="DF104" s="58" t="s">
        <v>134</v>
      </c>
      <c r="DG104" s="58" t="s">
        <v>134</v>
      </c>
      <c r="DH104" s="58" t="s">
        <v>134</v>
      </c>
      <c r="DI104" s="58" t="s">
        <v>134</v>
      </c>
      <c r="DJ104" s="58" t="s">
        <v>134</v>
      </c>
      <c r="DK104" s="58" t="s">
        <v>134</v>
      </c>
      <c r="DL104" s="58" t="s">
        <v>134</v>
      </c>
      <c r="DM104" s="58" t="s">
        <v>134</v>
      </c>
      <c r="DN104" s="58" t="s">
        <v>134</v>
      </c>
      <c r="DO104" s="58" t="s">
        <v>134</v>
      </c>
      <c r="DP104" s="58" t="s">
        <v>134</v>
      </c>
      <c r="DQ104" s="58" t="s">
        <v>134</v>
      </c>
      <c r="DR104" s="196">
        <v>0.0</v>
      </c>
      <c r="DS104" s="58" t="s">
        <v>134</v>
      </c>
      <c r="DT104" s="58" t="s">
        <v>134</v>
      </c>
      <c r="DU104" s="58" t="s">
        <v>134</v>
      </c>
      <c r="DV104" s="58" t="s">
        <v>134</v>
      </c>
      <c r="DW104" s="58" t="s">
        <v>134</v>
      </c>
      <c r="DX104" s="58" t="s">
        <v>134</v>
      </c>
      <c r="DY104" s="58" t="s">
        <v>134</v>
      </c>
      <c r="DZ104" s="58" t="s">
        <v>134</v>
      </c>
      <c r="EA104" s="58" t="s">
        <v>134</v>
      </c>
      <c r="EB104" s="58" t="s">
        <v>134</v>
      </c>
      <c r="EC104" s="58" t="s">
        <v>134</v>
      </c>
      <c r="ED104" s="58" t="s">
        <v>134</v>
      </c>
      <c r="EE104" s="58" t="s">
        <v>134</v>
      </c>
      <c r="EF104" s="196">
        <v>0.0</v>
      </c>
      <c r="EG104" s="196">
        <v>0.0</v>
      </c>
      <c r="EH104" s="196">
        <v>0.0</v>
      </c>
      <c r="EI104" s="196">
        <v>0.0</v>
      </c>
      <c r="EJ104" s="196">
        <v>0.0</v>
      </c>
      <c r="EK104" s="196">
        <v>0.0</v>
      </c>
      <c r="EL104" s="196">
        <v>0.0</v>
      </c>
      <c r="EM104" s="196">
        <v>0.0</v>
      </c>
      <c r="EN104" s="196">
        <v>0.0</v>
      </c>
      <c r="EO104" s="58">
        <v>0.0</v>
      </c>
      <c r="EP104" s="58">
        <v>0.0</v>
      </c>
      <c r="EQ104" s="58">
        <v>0.0</v>
      </c>
      <c r="ER104" s="58" t="s">
        <v>134</v>
      </c>
      <c r="ES104" s="58" t="s">
        <v>134</v>
      </c>
      <c r="ET104" s="58" t="s">
        <v>134</v>
      </c>
    </row>
    <row r="105">
      <c r="A105" s="58" t="s">
        <v>75</v>
      </c>
      <c r="B105" s="58" t="s">
        <v>134</v>
      </c>
      <c r="C105" s="58" t="s">
        <v>134</v>
      </c>
      <c r="D105" s="58" t="s">
        <v>134</v>
      </c>
      <c r="E105" s="58" t="s">
        <v>134</v>
      </c>
      <c r="F105" s="58" t="s">
        <v>134</v>
      </c>
      <c r="G105" s="58" t="s">
        <v>134</v>
      </c>
      <c r="H105" s="58" t="s">
        <v>134</v>
      </c>
      <c r="I105" s="58">
        <v>0.0386</v>
      </c>
      <c r="J105" s="58" t="s">
        <v>134</v>
      </c>
      <c r="K105" s="58">
        <v>0.0</v>
      </c>
      <c r="L105" s="58">
        <v>0.0</v>
      </c>
      <c r="M105" s="58" t="s">
        <v>134</v>
      </c>
      <c r="N105" s="58" t="s">
        <v>134</v>
      </c>
      <c r="O105" s="58" t="s">
        <v>134</v>
      </c>
      <c r="P105" s="58" t="s">
        <v>134</v>
      </c>
      <c r="Q105" s="58" t="s">
        <v>134</v>
      </c>
      <c r="R105" s="58" t="s">
        <v>134</v>
      </c>
      <c r="S105" s="58" t="s">
        <v>134</v>
      </c>
      <c r="T105" s="58" t="s">
        <v>134</v>
      </c>
      <c r="U105" s="58" t="s">
        <v>134</v>
      </c>
      <c r="V105" s="58" t="s">
        <v>134</v>
      </c>
      <c r="W105" s="58" t="s">
        <v>134</v>
      </c>
      <c r="X105" s="58" t="s">
        <v>134</v>
      </c>
      <c r="Y105" s="58" t="s">
        <v>134</v>
      </c>
      <c r="Z105" s="58" t="s">
        <v>134</v>
      </c>
      <c r="AA105" s="58" t="s">
        <v>134</v>
      </c>
      <c r="AB105" s="58" t="s">
        <v>134</v>
      </c>
      <c r="AC105" s="58" t="s">
        <v>134</v>
      </c>
      <c r="AD105" s="58" t="s">
        <v>134</v>
      </c>
      <c r="AE105" s="58" t="s">
        <v>134</v>
      </c>
      <c r="AF105" s="58" t="s">
        <v>134</v>
      </c>
      <c r="AG105" s="58" t="s">
        <v>134</v>
      </c>
      <c r="AH105" s="58" t="s">
        <v>134</v>
      </c>
      <c r="AI105" s="58" t="s">
        <v>134</v>
      </c>
      <c r="AJ105" s="58" t="s">
        <v>134</v>
      </c>
      <c r="AK105" s="58" t="s">
        <v>134</v>
      </c>
      <c r="AL105" s="58" t="s">
        <v>134</v>
      </c>
      <c r="AM105" s="58" t="s">
        <v>134</v>
      </c>
      <c r="AN105" s="58">
        <v>0.0</v>
      </c>
      <c r="AO105" s="58" t="s">
        <v>134</v>
      </c>
      <c r="AP105" s="58" t="s">
        <v>134</v>
      </c>
      <c r="AQ105" s="58" t="s">
        <v>134</v>
      </c>
      <c r="AR105" s="58" t="s">
        <v>134</v>
      </c>
      <c r="AS105" s="58" t="s">
        <v>134</v>
      </c>
      <c r="AT105" s="58" t="s">
        <v>134</v>
      </c>
      <c r="AU105" s="58" t="s">
        <v>134</v>
      </c>
      <c r="AV105" s="58" t="s">
        <v>134</v>
      </c>
      <c r="AW105" s="58" t="s">
        <v>134</v>
      </c>
      <c r="AX105" s="58" t="s">
        <v>134</v>
      </c>
      <c r="AY105" s="58" t="s">
        <v>134</v>
      </c>
      <c r="AZ105" s="58" t="s">
        <v>134</v>
      </c>
      <c r="BA105" s="58" t="s">
        <v>134</v>
      </c>
      <c r="BB105" s="58" t="s">
        <v>134</v>
      </c>
      <c r="BC105" s="58" t="s">
        <v>134</v>
      </c>
      <c r="BD105" s="58" t="s">
        <v>134</v>
      </c>
      <c r="BE105" s="58" t="s">
        <v>134</v>
      </c>
      <c r="BF105" s="58" t="s">
        <v>134</v>
      </c>
      <c r="BG105" s="58" t="s">
        <v>134</v>
      </c>
      <c r="BH105" s="58" t="s">
        <v>134</v>
      </c>
      <c r="BI105" s="58" t="s">
        <v>134</v>
      </c>
      <c r="BJ105" s="58" t="s">
        <v>134</v>
      </c>
      <c r="BK105" s="58" t="s">
        <v>134</v>
      </c>
      <c r="BL105" s="58" t="s">
        <v>134</v>
      </c>
      <c r="BM105" s="58" t="s">
        <v>134</v>
      </c>
      <c r="BN105" s="58" t="s">
        <v>134</v>
      </c>
      <c r="BO105" s="58" t="s">
        <v>134</v>
      </c>
      <c r="BP105" s="58" t="s">
        <v>134</v>
      </c>
      <c r="BQ105" s="58" t="s">
        <v>134</v>
      </c>
      <c r="BR105" s="58" t="s">
        <v>134</v>
      </c>
      <c r="BS105" s="58" t="s">
        <v>134</v>
      </c>
      <c r="BT105" s="58" t="s">
        <v>134</v>
      </c>
      <c r="BU105" s="58" t="s">
        <v>134</v>
      </c>
      <c r="BV105" s="58" t="s">
        <v>134</v>
      </c>
      <c r="BW105" s="58" t="s">
        <v>134</v>
      </c>
      <c r="BX105" s="58" t="s">
        <v>134</v>
      </c>
      <c r="BY105" s="58" t="s">
        <v>134</v>
      </c>
      <c r="BZ105" s="58" t="s">
        <v>134</v>
      </c>
      <c r="CA105" s="58" t="s">
        <v>134</v>
      </c>
      <c r="CB105" s="58" t="s">
        <v>134</v>
      </c>
      <c r="CC105" s="58" t="s">
        <v>134</v>
      </c>
      <c r="CD105" s="58" t="s">
        <v>134</v>
      </c>
      <c r="CE105" s="58" t="s">
        <v>134</v>
      </c>
      <c r="CF105" s="58" t="s">
        <v>134</v>
      </c>
      <c r="CG105" s="58" t="s">
        <v>134</v>
      </c>
      <c r="CH105" s="58" t="s">
        <v>134</v>
      </c>
      <c r="CI105" s="58" t="s">
        <v>134</v>
      </c>
      <c r="CJ105" s="58" t="s">
        <v>134</v>
      </c>
      <c r="CK105" s="58" t="s">
        <v>134</v>
      </c>
      <c r="CL105" s="58" t="s">
        <v>134</v>
      </c>
      <c r="CM105" s="58" t="s">
        <v>134</v>
      </c>
      <c r="CN105" s="58" t="s">
        <v>134</v>
      </c>
      <c r="CO105" s="58" t="s">
        <v>134</v>
      </c>
      <c r="CP105" s="58" t="s">
        <v>134</v>
      </c>
      <c r="CQ105" s="58" t="s">
        <v>134</v>
      </c>
      <c r="CR105" s="58" t="s">
        <v>134</v>
      </c>
      <c r="CS105" s="58" t="s">
        <v>134</v>
      </c>
      <c r="CT105" s="58" t="s">
        <v>134</v>
      </c>
      <c r="CU105" s="58" t="s">
        <v>134</v>
      </c>
      <c r="CV105" s="58" t="s">
        <v>134</v>
      </c>
      <c r="CW105" s="58" t="s">
        <v>134</v>
      </c>
      <c r="CX105" s="58" t="s">
        <v>134</v>
      </c>
      <c r="CY105" s="58" t="s">
        <v>134</v>
      </c>
      <c r="CZ105" s="58" t="s">
        <v>134</v>
      </c>
      <c r="DA105" s="58" t="s">
        <v>134</v>
      </c>
      <c r="DB105" s="58" t="s">
        <v>134</v>
      </c>
      <c r="DC105" s="58" t="s">
        <v>134</v>
      </c>
      <c r="DD105" s="58" t="s">
        <v>134</v>
      </c>
      <c r="DE105" s="58" t="s">
        <v>134</v>
      </c>
      <c r="DF105" s="58" t="s">
        <v>134</v>
      </c>
      <c r="DG105" s="58" t="s">
        <v>134</v>
      </c>
      <c r="DH105" s="58" t="s">
        <v>134</v>
      </c>
      <c r="DI105" s="58" t="s">
        <v>134</v>
      </c>
      <c r="DJ105" s="58" t="s">
        <v>134</v>
      </c>
      <c r="DK105" s="58" t="s">
        <v>134</v>
      </c>
      <c r="DL105" s="58" t="s">
        <v>134</v>
      </c>
      <c r="DM105" s="58" t="s">
        <v>134</v>
      </c>
      <c r="DN105" s="58" t="s">
        <v>134</v>
      </c>
      <c r="DO105" s="58" t="s">
        <v>134</v>
      </c>
      <c r="DP105" s="58" t="s">
        <v>134</v>
      </c>
      <c r="DQ105" s="58" t="s">
        <v>134</v>
      </c>
      <c r="DR105" s="196">
        <v>0.0</v>
      </c>
      <c r="DS105" s="58" t="s">
        <v>134</v>
      </c>
      <c r="DT105" s="58" t="s">
        <v>134</v>
      </c>
      <c r="DU105" s="58" t="s">
        <v>134</v>
      </c>
      <c r="DV105" s="58" t="s">
        <v>134</v>
      </c>
      <c r="DW105" s="58" t="s">
        <v>134</v>
      </c>
      <c r="DX105" s="58" t="s">
        <v>134</v>
      </c>
      <c r="DY105" s="58" t="s">
        <v>134</v>
      </c>
      <c r="DZ105" s="58" t="s">
        <v>134</v>
      </c>
      <c r="EA105" s="58" t="s">
        <v>134</v>
      </c>
      <c r="EB105" s="58" t="s">
        <v>134</v>
      </c>
      <c r="EC105" s="58" t="s">
        <v>134</v>
      </c>
      <c r="ED105" s="58" t="s">
        <v>134</v>
      </c>
      <c r="EE105" s="58" t="s">
        <v>134</v>
      </c>
      <c r="EF105" s="196">
        <v>0.0</v>
      </c>
      <c r="EG105" s="196">
        <v>0.0</v>
      </c>
      <c r="EH105" s="196">
        <v>0.0</v>
      </c>
      <c r="EI105" s="196">
        <v>0.0</v>
      </c>
      <c r="EJ105" s="196">
        <v>0.0</v>
      </c>
      <c r="EK105" s="196">
        <v>0.0</v>
      </c>
      <c r="EL105" s="196">
        <v>0.0</v>
      </c>
      <c r="EM105" s="196">
        <v>0.0</v>
      </c>
      <c r="EN105" s="196">
        <v>0.0</v>
      </c>
      <c r="EO105" s="58">
        <v>0.0</v>
      </c>
      <c r="EP105" s="58">
        <v>0.0</v>
      </c>
      <c r="EQ105" s="58">
        <v>0.0</v>
      </c>
      <c r="ER105" s="58" t="s">
        <v>134</v>
      </c>
      <c r="ES105" s="58" t="s">
        <v>134</v>
      </c>
      <c r="ET105" s="58" t="s">
        <v>134</v>
      </c>
    </row>
    <row r="106">
      <c r="A106" s="58" t="s">
        <v>80</v>
      </c>
      <c r="B106" s="58" t="s">
        <v>134</v>
      </c>
      <c r="C106" s="58" t="s">
        <v>134</v>
      </c>
      <c r="D106" s="58" t="s">
        <v>134</v>
      </c>
      <c r="E106" s="58" t="s">
        <v>134</v>
      </c>
      <c r="F106" s="58" t="s">
        <v>134</v>
      </c>
      <c r="G106" s="58" t="s">
        <v>134</v>
      </c>
      <c r="H106" s="58" t="s">
        <v>134</v>
      </c>
      <c r="I106" s="58">
        <v>0.0557</v>
      </c>
      <c r="J106" s="58" t="s">
        <v>134</v>
      </c>
      <c r="K106" s="58">
        <v>0.02</v>
      </c>
      <c r="L106" s="58">
        <v>0.0</v>
      </c>
      <c r="M106" s="58" t="s">
        <v>134</v>
      </c>
      <c r="N106" s="58" t="s">
        <v>134</v>
      </c>
      <c r="O106" s="58" t="s">
        <v>134</v>
      </c>
      <c r="P106" s="58" t="s">
        <v>134</v>
      </c>
      <c r="Q106" s="58" t="s">
        <v>134</v>
      </c>
      <c r="R106" s="58" t="s">
        <v>134</v>
      </c>
      <c r="S106" s="58" t="s">
        <v>134</v>
      </c>
      <c r="T106" s="58" t="s">
        <v>134</v>
      </c>
      <c r="U106" s="58" t="s">
        <v>134</v>
      </c>
      <c r="V106" s="58" t="s">
        <v>134</v>
      </c>
      <c r="W106" s="58" t="s">
        <v>134</v>
      </c>
      <c r="X106" s="58" t="s">
        <v>134</v>
      </c>
      <c r="Y106" s="58" t="s">
        <v>134</v>
      </c>
      <c r="Z106" s="58" t="s">
        <v>134</v>
      </c>
      <c r="AA106" s="58" t="s">
        <v>134</v>
      </c>
      <c r="AB106" s="58" t="s">
        <v>134</v>
      </c>
      <c r="AC106" s="58" t="s">
        <v>134</v>
      </c>
      <c r="AD106" s="58" t="s">
        <v>134</v>
      </c>
      <c r="AE106" s="58" t="s">
        <v>134</v>
      </c>
      <c r="AF106" s="58" t="s">
        <v>134</v>
      </c>
      <c r="AG106" s="58" t="s">
        <v>134</v>
      </c>
      <c r="AH106" s="58" t="s">
        <v>134</v>
      </c>
      <c r="AI106" s="58" t="s">
        <v>134</v>
      </c>
      <c r="AJ106" s="58" t="s">
        <v>134</v>
      </c>
      <c r="AK106" s="58" t="s">
        <v>134</v>
      </c>
      <c r="AL106" s="58" t="s">
        <v>134</v>
      </c>
      <c r="AM106" s="58" t="s">
        <v>134</v>
      </c>
      <c r="AN106" s="58">
        <v>0.0486</v>
      </c>
      <c r="AO106" s="58" t="s">
        <v>134</v>
      </c>
      <c r="AP106" s="58" t="s">
        <v>134</v>
      </c>
      <c r="AQ106" s="58" t="s">
        <v>134</v>
      </c>
      <c r="AR106" s="58" t="s">
        <v>134</v>
      </c>
      <c r="AS106" s="58" t="s">
        <v>134</v>
      </c>
      <c r="AT106" s="58" t="s">
        <v>134</v>
      </c>
      <c r="AU106" s="58" t="s">
        <v>134</v>
      </c>
      <c r="AV106" s="58" t="s">
        <v>134</v>
      </c>
      <c r="AW106" s="196">
        <v>0.0221</v>
      </c>
      <c r="AX106" s="58" t="s">
        <v>134</v>
      </c>
      <c r="AY106" s="58" t="s">
        <v>134</v>
      </c>
      <c r="AZ106" s="58" t="s">
        <v>134</v>
      </c>
      <c r="BA106" s="58" t="s">
        <v>134</v>
      </c>
      <c r="BB106" s="58" t="s">
        <v>134</v>
      </c>
      <c r="BC106" s="58" t="s">
        <v>134</v>
      </c>
      <c r="BD106" s="58" t="s">
        <v>134</v>
      </c>
      <c r="BE106" s="58" t="s">
        <v>134</v>
      </c>
      <c r="BF106" s="58" t="s">
        <v>134</v>
      </c>
      <c r="BG106" s="58" t="s">
        <v>134</v>
      </c>
      <c r="BH106" s="58" t="s">
        <v>134</v>
      </c>
      <c r="BI106" s="58" t="s">
        <v>134</v>
      </c>
      <c r="BJ106" s="58" t="s">
        <v>134</v>
      </c>
      <c r="BK106" s="58" t="s">
        <v>134</v>
      </c>
      <c r="BL106" s="58" t="s">
        <v>134</v>
      </c>
      <c r="BM106" s="58" t="s">
        <v>134</v>
      </c>
      <c r="BN106" s="58" t="s">
        <v>134</v>
      </c>
      <c r="BO106" s="58" t="s">
        <v>134</v>
      </c>
      <c r="BP106" s="58" t="s">
        <v>134</v>
      </c>
      <c r="BQ106" s="58" t="s">
        <v>134</v>
      </c>
      <c r="BR106" s="58" t="s">
        <v>134</v>
      </c>
      <c r="BS106" s="58" t="s">
        <v>134</v>
      </c>
      <c r="BT106" s="58" t="s">
        <v>134</v>
      </c>
      <c r="BU106" s="58" t="s">
        <v>134</v>
      </c>
      <c r="BV106" s="58" t="s">
        <v>134</v>
      </c>
      <c r="BW106" s="58" t="s">
        <v>134</v>
      </c>
      <c r="BX106" s="58" t="s">
        <v>134</v>
      </c>
      <c r="BY106" s="58" t="s">
        <v>134</v>
      </c>
      <c r="BZ106" s="58" t="s">
        <v>134</v>
      </c>
      <c r="CA106" s="58" t="s">
        <v>134</v>
      </c>
      <c r="CB106" s="58" t="s">
        <v>134</v>
      </c>
      <c r="CC106" s="58" t="s">
        <v>134</v>
      </c>
      <c r="CD106" s="58" t="s">
        <v>134</v>
      </c>
      <c r="CE106" s="58" t="s">
        <v>134</v>
      </c>
      <c r="CF106" s="58" t="s">
        <v>134</v>
      </c>
      <c r="CG106" s="58" t="s">
        <v>134</v>
      </c>
      <c r="CH106" s="58" t="s">
        <v>134</v>
      </c>
      <c r="CI106" s="58" t="s">
        <v>134</v>
      </c>
      <c r="CJ106" s="58" t="s">
        <v>134</v>
      </c>
      <c r="CK106" s="58" t="s">
        <v>134</v>
      </c>
      <c r="CL106" s="58" t="s">
        <v>134</v>
      </c>
      <c r="CM106" s="58" t="s">
        <v>134</v>
      </c>
      <c r="CN106" s="58" t="s">
        <v>134</v>
      </c>
      <c r="CO106" s="58" t="s">
        <v>134</v>
      </c>
      <c r="CP106" s="58" t="s">
        <v>134</v>
      </c>
      <c r="CQ106" s="58" t="s">
        <v>134</v>
      </c>
      <c r="CR106" s="58" t="s">
        <v>134</v>
      </c>
      <c r="CS106" s="58" t="s">
        <v>134</v>
      </c>
      <c r="CT106" s="58" t="s">
        <v>134</v>
      </c>
      <c r="CU106" s="58" t="s">
        <v>134</v>
      </c>
      <c r="CV106" s="58" t="s">
        <v>134</v>
      </c>
      <c r="CW106" s="58" t="s">
        <v>134</v>
      </c>
      <c r="CX106" s="58" t="s">
        <v>134</v>
      </c>
      <c r="CY106" s="58" t="s">
        <v>134</v>
      </c>
      <c r="CZ106" s="58" t="s">
        <v>134</v>
      </c>
      <c r="DA106" s="58" t="s">
        <v>134</v>
      </c>
      <c r="DB106" s="58" t="s">
        <v>134</v>
      </c>
      <c r="DC106" s="58" t="s">
        <v>134</v>
      </c>
      <c r="DD106" s="58" t="s">
        <v>134</v>
      </c>
      <c r="DE106" s="58" t="s">
        <v>134</v>
      </c>
      <c r="DF106" s="58" t="s">
        <v>134</v>
      </c>
      <c r="DG106" s="58" t="s">
        <v>134</v>
      </c>
      <c r="DH106" s="58" t="s">
        <v>134</v>
      </c>
      <c r="DI106" s="58" t="s">
        <v>134</v>
      </c>
      <c r="DJ106" s="58" t="s">
        <v>134</v>
      </c>
      <c r="DK106" s="58" t="s">
        <v>134</v>
      </c>
      <c r="DL106" s="58" t="s">
        <v>134</v>
      </c>
      <c r="DM106" s="58" t="s">
        <v>134</v>
      </c>
      <c r="DN106" s="58" t="s">
        <v>134</v>
      </c>
      <c r="DO106" s="58" t="s">
        <v>134</v>
      </c>
      <c r="DP106" s="58" t="s">
        <v>134</v>
      </c>
      <c r="DQ106" s="58" t="s">
        <v>134</v>
      </c>
      <c r="DR106" s="196">
        <v>0.0</v>
      </c>
      <c r="DS106" s="58" t="s">
        <v>134</v>
      </c>
      <c r="DT106" s="58" t="s">
        <v>134</v>
      </c>
      <c r="DU106" s="58" t="s">
        <v>134</v>
      </c>
      <c r="DV106" s="58" t="s">
        <v>134</v>
      </c>
      <c r="DW106" s="58" t="s">
        <v>134</v>
      </c>
      <c r="DX106" s="58" t="s">
        <v>134</v>
      </c>
      <c r="DY106" s="58" t="s">
        <v>134</v>
      </c>
      <c r="DZ106" s="58" t="s">
        <v>134</v>
      </c>
      <c r="EA106" s="58" t="s">
        <v>134</v>
      </c>
      <c r="EB106" s="58" t="s">
        <v>134</v>
      </c>
      <c r="EC106" s="58" t="s">
        <v>134</v>
      </c>
      <c r="ED106" s="58" t="s">
        <v>134</v>
      </c>
      <c r="EE106" s="58" t="s">
        <v>134</v>
      </c>
      <c r="EF106" s="196">
        <v>0.0</v>
      </c>
      <c r="EG106" s="196">
        <v>0.0</v>
      </c>
      <c r="EH106" s="196">
        <v>0.0</v>
      </c>
      <c r="EI106" s="196">
        <v>0.0</v>
      </c>
      <c r="EJ106" s="196">
        <v>0.0</v>
      </c>
      <c r="EK106" s="196">
        <v>0.0</v>
      </c>
      <c r="EL106" s="196">
        <v>0.0</v>
      </c>
      <c r="EM106" s="196">
        <v>0.0</v>
      </c>
      <c r="EN106" s="196">
        <v>0.0</v>
      </c>
      <c r="EO106" s="196">
        <v>0.0</v>
      </c>
      <c r="EP106" s="196">
        <v>0.0</v>
      </c>
      <c r="EQ106" s="58">
        <v>0.0</v>
      </c>
      <c r="ER106" s="58" t="s">
        <v>134</v>
      </c>
      <c r="ES106" s="58" t="s">
        <v>134</v>
      </c>
      <c r="ET106" s="58" t="s">
        <v>134</v>
      </c>
    </row>
    <row r="107">
      <c r="A107" s="58" t="s">
        <v>480</v>
      </c>
      <c r="B107" s="58" t="s">
        <v>134</v>
      </c>
      <c r="C107" s="58" t="s">
        <v>134</v>
      </c>
      <c r="D107" s="58" t="s">
        <v>134</v>
      </c>
      <c r="E107" s="58" t="s">
        <v>134</v>
      </c>
      <c r="F107" s="58" t="s">
        <v>134</v>
      </c>
      <c r="G107" s="58" t="s">
        <v>134</v>
      </c>
      <c r="H107" s="58" t="s">
        <v>134</v>
      </c>
      <c r="I107" s="58" t="s">
        <v>134</v>
      </c>
      <c r="J107" s="58" t="s">
        <v>134</v>
      </c>
      <c r="K107" s="58">
        <v>0.0</v>
      </c>
      <c r="L107" s="196">
        <v>0.0</v>
      </c>
      <c r="M107" s="58" t="s">
        <v>134</v>
      </c>
      <c r="N107" s="58" t="s">
        <v>134</v>
      </c>
      <c r="O107" s="58" t="s">
        <v>134</v>
      </c>
      <c r="P107" s="58" t="s">
        <v>134</v>
      </c>
      <c r="Q107" s="58" t="s">
        <v>134</v>
      </c>
      <c r="R107" s="58" t="s">
        <v>134</v>
      </c>
      <c r="S107" s="58" t="s">
        <v>134</v>
      </c>
      <c r="T107" s="58" t="s">
        <v>134</v>
      </c>
      <c r="U107" s="58" t="s">
        <v>134</v>
      </c>
      <c r="V107" s="58" t="s">
        <v>134</v>
      </c>
      <c r="W107" s="58" t="s">
        <v>134</v>
      </c>
      <c r="X107" s="58" t="s">
        <v>134</v>
      </c>
      <c r="Y107" s="58" t="s">
        <v>134</v>
      </c>
      <c r="Z107" s="58" t="s">
        <v>134</v>
      </c>
      <c r="AA107" s="58" t="s">
        <v>134</v>
      </c>
      <c r="AB107" s="58" t="s">
        <v>134</v>
      </c>
      <c r="AC107" s="58" t="s">
        <v>134</v>
      </c>
      <c r="AD107" s="58" t="s">
        <v>134</v>
      </c>
      <c r="AE107" s="58" t="s">
        <v>134</v>
      </c>
      <c r="AF107" s="58" t="s">
        <v>134</v>
      </c>
      <c r="AG107" s="58" t="s">
        <v>134</v>
      </c>
      <c r="AH107" s="58" t="s">
        <v>134</v>
      </c>
      <c r="AI107" s="58" t="s">
        <v>134</v>
      </c>
      <c r="AJ107" s="58" t="s">
        <v>134</v>
      </c>
      <c r="AK107" s="58" t="s">
        <v>134</v>
      </c>
      <c r="AL107" s="58" t="s">
        <v>134</v>
      </c>
      <c r="AM107" s="58" t="s">
        <v>134</v>
      </c>
      <c r="AN107" s="58">
        <v>0.0</v>
      </c>
      <c r="AO107" s="58" t="s">
        <v>134</v>
      </c>
      <c r="AP107" s="58" t="s">
        <v>134</v>
      </c>
      <c r="AQ107" s="58" t="s">
        <v>134</v>
      </c>
      <c r="AR107" s="58" t="s">
        <v>134</v>
      </c>
      <c r="AS107" s="58" t="s">
        <v>134</v>
      </c>
      <c r="AT107" s="58" t="s">
        <v>134</v>
      </c>
      <c r="AU107" s="58" t="s">
        <v>134</v>
      </c>
      <c r="AV107" s="58" t="s">
        <v>134</v>
      </c>
      <c r="AW107" s="58" t="s">
        <v>134</v>
      </c>
      <c r="AX107" s="58" t="s">
        <v>134</v>
      </c>
      <c r="AY107" s="58" t="s">
        <v>134</v>
      </c>
      <c r="AZ107" s="58" t="s">
        <v>134</v>
      </c>
      <c r="BA107" s="58" t="s">
        <v>134</v>
      </c>
      <c r="BB107" s="58" t="s">
        <v>134</v>
      </c>
      <c r="BC107" s="58" t="s">
        <v>134</v>
      </c>
      <c r="BD107" s="58" t="s">
        <v>134</v>
      </c>
      <c r="BE107" s="58" t="s">
        <v>134</v>
      </c>
      <c r="BF107" s="58" t="s">
        <v>134</v>
      </c>
      <c r="BG107" s="58" t="s">
        <v>134</v>
      </c>
      <c r="BH107" s="58" t="s">
        <v>134</v>
      </c>
      <c r="BI107" s="58" t="s">
        <v>134</v>
      </c>
      <c r="BJ107" s="58" t="s">
        <v>134</v>
      </c>
      <c r="BK107" s="58" t="s">
        <v>134</v>
      </c>
      <c r="BL107" s="58" t="s">
        <v>134</v>
      </c>
      <c r="BM107" s="58" t="s">
        <v>134</v>
      </c>
      <c r="BN107" s="58" t="s">
        <v>134</v>
      </c>
      <c r="BO107" s="58" t="s">
        <v>134</v>
      </c>
      <c r="BP107" s="58" t="s">
        <v>134</v>
      </c>
      <c r="BQ107" s="58" t="s">
        <v>134</v>
      </c>
      <c r="BR107" s="58" t="s">
        <v>134</v>
      </c>
      <c r="BS107" s="58" t="s">
        <v>134</v>
      </c>
      <c r="BT107" s="58" t="s">
        <v>134</v>
      </c>
      <c r="BU107" s="58" t="s">
        <v>134</v>
      </c>
      <c r="BV107" s="58" t="s">
        <v>134</v>
      </c>
      <c r="BW107" s="58" t="s">
        <v>134</v>
      </c>
      <c r="BX107" s="58" t="s">
        <v>134</v>
      </c>
      <c r="BY107" s="58" t="s">
        <v>134</v>
      </c>
      <c r="BZ107" s="58" t="s">
        <v>134</v>
      </c>
      <c r="CA107" s="58" t="s">
        <v>134</v>
      </c>
      <c r="CB107" s="58" t="s">
        <v>134</v>
      </c>
      <c r="CC107" s="58" t="s">
        <v>134</v>
      </c>
      <c r="CD107" s="58" t="s">
        <v>134</v>
      </c>
      <c r="CE107" s="58" t="s">
        <v>134</v>
      </c>
      <c r="CF107" s="58" t="s">
        <v>134</v>
      </c>
      <c r="CG107" s="58" t="s">
        <v>134</v>
      </c>
      <c r="CH107" s="58" t="s">
        <v>134</v>
      </c>
      <c r="CI107" s="58" t="s">
        <v>134</v>
      </c>
      <c r="CJ107" s="58" t="s">
        <v>134</v>
      </c>
      <c r="CK107" s="58" t="s">
        <v>134</v>
      </c>
      <c r="CL107" s="58" t="s">
        <v>134</v>
      </c>
      <c r="CM107" s="58" t="s">
        <v>134</v>
      </c>
      <c r="CN107" s="58" t="s">
        <v>134</v>
      </c>
      <c r="CO107" s="58" t="s">
        <v>134</v>
      </c>
      <c r="CP107" s="58" t="s">
        <v>134</v>
      </c>
      <c r="CQ107" s="58" t="s">
        <v>134</v>
      </c>
      <c r="CR107" s="58" t="s">
        <v>134</v>
      </c>
      <c r="CS107" s="58" t="s">
        <v>134</v>
      </c>
      <c r="CT107" s="58" t="s">
        <v>134</v>
      </c>
      <c r="CU107" s="58" t="s">
        <v>134</v>
      </c>
      <c r="CV107" s="58" t="s">
        <v>134</v>
      </c>
      <c r="CW107" s="58" t="s">
        <v>134</v>
      </c>
      <c r="CX107" s="58" t="s">
        <v>134</v>
      </c>
      <c r="CY107" s="58" t="s">
        <v>134</v>
      </c>
      <c r="CZ107" s="58" t="s">
        <v>134</v>
      </c>
      <c r="DA107" s="58" t="s">
        <v>134</v>
      </c>
      <c r="DB107" s="58" t="s">
        <v>134</v>
      </c>
      <c r="DC107" s="58" t="s">
        <v>134</v>
      </c>
      <c r="DD107" s="58" t="s">
        <v>134</v>
      </c>
      <c r="DE107" s="58" t="s">
        <v>134</v>
      </c>
      <c r="DF107" s="58" t="s">
        <v>134</v>
      </c>
      <c r="DG107" s="58" t="s">
        <v>134</v>
      </c>
      <c r="DH107" s="58" t="s">
        <v>134</v>
      </c>
      <c r="DI107" s="58" t="s">
        <v>134</v>
      </c>
      <c r="DJ107" s="58" t="s">
        <v>134</v>
      </c>
      <c r="DK107" s="58" t="s">
        <v>134</v>
      </c>
      <c r="DL107" s="58" t="s">
        <v>134</v>
      </c>
      <c r="DM107" s="58" t="s">
        <v>134</v>
      </c>
      <c r="DN107" s="58" t="s">
        <v>134</v>
      </c>
      <c r="DO107" s="58" t="s">
        <v>134</v>
      </c>
      <c r="DP107" s="58" t="s">
        <v>134</v>
      </c>
      <c r="DQ107" s="58" t="s">
        <v>134</v>
      </c>
      <c r="DR107" s="196">
        <v>0.0</v>
      </c>
      <c r="DS107" s="58" t="s">
        <v>134</v>
      </c>
      <c r="DT107" s="58" t="s">
        <v>134</v>
      </c>
      <c r="DU107" s="58" t="s">
        <v>134</v>
      </c>
      <c r="DV107" s="58" t="s">
        <v>134</v>
      </c>
      <c r="DW107" s="58" t="s">
        <v>134</v>
      </c>
      <c r="DX107" s="58" t="s">
        <v>134</v>
      </c>
      <c r="DY107" s="58" t="s">
        <v>134</v>
      </c>
      <c r="DZ107" s="58" t="s">
        <v>134</v>
      </c>
      <c r="EA107" s="58" t="s">
        <v>134</v>
      </c>
      <c r="EB107" s="58" t="s">
        <v>134</v>
      </c>
      <c r="EC107" s="58" t="s">
        <v>134</v>
      </c>
      <c r="ED107" s="58" t="s">
        <v>134</v>
      </c>
      <c r="EE107" s="58" t="s">
        <v>134</v>
      </c>
      <c r="EF107" s="196">
        <v>0.0</v>
      </c>
      <c r="EG107" s="196">
        <v>0.0</v>
      </c>
      <c r="EH107" s="196">
        <v>0.0</v>
      </c>
      <c r="EI107" s="196">
        <v>0.0</v>
      </c>
      <c r="EJ107" s="196">
        <v>0.0</v>
      </c>
      <c r="EK107" s="196">
        <v>0.0</v>
      </c>
      <c r="EL107" s="196">
        <v>0.0</v>
      </c>
      <c r="EM107" s="196">
        <v>0.0</v>
      </c>
      <c r="EN107" s="196">
        <v>0.0</v>
      </c>
      <c r="EO107" s="58">
        <v>0.0</v>
      </c>
      <c r="EP107" s="58">
        <v>0.0</v>
      </c>
      <c r="EQ107" s="196">
        <v>0.0</v>
      </c>
      <c r="ER107" s="58" t="s">
        <v>134</v>
      </c>
      <c r="ES107" s="58" t="s">
        <v>134</v>
      </c>
      <c r="ET107" s="58" t="s">
        <v>134</v>
      </c>
    </row>
    <row r="108">
      <c r="A108" s="58" t="s">
        <v>515</v>
      </c>
      <c r="B108" s="196">
        <v>1.0</v>
      </c>
      <c r="C108" s="196">
        <v>0.0</v>
      </c>
      <c r="D108" s="196">
        <v>0.0</v>
      </c>
      <c r="E108" s="196">
        <v>0.0</v>
      </c>
      <c r="F108" s="196">
        <v>0.0</v>
      </c>
      <c r="G108" s="196">
        <v>0.0</v>
      </c>
      <c r="H108" s="196">
        <v>0.0</v>
      </c>
      <c r="I108" s="196">
        <v>42.0</v>
      </c>
      <c r="J108" s="196">
        <v>0.0</v>
      </c>
      <c r="K108" s="196">
        <v>99.0</v>
      </c>
      <c r="L108" s="196">
        <v>99.0</v>
      </c>
      <c r="M108" s="196">
        <v>0.0</v>
      </c>
      <c r="N108" s="196">
        <v>0.0</v>
      </c>
      <c r="O108" s="196">
        <v>0.0</v>
      </c>
      <c r="P108" s="196">
        <v>0.0</v>
      </c>
      <c r="Q108" s="196">
        <v>0.0</v>
      </c>
      <c r="R108" s="196">
        <v>0.0</v>
      </c>
      <c r="S108" s="196">
        <v>0.0</v>
      </c>
      <c r="T108" s="196">
        <v>0.0</v>
      </c>
      <c r="U108" s="196">
        <v>0.0</v>
      </c>
      <c r="V108" s="196">
        <v>0.0</v>
      </c>
      <c r="W108" s="196">
        <v>2.0</v>
      </c>
      <c r="X108" s="196">
        <v>0.0</v>
      </c>
      <c r="Y108" s="196">
        <v>0.0</v>
      </c>
      <c r="Z108" s="196">
        <v>0.0</v>
      </c>
      <c r="AA108" s="196">
        <v>0.0</v>
      </c>
      <c r="AB108" s="196">
        <v>3.0</v>
      </c>
      <c r="AC108" s="196">
        <v>0.0</v>
      </c>
      <c r="AD108" s="196">
        <v>8.0</v>
      </c>
      <c r="AE108" s="196">
        <v>0.0</v>
      </c>
      <c r="AF108" s="196">
        <v>3.0</v>
      </c>
      <c r="AG108" s="196">
        <v>2.0</v>
      </c>
      <c r="AH108" s="196">
        <v>5.0</v>
      </c>
      <c r="AI108" s="196">
        <v>3.0</v>
      </c>
      <c r="AJ108" s="196">
        <v>9.0</v>
      </c>
      <c r="AK108" s="196">
        <v>5.0</v>
      </c>
      <c r="AL108" s="196">
        <v>5.0</v>
      </c>
      <c r="AM108" s="196">
        <v>0.0</v>
      </c>
      <c r="AN108" s="196">
        <v>93.0</v>
      </c>
      <c r="AO108" s="196">
        <v>0.0</v>
      </c>
      <c r="AP108" s="196">
        <v>0.0</v>
      </c>
      <c r="AQ108" s="196">
        <v>0.0</v>
      </c>
      <c r="AR108" s="196">
        <v>0.0</v>
      </c>
      <c r="AS108" s="196">
        <v>0.0</v>
      </c>
      <c r="AT108" s="196">
        <v>1.0</v>
      </c>
      <c r="AU108" s="196">
        <v>1.0</v>
      </c>
      <c r="AV108" s="196">
        <v>0.0</v>
      </c>
      <c r="AW108" s="196">
        <v>11.0</v>
      </c>
      <c r="AX108" s="196">
        <v>0.0</v>
      </c>
      <c r="AY108" s="196">
        <v>1.0</v>
      </c>
      <c r="AZ108" s="196">
        <v>1.0</v>
      </c>
      <c r="BA108" s="196">
        <v>3.0</v>
      </c>
      <c r="BB108" s="196">
        <v>6.0</v>
      </c>
      <c r="BC108" s="196">
        <v>5.0</v>
      </c>
      <c r="BD108" s="196">
        <v>0.0</v>
      </c>
      <c r="BE108" s="196">
        <v>2.0</v>
      </c>
      <c r="BF108" s="196">
        <v>2.0</v>
      </c>
      <c r="BG108" s="196">
        <v>5.0</v>
      </c>
      <c r="BH108" s="196">
        <v>2.0</v>
      </c>
      <c r="BI108" s="196">
        <v>2.0</v>
      </c>
      <c r="BJ108" s="196">
        <v>2.0</v>
      </c>
      <c r="BK108" s="196">
        <v>2.0</v>
      </c>
      <c r="BL108" s="196">
        <v>2.0</v>
      </c>
      <c r="BM108" s="196">
        <v>2.0</v>
      </c>
      <c r="BN108" s="196">
        <v>3.0</v>
      </c>
      <c r="BO108" s="196">
        <v>0.0</v>
      </c>
      <c r="BP108" s="196">
        <v>1.0</v>
      </c>
      <c r="BQ108" s="196">
        <v>3.0</v>
      </c>
      <c r="BR108" s="196">
        <v>1.0</v>
      </c>
      <c r="BS108" s="196">
        <v>2.0</v>
      </c>
      <c r="BT108" s="196">
        <v>2.0</v>
      </c>
      <c r="BU108" s="196">
        <v>2.0</v>
      </c>
      <c r="BV108" s="196">
        <v>2.0</v>
      </c>
      <c r="BW108" s="196">
        <v>0.0</v>
      </c>
      <c r="BX108" s="196">
        <v>2.0</v>
      </c>
      <c r="BY108" s="196">
        <v>2.0</v>
      </c>
      <c r="BZ108" s="196">
        <v>0.0</v>
      </c>
      <c r="CA108" s="196">
        <v>1.0</v>
      </c>
      <c r="CB108" s="196">
        <v>1.0</v>
      </c>
      <c r="CC108" s="196">
        <v>1.0</v>
      </c>
      <c r="CD108" s="196">
        <v>3.0</v>
      </c>
      <c r="CE108" s="196">
        <v>3.0</v>
      </c>
      <c r="CF108" s="196">
        <v>3.0</v>
      </c>
      <c r="CG108" s="196">
        <v>0.0</v>
      </c>
      <c r="CH108" s="196">
        <v>0.0</v>
      </c>
      <c r="CI108" s="196">
        <v>0.0</v>
      </c>
      <c r="CJ108" s="196">
        <v>1.0</v>
      </c>
      <c r="CK108" s="196">
        <v>0.0</v>
      </c>
      <c r="CL108" s="196">
        <v>0.0</v>
      </c>
      <c r="CM108" s="196">
        <v>1.0</v>
      </c>
      <c r="CN108" s="196">
        <v>0.0</v>
      </c>
      <c r="CO108" s="196">
        <v>0.0</v>
      </c>
      <c r="CP108" s="196">
        <v>0.0</v>
      </c>
      <c r="CQ108" s="196">
        <v>1.0</v>
      </c>
      <c r="CR108" s="196">
        <v>1.0</v>
      </c>
      <c r="CS108" s="196">
        <v>1.0</v>
      </c>
      <c r="CT108" s="196">
        <v>0.0</v>
      </c>
      <c r="CU108" s="196">
        <v>0.0</v>
      </c>
      <c r="CV108" s="196">
        <v>1.0</v>
      </c>
      <c r="CW108" s="196">
        <v>0.0</v>
      </c>
      <c r="CX108" s="196">
        <v>3.0</v>
      </c>
      <c r="CY108" s="196">
        <v>4.0</v>
      </c>
      <c r="CZ108" s="196">
        <v>2.0</v>
      </c>
      <c r="DA108" s="196">
        <v>0.0</v>
      </c>
      <c r="DB108" s="196">
        <v>0.0</v>
      </c>
      <c r="DC108" s="196">
        <v>0.0</v>
      </c>
      <c r="DD108" s="196">
        <v>0.0</v>
      </c>
      <c r="DE108" s="196">
        <v>2.0</v>
      </c>
      <c r="DF108" s="196">
        <v>0.0</v>
      </c>
      <c r="DG108" s="196">
        <v>0.0</v>
      </c>
      <c r="DH108" s="196">
        <v>0.0</v>
      </c>
      <c r="DI108" s="196">
        <v>3.0</v>
      </c>
      <c r="DJ108" s="196">
        <v>2.0</v>
      </c>
      <c r="DK108" s="196">
        <v>0.0</v>
      </c>
      <c r="DL108" s="196">
        <v>0.0</v>
      </c>
      <c r="DM108" s="196">
        <v>1.0</v>
      </c>
      <c r="DN108" s="196">
        <v>2.0</v>
      </c>
      <c r="DO108" s="196">
        <v>2.0</v>
      </c>
      <c r="DP108" s="196">
        <v>0.0</v>
      </c>
      <c r="DQ108" s="196">
        <v>0.0</v>
      </c>
      <c r="DR108" s="196">
        <v>55.0</v>
      </c>
      <c r="DS108" s="196">
        <v>2.0</v>
      </c>
      <c r="DT108" s="196">
        <v>1.0</v>
      </c>
      <c r="DU108" s="196">
        <v>4.0</v>
      </c>
      <c r="DV108" s="196">
        <v>0.0</v>
      </c>
      <c r="DW108" s="196">
        <v>0.0</v>
      </c>
      <c r="DX108" s="196">
        <v>0.0</v>
      </c>
      <c r="DY108" s="196">
        <v>1.0</v>
      </c>
      <c r="DZ108" s="196">
        <v>0.0</v>
      </c>
      <c r="EA108" s="196">
        <v>1.0</v>
      </c>
      <c r="EB108" s="196">
        <v>1.0</v>
      </c>
      <c r="EC108" s="196">
        <v>1.0</v>
      </c>
      <c r="ED108" s="196">
        <v>0.0</v>
      </c>
      <c r="EE108" s="196">
        <v>0.0</v>
      </c>
      <c r="EF108" s="196">
        <v>99.0</v>
      </c>
      <c r="EG108" s="196">
        <v>99.0</v>
      </c>
      <c r="EH108" s="196">
        <v>99.0</v>
      </c>
      <c r="EI108" s="196">
        <v>100.0</v>
      </c>
      <c r="EJ108" s="196">
        <v>99.0</v>
      </c>
      <c r="EK108" s="196">
        <v>99.0</v>
      </c>
      <c r="EL108" s="196">
        <v>99.0</v>
      </c>
      <c r="EM108" s="196">
        <v>99.0</v>
      </c>
      <c r="EN108" s="196">
        <v>101.0</v>
      </c>
      <c r="EO108" s="196">
        <v>102.0</v>
      </c>
      <c r="EP108" s="196">
        <v>102.0</v>
      </c>
      <c r="EQ108" s="196">
        <v>102.0</v>
      </c>
      <c r="ER108" s="196">
        <v>0.0</v>
      </c>
      <c r="ES108" s="196">
        <v>0.0</v>
      </c>
      <c r="ET108" s="196">
        <v>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8" t="s">
        <v>38</v>
      </c>
      <c r="B1" s="58" t="s">
        <v>505</v>
      </c>
      <c r="C1" s="58" t="s">
        <v>516</v>
      </c>
      <c r="D1" s="58" t="s">
        <v>17</v>
      </c>
      <c r="E1" s="58" t="s">
        <v>7</v>
      </c>
      <c r="F1" s="58" t="s">
        <v>159</v>
      </c>
      <c r="G1" s="58" t="s">
        <v>195</v>
      </c>
      <c r="H1" s="58" t="s">
        <v>182</v>
      </c>
      <c r="I1" s="58" t="s">
        <v>496</v>
      </c>
      <c r="J1" s="58" t="s">
        <v>140</v>
      </c>
      <c r="K1" s="58" t="s">
        <v>276</v>
      </c>
      <c r="L1" s="58" t="s">
        <v>147</v>
      </c>
    </row>
    <row r="2">
      <c r="A2" s="58" t="s">
        <v>77</v>
      </c>
      <c r="B2" s="58">
        <v>0.04</v>
      </c>
      <c r="C2" s="58" t="s">
        <v>134</v>
      </c>
      <c r="D2" s="58" t="s">
        <v>134</v>
      </c>
      <c r="E2" s="58">
        <v>0.0</v>
      </c>
      <c r="F2" s="58" t="s">
        <v>134</v>
      </c>
      <c r="G2" s="58" t="s">
        <v>134</v>
      </c>
      <c r="H2" s="58" t="s">
        <v>134</v>
      </c>
      <c r="I2" s="58" t="s">
        <v>134</v>
      </c>
      <c r="J2" s="58" t="s">
        <v>134</v>
      </c>
      <c r="K2" s="196">
        <v>0.0</v>
      </c>
      <c r="L2" s="196">
        <v>0.0</v>
      </c>
    </row>
    <row r="3">
      <c r="A3" s="58" t="s">
        <v>196</v>
      </c>
      <c r="B3" s="58" t="s">
        <v>134</v>
      </c>
      <c r="C3" s="58" t="s">
        <v>134</v>
      </c>
      <c r="D3" s="58" t="s">
        <v>134</v>
      </c>
      <c r="E3" s="58">
        <v>0.0</v>
      </c>
      <c r="F3" s="58" t="s">
        <v>134</v>
      </c>
      <c r="G3" s="58" t="s">
        <v>134</v>
      </c>
      <c r="H3" s="58" t="s">
        <v>134</v>
      </c>
      <c r="I3" s="58" t="s">
        <v>134</v>
      </c>
      <c r="J3" s="58" t="s">
        <v>134</v>
      </c>
      <c r="K3" s="196">
        <v>0.0</v>
      </c>
      <c r="L3" s="196">
        <v>0.0</v>
      </c>
    </row>
    <row r="4">
      <c r="A4" s="58" t="s">
        <v>70</v>
      </c>
      <c r="B4" s="59">
        <v>0.0385</v>
      </c>
      <c r="C4" s="58" t="s">
        <v>134</v>
      </c>
      <c r="D4" s="58" t="s">
        <v>134</v>
      </c>
      <c r="E4" s="58">
        <v>0.0</v>
      </c>
      <c r="F4" s="58" t="s">
        <v>134</v>
      </c>
      <c r="G4" s="58" t="s">
        <v>134</v>
      </c>
      <c r="H4" s="58" t="s">
        <v>134</v>
      </c>
      <c r="I4" s="58" t="s">
        <v>134</v>
      </c>
      <c r="J4" s="58" t="s">
        <v>134</v>
      </c>
      <c r="K4" s="196">
        <v>0.0</v>
      </c>
      <c r="L4" s="196">
        <v>0.0</v>
      </c>
    </row>
    <row r="5">
      <c r="A5" s="58" t="s">
        <v>60</v>
      </c>
      <c r="B5" s="59">
        <v>0.0205</v>
      </c>
      <c r="C5" s="58" t="s">
        <v>134</v>
      </c>
      <c r="D5" s="58" t="s">
        <v>134</v>
      </c>
      <c r="E5" s="58">
        <v>0.0</v>
      </c>
      <c r="F5" s="58" t="s">
        <v>134</v>
      </c>
      <c r="G5" s="58" t="s">
        <v>134</v>
      </c>
      <c r="H5" s="58" t="s">
        <v>134</v>
      </c>
      <c r="I5" s="58" t="s">
        <v>134</v>
      </c>
      <c r="J5" s="58" t="s">
        <v>134</v>
      </c>
      <c r="K5" s="196">
        <v>0.0</v>
      </c>
      <c r="L5" s="196">
        <v>0.0</v>
      </c>
    </row>
    <row r="6">
      <c r="A6" s="58" t="s">
        <v>284</v>
      </c>
      <c r="B6" s="58" t="s">
        <v>134</v>
      </c>
      <c r="C6" s="58" t="s">
        <v>134</v>
      </c>
      <c r="D6" s="58" t="s">
        <v>134</v>
      </c>
      <c r="E6" s="58">
        <v>0.0</v>
      </c>
      <c r="F6" s="58" t="s">
        <v>134</v>
      </c>
      <c r="G6" s="58" t="s">
        <v>134</v>
      </c>
      <c r="H6" s="58" t="s">
        <v>134</v>
      </c>
      <c r="I6" s="58" t="s">
        <v>134</v>
      </c>
      <c r="J6" s="58" t="s">
        <v>134</v>
      </c>
      <c r="K6" s="196">
        <v>0.0</v>
      </c>
      <c r="L6" s="196">
        <v>0.0</v>
      </c>
    </row>
    <row r="7">
      <c r="A7" s="58" t="s">
        <v>101</v>
      </c>
      <c r="B7" s="58" t="s">
        <v>134</v>
      </c>
      <c r="C7" s="58" t="s">
        <v>134</v>
      </c>
      <c r="D7" s="58" t="s">
        <v>134</v>
      </c>
      <c r="E7" s="58">
        <v>0.0</v>
      </c>
      <c r="F7" s="58" t="s">
        <v>134</v>
      </c>
      <c r="G7" s="58" t="s">
        <v>134</v>
      </c>
      <c r="H7" s="58" t="s">
        <v>134</v>
      </c>
      <c r="I7" s="58" t="s">
        <v>134</v>
      </c>
      <c r="J7" s="58" t="s">
        <v>134</v>
      </c>
      <c r="K7" s="196">
        <v>0.0</v>
      </c>
      <c r="L7" s="196">
        <v>0.0</v>
      </c>
    </row>
    <row r="8">
      <c r="A8" s="58" t="s">
        <v>469</v>
      </c>
      <c r="B8" s="58" t="s">
        <v>134</v>
      </c>
      <c r="C8" s="58" t="s">
        <v>134</v>
      </c>
      <c r="D8" s="58" t="s">
        <v>134</v>
      </c>
      <c r="E8" s="58">
        <v>0.0</v>
      </c>
      <c r="F8" s="58" t="s">
        <v>134</v>
      </c>
      <c r="G8" s="58" t="s">
        <v>134</v>
      </c>
      <c r="H8" s="58" t="s">
        <v>134</v>
      </c>
      <c r="I8" s="58" t="s">
        <v>134</v>
      </c>
      <c r="J8" s="58" t="s">
        <v>134</v>
      </c>
      <c r="K8" s="196">
        <v>0.0</v>
      </c>
      <c r="L8" s="196">
        <v>0.0</v>
      </c>
    </row>
    <row r="9">
      <c r="A9" s="58" t="s">
        <v>112</v>
      </c>
      <c r="B9" s="58" t="s">
        <v>134</v>
      </c>
      <c r="C9" s="58" t="s">
        <v>134</v>
      </c>
      <c r="D9" s="58" t="s">
        <v>134</v>
      </c>
      <c r="E9" s="58">
        <v>0.0</v>
      </c>
      <c r="F9" s="58" t="s">
        <v>134</v>
      </c>
      <c r="G9" s="58" t="s">
        <v>134</v>
      </c>
      <c r="H9" s="58" t="s">
        <v>134</v>
      </c>
      <c r="I9" s="58" t="s">
        <v>134</v>
      </c>
      <c r="J9" s="58" t="s">
        <v>134</v>
      </c>
      <c r="K9" s="196">
        <v>0.0</v>
      </c>
      <c r="L9" s="196">
        <v>0.0</v>
      </c>
    </row>
    <row r="10">
      <c r="A10" s="58" t="s">
        <v>111</v>
      </c>
      <c r="B10" s="58" t="s">
        <v>134</v>
      </c>
      <c r="C10" s="58" t="s">
        <v>134</v>
      </c>
      <c r="D10" s="58" t="s">
        <v>134</v>
      </c>
      <c r="E10" s="58">
        <v>0.0</v>
      </c>
      <c r="F10" s="58" t="s">
        <v>134</v>
      </c>
      <c r="G10" s="58" t="s">
        <v>134</v>
      </c>
      <c r="H10" s="58" t="s">
        <v>134</v>
      </c>
      <c r="I10" s="58" t="s">
        <v>134</v>
      </c>
      <c r="J10" s="58" t="s">
        <v>134</v>
      </c>
      <c r="K10" s="196">
        <v>0.0</v>
      </c>
      <c r="L10" s="196">
        <v>0.0</v>
      </c>
    </row>
    <row r="11">
      <c r="A11" s="58" t="s">
        <v>90</v>
      </c>
      <c r="B11" s="58" t="s">
        <v>134</v>
      </c>
      <c r="C11" s="58" t="s">
        <v>134</v>
      </c>
      <c r="D11" s="58" t="s">
        <v>134</v>
      </c>
      <c r="E11" s="58">
        <v>0.0</v>
      </c>
      <c r="F11" s="58" t="s">
        <v>134</v>
      </c>
      <c r="G11" s="58" t="s">
        <v>134</v>
      </c>
      <c r="H11" s="58" t="s">
        <v>134</v>
      </c>
      <c r="I11" s="58" t="s">
        <v>134</v>
      </c>
      <c r="J11" s="58" t="s">
        <v>134</v>
      </c>
      <c r="K11" s="196">
        <v>0.0</v>
      </c>
      <c r="L11" s="196">
        <v>0.0</v>
      </c>
    </row>
    <row r="12">
      <c r="A12" s="58" t="s">
        <v>103</v>
      </c>
      <c r="B12" s="58" t="s">
        <v>134</v>
      </c>
      <c r="C12" s="58" t="s">
        <v>134</v>
      </c>
      <c r="D12" s="58" t="s">
        <v>134</v>
      </c>
      <c r="E12" s="58">
        <v>0.0</v>
      </c>
      <c r="F12" s="58" t="s">
        <v>134</v>
      </c>
      <c r="G12" s="58" t="s">
        <v>134</v>
      </c>
      <c r="H12" s="58" t="s">
        <v>134</v>
      </c>
      <c r="I12" s="58" t="s">
        <v>134</v>
      </c>
      <c r="J12" s="58" t="s">
        <v>134</v>
      </c>
      <c r="K12" s="196">
        <v>0.0</v>
      </c>
      <c r="L12" s="196">
        <v>0.0</v>
      </c>
    </row>
    <row r="13">
      <c r="A13" s="58" t="s">
        <v>74</v>
      </c>
      <c r="B13" s="59">
        <v>0.0097</v>
      </c>
      <c r="C13" s="58" t="s">
        <v>134</v>
      </c>
      <c r="D13" s="58" t="s">
        <v>134</v>
      </c>
      <c r="E13" s="58">
        <v>0.0</v>
      </c>
      <c r="F13" s="58" t="s">
        <v>134</v>
      </c>
      <c r="G13" s="58" t="s">
        <v>134</v>
      </c>
      <c r="H13" s="58" t="s">
        <v>134</v>
      </c>
      <c r="I13" s="58" t="s">
        <v>134</v>
      </c>
      <c r="J13" s="58" t="s">
        <v>134</v>
      </c>
      <c r="K13" s="196">
        <v>0.0</v>
      </c>
      <c r="L13" s="196">
        <v>0.0</v>
      </c>
    </row>
    <row r="14">
      <c r="A14" s="58" t="s">
        <v>66</v>
      </c>
      <c r="B14" s="59">
        <v>0.0225</v>
      </c>
      <c r="C14" s="58" t="s">
        <v>134</v>
      </c>
      <c r="D14" s="58" t="s">
        <v>134</v>
      </c>
      <c r="E14" s="58">
        <v>0.0</v>
      </c>
      <c r="F14" s="58" t="s">
        <v>134</v>
      </c>
      <c r="G14" s="58" t="s">
        <v>134</v>
      </c>
      <c r="H14" s="58" t="s">
        <v>134</v>
      </c>
      <c r="I14" s="58" t="s">
        <v>134</v>
      </c>
      <c r="J14" s="58" t="s">
        <v>134</v>
      </c>
      <c r="K14" s="196">
        <v>0.0</v>
      </c>
      <c r="L14" s="196">
        <v>0.0</v>
      </c>
    </row>
    <row r="15">
      <c r="A15" s="58" t="s">
        <v>65</v>
      </c>
      <c r="B15" s="59">
        <v>0.0581</v>
      </c>
      <c r="C15" s="58" t="s">
        <v>134</v>
      </c>
      <c r="D15" s="58" t="s">
        <v>134</v>
      </c>
      <c r="E15" s="58">
        <v>0.0</v>
      </c>
      <c r="F15" s="58" t="s">
        <v>134</v>
      </c>
      <c r="G15" s="58" t="s">
        <v>134</v>
      </c>
      <c r="H15" s="58" t="s">
        <v>134</v>
      </c>
      <c r="I15" s="58" t="s">
        <v>134</v>
      </c>
      <c r="J15" s="58" t="s">
        <v>134</v>
      </c>
      <c r="K15" s="196">
        <v>0.0</v>
      </c>
      <c r="L15" s="196">
        <v>0.0</v>
      </c>
    </row>
    <row r="16">
      <c r="A16" s="58" t="s">
        <v>79</v>
      </c>
      <c r="B16" s="59">
        <v>0.0595</v>
      </c>
      <c r="C16" s="58" t="s">
        <v>134</v>
      </c>
      <c r="D16" s="58" t="s">
        <v>134</v>
      </c>
      <c r="E16" s="58">
        <v>0.0</v>
      </c>
      <c r="F16" s="58" t="s">
        <v>134</v>
      </c>
      <c r="G16" s="58" t="s">
        <v>134</v>
      </c>
      <c r="H16" s="58" t="s">
        <v>134</v>
      </c>
      <c r="I16" s="58" t="s">
        <v>134</v>
      </c>
      <c r="J16" s="58" t="s">
        <v>134</v>
      </c>
      <c r="K16" s="196">
        <v>0.0</v>
      </c>
      <c r="L16" s="196">
        <v>0.0</v>
      </c>
    </row>
    <row r="17">
      <c r="A17" s="58" t="s">
        <v>113</v>
      </c>
      <c r="B17" s="58" t="s">
        <v>134</v>
      </c>
      <c r="C17" s="58" t="s">
        <v>134</v>
      </c>
      <c r="D17" s="58" t="s">
        <v>134</v>
      </c>
      <c r="E17" s="58">
        <v>0.0</v>
      </c>
      <c r="F17" s="58" t="s">
        <v>134</v>
      </c>
      <c r="G17" s="58" t="s">
        <v>134</v>
      </c>
      <c r="H17" s="58" t="s">
        <v>134</v>
      </c>
      <c r="I17" s="58" t="s">
        <v>134</v>
      </c>
      <c r="J17" s="58" t="s">
        <v>134</v>
      </c>
      <c r="K17" s="196">
        <v>0.0</v>
      </c>
      <c r="L17" s="196">
        <v>0.0</v>
      </c>
    </row>
    <row r="18">
      <c r="A18" s="58" t="s">
        <v>253</v>
      </c>
      <c r="B18" s="58" t="s">
        <v>134</v>
      </c>
      <c r="C18" s="58" t="s">
        <v>134</v>
      </c>
      <c r="D18" s="58" t="s">
        <v>134</v>
      </c>
      <c r="E18" s="58">
        <v>0.0</v>
      </c>
      <c r="F18" s="58" t="s">
        <v>134</v>
      </c>
      <c r="G18" s="58" t="s">
        <v>134</v>
      </c>
      <c r="H18" s="58" t="s">
        <v>134</v>
      </c>
      <c r="I18" s="58" t="s">
        <v>134</v>
      </c>
      <c r="J18" s="58" t="s">
        <v>134</v>
      </c>
      <c r="K18" s="196">
        <v>0.0</v>
      </c>
      <c r="L18" s="196">
        <v>0.0</v>
      </c>
    </row>
    <row r="19">
      <c r="A19" s="58" t="s">
        <v>89</v>
      </c>
      <c r="B19" s="59">
        <v>0.0183</v>
      </c>
      <c r="C19" s="58" t="s">
        <v>134</v>
      </c>
      <c r="D19" s="58" t="s">
        <v>134</v>
      </c>
      <c r="E19" s="58">
        <v>0.0</v>
      </c>
      <c r="F19" s="58" t="s">
        <v>134</v>
      </c>
      <c r="G19" s="58" t="s">
        <v>134</v>
      </c>
      <c r="H19" s="58" t="s">
        <v>134</v>
      </c>
      <c r="I19" s="58" t="s">
        <v>134</v>
      </c>
      <c r="J19" s="58" t="s">
        <v>134</v>
      </c>
      <c r="K19" s="196">
        <v>0.0</v>
      </c>
      <c r="L19" s="196">
        <v>0.0</v>
      </c>
    </row>
    <row r="20">
      <c r="A20" s="58" t="s">
        <v>53</v>
      </c>
      <c r="B20" s="59">
        <v>0.0298</v>
      </c>
      <c r="C20" s="58" t="s">
        <v>134</v>
      </c>
      <c r="D20" s="58" t="s">
        <v>134</v>
      </c>
      <c r="E20" s="59">
        <v>0.0</v>
      </c>
      <c r="F20" s="58">
        <v>0.0959</v>
      </c>
      <c r="G20" s="58" t="s">
        <v>134</v>
      </c>
      <c r="H20" s="58">
        <v>0.0959</v>
      </c>
      <c r="I20" s="58">
        <v>0.0959</v>
      </c>
      <c r="J20" s="59">
        <v>0.0</v>
      </c>
      <c r="K20" s="196">
        <v>0.0</v>
      </c>
      <c r="L20" s="196">
        <v>0.0</v>
      </c>
    </row>
    <row r="21">
      <c r="A21" s="58" t="s">
        <v>146</v>
      </c>
      <c r="B21" s="58">
        <v>0.0298</v>
      </c>
      <c r="C21" s="58" t="s">
        <v>134</v>
      </c>
      <c r="D21" s="58" t="s">
        <v>134</v>
      </c>
      <c r="E21" s="58">
        <v>0.0</v>
      </c>
      <c r="F21" s="58">
        <v>0.0959</v>
      </c>
      <c r="G21" s="58" t="s">
        <v>134</v>
      </c>
      <c r="H21" s="58">
        <v>0.0959</v>
      </c>
      <c r="I21" s="58">
        <v>0.0959</v>
      </c>
      <c r="J21" s="58">
        <v>0.0</v>
      </c>
      <c r="K21" s="196">
        <v>0.0</v>
      </c>
      <c r="L21" s="196">
        <v>0.0</v>
      </c>
    </row>
    <row r="22">
      <c r="A22" s="58" t="s">
        <v>104</v>
      </c>
      <c r="B22" s="58">
        <v>0.0</v>
      </c>
      <c r="C22" s="58" t="s">
        <v>134</v>
      </c>
      <c r="D22" s="58" t="s">
        <v>134</v>
      </c>
      <c r="E22" s="58">
        <v>0.0</v>
      </c>
      <c r="F22" s="58" t="s">
        <v>134</v>
      </c>
      <c r="G22" s="58" t="s">
        <v>134</v>
      </c>
      <c r="H22" s="58" t="s">
        <v>134</v>
      </c>
      <c r="I22" s="58" t="s">
        <v>134</v>
      </c>
      <c r="J22" s="58" t="s">
        <v>134</v>
      </c>
      <c r="K22" s="196">
        <v>0.0</v>
      </c>
      <c r="L22" s="196">
        <v>0.0</v>
      </c>
    </row>
    <row r="23">
      <c r="A23" s="58" t="s">
        <v>470</v>
      </c>
      <c r="B23" s="58" t="s">
        <v>134</v>
      </c>
      <c r="C23" s="58" t="s">
        <v>134</v>
      </c>
      <c r="D23" s="58" t="s">
        <v>134</v>
      </c>
      <c r="E23" s="58">
        <v>0.0</v>
      </c>
      <c r="F23" s="58" t="s">
        <v>134</v>
      </c>
      <c r="G23" s="58" t="s">
        <v>134</v>
      </c>
      <c r="H23" s="58" t="s">
        <v>134</v>
      </c>
      <c r="I23" s="58" t="s">
        <v>134</v>
      </c>
      <c r="J23" s="58" t="s">
        <v>134</v>
      </c>
      <c r="K23" s="196">
        <v>0.0</v>
      </c>
      <c r="L23" s="196">
        <v>0.0</v>
      </c>
    </row>
    <row r="24">
      <c r="A24" s="58" t="s">
        <v>56</v>
      </c>
      <c r="B24" s="59">
        <v>0.0415</v>
      </c>
      <c r="C24" s="58" t="s">
        <v>134</v>
      </c>
      <c r="D24" s="58">
        <v>0.0</v>
      </c>
      <c r="E24" s="58">
        <v>0.0</v>
      </c>
      <c r="F24" s="58" t="s">
        <v>134</v>
      </c>
      <c r="G24" s="58">
        <v>0.0</v>
      </c>
      <c r="H24" s="58" t="s">
        <v>134</v>
      </c>
      <c r="I24" s="58" t="s">
        <v>134</v>
      </c>
      <c r="J24" s="58" t="s">
        <v>134</v>
      </c>
      <c r="K24" s="196">
        <v>0.0</v>
      </c>
      <c r="L24" s="196">
        <v>0.0</v>
      </c>
    </row>
    <row r="25">
      <c r="A25" s="58" t="s">
        <v>81</v>
      </c>
      <c r="B25" s="58">
        <v>0.0453</v>
      </c>
      <c r="C25" s="58" t="s">
        <v>134</v>
      </c>
      <c r="D25" s="58" t="s">
        <v>134</v>
      </c>
      <c r="E25" s="58">
        <v>0.0</v>
      </c>
      <c r="F25" s="58" t="s">
        <v>134</v>
      </c>
      <c r="G25" s="58" t="s">
        <v>134</v>
      </c>
      <c r="H25" s="58" t="s">
        <v>134</v>
      </c>
      <c r="I25" s="58" t="s">
        <v>134</v>
      </c>
      <c r="J25" s="58" t="s">
        <v>134</v>
      </c>
      <c r="K25" s="196">
        <v>0.0</v>
      </c>
      <c r="L25" s="196">
        <v>0.0</v>
      </c>
    </row>
    <row r="26">
      <c r="A26" s="58" t="s">
        <v>88</v>
      </c>
      <c r="B26" s="58" t="s">
        <v>134</v>
      </c>
      <c r="C26" s="58" t="s">
        <v>134</v>
      </c>
      <c r="D26" s="58" t="s">
        <v>134</v>
      </c>
      <c r="E26" s="58">
        <v>0.0</v>
      </c>
      <c r="F26" s="58" t="s">
        <v>134</v>
      </c>
      <c r="G26" s="58" t="s">
        <v>134</v>
      </c>
      <c r="H26" s="58" t="s">
        <v>134</v>
      </c>
      <c r="I26" s="58" t="s">
        <v>134</v>
      </c>
      <c r="J26" s="58" t="s">
        <v>134</v>
      </c>
      <c r="K26" s="196">
        <v>0.0</v>
      </c>
      <c r="L26" s="196">
        <v>0.0</v>
      </c>
    </row>
    <row r="27">
      <c r="A27" s="58" t="s">
        <v>83</v>
      </c>
      <c r="B27" s="58" t="s">
        <v>134</v>
      </c>
      <c r="C27" s="58" t="s">
        <v>134</v>
      </c>
      <c r="D27" s="58" t="s">
        <v>134</v>
      </c>
      <c r="E27" s="58">
        <v>0.0</v>
      </c>
      <c r="F27" s="58" t="s">
        <v>134</v>
      </c>
      <c r="G27" s="58" t="s">
        <v>134</v>
      </c>
      <c r="H27" s="58" t="s">
        <v>134</v>
      </c>
      <c r="I27" s="58" t="s">
        <v>134</v>
      </c>
      <c r="J27" s="58" t="s">
        <v>134</v>
      </c>
      <c r="K27" s="196">
        <v>0.0</v>
      </c>
      <c r="L27" s="196">
        <v>0.0</v>
      </c>
    </row>
    <row r="28">
      <c r="A28" s="58" t="s">
        <v>76</v>
      </c>
      <c r="B28" s="58">
        <v>0.041</v>
      </c>
      <c r="C28" s="58" t="s">
        <v>134</v>
      </c>
      <c r="D28" s="58" t="s">
        <v>134</v>
      </c>
      <c r="E28" s="58">
        <v>0.0</v>
      </c>
      <c r="F28" s="58" t="s">
        <v>134</v>
      </c>
      <c r="G28" s="58" t="s">
        <v>134</v>
      </c>
      <c r="H28" s="58" t="s">
        <v>134</v>
      </c>
      <c r="I28" s="58" t="s">
        <v>134</v>
      </c>
      <c r="J28" s="58" t="s">
        <v>134</v>
      </c>
      <c r="K28" s="196">
        <v>0.0</v>
      </c>
      <c r="L28" s="196">
        <v>0.0</v>
      </c>
    </row>
    <row r="29">
      <c r="A29" s="58" t="s">
        <v>95</v>
      </c>
      <c r="B29" s="58" t="s">
        <v>134</v>
      </c>
      <c r="C29" s="58" t="s">
        <v>134</v>
      </c>
      <c r="D29" s="58" t="s">
        <v>134</v>
      </c>
      <c r="E29" s="58">
        <v>0.0</v>
      </c>
      <c r="F29" s="58" t="s">
        <v>134</v>
      </c>
      <c r="G29" s="58" t="s">
        <v>134</v>
      </c>
      <c r="H29" s="58" t="s">
        <v>134</v>
      </c>
      <c r="I29" s="58" t="s">
        <v>134</v>
      </c>
      <c r="J29" s="58" t="s">
        <v>134</v>
      </c>
      <c r="K29" s="196">
        <v>0.0</v>
      </c>
      <c r="L29" s="196">
        <v>0.0</v>
      </c>
    </row>
    <row r="30">
      <c r="A30" s="58" t="s">
        <v>72</v>
      </c>
      <c r="B30" s="59">
        <v>0.0668</v>
      </c>
      <c r="C30" s="58" t="s">
        <v>134</v>
      </c>
      <c r="D30" s="58" t="s">
        <v>134</v>
      </c>
      <c r="E30" s="58">
        <v>0.0</v>
      </c>
      <c r="F30" s="58" t="s">
        <v>134</v>
      </c>
      <c r="G30" s="58" t="s">
        <v>134</v>
      </c>
      <c r="H30" s="58" t="s">
        <v>134</v>
      </c>
      <c r="I30" s="58" t="s">
        <v>134</v>
      </c>
      <c r="J30" s="58" t="s">
        <v>134</v>
      </c>
      <c r="K30" s="196">
        <v>0.0</v>
      </c>
      <c r="L30" s="196">
        <v>0.0</v>
      </c>
    </row>
    <row r="31">
      <c r="A31" s="58" t="s">
        <v>73</v>
      </c>
      <c r="B31" s="59">
        <v>0.0288</v>
      </c>
      <c r="C31" s="58" t="s">
        <v>134</v>
      </c>
      <c r="D31" s="58" t="s">
        <v>134</v>
      </c>
      <c r="E31" s="58">
        <v>0.0</v>
      </c>
      <c r="F31" s="58" t="s">
        <v>134</v>
      </c>
      <c r="G31" s="58" t="s">
        <v>134</v>
      </c>
      <c r="H31" s="58" t="s">
        <v>134</v>
      </c>
      <c r="I31" s="58" t="s">
        <v>134</v>
      </c>
      <c r="J31" s="58" t="s">
        <v>134</v>
      </c>
      <c r="K31" s="196">
        <v>0.0</v>
      </c>
      <c r="L31" s="196">
        <v>0.0</v>
      </c>
    </row>
    <row r="32">
      <c r="A32" s="58" t="s">
        <v>82</v>
      </c>
      <c r="B32" s="59">
        <v>0.0298</v>
      </c>
      <c r="C32" s="58" t="s">
        <v>134</v>
      </c>
      <c r="D32" s="58" t="s">
        <v>134</v>
      </c>
      <c r="E32" s="59">
        <v>0.0</v>
      </c>
      <c r="F32" s="58" t="s">
        <v>134</v>
      </c>
      <c r="G32" s="58" t="s">
        <v>134</v>
      </c>
      <c r="H32" s="58" t="s">
        <v>134</v>
      </c>
      <c r="I32" s="58" t="s">
        <v>134</v>
      </c>
      <c r="J32" s="58" t="s">
        <v>134</v>
      </c>
      <c r="K32" s="196">
        <v>0.0</v>
      </c>
      <c r="L32" s="196">
        <v>0.0</v>
      </c>
    </row>
    <row r="33">
      <c r="A33" s="58" t="s">
        <v>54</v>
      </c>
      <c r="B33" s="58">
        <v>0.0384</v>
      </c>
      <c r="C33" s="58" t="s">
        <v>134</v>
      </c>
      <c r="D33" s="58" t="s">
        <v>134</v>
      </c>
      <c r="E33" s="58">
        <v>0.0</v>
      </c>
      <c r="F33" s="58" t="s">
        <v>134</v>
      </c>
      <c r="G33" s="58" t="s">
        <v>134</v>
      </c>
      <c r="H33" s="58" t="s">
        <v>134</v>
      </c>
      <c r="I33" s="58" t="s">
        <v>134</v>
      </c>
      <c r="J33" s="58">
        <v>0.0</v>
      </c>
      <c r="K33" s="196">
        <v>0.0</v>
      </c>
      <c r="L33" s="196">
        <v>0.0</v>
      </c>
    </row>
    <row r="34">
      <c r="A34" s="58" t="s">
        <v>107</v>
      </c>
      <c r="B34" s="58" t="s">
        <v>134</v>
      </c>
      <c r="C34" s="58" t="s">
        <v>134</v>
      </c>
      <c r="D34" s="58" t="s">
        <v>134</v>
      </c>
      <c r="E34" s="58">
        <v>0.0</v>
      </c>
      <c r="F34" s="58" t="s">
        <v>134</v>
      </c>
      <c r="G34" s="58" t="s">
        <v>134</v>
      </c>
      <c r="H34" s="58" t="s">
        <v>134</v>
      </c>
      <c r="I34" s="58" t="s">
        <v>134</v>
      </c>
      <c r="J34" s="58" t="s">
        <v>134</v>
      </c>
      <c r="K34" s="196">
        <v>0.0</v>
      </c>
      <c r="L34" s="196">
        <v>0.0</v>
      </c>
    </row>
    <row r="35">
      <c r="A35" s="58" t="s">
        <v>108</v>
      </c>
      <c r="B35" s="58" t="s">
        <v>134</v>
      </c>
      <c r="C35" s="58" t="s">
        <v>134</v>
      </c>
      <c r="D35" s="58" t="s">
        <v>134</v>
      </c>
      <c r="E35" s="58">
        <v>0.0</v>
      </c>
      <c r="F35" s="58" t="s">
        <v>134</v>
      </c>
      <c r="G35" s="58" t="s">
        <v>134</v>
      </c>
      <c r="H35" s="58" t="s">
        <v>134</v>
      </c>
      <c r="I35" s="58" t="s">
        <v>134</v>
      </c>
      <c r="J35" s="58" t="s">
        <v>134</v>
      </c>
      <c r="K35" s="196">
        <v>0.0</v>
      </c>
      <c r="L35" s="196">
        <v>0.0</v>
      </c>
    </row>
    <row r="36">
      <c r="A36" s="58" t="s">
        <v>59</v>
      </c>
      <c r="B36" s="58" t="s">
        <v>134</v>
      </c>
      <c r="C36" s="58" t="s">
        <v>134</v>
      </c>
      <c r="D36" s="58" t="s">
        <v>134</v>
      </c>
      <c r="E36" s="58">
        <v>0.0</v>
      </c>
      <c r="F36" s="58" t="s">
        <v>134</v>
      </c>
      <c r="G36" s="58" t="s">
        <v>134</v>
      </c>
      <c r="H36" s="58" t="s">
        <v>134</v>
      </c>
      <c r="I36" s="58" t="s">
        <v>134</v>
      </c>
      <c r="J36" s="58" t="s">
        <v>134</v>
      </c>
      <c r="K36" s="196">
        <v>0.0</v>
      </c>
      <c r="L36" s="196">
        <v>0.0</v>
      </c>
    </row>
    <row r="37">
      <c r="A37" s="58" t="s">
        <v>471</v>
      </c>
      <c r="B37" s="58" t="s">
        <v>134</v>
      </c>
      <c r="C37" s="58" t="s">
        <v>134</v>
      </c>
      <c r="D37" s="58" t="s">
        <v>134</v>
      </c>
      <c r="E37" s="58">
        <v>0.0</v>
      </c>
      <c r="F37" s="58" t="s">
        <v>134</v>
      </c>
      <c r="G37" s="58" t="s">
        <v>134</v>
      </c>
      <c r="H37" s="58" t="s">
        <v>134</v>
      </c>
      <c r="I37" s="58" t="s">
        <v>134</v>
      </c>
      <c r="J37" s="58" t="s">
        <v>134</v>
      </c>
      <c r="K37" s="196">
        <v>0.0</v>
      </c>
      <c r="L37" s="196">
        <v>0.0</v>
      </c>
    </row>
    <row r="38">
      <c r="A38" s="58" t="s">
        <v>93</v>
      </c>
      <c r="B38" s="58">
        <v>0.0048</v>
      </c>
      <c r="C38" s="58" t="s">
        <v>134</v>
      </c>
      <c r="D38" s="58" t="s">
        <v>134</v>
      </c>
      <c r="E38" s="58">
        <v>0.0</v>
      </c>
      <c r="F38" s="58" t="s">
        <v>134</v>
      </c>
      <c r="G38" s="58" t="s">
        <v>134</v>
      </c>
      <c r="H38" s="58" t="s">
        <v>134</v>
      </c>
      <c r="I38" s="58" t="s">
        <v>134</v>
      </c>
      <c r="J38" s="58" t="s">
        <v>134</v>
      </c>
      <c r="K38" s="196">
        <v>0.0</v>
      </c>
      <c r="L38" s="196">
        <v>0.0</v>
      </c>
    </row>
    <row r="39">
      <c r="A39" s="58" t="s">
        <v>94</v>
      </c>
      <c r="B39" s="58" t="s">
        <v>134</v>
      </c>
      <c r="C39" s="58" t="s">
        <v>134</v>
      </c>
      <c r="D39" s="58" t="s">
        <v>134</v>
      </c>
      <c r="E39" s="58">
        <v>0.0</v>
      </c>
      <c r="F39" s="58" t="s">
        <v>134</v>
      </c>
      <c r="G39" s="58" t="s">
        <v>134</v>
      </c>
      <c r="H39" s="58" t="s">
        <v>134</v>
      </c>
      <c r="I39" s="58" t="s">
        <v>134</v>
      </c>
      <c r="J39" s="58" t="s">
        <v>134</v>
      </c>
      <c r="K39" s="196">
        <v>0.0</v>
      </c>
      <c r="L39" s="196">
        <v>0.0</v>
      </c>
    </row>
    <row r="40">
      <c r="A40" s="58" t="s">
        <v>61</v>
      </c>
      <c r="B40" s="58">
        <v>0.0251</v>
      </c>
      <c r="C40" s="58" t="s">
        <v>134</v>
      </c>
      <c r="D40" s="58" t="s">
        <v>134</v>
      </c>
      <c r="E40" s="58">
        <v>0.0</v>
      </c>
      <c r="F40" s="58" t="s">
        <v>134</v>
      </c>
      <c r="G40" s="58" t="s">
        <v>134</v>
      </c>
      <c r="H40" s="58" t="s">
        <v>134</v>
      </c>
      <c r="I40" s="58" t="s">
        <v>134</v>
      </c>
      <c r="J40" s="58" t="s">
        <v>134</v>
      </c>
      <c r="K40" s="196">
        <v>0.0</v>
      </c>
      <c r="L40" s="196">
        <v>0.0</v>
      </c>
    </row>
    <row r="41">
      <c r="A41" s="58" t="s">
        <v>100</v>
      </c>
      <c r="B41" s="58">
        <v>0.0</v>
      </c>
      <c r="C41" s="58" t="s">
        <v>134</v>
      </c>
      <c r="D41" s="58" t="s">
        <v>134</v>
      </c>
      <c r="E41" s="58">
        <v>0.0</v>
      </c>
      <c r="F41" s="58" t="s">
        <v>134</v>
      </c>
      <c r="G41" s="58" t="s">
        <v>134</v>
      </c>
      <c r="H41" s="58" t="s">
        <v>134</v>
      </c>
      <c r="I41" s="58" t="s">
        <v>134</v>
      </c>
      <c r="J41" s="58" t="s">
        <v>134</v>
      </c>
      <c r="K41" s="196">
        <v>0.0</v>
      </c>
      <c r="L41" s="196">
        <v>0.0</v>
      </c>
    </row>
    <row r="42">
      <c r="A42" s="58" t="s">
        <v>117</v>
      </c>
      <c r="B42" s="58" t="s">
        <v>134</v>
      </c>
      <c r="C42" s="58" t="s">
        <v>134</v>
      </c>
      <c r="D42" s="58" t="s">
        <v>134</v>
      </c>
      <c r="E42" s="58">
        <v>0.0</v>
      </c>
      <c r="F42" s="58" t="s">
        <v>134</v>
      </c>
      <c r="G42" s="58" t="s">
        <v>134</v>
      </c>
      <c r="H42" s="58" t="s">
        <v>134</v>
      </c>
      <c r="I42" s="58" t="s">
        <v>134</v>
      </c>
      <c r="J42" s="58" t="s">
        <v>134</v>
      </c>
      <c r="K42" s="196">
        <v>0.0</v>
      </c>
      <c r="L42" s="196">
        <v>0.0</v>
      </c>
    </row>
    <row r="43">
      <c r="A43" s="58" t="s">
        <v>64</v>
      </c>
      <c r="B43" s="58">
        <v>0.0285</v>
      </c>
      <c r="C43" s="58" t="s">
        <v>134</v>
      </c>
      <c r="D43" s="58" t="s">
        <v>134</v>
      </c>
      <c r="E43" s="58">
        <v>0.0</v>
      </c>
      <c r="F43" s="58" t="s">
        <v>134</v>
      </c>
      <c r="G43" s="58" t="s">
        <v>134</v>
      </c>
      <c r="H43" s="58" t="s">
        <v>134</v>
      </c>
      <c r="I43" s="58" t="s">
        <v>134</v>
      </c>
      <c r="J43" s="58" t="s">
        <v>134</v>
      </c>
      <c r="K43" s="196">
        <v>0.0</v>
      </c>
      <c r="L43" s="196">
        <v>0.0</v>
      </c>
    </row>
    <row r="44">
      <c r="A44" s="58" t="s">
        <v>63</v>
      </c>
      <c r="B44" s="58">
        <v>0.0488</v>
      </c>
      <c r="C44" s="58" t="s">
        <v>134</v>
      </c>
      <c r="D44" s="58" t="s">
        <v>134</v>
      </c>
      <c r="E44" s="58">
        <v>0.0</v>
      </c>
      <c r="F44" s="58" t="s">
        <v>134</v>
      </c>
      <c r="G44" s="58" t="s">
        <v>134</v>
      </c>
      <c r="H44" s="58" t="s">
        <v>134</v>
      </c>
      <c r="I44" s="58" t="s">
        <v>134</v>
      </c>
      <c r="J44" s="58" t="s">
        <v>134</v>
      </c>
      <c r="K44" s="196">
        <v>0.0</v>
      </c>
      <c r="L44" s="196">
        <v>0.0</v>
      </c>
    </row>
    <row r="45">
      <c r="A45" s="58" t="s">
        <v>472</v>
      </c>
      <c r="B45" s="58" t="s">
        <v>134</v>
      </c>
      <c r="C45" s="58" t="s">
        <v>134</v>
      </c>
      <c r="D45" s="58" t="s">
        <v>134</v>
      </c>
      <c r="E45" s="58">
        <v>0.0</v>
      </c>
      <c r="F45" s="58" t="s">
        <v>134</v>
      </c>
      <c r="G45" s="58" t="s">
        <v>134</v>
      </c>
      <c r="H45" s="58" t="s">
        <v>134</v>
      </c>
      <c r="I45" s="58" t="s">
        <v>134</v>
      </c>
      <c r="J45" s="58" t="s">
        <v>134</v>
      </c>
      <c r="K45" s="196">
        <v>0.0</v>
      </c>
      <c r="L45" s="196">
        <v>0.0</v>
      </c>
    </row>
    <row r="46">
      <c r="A46" s="58" t="s">
        <v>473</v>
      </c>
      <c r="B46" s="58" t="s">
        <v>134</v>
      </c>
      <c r="C46" s="58" t="s">
        <v>134</v>
      </c>
      <c r="D46" s="58" t="s">
        <v>134</v>
      </c>
      <c r="E46" s="58">
        <v>0.0</v>
      </c>
      <c r="F46" s="58" t="s">
        <v>134</v>
      </c>
      <c r="G46" s="58" t="s">
        <v>134</v>
      </c>
      <c r="H46" s="58" t="s">
        <v>134</v>
      </c>
      <c r="I46" s="58" t="s">
        <v>134</v>
      </c>
      <c r="J46" s="58" t="s">
        <v>134</v>
      </c>
      <c r="K46" s="196">
        <v>0.0</v>
      </c>
      <c r="L46" s="196">
        <v>0.0</v>
      </c>
    </row>
    <row r="47">
      <c r="A47" s="58" t="s">
        <v>71</v>
      </c>
      <c r="B47" s="59">
        <v>0.0042</v>
      </c>
      <c r="C47" s="58" t="s">
        <v>134</v>
      </c>
      <c r="D47" s="58" t="s">
        <v>134</v>
      </c>
      <c r="E47" s="58">
        <v>0.0</v>
      </c>
      <c r="F47" s="58" t="s">
        <v>134</v>
      </c>
      <c r="G47" s="58" t="s">
        <v>134</v>
      </c>
      <c r="H47" s="58" t="s">
        <v>134</v>
      </c>
      <c r="I47" s="58" t="s">
        <v>134</v>
      </c>
      <c r="J47" s="58" t="s">
        <v>134</v>
      </c>
      <c r="K47" s="196">
        <v>0.0</v>
      </c>
      <c r="L47" s="196">
        <v>0.0</v>
      </c>
    </row>
    <row r="48">
      <c r="A48" s="58" t="s">
        <v>57</v>
      </c>
      <c r="B48" s="58">
        <v>0.0818</v>
      </c>
      <c r="C48" s="58" t="s">
        <v>134</v>
      </c>
      <c r="D48" s="58" t="s">
        <v>134</v>
      </c>
      <c r="E48" s="58">
        <v>0.0</v>
      </c>
      <c r="F48" s="58" t="s">
        <v>134</v>
      </c>
      <c r="G48" s="58" t="s">
        <v>134</v>
      </c>
      <c r="H48" s="58" t="s">
        <v>134</v>
      </c>
      <c r="I48" s="58" t="s">
        <v>134</v>
      </c>
      <c r="J48" s="58" t="s">
        <v>134</v>
      </c>
      <c r="K48" s="196">
        <v>0.0</v>
      </c>
      <c r="L48" s="196">
        <v>0.0</v>
      </c>
    </row>
    <row r="49">
      <c r="A49" s="58" t="s">
        <v>474</v>
      </c>
      <c r="B49" s="58" t="s">
        <v>134</v>
      </c>
      <c r="C49" s="58" t="s">
        <v>134</v>
      </c>
      <c r="D49" s="58" t="s">
        <v>134</v>
      </c>
      <c r="E49" s="58">
        <v>0.0</v>
      </c>
      <c r="F49" s="58" t="s">
        <v>134</v>
      </c>
      <c r="G49" s="58" t="s">
        <v>134</v>
      </c>
      <c r="H49" s="58" t="s">
        <v>134</v>
      </c>
      <c r="I49" s="58" t="s">
        <v>134</v>
      </c>
      <c r="J49" s="58" t="s">
        <v>134</v>
      </c>
      <c r="K49" s="196">
        <v>0.0</v>
      </c>
      <c r="L49" s="196">
        <v>0.0</v>
      </c>
    </row>
    <row r="50">
      <c r="A50" s="58" t="s">
        <v>109</v>
      </c>
      <c r="B50" s="58" t="s">
        <v>134</v>
      </c>
      <c r="C50" s="58" t="s">
        <v>134</v>
      </c>
      <c r="D50" s="58" t="s">
        <v>134</v>
      </c>
      <c r="E50" s="58">
        <v>0.0</v>
      </c>
      <c r="F50" s="58" t="s">
        <v>134</v>
      </c>
      <c r="G50" s="58" t="s">
        <v>134</v>
      </c>
      <c r="H50" s="58" t="s">
        <v>134</v>
      </c>
      <c r="I50" s="58" t="s">
        <v>134</v>
      </c>
      <c r="J50" s="58" t="s">
        <v>134</v>
      </c>
      <c r="K50" s="196">
        <v>0.0</v>
      </c>
      <c r="L50" s="196">
        <v>0.0</v>
      </c>
    </row>
    <row r="51">
      <c r="A51" s="58" t="s">
        <v>86</v>
      </c>
      <c r="B51" s="58">
        <v>0.0042</v>
      </c>
      <c r="C51" s="58" t="s">
        <v>134</v>
      </c>
      <c r="D51" s="58" t="s">
        <v>134</v>
      </c>
      <c r="E51" s="58">
        <v>0.0</v>
      </c>
      <c r="F51" s="58" t="s">
        <v>134</v>
      </c>
      <c r="G51" s="58" t="s">
        <v>134</v>
      </c>
      <c r="H51" s="58" t="s">
        <v>134</v>
      </c>
      <c r="I51" s="58" t="s">
        <v>134</v>
      </c>
      <c r="J51" s="58" t="s">
        <v>134</v>
      </c>
      <c r="K51" s="196">
        <v>0.0</v>
      </c>
      <c r="L51" s="196">
        <v>0.0</v>
      </c>
    </row>
    <row r="52">
      <c r="A52" s="58" t="s">
        <v>114</v>
      </c>
      <c r="B52" s="58" t="s">
        <v>134</v>
      </c>
      <c r="C52" s="58" t="s">
        <v>134</v>
      </c>
      <c r="D52" s="58" t="s">
        <v>134</v>
      </c>
      <c r="E52" s="58">
        <v>0.0</v>
      </c>
      <c r="F52" s="58" t="s">
        <v>134</v>
      </c>
      <c r="G52" s="58" t="s">
        <v>134</v>
      </c>
      <c r="H52" s="58" t="s">
        <v>134</v>
      </c>
      <c r="I52" s="58" t="s">
        <v>134</v>
      </c>
      <c r="J52" s="58" t="s">
        <v>134</v>
      </c>
      <c r="K52" s="196">
        <v>0.0</v>
      </c>
      <c r="L52" s="196">
        <v>0.0</v>
      </c>
    </row>
    <row r="53">
      <c r="A53" s="58" t="s">
        <v>110</v>
      </c>
      <c r="B53" s="58">
        <v>0.0</v>
      </c>
      <c r="C53" s="58" t="s">
        <v>134</v>
      </c>
      <c r="D53" s="58" t="s">
        <v>134</v>
      </c>
      <c r="E53" s="58">
        <v>0.0</v>
      </c>
      <c r="F53" s="58" t="s">
        <v>134</v>
      </c>
      <c r="G53" s="58" t="s">
        <v>134</v>
      </c>
      <c r="H53" s="58" t="s">
        <v>134</v>
      </c>
      <c r="I53" s="58" t="s">
        <v>134</v>
      </c>
      <c r="J53" s="58" t="s">
        <v>134</v>
      </c>
      <c r="K53" s="196">
        <v>0.0</v>
      </c>
      <c r="L53" s="196">
        <v>0.0</v>
      </c>
    </row>
    <row r="54">
      <c r="A54" s="58" t="s">
        <v>475</v>
      </c>
      <c r="B54" s="58" t="s">
        <v>134</v>
      </c>
      <c r="C54" s="58" t="s">
        <v>134</v>
      </c>
      <c r="D54" s="58" t="s">
        <v>134</v>
      </c>
      <c r="E54" s="58">
        <v>0.0</v>
      </c>
      <c r="F54" s="58" t="s">
        <v>134</v>
      </c>
      <c r="G54" s="58" t="s">
        <v>134</v>
      </c>
      <c r="H54" s="58" t="s">
        <v>134</v>
      </c>
      <c r="I54" s="58" t="s">
        <v>134</v>
      </c>
      <c r="J54" s="58" t="s">
        <v>134</v>
      </c>
      <c r="K54" s="196">
        <v>0.0</v>
      </c>
      <c r="L54" s="196">
        <v>0.0</v>
      </c>
    </row>
    <row r="55">
      <c r="A55" s="58" t="s">
        <v>78</v>
      </c>
      <c r="B55" s="58">
        <v>0.0526</v>
      </c>
      <c r="C55" s="58" t="s">
        <v>134</v>
      </c>
      <c r="D55" s="58" t="s">
        <v>134</v>
      </c>
      <c r="E55" s="58">
        <v>0.0</v>
      </c>
      <c r="F55" s="58" t="s">
        <v>134</v>
      </c>
      <c r="G55" s="58" t="s">
        <v>134</v>
      </c>
      <c r="H55" s="58" t="s">
        <v>134</v>
      </c>
      <c r="I55" s="58" t="s">
        <v>134</v>
      </c>
      <c r="J55" s="58" t="s">
        <v>134</v>
      </c>
      <c r="K55" s="196">
        <v>0.0</v>
      </c>
      <c r="L55" s="196">
        <v>0.0</v>
      </c>
    </row>
    <row r="56">
      <c r="A56" s="58" t="s">
        <v>106</v>
      </c>
      <c r="B56" s="58" t="s">
        <v>134</v>
      </c>
      <c r="C56" s="58" t="s">
        <v>134</v>
      </c>
      <c r="D56" s="58" t="s">
        <v>134</v>
      </c>
      <c r="E56" s="58">
        <v>0.0</v>
      </c>
      <c r="F56" s="58" t="s">
        <v>134</v>
      </c>
      <c r="G56" s="58" t="s">
        <v>134</v>
      </c>
      <c r="H56" s="58" t="s">
        <v>134</v>
      </c>
      <c r="I56" s="58" t="s">
        <v>134</v>
      </c>
      <c r="J56" s="58" t="s">
        <v>134</v>
      </c>
      <c r="K56" s="196">
        <v>0.0</v>
      </c>
      <c r="L56" s="196">
        <v>0.0</v>
      </c>
    </row>
    <row r="57">
      <c r="A57" s="58" t="s">
        <v>99</v>
      </c>
      <c r="B57" s="58" t="s">
        <v>134</v>
      </c>
      <c r="C57" s="58" t="s">
        <v>134</v>
      </c>
      <c r="D57" s="58" t="s">
        <v>134</v>
      </c>
      <c r="E57" s="58">
        <v>0.0</v>
      </c>
      <c r="F57" s="58" t="s">
        <v>134</v>
      </c>
      <c r="G57" s="58" t="s">
        <v>134</v>
      </c>
      <c r="H57" s="58" t="s">
        <v>134</v>
      </c>
      <c r="I57" s="58" t="s">
        <v>134</v>
      </c>
      <c r="J57" s="58" t="s">
        <v>134</v>
      </c>
      <c r="K57" s="196">
        <v>0.0</v>
      </c>
      <c r="L57" s="196">
        <v>0.0</v>
      </c>
    </row>
    <row r="58">
      <c r="A58" s="58" t="s">
        <v>116</v>
      </c>
      <c r="B58" s="58" t="s">
        <v>134</v>
      </c>
      <c r="C58" s="58" t="s">
        <v>134</v>
      </c>
      <c r="D58" s="58" t="s">
        <v>134</v>
      </c>
      <c r="E58" s="58">
        <v>0.0</v>
      </c>
      <c r="F58" s="58" t="s">
        <v>134</v>
      </c>
      <c r="G58" s="58" t="s">
        <v>134</v>
      </c>
      <c r="H58" s="58" t="s">
        <v>134</v>
      </c>
      <c r="I58" s="58" t="s">
        <v>134</v>
      </c>
      <c r="J58" s="58" t="s">
        <v>134</v>
      </c>
      <c r="K58" s="196">
        <v>0.0</v>
      </c>
      <c r="L58" s="196">
        <v>0.0</v>
      </c>
    </row>
    <row r="59">
      <c r="A59" s="58" t="s">
        <v>464</v>
      </c>
      <c r="B59" s="58">
        <v>0.0</v>
      </c>
      <c r="C59" s="58" t="s">
        <v>134</v>
      </c>
      <c r="D59" s="58" t="s">
        <v>134</v>
      </c>
      <c r="E59" s="58">
        <v>0.0</v>
      </c>
      <c r="F59" s="58" t="s">
        <v>134</v>
      </c>
      <c r="G59" s="58" t="s">
        <v>134</v>
      </c>
      <c r="H59" s="58" t="s">
        <v>134</v>
      </c>
      <c r="I59" s="58" t="s">
        <v>134</v>
      </c>
      <c r="J59" s="58" t="s">
        <v>134</v>
      </c>
      <c r="K59" s="196">
        <v>0.0</v>
      </c>
      <c r="L59" s="196">
        <v>0.0</v>
      </c>
    </row>
    <row r="60">
      <c r="A60" s="58" t="s">
        <v>115</v>
      </c>
      <c r="B60" s="59">
        <v>0.0</v>
      </c>
      <c r="C60" s="58" t="s">
        <v>134</v>
      </c>
      <c r="D60" s="58" t="s">
        <v>134</v>
      </c>
      <c r="E60" s="58">
        <v>0.0</v>
      </c>
      <c r="F60" s="58" t="s">
        <v>134</v>
      </c>
      <c r="G60" s="58" t="s">
        <v>134</v>
      </c>
      <c r="H60" s="58" t="s">
        <v>134</v>
      </c>
      <c r="I60" s="58" t="s">
        <v>134</v>
      </c>
      <c r="J60" s="58" t="s">
        <v>134</v>
      </c>
      <c r="K60" s="196">
        <v>0.0</v>
      </c>
      <c r="L60" s="196">
        <v>0.0</v>
      </c>
    </row>
    <row r="61">
      <c r="A61" s="58" t="s">
        <v>67</v>
      </c>
      <c r="B61" s="58">
        <v>0.1339</v>
      </c>
      <c r="C61" s="58" t="s">
        <v>134</v>
      </c>
      <c r="D61" s="58" t="s">
        <v>134</v>
      </c>
      <c r="E61" s="58">
        <v>0.0</v>
      </c>
      <c r="F61" s="58" t="s">
        <v>134</v>
      </c>
      <c r="G61" s="58" t="s">
        <v>134</v>
      </c>
      <c r="H61" s="58" t="s">
        <v>134</v>
      </c>
      <c r="I61" s="58" t="s">
        <v>134</v>
      </c>
      <c r="J61" s="58" t="s">
        <v>134</v>
      </c>
      <c r="K61" s="196">
        <v>0.0</v>
      </c>
      <c r="L61" s="196">
        <v>0.0</v>
      </c>
    </row>
    <row r="62">
      <c r="A62" s="58" t="s">
        <v>466</v>
      </c>
      <c r="B62" s="58" t="s">
        <v>134</v>
      </c>
      <c r="C62" s="58" t="s">
        <v>134</v>
      </c>
      <c r="D62" s="58" t="s">
        <v>134</v>
      </c>
      <c r="E62" s="58">
        <v>0.0</v>
      </c>
      <c r="F62" s="58" t="s">
        <v>134</v>
      </c>
      <c r="G62" s="58" t="s">
        <v>134</v>
      </c>
      <c r="H62" s="58" t="s">
        <v>134</v>
      </c>
      <c r="I62" s="58" t="s">
        <v>134</v>
      </c>
      <c r="J62" s="58" t="s">
        <v>134</v>
      </c>
      <c r="K62" s="196">
        <v>0.0</v>
      </c>
      <c r="L62" s="196">
        <v>0.0</v>
      </c>
    </row>
    <row r="63">
      <c r="A63" s="58" t="s">
        <v>476</v>
      </c>
      <c r="B63" s="58" t="s">
        <v>134</v>
      </c>
      <c r="C63" s="58" t="s">
        <v>134</v>
      </c>
      <c r="D63" s="58" t="s">
        <v>134</v>
      </c>
      <c r="E63" s="58">
        <v>0.0</v>
      </c>
      <c r="F63" s="58" t="s">
        <v>134</v>
      </c>
      <c r="G63" s="58" t="s">
        <v>134</v>
      </c>
      <c r="H63" s="58" t="s">
        <v>134</v>
      </c>
      <c r="I63" s="58" t="s">
        <v>134</v>
      </c>
      <c r="J63" s="58" t="s">
        <v>134</v>
      </c>
      <c r="K63" s="196">
        <v>0.0</v>
      </c>
      <c r="L63" s="196">
        <v>0.0</v>
      </c>
    </row>
    <row r="64">
      <c r="A64" s="58" t="s">
        <v>87</v>
      </c>
      <c r="B64" s="58">
        <v>0.0396</v>
      </c>
      <c r="C64" s="58" t="s">
        <v>134</v>
      </c>
      <c r="D64" s="58" t="s">
        <v>134</v>
      </c>
      <c r="E64" s="58">
        <v>0.0</v>
      </c>
      <c r="F64" s="58" t="s">
        <v>134</v>
      </c>
      <c r="G64" s="58" t="s">
        <v>134</v>
      </c>
      <c r="H64" s="58" t="s">
        <v>134</v>
      </c>
      <c r="I64" s="58" t="s">
        <v>134</v>
      </c>
      <c r="J64" s="58" t="s">
        <v>134</v>
      </c>
      <c r="K64" s="196">
        <v>0.0</v>
      </c>
      <c r="L64" s="196">
        <v>0.0</v>
      </c>
    </row>
    <row r="65">
      <c r="A65" s="58" t="s">
        <v>85</v>
      </c>
      <c r="B65" s="58" t="s">
        <v>134</v>
      </c>
      <c r="C65" s="58" t="s">
        <v>134</v>
      </c>
      <c r="D65" s="58" t="s">
        <v>134</v>
      </c>
      <c r="E65" s="58">
        <v>0.0</v>
      </c>
      <c r="F65" s="58" t="s">
        <v>134</v>
      </c>
      <c r="G65" s="58" t="s">
        <v>134</v>
      </c>
      <c r="H65" s="58" t="s">
        <v>134</v>
      </c>
      <c r="I65" s="58" t="s">
        <v>134</v>
      </c>
      <c r="J65" s="58" t="s">
        <v>134</v>
      </c>
      <c r="K65" s="196">
        <v>0.0</v>
      </c>
      <c r="L65" s="196">
        <v>0.0</v>
      </c>
    </row>
    <row r="66">
      <c r="A66" s="58" t="s">
        <v>91</v>
      </c>
      <c r="B66" s="58" t="s">
        <v>134</v>
      </c>
      <c r="C66" s="58" t="s">
        <v>134</v>
      </c>
      <c r="D66" s="58" t="s">
        <v>134</v>
      </c>
      <c r="E66" s="58">
        <v>0.0</v>
      </c>
      <c r="F66" s="58" t="s">
        <v>134</v>
      </c>
      <c r="G66" s="58" t="s">
        <v>134</v>
      </c>
      <c r="H66" s="58" t="s">
        <v>134</v>
      </c>
      <c r="I66" s="58" t="s">
        <v>134</v>
      </c>
      <c r="J66" s="58" t="s">
        <v>134</v>
      </c>
      <c r="K66" s="196">
        <v>0.0</v>
      </c>
      <c r="L66" s="196">
        <v>0.0</v>
      </c>
    </row>
    <row r="67">
      <c r="A67" s="58" t="s">
        <v>84</v>
      </c>
      <c r="B67" s="58" t="s">
        <v>134</v>
      </c>
      <c r="C67" s="58" t="s">
        <v>134</v>
      </c>
      <c r="D67" s="58" t="s">
        <v>134</v>
      </c>
      <c r="E67" s="58">
        <v>0.0</v>
      </c>
      <c r="F67" s="58" t="s">
        <v>134</v>
      </c>
      <c r="G67" s="58" t="s">
        <v>134</v>
      </c>
      <c r="H67" s="58" t="s">
        <v>134</v>
      </c>
      <c r="I67" s="58" t="s">
        <v>134</v>
      </c>
      <c r="J67" s="58" t="s">
        <v>134</v>
      </c>
      <c r="K67" s="196">
        <v>0.0</v>
      </c>
      <c r="L67" s="196">
        <v>0.0</v>
      </c>
    </row>
    <row r="68">
      <c r="A68" s="58" t="s">
        <v>92</v>
      </c>
      <c r="B68" s="58" t="s">
        <v>134</v>
      </c>
      <c r="C68" s="58" t="s">
        <v>134</v>
      </c>
      <c r="D68" s="58" t="s">
        <v>134</v>
      </c>
      <c r="E68" s="58">
        <v>0.0</v>
      </c>
      <c r="F68" s="58" t="s">
        <v>134</v>
      </c>
      <c r="G68" s="58" t="s">
        <v>134</v>
      </c>
      <c r="H68" s="58" t="s">
        <v>134</v>
      </c>
      <c r="I68" s="58" t="s">
        <v>134</v>
      </c>
      <c r="J68" s="58" t="s">
        <v>134</v>
      </c>
      <c r="K68" s="196">
        <v>0.0</v>
      </c>
      <c r="L68" s="196">
        <v>0.0</v>
      </c>
    </row>
    <row r="69">
      <c r="A69" s="58" t="s">
        <v>477</v>
      </c>
      <c r="B69" s="58" t="s">
        <v>134</v>
      </c>
      <c r="C69" s="58" t="s">
        <v>134</v>
      </c>
      <c r="D69" s="58" t="s">
        <v>134</v>
      </c>
      <c r="E69" s="58">
        <v>0.0</v>
      </c>
      <c r="F69" s="58" t="s">
        <v>134</v>
      </c>
      <c r="G69" s="58" t="s">
        <v>134</v>
      </c>
      <c r="H69" s="58" t="s">
        <v>134</v>
      </c>
      <c r="I69" s="58" t="s">
        <v>134</v>
      </c>
      <c r="J69" s="58" t="s">
        <v>134</v>
      </c>
      <c r="K69" s="196">
        <v>0.0</v>
      </c>
      <c r="L69" s="196">
        <v>0.0</v>
      </c>
    </row>
    <row r="70">
      <c r="A70" s="58" t="s">
        <v>97</v>
      </c>
      <c r="B70" s="59">
        <v>0.0093</v>
      </c>
      <c r="C70" s="58" t="s">
        <v>134</v>
      </c>
      <c r="D70" s="58" t="s">
        <v>134</v>
      </c>
      <c r="E70" s="58">
        <v>0.0</v>
      </c>
      <c r="F70" s="58" t="s">
        <v>134</v>
      </c>
      <c r="G70" s="58" t="s">
        <v>134</v>
      </c>
      <c r="H70" s="58" t="s">
        <v>134</v>
      </c>
      <c r="I70" s="58" t="s">
        <v>134</v>
      </c>
      <c r="J70" s="58" t="s">
        <v>134</v>
      </c>
      <c r="K70" s="196">
        <v>0.0</v>
      </c>
      <c r="L70" s="196">
        <v>0.0</v>
      </c>
    </row>
    <row r="71">
      <c r="A71" s="58" t="s">
        <v>69</v>
      </c>
      <c r="B71" s="58">
        <v>0.0228</v>
      </c>
      <c r="C71" s="58" t="s">
        <v>134</v>
      </c>
      <c r="D71" s="58" t="s">
        <v>134</v>
      </c>
      <c r="E71" s="58">
        <v>0.0</v>
      </c>
      <c r="F71" s="58" t="s">
        <v>134</v>
      </c>
      <c r="G71" s="58" t="s">
        <v>134</v>
      </c>
      <c r="H71" s="58" t="s">
        <v>134</v>
      </c>
      <c r="I71" s="58" t="s">
        <v>134</v>
      </c>
      <c r="J71" s="58" t="s">
        <v>134</v>
      </c>
      <c r="K71" s="196">
        <v>0.0</v>
      </c>
      <c r="L71" s="196">
        <v>0.0</v>
      </c>
    </row>
    <row r="72">
      <c r="A72" s="58" t="s">
        <v>323</v>
      </c>
      <c r="B72" s="58" t="s">
        <v>134</v>
      </c>
      <c r="C72" s="58" t="s">
        <v>134</v>
      </c>
      <c r="D72" s="58" t="s">
        <v>134</v>
      </c>
      <c r="E72" s="58">
        <v>0.0</v>
      </c>
      <c r="F72" s="58" t="s">
        <v>134</v>
      </c>
      <c r="G72" s="58" t="s">
        <v>134</v>
      </c>
      <c r="H72" s="58" t="s">
        <v>134</v>
      </c>
      <c r="I72" s="58" t="s">
        <v>134</v>
      </c>
      <c r="J72" s="58" t="s">
        <v>134</v>
      </c>
      <c r="K72" s="196">
        <v>0.0</v>
      </c>
      <c r="L72" s="196">
        <v>0.0</v>
      </c>
    </row>
    <row r="73">
      <c r="A73" s="58" t="s">
        <v>478</v>
      </c>
      <c r="B73" s="58" t="s">
        <v>134</v>
      </c>
      <c r="C73" s="58" t="s">
        <v>134</v>
      </c>
      <c r="D73" s="58" t="s">
        <v>134</v>
      </c>
      <c r="E73" s="58">
        <v>0.0</v>
      </c>
      <c r="F73" s="58" t="s">
        <v>134</v>
      </c>
      <c r="G73" s="58" t="s">
        <v>134</v>
      </c>
      <c r="H73" s="58" t="s">
        <v>134</v>
      </c>
      <c r="I73" s="58" t="s">
        <v>134</v>
      </c>
      <c r="J73" s="58" t="s">
        <v>134</v>
      </c>
      <c r="K73" s="196">
        <v>0.0</v>
      </c>
      <c r="L73" s="196">
        <v>0.0</v>
      </c>
    </row>
    <row r="74">
      <c r="A74" s="58" t="s">
        <v>479</v>
      </c>
      <c r="B74" s="58" t="s">
        <v>134</v>
      </c>
      <c r="C74" s="58" t="s">
        <v>134</v>
      </c>
      <c r="D74" s="58" t="s">
        <v>134</v>
      </c>
      <c r="E74" s="58">
        <v>0.0</v>
      </c>
      <c r="F74" s="58" t="s">
        <v>134</v>
      </c>
      <c r="G74" s="58" t="s">
        <v>134</v>
      </c>
      <c r="H74" s="58" t="s">
        <v>134</v>
      </c>
      <c r="I74" s="58" t="s">
        <v>134</v>
      </c>
      <c r="J74" s="58" t="s">
        <v>134</v>
      </c>
      <c r="K74" s="196">
        <v>0.0</v>
      </c>
      <c r="L74" s="196">
        <v>0.0</v>
      </c>
    </row>
    <row r="75">
      <c r="A75" s="58" t="s">
        <v>105</v>
      </c>
      <c r="B75" s="58" t="s">
        <v>134</v>
      </c>
      <c r="C75" s="58" t="s">
        <v>134</v>
      </c>
      <c r="D75" s="58" t="s">
        <v>134</v>
      </c>
      <c r="E75" s="58">
        <v>0.0</v>
      </c>
      <c r="F75" s="58" t="s">
        <v>134</v>
      </c>
      <c r="G75" s="58" t="s">
        <v>134</v>
      </c>
      <c r="H75" s="58" t="s">
        <v>134</v>
      </c>
      <c r="I75" s="58" t="s">
        <v>134</v>
      </c>
      <c r="J75" s="58" t="s">
        <v>134</v>
      </c>
      <c r="K75" s="196">
        <v>0.0</v>
      </c>
      <c r="L75" s="196">
        <v>0.0</v>
      </c>
    </row>
    <row r="76">
      <c r="A76" s="58" t="s">
        <v>102</v>
      </c>
      <c r="B76" s="58" t="s">
        <v>134</v>
      </c>
      <c r="C76" s="58" t="s">
        <v>134</v>
      </c>
      <c r="D76" s="58" t="s">
        <v>134</v>
      </c>
      <c r="E76" s="58">
        <v>0.0</v>
      </c>
      <c r="F76" s="58" t="s">
        <v>134</v>
      </c>
      <c r="G76" s="58" t="s">
        <v>134</v>
      </c>
      <c r="H76" s="58" t="s">
        <v>134</v>
      </c>
      <c r="I76" s="58" t="s">
        <v>134</v>
      </c>
      <c r="J76" s="58" t="s">
        <v>134</v>
      </c>
      <c r="K76" s="196">
        <v>0.0</v>
      </c>
      <c r="L76" s="196">
        <v>0.0</v>
      </c>
    </row>
    <row r="77">
      <c r="A77" s="58" t="s">
        <v>98</v>
      </c>
      <c r="B77" s="59">
        <v>0.0554</v>
      </c>
      <c r="C77" s="58" t="s">
        <v>134</v>
      </c>
      <c r="D77" s="58" t="s">
        <v>134</v>
      </c>
      <c r="E77" s="58">
        <v>0.0</v>
      </c>
      <c r="F77" s="58" t="s">
        <v>134</v>
      </c>
      <c r="G77" s="58" t="s">
        <v>134</v>
      </c>
      <c r="H77" s="58" t="s">
        <v>134</v>
      </c>
      <c r="I77" s="58" t="s">
        <v>134</v>
      </c>
      <c r="J77" s="58" t="s">
        <v>134</v>
      </c>
      <c r="K77" s="196">
        <v>0.0</v>
      </c>
      <c r="L77" s="196">
        <v>0.0</v>
      </c>
    </row>
    <row r="78">
      <c r="A78" s="58" t="s">
        <v>68</v>
      </c>
      <c r="B78" s="59">
        <v>0.0091</v>
      </c>
      <c r="C78" s="58" t="s">
        <v>134</v>
      </c>
      <c r="D78" s="58" t="s">
        <v>134</v>
      </c>
      <c r="E78" s="58">
        <v>0.0</v>
      </c>
      <c r="F78" s="58" t="s">
        <v>134</v>
      </c>
      <c r="G78" s="58" t="s">
        <v>134</v>
      </c>
      <c r="H78" s="58" t="s">
        <v>134</v>
      </c>
      <c r="I78" s="58" t="s">
        <v>134</v>
      </c>
      <c r="J78" s="58" t="s">
        <v>134</v>
      </c>
      <c r="K78" s="196">
        <v>0.0</v>
      </c>
      <c r="L78" s="196">
        <v>0.0</v>
      </c>
    </row>
    <row r="79">
      <c r="A79" s="58" t="s">
        <v>62</v>
      </c>
      <c r="B79" s="58">
        <v>0.0127</v>
      </c>
      <c r="C79" s="58" t="s">
        <v>134</v>
      </c>
      <c r="D79" s="58" t="s">
        <v>134</v>
      </c>
      <c r="E79" s="58">
        <v>0.0</v>
      </c>
      <c r="F79" s="58" t="s">
        <v>134</v>
      </c>
      <c r="G79" s="58" t="s">
        <v>134</v>
      </c>
      <c r="H79" s="58" t="s">
        <v>134</v>
      </c>
      <c r="I79" s="58" t="s">
        <v>134</v>
      </c>
      <c r="J79" s="58" t="s">
        <v>134</v>
      </c>
      <c r="K79" s="196">
        <v>0.0</v>
      </c>
      <c r="L79" s="196">
        <v>0.0</v>
      </c>
    </row>
    <row r="80">
      <c r="A80" s="58" t="s">
        <v>96</v>
      </c>
      <c r="B80" s="58" t="s">
        <v>134</v>
      </c>
      <c r="C80" s="58" t="s">
        <v>134</v>
      </c>
      <c r="D80" s="58" t="s">
        <v>134</v>
      </c>
      <c r="E80" s="58">
        <v>0.0</v>
      </c>
      <c r="F80" s="58" t="s">
        <v>134</v>
      </c>
      <c r="G80" s="58" t="s">
        <v>134</v>
      </c>
      <c r="H80" s="58" t="s">
        <v>134</v>
      </c>
      <c r="I80" s="58" t="s">
        <v>134</v>
      </c>
      <c r="J80" s="58" t="s">
        <v>134</v>
      </c>
      <c r="K80" s="196">
        <v>0.0</v>
      </c>
      <c r="L80" s="196">
        <v>0.0</v>
      </c>
    </row>
    <row r="81">
      <c r="A81" s="58" t="s">
        <v>75</v>
      </c>
      <c r="B81" s="59">
        <v>0.0155</v>
      </c>
      <c r="C81" s="58" t="s">
        <v>134</v>
      </c>
      <c r="D81" s="58" t="s">
        <v>134</v>
      </c>
      <c r="E81" s="58">
        <v>0.0</v>
      </c>
      <c r="F81" s="58" t="s">
        <v>134</v>
      </c>
      <c r="G81" s="58" t="s">
        <v>134</v>
      </c>
      <c r="H81" s="58" t="s">
        <v>134</v>
      </c>
      <c r="I81" s="58" t="s">
        <v>134</v>
      </c>
      <c r="J81" s="58" t="s">
        <v>134</v>
      </c>
      <c r="K81" s="196">
        <v>0.0</v>
      </c>
      <c r="L81" s="196">
        <v>0.0</v>
      </c>
    </row>
    <row r="82">
      <c r="A82" s="58" t="s">
        <v>80</v>
      </c>
      <c r="B82" s="58">
        <v>0.0169</v>
      </c>
      <c r="C82" s="58" t="s">
        <v>134</v>
      </c>
      <c r="D82" s="58" t="s">
        <v>134</v>
      </c>
      <c r="E82" s="58">
        <v>0.0</v>
      </c>
      <c r="F82" s="58" t="s">
        <v>134</v>
      </c>
      <c r="G82" s="58" t="s">
        <v>134</v>
      </c>
      <c r="H82" s="58" t="s">
        <v>134</v>
      </c>
      <c r="I82" s="58" t="s">
        <v>134</v>
      </c>
      <c r="J82" s="58" t="s">
        <v>134</v>
      </c>
      <c r="K82" s="196">
        <v>0.0</v>
      </c>
      <c r="L82" s="196">
        <v>0.0</v>
      </c>
    </row>
    <row r="83">
      <c r="A83" s="58" t="s">
        <v>480</v>
      </c>
      <c r="B83" s="58" t="s">
        <v>134</v>
      </c>
      <c r="C83" s="58" t="s">
        <v>134</v>
      </c>
      <c r="D83" s="58" t="s">
        <v>134</v>
      </c>
      <c r="E83" s="58">
        <v>0.0</v>
      </c>
      <c r="F83" s="58" t="s">
        <v>134</v>
      </c>
      <c r="G83" s="58" t="s">
        <v>134</v>
      </c>
      <c r="H83" s="58" t="s">
        <v>134</v>
      </c>
      <c r="I83" s="58" t="s">
        <v>134</v>
      </c>
      <c r="J83" s="58" t="s">
        <v>134</v>
      </c>
      <c r="K83" s="196">
        <v>0.0</v>
      </c>
      <c r="L83" s="196">
        <v>0.0</v>
      </c>
    </row>
    <row r="84">
      <c r="A84" s="58" t="s">
        <v>55</v>
      </c>
      <c r="B84" s="58">
        <v>0.0959</v>
      </c>
      <c r="C84" s="58" t="s">
        <v>134</v>
      </c>
      <c r="D84" s="58" t="s">
        <v>134</v>
      </c>
      <c r="E84" s="58">
        <v>0.0</v>
      </c>
      <c r="F84" s="58" t="s">
        <v>134</v>
      </c>
      <c r="G84" s="58" t="s">
        <v>134</v>
      </c>
      <c r="H84" s="58" t="s">
        <v>134</v>
      </c>
      <c r="I84" s="58" t="s">
        <v>134</v>
      </c>
      <c r="J84" s="58" t="s">
        <v>134</v>
      </c>
      <c r="K84" s="196">
        <v>0.0</v>
      </c>
      <c r="L84" s="196">
        <v>0.0</v>
      </c>
    </row>
    <row r="85">
      <c r="A85" s="58" t="s">
        <v>134</v>
      </c>
      <c r="B85" s="58" t="s">
        <v>134</v>
      </c>
      <c r="C85" s="58" t="s">
        <v>134</v>
      </c>
      <c r="D85" s="58" t="s">
        <v>134</v>
      </c>
      <c r="E85" s="58" t="s">
        <v>134</v>
      </c>
      <c r="F85" s="58" t="s">
        <v>134</v>
      </c>
      <c r="G85" s="58" t="s">
        <v>134</v>
      </c>
      <c r="H85" s="58" t="s">
        <v>134</v>
      </c>
      <c r="I85" s="58" t="s">
        <v>134</v>
      </c>
      <c r="J85" s="58" t="s">
        <v>134</v>
      </c>
      <c r="K85" s="196">
        <v>0.0</v>
      </c>
      <c r="L85" s="58">
        <v>0.0</v>
      </c>
    </row>
    <row r="86">
      <c r="A86" s="58" t="s">
        <v>134</v>
      </c>
      <c r="B86" s="58" t="s">
        <v>134</v>
      </c>
      <c r="C86" s="58" t="s">
        <v>134</v>
      </c>
      <c r="D86" s="58" t="s">
        <v>134</v>
      </c>
      <c r="E86" s="58" t="s">
        <v>134</v>
      </c>
      <c r="F86" s="58" t="s">
        <v>134</v>
      </c>
      <c r="G86" s="58" t="s">
        <v>134</v>
      </c>
      <c r="H86" s="58" t="s">
        <v>134</v>
      </c>
      <c r="I86" s="58" t="s">
        <v>134</v>
      </c>
      <c r="J86" s="58" t="s">
        <v>134</v>
      </c>
      <c r="K86" s="58">
        <v>0.0</v>
      </c>
      <c r="L86" s="58" t="s">
        <v>134</v>
      </c>
    </row>
    <row r="87">
      <c r="A87" s="58" t="s">
        <v>515</v>
      </c>
      <c r="B87" s="58" t="s">
        <v>134</v>
      </c>
      <c r="C87" s="58" t="s">
        <v>134</v>
      </c>
      <c r="D87" s="58">
        <v>1.0</v>
      </c>
      <c r="E87" s="58">
        <v>78.0</v>
      </c>
      <c r="F87" s="58">
        <v>2.0</v>
      </c>
      <c r="G87" s="58">
        <v>1.0</v>
      </c>
      <c r="H87" s="58">
        <v>2.0</v>
      </c>
      <c r="I87" s="58">
        <v>2.0</v>
      </c>
      <c r="J87" s="58">
        <v>3.0</v>
      </c>
      <c r="K87" s="196">
        <v>0.0</v>
      </c>
      <c r="L87" s="58" t="s">
        <v>134</v>
      </c>
    </row>
    <row r="88">
      <c r="A88" s="58" t="s">
        <v>134</v>
      </c>
      <c r="B88" s="58" t="s">
        <v>134</v>
      </c>
      <c r="C88" s="58" t="s">
        <v>134</v>
      </c>
      <c r="D88" s="58" t="s">
        <v>134</v>
      </c>
      <c r="E88" s="58" t="s">
        <v>134</v>
      </c>
      <c r="F88" s="58" t="s">
        <v>134</v>
      </c>
      <c r="G88" s="58" t="s">
        <v>134</v>
      </c>
      <c r="H88" s="58" t="s">
        <v>134</v>
      </c>
      <c r="I88" s="58" t="s">
        <v>134</v>
      </c>
      <c r="J88" s="58" t="s">
        <v>134</v>
      </c>
      <c r="K88" s="196">
        <v>0.0</v>
      </c>
      <c r="L88" s="58" t="s">
        <v>134</v>
      </c>
    </row>
    <row r="89">
      <c r="A89" s="58" t="s">
        <v>134</v>
      </c>
      <c r="B89" s="58" t="s">
        <v>134</v>
      </c>
      <c r="C89" s="58" t="s">
        <v>134</v>
      </c>
      <c r="D89" s="58" t="s">
        <v>134</v>
      </c>
      <c r="E89" s="58" t="s">
        <v>134</v>
      </c>
      <c r="F89" s="58" t="s">
        <v>134</v>
      </c>
      <c r="G89" s="58" t="s">
        <v>134</v>
      </c>
      <c r="H89" s="58" t="s">
        <v>134</v>
      </c>
      <c r="I89" s="58" t="s">
        <v>134</v>
      </c>
      <c r="J89" s="58" t="s">
        <v>134</v>
      </c>
      <c r="K89" s="196">
        <v>0.0</v>
      </c>
      <c r="L89" s="58" t="s">
        <v>134</v>
      </c>
    </row>
    <row r="90">
      <c r="A90" s="58" t="s">
        <v>134</v>
      </c>
      <c r="B90" s="58" t="s">
        <v>134</v>
      </c>
      <c r="C90" s="58" t="s">
        <v>134</v>
      </c>
      <c r="D90" s="58" t="s">
        <v>134</v>
      </c>
      <c r="E90" s="58" t="s">
        <v>134</v>
      </c>
      <c r="F90" s="58" t="s">
        <v>134</v>
      </c>
      <c r="G90" s="58" t="s">
        <v>134</v>
      </c>
      <c r="H90" s="58" t="s">
        <v>134</v>
      </c>
      <c r="I90" s="58" t="s">
        <v>134</v>
      </c>
      <c r="J90" s="58" t="s">
        <v>134</v>
      </c>
      <c r="K90" s="196">
        <v>0.0</v>
      </c>
      <c r="L90" s="58" t="s">
        <v>134</v>
      </c>
    </row>
    <row r="91">
      <c r="A91" s="58" t="s">
        <v>134</v>
      </c>
      <c r="B91" s="58" t="s">
        <v>134</v>
      </c>
      <c r="C91" s="58" t="s">
        <v>134</v>
      </c>
      <c r="D91" s="58" t="s">
        <v>134</v>
      </c>
      <c r="E91" s="58" t="s">
        <v>134</v>
      </c>
      <c r="F91" s="58" t="s">
        <v>134</v>
      </c>
      <c r="G91" s="58" t="s">
        <v>134</v>
      </c>
      <c r="H91" s="58" t="s">
        <v>134</v>
      </c>
      <c r="I91" s="58" t="s">
        <v>134</v>
      </c>
      <c r="J91" s="58" t="s">
        <v>134</v>
      </c>
      <c r="K91" s="196">
        <v>0.0</v>
      </c>
      <c r="L91" s="58" t="s">
        <v>134</v>
      </c>
    </row>
    <row r="92">
      <c r="A92" s="58" t="s">
        <v>134</v>
      </c>
      <c r="B92" s="58" t="s">
        <v>134</v>
      </c>
      <c r="C92" s="58" t="s">
        <v>134</v>
      </c>
      <c r="D92" s="58" t="s">
        <v>134</v>
      </c>
      <c r="E92" s="58" t="s">
        <v>134</v>
      </c>
      <c r="F92" s="58" t="s">
        <v>134</v>
      </c>
      <c r="G92" s="58" t="s">
        <v>134</v>
      </c>
      <c r="H92" s="58" t="s">
        <v>134</v>
      </c>
      <c r="I92" s="58" t="s">
        <v>134</v>
      </c>
      <c r="J92" s="58" t="s">
        <v>134</v>
      </c>
      <c r="K92" s="196">
        <v>0.0</v>
      </c>
      <c r="L92" s="58" t="s">
        <v>134</v>
      </c>
    </row>
    <row r="93">
      <c r="A93" s="58" t="s">
        <v>134</v>
      </c>
      <c r="B93" s="58" t="s">
        <v>134</v>
      </c>
      <c r="C93" s="58" t="s">
        <v>134</v>
      </c>
      <c r="D93" s="58" t="s">
        <v>134</v>
      </c>
      <c r="E93" s="58" t="s">
        <v>134</v>
      </c>
      <c r="F93" s="58" t="s">
        <v>134</v>
      </c>
      <c r="G93" s="58" t="s">
        <v>134</v>
      </c>
      <c r="H93" s="58" t="s">
        <v>134</v>
      </c>
      <c r="I93" s="58" t="s">
        <v>134</v>
      </c>
      <c r="J93" s="58" t="s">
        <v>134</v>
      </c>
      <c r="K93" s="196">
        <v>0.0</v>
      </c>
      <c r="L93" s="58" t="s">
        <v>134</v>
      </c>
    </row>
    <row r="94">
      <c r="A94" s="58" t="s">
        <v>134</v>
      </c>
      <c r="B94" s="58" t="s">
        <v>134</v>
      </c>
      <c r="C94" s="58" t="s">
        <v>134</v>
      </c>
      <c r="D94" s="58" t="s">
        <v>134</v>
      </c>
      <c r="E94" s="58" t="s">
        <v>134</v>
      </c>
      <c r="F94" s="58" t="s">
        <v>134</v>
      </c>
      <c r="G94" s="58" t="s">
        <v>134</v>
      </c>
      <c r="H94" s="58" t="s">
        <v>134</v>
      </c>
      <c r="I94" s="58" t="s">
        <v>134</v>
      </c>
      <c r="J94" s="58" t="s">
        <v>134</v>
      </c>
      <c r="K94" s="196">
        <v>0.0</v>
      </c>
      <c r="L94" s="58" t="s">
        <v>134</v>
      </c>
    </row>
    <row r="95">
      <c r="A95" s="58" t="s">
        <v>134</v>
      </c>
      <c r="B95" s="58" t="s">
        <v>134</v>
      </c>
      <c r="C95" s="58" t="s">
        <v>134</v>
      </c>
      <c r="D95" s="58" t="s">
        <v>134</v>
      </c>
      <c r="E95" s="58" t="s">
        <v>134</v>
      </c>
      <c r="F95" s="58" t="s">
        <v>134</v>
      </c>
      <c r="G95" s="58" t="s">
        <v>134</v>
      </c>
      <c r="H95" s="58" t="s">
        <v>134</v>
      </c>
      <c r="I95" s="58" t="s">
        <v>134</v>
      </c>
      <c r="J95" s="58" t="s">
        <v>134</v>
      </c>
      <c r="K95" s="196">
        <v>0.0</v>
      </c>
      <c r="L95" s="58" t="s">
        <v>134</v>
      </c>
    </row>
    <row r="96">
      <c r="A96" s="58" t="s">
        <v>134</v>
      </c>
      <c r="B96" s="58" t="s">
        <v>134</v>
      </c>
      <c r="C96" s="58" t="s">
        <v>134</v>
      </c>
      <c r="D96" s="58" t="s">
        <v>134</v>
      </c>
      <c r="E96" s="58" t="s">
        <v>134</v>
      </c>
      <c r="F96" s="58" t="s">
        <v>134</v>
      </c>
      <c r="G96" s="58" t="s">
        <v>134</v>
      </c>
      <c r="H96" s="58" t="s">
        <v>134</v>
      </c>
      <c r="I96" s="58" t="s">
        <v>134</v>
      </c>
      <c r="J96" s="58" t="s">
        <v>134</v>
      </c>
      <c r="K96" s="196">
        <v>0.0</v>
      </c>
      <c r="L96" s="58" t="s">
        <v>134</v>
      </c>
    </row>
    <row r="97">
      <c r="A97" s="58" t="s">
        <v>134</v>
      </c>
      <c r="B97" s="58" t="s">
        <v>134</v>
      </c>
      <c r="C97" s="58" t="s">
        <v>134</v>
      </c>
      <c r="D97" s="58" t="s">
        <v>134</v>
      </c>
      <c r="E97" s="58" t="s">
        <v>134</v>
      </c>
      <c r="F97" s="58" t="s">
        <v>134</v>
      </c>
      <c r="G97" s="58" t="s">
        <v>134</v>
      </c>
      <c r="H97" s="58" t="s">
        <v>134</v>
      </c>
      <c r="I97" s="58" t="s">
        <v>134</v>
      </c>
      <c r="J97" s="58" t="s">
        <v>134</v>
      </c>
      <c r="K97" s="196">
        <v>0.0</v>
      </c>
      <c r="L97" s="58" t="s">
        <v>134</v>
      </c>
    </row>
    <row r="98">
      <c r="A98" s="58" t="s">
        <v>134</v>
      </c>
      <c r="B98" s="58" t="s">
        <v>134</v>
      </c>
      <c r="C98" s="58" t="s">
        <v>134</v>
      </c>
      <c r="D98" s="58" t="s">
        <v>134</v>
      </c>
      <c r="E98" s="58" t="s">
        <v>134</v>
      </c>
      <c r="F98" s="58" t="s">
        <v>134</v>
      </c>
      <c r="G98" s="58" t="s">
        <v>134</v>
      </c>
      <c r="H98" s="58" t="s">
        <v>134</v>
      </c>
      <c r="I98" s="58" t="s">
        <v>134</v>
      </c>
      <c r="J98" s="58" t="s">
        <v>134</v>
      </c>
      <c r="K98" s="196">
        <v>0.0</v>
      </c>
      <c r="L98" s="58" t="s">
        <v>134</v>
      </c>
    </row>
    <row r="99">
      <c r="A99" s="58" t="s">
        <v>134</v>
      </c>
      <c r="B99" s="58" t="s">
        <v>134</v>
      </c>
      <c r="C99" s="58" t="s">
        <v>134</v>
      </c>
      <c r="D99" s="58" t="s">
        <v>134</v>
      </c>
      <c r="E99" s="58" t="s">
        <v>134</v>
      </c>
      <c r="F99" s="58" t="s">
        <v>134</v>
      </c>
      <c r="G99" s="58" t="s">
        <v>134</v>
      </c>
      <c r="H99" s="58" t="s">
        <v>134</v>
      </c>
      <c r="I99" s="58" t="s">
        <v>134</v>
      </c>
      <c r="J99" s="58" t="s">
        <v>134</v>
      </c>
      <c r="K99" s="196">
        <v>0.0</v>
      </c>
      <c r="L99" s="58" t="s">
        <v>134</v>
      </c>
    </row>
    <row r="100">
      <c r="A100" s="58" t="s">
        <v>134</v>
      </c>
      <c r="B100" s="58" t="s">
        <v>134</v>
      </c>
      <c r="C100" s="58" t="s">
        <v>134</v>
      </c>
      <c r="D100" s="58" t="s">
        <v>134</v>
      </c>
      <c r="E100" s="58" t="s">
        <v>134</v>
      </c>
      <c r="F100" s="58" t="s">
        <v>134</v>
      </c>
      <c r="G100" s="58" t="s">
        <v>134</v>
      </c>
      <c r="H100" s="58" t="s">
        <v>134</v>
      </c>
      <c r="I100" s="58" t="s">
        <v>134</v>
      </c>
      <c r="J100" s="58" t="s">
        <v>134</v>
      </c>
      <c r="K100" s="196">
        <v>0.0</v>
      </c>
      <c r="L100" s="58" t="s">
        <v>134</v>
      </c>
    </row>
    <row r="101">
      <c r="A101" s="58" t="s">
        <v>134</v>
      </c>
      <c r="B101" s="58" t="s">
        <v>134</v>
      </c>
      <c r="C101" s="58" t="s">
        <v>134</v>
      </c>
      <c r="D101" s="58" t="s">
        <v>134</v>
      </c>
      <c r="E101" s="58" t="s">
        <v>134</v>
      </c>
      <c r="F101" s="58" t="s">
        <v>134</v>
      </c>
      <c r="G101" s="58" t="s">
        <v>134</v>
      </c>
      <c r="H101" s="58" t="s">
        <v>134</v>
      </c>
      <c r="I101" s="58" t="s">
        <v>134</v>
      </c>
      <c r="J101" s="58" t="s">
        <v>134</v>
      </c>
      <c r="K101" s="196">
        <v>0.0</v>
      </c>
      <c r="L101" s="58" t="s">
        <v>134</v>
      </c>
    </row>
    <row r="102">
      <c r="B102" s="39"/>
    </row>
    <row r="103">
      <c r="B103" s="39"/>
    </row>
    <row r="104">
      <c r="B104" s="39"/>
    </row>
    <row r="105">
      <c r="B105" s="39"/>
    </row>
    <row r="106">
      <c r="B106" s="39"/>
    </row>
    <row r="107">
      <c r="B107" s="39"/>
    </row>
    <row r="108">
      <c r="B108" s="39"/>
    </row>
    <row r="109">
      <c r="B109" s="39"/>
    </row>
    <row r="110">
      <c r="B110" s="39"/>
    </row>
    <row r="111">
      <c r="B111" s="39"/>
    </row>
    <row r="112">
      <c r="B112" s="39"/>
    </row>
    <row r="113">
      <c r="B113" s="39"/>
    </row>
    <row r="114">
      <c r="B114" s="39"/>
    </row>
    <row r="115">
      <c r="B115" s="39"/>
    </row>
    <row r="116">
      <c r="B116" s="39"/>
    </row>
    <row r="117">
      <c r="B117" s="39"/>
    </row>
    <row r="118">
      <c r="B118" s="39"/>
    </row>
    <row r="119">
      <c r="B119" s="39"/>
    </row>
    <row r="120">
      <c r="B120" s="39"/>
    </row>
    <row r="121">
      <c r="B121" s="39"/>
    </row>
    <row r="122">
      <c r="B122" s="39"/>
    </row>
    <row r="123">
      <c r="B123" s="39"/>
    </row>
    <row r="124">
      <c r="B124" s="39"/>
    </row>
    <row r="125">
      <c r="B125" s="39"/>
    </row>
    <row r="126">
      <c r="B126" s="39"/>
    </row>
    <row r="127">
      <c r="B127" s="39"/>
    </row>
    <row r="128">
      <c r="B128" s="39"/>
    </row>
    <row r="129">
      <c r="B129" s="39"/>
    </row>
    <row r="130">
      <c r="B130" s="39"/>
    </row>
    <row r="131">
      <c r="B131" s="39"/>
    </row>
    <row r="132">
      <c r="B132" s="39"/>
    </row>
    <row r="133">
      <c r="B133" s="39"/>
    </row>
    <row r="134">
      <c r="B134" s="39"/>
    </row>
    <row r="135">
      <c r="B135" s="39"/>
    </row>
    <row r="136">
      <c r="B136" s="39"/>
    </row>
    <row r="137">
      <c r="B137" s="39"/>
    </row>
    <row r="138">
      <c r="B138" s="39"/>
    </row>
    <row r="139">
      <c r="B139" s="39"/>
    </row>
    <row r="140">
      <c r="B140" s="39"/>
    </row>
    <row r="141">
      <c r="B141" s="39"/>
    </row>
    <row r="142">
      <c r="B142" s="39"/>
    </row>
    <row r="143">
      <c r="B143" s="39"/>
    </row>
    <row r="144">
      <c r="B144" s="39"/>
    </row>
    <row r="145">
      <c r="B145" s="39"/>
    </row>
    <row r="146">
      <c r="B146" s="39"/>
    </row>
    <row r="147">
      <c r="B147" s="39"/>
    </row>
    <row r="148">
      <c r="B148" s="39"/>
    </row>
    <row r="149">
      <c r="B149" s="39"/>
    </row>
    <row r="150">
      <c r="B150" s="39"/>
    </row>
    <row r="151">
      <c r="B151" s="39"/>
    </row>
    <row r="152">
      <c r="B152" s="39"/>
    </row>
    <row r="153">
      <c r="B153" s="39"/>
    </row>
    <row r="154">
      <c r="B154" s="39"/>
    </row>
    <row r="155">
      <c r="B155" s="39"/>
    </row>
    <row r="156">
      <c r="B156" s="39"/>
    </row>
    <row r="157">
      <c r="B157" s="39"/>
    </row>
    <row r="158">
      <c r="B158" s="39"/>
    </row>
    <row r="159">
      <c r="B159" s="39"/>
    </row>
    <row r="160">
      <c r="B160" s="39"/>
    </row>
    <row r="161">
      <c r="B161" s="39"/>
    </row>
    <row r="162">
      <c r="B162" s="39"/>
    </row>
    <row r="163">
      <c r="B163" s="39"/>
    </row>
    <row r="164">
      <c r="B164" s="39"/>
    </row>
    <row r="165">
      <c r="B165" s="39"/>
    </row>
    <row r="166">
      <c r="B166" s="39"/>
    </row>
    <row r="167">
      <c r="B167" s="39"/>
    </row>
    <row r="168">
      <c r="B168" s="39"/>
    </row>
    <row r="169">
      <c r="B169" s="39"/>
    </row>
    <row r="170">
      <c r="B170" s="39"/>
    </row>
    <row r="171">
      <c r="B171" s="39"/>
    </row>
    <row r="172">
      <c r="B172" s="39"/>
    </row>
    <row r="173">
      <c r="B173" s="39"/>
    </row>
    <row r="174">
      <c r="B174" s="39"/>
    </row>
    <row r="175">
      <c r="B175" s="39"/>
    </row>
    <row r="176">
      <c r="B176" s="39"/>
    </row>
    <row r="177">
      <c r="B177" s="39"/>
    </row>
    <row r="178">
      <c r="B178" s="39"/>
    </row>
    <row r="179">
      <c r="B179" s="39"/>
    </row>
    <row r="180">
      <c r="B180" s="39"/>
    </row>
    <row r="181">
      <c r="B181" s="39"/>
    </row>
    <row r="182">
      <c r="B182" s="39"/>
    </row>
    <row r="183">
      <c r="B183" s="39"/>
    </row>
    <row r="184">
      <c r="B184" s="39"/>
    </row>
    <row r="185">
      <c r="B185" s="39"/>
    </row>
    <row r="186">
      <c r="B186" s="39"/>
    </row>
    <row r="187">
      <c r="B187" s="39"/>
    </row>
    <row r="188">
      <c r="B188" s="39"/>
    </row>
    <row r="189">
      <c r="B189" s="39"/>
    </row>
    <row r="190">
      <c r="B190" s="39"/>
    </row>
    <row r="191">
      <c r="B191" s="39"/>
    </row>
    <row r="192">
      <c r="B192" s="39"/>
    </row>
    <row r="193">
      <c r="B193" s="39"/>
    </row>
    <row r="194">
      <c r="B194" s="39"/>
    </row>
    <row r="195">
      <c r="B195" s="39"/>
    </row>
    <row r="196">
      <c r="B196" s="39"/>
    </row>
    <row r="197">
      <c r="B197" s="39"/>
    </row>
    <row r="198">
      <c r="B198" s="39"/>
    </row>
    <row r="199">
      <c r="B199" s="39"/>
    </row>
    <row r="200">
      <c r="B200" s="39"/>
    </row>
    <row r="201">
      <c r="B201" s="39"/>
    </row>
    <row r="202">
      <c r="B202" s="39"/>
    </row>
    <row r="203">
      <c r="B203" s="39"/>
    </row>
    <row r="204">
      <c r="B204" s="39"/>
    </row>
    <row r="205">
      <c r="B205" s="39"/>
    </row>
    <row r="206">
      <c r="B206" s="39"/>
    </row>
    <row r="207">
      <c r="B207" s="39"/>
    </row>
    <row r="208">
      <c r="B208" s="39"/>
    </row>
    <row r="209">
      <c r="B209" s="39"/>
    </row>
    <row r="210">
      <c r="B210" s="39"/>
    </row>
    <row r="211">
      <c r="B211" s="39"/>
    </row>
    <row r="212">
      <c r="B212" s="39"/>
    </row>
    <row r="213">
      <c r="B213" s="39"/>
    </row>
    <row r="214">
      <c r="B214" s="39"/>
    </row>
    <row r="215">
      <c r="B215" s="39"/>
    </row>
    <row r="216">
      <c r="B216" s="39"/>
    </row>
    <row r="217">
      <c r="B217" s="39"/>
    </row>
    <row r="218">
      <c r="B218" s="39"/>
    </row>
    <row r="219">
      <c r="B219" s="39"/>
    </row>
    <row r="220">
      <c r="B220" s="39"/>
    </row>
    <row r="221">
      <c r="B221" s="39"/>
    </row>
    <row r="222">
      <c r="B222" s="39"/>
    </row>
    <row r="223">
      <c r="B223" s="39"/>
    </row>
    <row r="224">
      <c r="B224" s="39"/>
    </row>
    <row r="225">
      <c r="B225" s="39"/>
    </row>
    <row r="226">
      <c r="B226" s="39"/>
    </row>
    <row r="227">
      <c r="B227" s="39"/>
    </row>
    <row r="228">
      <c r="B228" s="39"/>
    </row>
    <row r="229">
      <c r="B229" s="39"/>
    </row>
    <row r="230">
      <c r="B230" s="39"/>
    </row>
    <row r="231">
      <c r="B231" s="39"/>
    </row>
    <row r="232">
      <c r="B232" s="39"/>
    </row>
    <row r="233">
      <c r="B233" s="39"/>
    </row>
    <row r="234">
      <c r="B234" s="39"/>
    </row>
    <row r="235">
      <c r="B235" s="39"/>
    </row>
    <row r="236">
      <c r="B236" s="39"/>
    </row>
    <row r="237">
      <c r="B237" s="39"/>
    </row>
    <row r="238">
      <c r="B238" s="39"/>
    </row>
    <row r="239">
      <c r="B239" s="39"/>
    </row>
    <row r="240">
      <c r="B240" s="39"/>
    </row>
    <row r="241">
      <c r="B241" s="39"/>
    </row>
    <row r="242">
      <c r="B242" s="39"/>
    </row>
    <row r="243">
      <c r="B243" s="39"/>
    </row>
    <row r="244">
      <c r="B244" s="39"/>
    </row>
    <row r="245">
      <c r="B245" s="39"/>
    </row>
    <row r="246">
      <c r="B246" s="39"/>
    </row>
    <row r="247">
      <c r="B247" s="39"/>
    </row>
    <row r="248">
      <c r="B248" s="39"/>
    </row>
    <row r="249">
      <c r="B249" s="39"/>
    </row>
    <row r="250">
      <c r="B250" s="39"/>
    </row>
    <row r="251">
      <c r="B251" s="39"/>
    </row>
    <row r="252">
      <c r="B252" s="39"/>
    </row>
    <row r="253">
      <c r="B253" s="39"/>
    </row>
    <row r="254">
      <c r="B254" s="39"/>
    </row>
    <row r="255">
      <c r="B255" s="39"/>
    </row>
    <row r="256">
      <c r="B256" s="39"/>
    </row>
    <row r="257">
      <c r="B257" s="39"/>
    </row>
    <row r="258">
      <c r="B258" s="39"/>
    </row>
    <row r="259">
      <c r="B259" s="39"/>
    </row>
    <row r="260">
      <c r="B260" s="39"/>
    </row>
    <row r="261">
      <c r="B261" s="39"/>
    </row>
    <row r="262">
      <c r="B262" s="39"/>
    </row>
    <row r="263">
      <c r="B263" s="39"/>
    </row>
    <row r="264">
      <c r="B264" s="39"/>
    </row>
    <row r="265">
      <c r="B265" s="39"/>
    </row>
    <row r="266">
      <c r="B266" s="39"/>
    </row>
    <row r="267">
      <c r="B267" s="39"/>
    </row>
    <row r="268">
      <c r="B268" s="39"/>
    </row>
    <row r="269">
      <c r="B269" s="39"/>
    </row>
    <row r="270">
      <c r="B270" s="39"/>
    </row>
    <row r="271">
      <c r="B271" s="39"/>
    </row>
    <row r="272">
      <c r="B272" s="39"/>
    </row>
    <row r="273">
      <c r="B273" s="39"/>
    </row>
    <row r="274">
      <c r="B274" s="39"/>
    </row>
    <row r="275">
      <c r="B275" s="39"/>
    </row>
    <row r="276">
      <c r="B276" s="39"/>
    </row>
    <row r="277">
      <c r="B277" s="39"/>
    </row>
    <row r="278">
      <c r="B278" s="39"/>
    </row>
    <row r="279">
      <c r="B279" s="39"/>
    </row>
    <row r="280">
      <c r="B280" s="39"/>
    </row>
    <row r="281">
      <c r="B281" s="39"/>
    </row>
    <row r="282">
      <c r="B282" s="39"/>
    </row>
    <row r="283">
      <c r="B283" s="39"/>
    </row>
    <row r="284">
      <c r="B284" s="39"/>
    </row>
    <row r="285">
      <c r="B285" s="39"/>
    </row>
    <row r="286">
      <c r="B286" s="39"/>
    </row>
    <row r="287">
      <c r="B287" s="39"/>
    </row>
    <row r="288">
      <c r="B288" s="39"/>
    </row>
    <row r="289">
      <c r="B289" s="39"/>
    </row>
    <row r="290">
      <c r="B290" s="39"/>
    </row>
    <row r="291">
      <c r="B291" s="39"/>
    </row>
    <row r="292">
      <c r="B292" s="39"/>
    </row>
    <row r="293">
      <c r="B293" s="39"/>
    </row>
    <row r="294">
      <c r="B294" s="39"/>
    </row>
    <row r="295">
      <c r="B295" s="39"/>
    </row>
    <row r="296">
      <c r="B296" s="39"/>
    </row>
    <row r="297">
      <c r="B297" s="39"/>
    </row>
    <row r="298">
      <c r="B298" s="39"/>
    </row>
    <row r="299">
      <c r="B299" s="39"/>
    </row>
    <row r="300">
      <c r="B300" s="39"/>
    </row>
    <row r="301">
      <c r="B301" s="39"/>
    </row>
    <row r="302">
      <c r="B302" s="39"/>
    </row>
    <row r="303">
      <c r="B303" s="39"/>
    </row>
    <row r="304">
      <c r="B304" s="39"/>
    </row>
    <row r="305">
      <c r="B305" s="39"/>
    </row>
    <row r="306">
      <c r="B306" s="39"/>
    </row>
    <row r="307">
      <c r="B307" s="39"/>
    </row>
    <row r="308">
      <c r="B308" s="39"/>
    </row>
    <row r="309">
      <c r="B309" s="39"/>
    </row>
    <row r="310">
      <c r="B310" s="39"/>
    </row>
    <row r="311">
      <c r="B311" s="39"/>
    </row>
    <row r="312">
      <c r="B312" s="39"/>
    </row>
    <row r="313">
      <c r="B313" s="39"/>
    </row>
    <row r="314">
      <c r="B314" s="39"/>
    </row>
    <row r="315">
      <c r="B315" s="39"/>
    </row>
    <row r="316">
      <c r="B316" s="39"/>
    </row>
    <row r="317">
      <c r="B317" s="39"/>
    </row>
    <row r="318">
      <c r="B318" s="39"/>
    </row>
    <row r="319">
      <c r="B319" s="39"/>
    </row>
    <row r="320">
      <c r="B320" s="39"/>
    </row>
    <row r="321">
      <c r="B321" s="39"/>
    </row>
    <row r="322">
      <c r="B322" s="39"/>
    </row>
    <row r="323">
      <c r="B323" s="39"/>
    </row>
    <row r="324">
      <c r="B324" s="39"/>
    </row>
    <row r="325">
      <c r="B325" s="39"/>
    </row>
    <row r="326">
      <c r="B326" s="39"/>
    </row>
    <row r="327">
      <c r="B327" s="39"/>
    </row>
    <row r="328">
      <c r="B328" s="39"/>
    </row>
    <row r="329">
      <c r="B329" s="39"/>
    </row>
    <row r="330">
      <c r="B330" s="39"/>
    </row>
    <row r="331">
      <c r="B331" s="39"/>
    </row>
    <row r="332">
      <c r="B332" s="39"/>
    </row>
    <row r="333">
      <c r="B333" s="39"/>
    </row>
    <row r="334">
      <c r="B334" s="39"/>
    </row>
    <row r="335">
      <c r="B335" s="39"/>
    </row>
    <row r="336">
      <c r="B336" s="39"/>
    </row>
    <row r="337">
      <c r="B337" s="39"/>
    </row>
    <row r="338">
      <c r="B338" s="39"/>
    </row>
    <row r="339">
      <c r="B339" s="39"/>
    </row>
    <row r="340">
      <c r="B340" s="39"/>
    </row>
    <row r="341">
      <c r="B341" s="39"/>
    </row>
    <row r="342">
      <c r="B342" s="39"/>
    </row>
    <row r="343">
      <c r="B343" s="39"/>
    </row>
    <row r="344">
      <c r="B344" s="39"/>
    </row>
    <row r="345">
      <c r="B345" s="39"/>
    </row>
    <row r="346">
      <c r="B346" s="39"/>
    </row>
    <row r="347">
      <c r="B347" s="39"/>
    </row>
    <row r="348">
      <c r="B348" s="39"/>
    </row>
    <row r="349">
      <c r="B349" s="39"/>
    </row>
    <row r="350">
      <c r="B350" s="39"/>
    </row>
    <row r="351">
      <c r="B351" s="39"/>
    </row>
    <row r="352">
      <c r="B352" s="39"/>
    </row>
    <row r="353">
      <c r="B353" s="39"/>
    </row>
    <row r="354">
      <c r="B354" s="39"/>
    </row>
    <row r="355">
      <c r="B355" s="39"/>
    </row>
    <row r="356">
      <c r="B356" s="39"/>
    </row>
    <row r="357">
      <c r="B357" s="39"/>
    </row>
    <row r="358">
      <c r="B358" s="39"/>
    </row>
    <row r="359">
      <c r="B359" s="39"/>
    </row>
    <row r="360">
      <c r="B360" s="39"/>
    </row>
    <row r="361">
      <c r="B361" s="39"/>
    </row>
    <row r="362">
      <c r="B362" s="39"/>
    </row>
    <row r="363">
      <c r="B363" s="39"/>
    </row>
    <row r="364">
      <c r="B364" s="39"/>
    </row>
    <row r="365">
      <c r="B365" s="39"/>
    </row>
    <row r="366">
      <c r="B366" s="39"/>
    </row>
    <row r="367">
      <c r="B367" s="39"/>
    </row>
    <row r="368">
      <c r="B368" s="39"/>
    </row>
    <row r="369">
      <c r="B369" s="39"/>
    </row>
    <row r="370">
      <c r="B370" s="39"/>
    </row>
    <row r="371">
      <c r="B371" s="39"/>
    </row>
    <row r="372">
      <c r="B372" s="39"/>
    </row>
    <row r="373">
      <c r="B373" s="39"/>
    </row>
    <row r="374">
      <c r="B374" s="39"/>
    </row>
    <row r="375">
      <c r="B375" s="39"/>
    </row>
    <row r="376">
      <c r="B376" s="39"/>
    </row>
    <row r="377">
      <c r="B377" s="39"/>
    </row>
    <row r="378">
      <c r="B378" s="39"/>
    </row>
    <row r="379">
      <c r="B379" s="39"/>
    </row>
    <row r="380">
      <c r="B380" s="39"/>
    </row>
    <row r="381">
      <c r="B381" s="39"/>
    </row>
    <row r="382">
      <c r="B382" s="39"/>
    </row>
    <row r="383">
      <c r="B383" s="39"/>
    </row>
    <row r="384">
      <c r="B384" s="39"/>
    </row>
    <row r="385">
      <c r="B385" s="39"/>
    </row>
    <row r="386">
      <c r="B386" s="39"/>
    </row>
    <row r="387">
      <c r="B387" s="39"/>
    </row>
    <row r="388">
      <c r="B388" s="39"/>
    </row>
    <row r="389">
      <c r="B389" s="39"/>
    </row>
    <row r="390">
      <c r="B390" s="39"/>
    </row>
    <row r="391">
      <c r="B391" s="39"/>
    </row>
    <row r="392">
      <c r="B392" s="39"/>
    </row>
    <row r="393">
      <c r="B393" s="39"/>
    </row>
    <row r="394">
      <c r="B394" s="39"/>
    </row>
    <row r="395">
      <c r="B395" s="39"/>
    </row>
    <row r="396">
      <c r="B396" s="39"/>
    </row>
    <row r="397">
      <c r="B397" s="39"/>
    </row>
    <row r="398">
      <c r="B398" s="39"/>
    </row>
    <row r="399">
      <c r="B399" s="39"/>
    </row>
    <row r="400">
      <c r="B400" s="39"/>
    </row>
    <row r="401">
      <c r="B401" s="39"/>
    </row>
    <row r="402">
      <c r="B402" s="39"/>
    </row>
    <row r="403">
      <c r="B403" s="39"/>
    </row>
    <row r="404">
      <c r="B404" s="39"/>
    </row>
    <row r="405">
      <c r="B405" s="39"/>
    </row>
    <row r="406">
      <c r="B406" s="39"/>
    </row>
    <row r="407">
      <c r="B407" s="39"/>
    </row>
    <row r="408">
      <c r="B408" s="39"/>
    </row>
    <row r="409">
      <c r="B409" s="39"/>
    </row>
    <row r="410">
      <c r="B410" s="39"/>
    </row>
    <row r="411">
      <c r="B411" s="39"/>
    </row>
    <row r="412">
      <c r="B412" s="39"/>
    </row>
    <row r="413">
      <c r="B413" s="39"/>
    </row>
    <row r="414">
      <c r="B414" s="39"/>
    </row>
    <row r="415">
      <c r="B415" s="39"/>
    </row>
    <row r="416">
      <c r="B416" s="39"/>
    </row>
    <row r="417">
      <c r="B417" s="39"/>
    </row>
    <row r="418">
      <c r="B418" s="39"/>
    </row>
    <row r="419">
      <c r="B419" s="39"/>
    </row>
    <row r="420">
      <c r="B420" s="39"/>
    </row>
    <row r="421">
      <c r="B421" s="39"/>
    </row>
    <row r="422">
      <c r="B422" s="39"/>
    </row>
    <row r="423">
      <c r="B423" s="39"/>
    </row>
    <row r="424">
      <c r="B424" s="39"/>
    </row>
    <row r="425">
      <c r="B425" s="39"/>
    </row>
    <row r="426">
      <c r="B426" s="39"/>
    </row>
    <row r="427">
      <c r="B427" s="39"/>
    </row>
    <row r="428">
      <c r="B428" s="39"/>
    </row>
    <row r="429">
      <c r="B429" s="39"/>
    </row>
    <row r="430">
      <c r="B430" s="39"/>
    </row>
    <row r="431">
      <c r="B431" s="39"/>
    </row>
    <row r="432">
      <c r="B432" s="39"/>
    </row>
    <row r="433">
      <c r="B433" s="39"/>
    </row>
    <row r="434">
      <c r="B434" s="39"/>
    </row>
    <row r="435">
      <c r="B435" s="39"/>
    </row>
    <row r="436">
      <c r="B436" s="39"/>
    </row>
    <row r="437">
      <c r="B437" s="39"/>
    </row>
    <row r="438">
      <c r="B438" s="39"/>
    </row>
    <row r="439">
      <c r="B439" s="39"/>
    </row>
    <row r="440">
      <c r="B440" s="39"/>
    </row>
    <row r="441">
      <c r="B441" s="39"/>
    </row>
    <row r="442">
      <c r="B442" s="39"/>
    </row>
    <row r="443">
      <c r="B443" s="39"/>
    </row>
    <row r="444">
      <c r="B444" s="39"/>
    </row>
    <row r="445">
      <c r="B445" s="39"/>
    </row>
    <row r="446">
      <c r="B446" s="39"/>
    </row>
    <row r="447">
      <c r="B447" s="39"/>
    </row>
    <row r="448">
      <c r="B448" s="39"/>
    </row>
    <row r="449">
      <c r="B449" s="39"/>
    </row>
    <row r="450">
      <c r="B450" s="39"/>
    </row>
    <row r="451">
      <c r="B451" s="39"/>
    </row>
    <row r="452">
      <c r="B452" s="39"/>
    </row>
    <row r="453">
      <c r="B453" s="39"/>
    </row>
    <row r="454">
      <c r="B454" s="39"/>
    </row>
    <row r="455">
      <c r="B455" s="39"/>
    </row>
    <row r="456">
      <c r="B456" s="39"/>
    </row>
    <row r="457">
      <c r="B457" s="39"/>
    </row>
    <row r="458">
      <c r="B458" s="39"/>
    </row>
    <row r="459">
      <c r="B459" s="39"/>
    </row>
    <row r="460">
      <c r="B460" s="39"/>
    </row>
    <row r="461">
      <c r="B461" s="39"/>
    </row>
    <row r="462">
      <c r="B462" s="39"/>
    </row>
    <row r="463">
      <c r="B463" s="39"/>
    </row>
    <row r="464">
      <c r="B464" s="39"/>
    </row>
    <row r="465">
      <c r="B465" s="39"/>
    </row>
    <row r="466">
      <c r="B466" s="39"/>
    </row>
    <row r="467">
      <c r="B467" s="39"/>
    </row>
    <row r="468">
      <c r="B468" s="39"/>
    </row>
    <row r="469">
      <c r="B469" s="39"/>
    </row>
    <row r="470">
      <c r="B470" s="39"/>
    </row>
    <row r="471">
      <c r="B471" s="39"/>
    </row>
    <row r="472">
      <c r="B472" s="39"/>
    </row>
    <row r="473">
      <c r="B473" s="39"/>
    </row>
    <row r="474">
      <c r="B474" s="39"/>
    </row>
    <row r="475">
      <c r="B475" s="39"/>
    </row>
    <row r="476">
      <c r="B476" s="39"/>
    </row>
    <row r="477">
      <c r="B477" s="39"/>
    </row>
    <row r="478">
      <c r="B478" s="39"/>
    </row>
    <row r="479">
      <c r="B479" s="39"/>
    </row>
    <row r="480">
      <c r="B480" s="39"/>
    </row>
    <row r="481">
      <c r="B481" s="39"/>
    </row>
    <row r="482">
      <c r="B482" s="39"/>
    </row>
    <row r="483">
      <c r="B483" s="39"/>
    </row>
    <row r="484">
      <c r="B484" s="39"/>
    </row>
    <row r="485">
      <c r="B485" s="39"/>
    </row>
    <row r="486">
      <c r="B486" s="39"/>
    </row>
    <row r="487">
      <c r="B487" s="39"/>
    </row>
    <row r="488">
      <c r="B488" s="39"/>
    </row>
    <row r="489">
      <c r="B489" s="39"/>
    </row>
    <row r="490">
      <c r="B490" s="39"/>
    </row>
    <row r="491">
      <c r="B491" s="39"/>
    </row>
    <row r="492">
      <c r="B492" s="39"/>
    </row>
    <row r="493">
      <c r="B493" s="39"/>
    </row>
    <row r="494">
      <c r="B494" s="39"/>
    </row>
    <row r="495">
      <c r="B495" s="39"/>
    </row>
    <row r="496">
      <c r="B496" s="39"/>
    </row>
    <row r="497">
      <c r="B497" s="39"/>
    </row>
    <row r="498">
      <c r="B498" s="39"/>
    </row>
    <row r="499">
      <c r="B499" s="39"/>
    </row>
    <row r="500">
      <c r="B500" s="39"/>
    </row>
    <row r="501">
      <c r="B501" s="39"/>
    </row>
    <row r="502">
      <c r="B502" s="39"/>
    </row>
    <row r="503">
      <c r="B503" s="39"/>
    </row>
    <row r="504">
      <c r="B504" s="39"/>
    </row>
    <row r="505">
      <c r="B505" s="39"/>
    </row>
    <row r="506">
      <c r="B506" s="39"/>
    </row>
    <row r="507">
      <c r="B507" s="39"/>
    </row>
    <row r="508">
      <c r="B508" s="39"/>
    </row>
    <row r="509">
      <c r="B509" s="39"/>
    </row>
    <row r="510">
      <c r="B510" s="39"/>
    </row>
    <row r="511">
      <c r="B511" s="39"/>
    </row>
    <row r="512">
      <c r="B512" s="39"/>
    </row>
    <row r="513">
      <c r="B513" s="39"/>
    </row>
    <row r="514">
      <c r="B514" s="39"/>
    </row>
    <row r="515">
      <c r="B515" s="39"/>
    </row>
    <row r="516">
      <c r="B516" s="39"/>
    </row>
    <row r="517">
      <c r="B517" s="39"/>
    </row>
    <row r="518">
      <c r="B518" s="39"/>
    </row>
    <row r="519">
      <c r="B519" s="39"/>
    </row>
    <row r="520">
      <c r="B520" s="39"/>
    </row>
    <row r="521">
      <c r="B521" s="39"/>
    </row>
    <row r="522">
      <c r="B522" s="39"/>
    </row>
    <row r="523">
      <c r="B523" s="39"/>
    </row>
    <row r="524">
      <c r="B524" s="39"/>
    </row>
    <row r="525">
      <c r="B525" s="39"/>
    </row>
    <row r="526">
      <c r="B526" s="39"/>
    </row>
    <row r="527">
      <c r="B527" s="39"/>
    </row>
    <row r="528">
      <c r="B528" s="39"/>
    </row>
    <row r="529">
      <c r="B529" s="39"/>
    </row>
    <row r="530">
      <c r="B530" s="39"/>
    </row>
    <row r="531">
      <c r="B531" s="39"/>
    </row>
    <row r="532">
      <c r="B532" s="39"/>
    </row>
    <row r="533">
      <c r="B533" s="39"/>
    </row>
    <row r="534">
      <c r="B534" s="39"/>
    </row>
    <row r="535">
      <c r="B535" s="39"/>
    </row>
    <row r="536">
      <c r="B536" s="39"/>
    </row>
    <row r="537">
      <c r="B537" s="39"/>
    </row>
    <row r="538">
      <c r="B538" s="39"/>
    </row>
    <row r="539">
      <c r="B539" s="39"/>
    </row>
    <row r="540">
      <c r="B540" s="39"/>
    </row>
    <row r="541">
      <c r="B541" s="39"/>
    </row>
    <row r="542">
      <c r="B542" s="39"/>
    </row>
    <row r="543">
      <c r="B543" s="39"/>
    </row>
    <row r="544">
      <c r="B544" s="39"/>
    </row>
    <row r="545">
      <c r="B545" s="39"/>
    </row>
    <row r="546">
      <c r="B546" s="39"/>
    </row>
    <row r="547">
      <c r="B547" s="39"/>
    </row>
    <row r="548">
      <c r="B548" s="39"/>
    </row>
    <row r="549">
      <c r="B549" s="39"/>
    </row>
    <row r="550">
      <c r="B550" s="39"/>
    </row>
    <row r="551">
      <c r="B551" s="39"/>
    </row>
    <row r="552">
      <c r="B552" s="39"/>
    </row>
    <row r="553">
      <c r="B553" s="39"/>
    </row>
    <row r="554">
      <c r="B554" s="39"/>
    </row>
    <row r="555">
      <c r="B555" s="39"/>
    </row>
    <row r="556">
      <c r="B556" s="39"/>
    </row>
    <row r="557">
      <c r="B557" s="39"/>
    </row>
    <row r="558">
      <c r="B558" s="39"/>
    </row>
    <row r="559">
      <c r="B559" s="39"/>
    </row>
    <row r="560">
      <c r="B560" s="39"/>
    </row>
    <row r="561">
      <c r="B561" s="39"/>
    </row>
    <row r="562">
      <c r="B562" s="39"/>
    </row>
    <row r="563">
      <c r="B563" s="39"/>
    </row>
    <row r="564">
      <c r="B564" s="39"/>
    </row>
    <row r="565">
      <c r="B565" s="39"/>
    </row>
    <row r="566">
      <c r="B566" s="39"/>
    </row>
    <row r="567">
      <c r="B567" s="39"/>
    </row>
    <row r="568">
      <c r="B568" s="39"/>
    </row>
    <row r="569">
      <c r="B569" s="39"/>
    </row>
    <row r="570">
      <c r="B570" s="39"/>
    </row>
    <row r="571">
      <c r="B571" s="39"/>
    </row>
    <row r="572">
      <c r="B572" s="39"/>
    </row>
    <row r="573">
      <c r="B573" s="39"/>
    </row>
    <row r="574">
      <c r="B574" s="39"/>
    </row>
    <row r="575">
      <c r="B575" s="39"/>
    </row>
    <row r="576">
      <c r="B576" s="39"/>
    </row>
    <row r="577">
      <c r="B577" s="39"/>
    </row>
    <row r="578">
      <c r="B578" s="39"/>
    </row>
    <row r="579">
      <c r="B579" s="39"/>
    </row>
    <row r="580">
      <c r="B580" s="39"/>
    </row>
    <row r="581">
      <c r="B581" s="39"/>
    </row>
    <row r="582">
      <c r="B582" s="39"/>
    </row>
    <row r="583">
      <c r="B583" s="39"/>
    </row>
    <row r="584">
      <c r="B584" s="39"/>
    </row>
    <row r="585">
      <c r="B585" s="39"/>
    </row>
    <row r="586">
      <c r="B586" s="39"/>
    </row>
    <row r="587">
      <c r="B587" s="39"/>
    </row>
    <row r="588">
      <c r="B588" s="39"/>
    </row>
    <row r="589">
      <c r="B589" s="39"/>
    </row>
    <row r="590">
      <c r="B590" s="39"/>
    </row>
    <row r="591">
      <c r="B591" s="39"/>
    </row>
    <row r="592">
      <c r="B592" s="39"/>
    </row>
    <row r="593">
      <c r="B593" s="39"/>
    </row>
    <row r="594">
      <c r="B594" s="39"/>
    </row>
    <row r="595">
      <c r="B595" s="39"/>
    </row>
    <row r="596">
      <c r="B596" s="39"/>
    </row>
    <row r="597">
      <c r="B597" s="39"/>
    </row>
    <row r="598">
      <c r="B598" s="39"/>
    </row>
    <row r="599">
      <c r="B599" s="39"/>
    </row>
    <row r="600">
      <c r="B600" s="39"/>
    </row>
    <row r="601">
      <c r="B601" s="39"/>
    </row>
    <row r="602">
      <c r="B602" s="39"/>
    </row>
    <row r="603">
      <c r="B603" s="39"/>
    </row>
    <row r="604">
      <c r="B604" s="39"/>
    </row>
    <row r="605">
      <c r="B605" s="39"/>
    </row>
    <row r="606">
      <c r="B606" s="39"/>
    </row>
    <row r="607">
      <c r="B607" s="39"/>
    </row>
    <row r="608">
      <c r="B608" s="39"/>
    </row>
    <row r="609">
      <c r="B609" s="39"/>
    </row>
    <row r="610">
      <c r="B610" s="39"/>
    </row>
    <row r="611">
      <c r="B611" s="39"/>
    </row>
    <row r="612">
      <c r="B612" s="39"/>
    </row>
    <row r="613">
      <c r="B613" s="39"/>
    </row>
    <row r="614">
      <c r="B614" s="39"/>
    </row>
    <row r="615">
      <c r="B615" s="39"/>
    </row>
    <row r="616">
      <c r="B616" s="39"/>
    </row>
    <row r="617">
      <c r="B617" s="39"/>
    </row>
    <row r="618">
      <c r="B618" s="39"/>
    </row>
    <row r="619">
      <c r="B619" s="39"/>
    </row>
    <row r="620">
      <c r="B620" s="39"/>
    </row>
    <row r="621">
      <c r="B621" s="39"/>
    </row>
    <row r="622">
      <c r="B622" s="39"/>
    </row>
    <row r="623">
      <c r="B623" s="39"/>
    </row>
    <row r="624">
      <c r="B624" s="39"/>
    </row>
    <row r="625">
      <c r="B625" s="39"/>
    </row>
    <row r="626">
      <c r="B626" s="39"/>
    </row>
    <row r="627">
      <c r="B627" s="39"/>
    </row>
    <row r="628">
      <c r="B628" s="39"/>
    </row>
    <row r="629">
      <c r="B629" s="39"/>
    </row>
    <row r="630">
      <c r="B630" s="39"/>
    </row>
    <row r="631">
      <c r="B631" s="39"/>
    </row>
    <row r="632">
      <c r="B632" s="39"/>
    </row>
    <row r="633">
      <c r="B633" s="39"/>
    </row>
    <row r="634">
      <c r="B634" s="39"/>
    </row>
    <row r="635">
      <c r="B635" s="39"/>
    </row>
    <row r="636">
      <c r="B636" s="39"/>
    </row>
    <row r="637">
      <c r="B637" s="39"/>
    </row>
    <row r="638">
      <c r="B638" s="39"/>
    </row>
    <row r="639">
      <c r="B639" s="39"/>
    </row>
    <row r="640">
      <c r="B640" s="39"/>
    </row>
    <row r="641">
      <c r="B641" s="39"/>
    </row>
    <row r="642">
      <c r="B642" s="39"/>
    </row>
    <row r="643">
      <c r="B643" s="39"/>
    </row>
    <row r="644">
      <c r="B644" s="39"/>
    </row>
    <row r="645">
      <c r="B645" s="39"/>
    </row>
    <row r="646">
      <c r="B646" s="39"/>
    </row>
    <row r="647">
      <c r="B647" s="39"/>
    </row>
    <row r="648">
      <c r="B648" s="39"/>
    </row>
    <row r="649">
      <c r="B649" s="39"/>
    </row>
    <row r="650">
      <c r="B650" s="39"/>
    </row>
    <row r="651">
      <c r="B651" s="39"/>
    </row>
    <row r="652">
      <c r="B652" s="39"/>
    </row>
    <row r="653">
      <c r="B653" s="39"/>
    </row>
    <row r="654">
      <c r="B654" s="39"/>
    </row>
    <row r="655">
      <c r="B655" s="39"/>
    </row>
    <row r="656">
      <c r="B656" s="39"/>
    </row>
    <row r="657">
      <c r="B657" s="39"/>
    </row>
    <row r="658">
      <c r="B658" s="39"/>
    </row>
    <row r="659">
      <c r="B659" s="39"/>
    </row>
    <row r="660">
      <c r="B660" s="39"/>
    </row>
    <row r="661">
      <c r="B661" s="39"/>
    </row>
    <row r="662">
      <c r="B662" s="39"/>
    </row>
    <row r="663">
      <c r="B663" s="39"/>
    </row>
    <row r="664">
      <c r="B664" s="39"/>
    </row>
    <row r="665">
      <c r="B665" s="39"/>
    </row>
    <row r="666">
      <c r="B666" s="39"/>
    </row>
    <row r="667">
      <c r="B667" s="39"/>
    </row>
    <row r="668">
      <c r="B668" s="39"/>
    </row>
    <row r="669">
      <c r="B669" s="39"/>
    </row>
    <row r="670">
      <c r="B670" s="39"/>
    </row>
    <row r="671">
      <c r="B671" s="39"/>
    </row>
    <row r="672">
      <c r="B672" s="39"/>
    </row>
    <row r="673">
      <c r="B673" s="39"/>
    </row>
    <row r="674">
      <c r="B674" s="39"/>
    </row>
    <row r="675">
      <c r="B675" s="39"/>
    </row>
    <row r="676">
      <c r="B676" s="39"/>
    </row>
    <row r="677">
      <c r="B677" s="39"/>
    </row>
    <row r="678">
      <c r="B678" s="39"/>
    </row>
    <row r="679">
      <c r="B679" s="39"/>
    </row>
    <row r="680">
      <c r="B680" s="39"/>
    </row>
    <row r="681">
      <c r="B681" s="39"/>
    </row>
    <row r="682">
      <c r="B682" s="39"/>
    </row>
    <row r="683">
      <c r="B683" s="39"/>
    </row>
    <row r="684">
      <c r="B684" s="39"/>
    </row>
    <row r="685">
      <c r="B685" s="39"/>
    </row>
    <row r="686">
      <c r="B686" s="39"/>
    </row>
    <row r="687">
      <c r="B687" s="39"/>
    </row>
    <row r="688">
      <c r="B688" s="39"/>
    </row>
    <row r="689">
      <c r="B689" s="39"/>
    </row>
    <row r="690">
      <c r="B690" s="39"/>
    </row>
    <row r="691">
      <c r="B691" s="39"/>
    </row>
    <row r="692">
      <c r="B692" s="39"/>
    </row>
    <row r="693">
      <c r="B693" s="39"/>
    </row>
    <row r="694">
      <c r="B694" s="39"/>
    </row>
    <row r="695">
      <c r="B695" s="39"/>
    </row>
    <row r="696">
      <c r="B696" s="39"/>
    </row>
    <row r="697">
      <c r="B697" s="39"/>
    </row>
    <row r="698">
      <c r="B698" s="39"/>
    </row>
    <row r="699">
      <c r="B699" s="39"/>
    </row>
    <row r="700">
      <c r="B700" s="39"/>
    </row>
    <row r="701">
      <c r="B701" s="39"/>
    </row>
    <row r="702">
      <c r="B702" s="39"/>
    </row>
    <row r="703">
      <c r="B703" s="39"/>
    </row>
    <row r="704">
      <c r="B704" s="39"/>
    </row>
    <row r="705">
      <c r="B705" s="39"/>
    </row>
    <row r="706">
      <c r="B706" s="39"/>
    </row>
    <row r="707">
      <c r="B707" s="39"/>
    </row>
    <row r="708">
      <c r="B708" s="39"/>
    </row>
    <row r="709">
      <c r="B709" s="39"/>
    </row>
    <row r="710">
      <c r="B710" s="39"/>
    </row>
    <row r="711">
      <c r="B711" s="39"/>
    </row>
    <row r="712">
      <c r="B712" s="39"/>
    </row>
    <row r="713">
      <c r="B713" s="39"/>
    </row>
    <row r="714">
      <c r="B714" s="39"/>
    </row>
    <row r="715">
      <c r="B715" s="39"/>
    </row>
    <row r="716">
      <c r="B716" s="39"/>
    </row>
    <row r="717">
      <c r="B717" s="39"/>
    </row>
    <row r="718">
      <c r="B718" s="39"/>
    </row>
    <row r="719">
      <c r="B719" s="39"/>
    </row>
    <row r="720">
      <c r="B720" s="39"/>
    </row>
    <row r="721">
      <c r="B721" s="39"/>
    </row>
    <row r="722">
      <c r="B722" s="39"/>
    </row>
    <row r="723">
      <c r="B723" s="39"/>
    </row>
    <row r="724">
      <c r="B724" s="39"/>
    </row>
    <row r="725">
      <c r="B725" s="39"/>
    </row>
    <row r="726">
      <c r="B726" s="39"/>
    </row>
    <row r="727">
      <c r="B727" s="39"/>
    </row>
    <row r="728">
      <c r="B728" s="39"/>
    </row>
    <row r="729">
      <c r="B729" s="39"/>
    </row>
    <row r="730">
      <c r="B730" s="39"/>
    </row>
    <row r="731">
      <c r="B731" s="39"/>
    </row>
    <row r="732">
      <c r="B732" s="39"/>
    </row>
    <row r="733">
      <c r="B733" s="39"/>
    </row>
    <row r="734">
      <c r="B734" s="39"/>
    </row>
    <row r="735">
      <c r="B735" s="39"/>
    </row>
    <row r="736">
      <c r="B736" s="39"/>
    </row>
    <row r="737">
      <c r="B737" s="39"/>
    </row>
    <row r="738">
      <c r="B738" s="39"/>
    </row>
    <row r="739">
      <c r="B739" s="39"/>
    </row>
    <row r="740">
      <c r="B740" s="39"/>
    </row>
    <row r="741">
      <c r="B741" s="39"/>
    </row>
    <row r="742">
      <c r="B742" s="39"/>
    </row>
    <row r="743">
      <c r="B743" s="39"/>
    </row>
    <row r="744">
      <c r="B744" s="39"/>
    </row>
    <row r="745">
      <c r="B745" s="39"/>
    </row>
    <row r="746">
      <c r="B746" s="39"/>
    </row>
    <row r="747">
      <c r="B747" s="39"/>
    </row>
    <row r="748">
      <c r="B748" s="39"/>
    </row>
    <row r="749">
      <c r="B749" s="39"/>
    </row>
    <row r="750">
      <c r="B750" s="39"/>
    </row>
    <row r="751">
      <c r="B751" s="39"/>
    </row>
    <row r="752">
      <c r="B752" s="39"/>
    </row>
    <row r="753">
      <c r="B753" s="39"/>
    </row>
    <row r="754">
      <c r="B754" s="39"/>
    </row>
    <row r="755">
      <c r="B755" s="39"/>
    </row>
    <row r="756">
      <c r="B756" s="39"/>
    </row>
    <row r="757">
      <c r="B757" s="39"/>
    </row>
    <row r="758">
      <c r="B758" s="39"/>
    </row>
    <row r="759">
      <c r="B759" s="39"/>
    </row>
    <row r="760">
      <c r="B760" s="39"/>
    </row>
    <row r="761">
      <c r="B761" s="39"/>
    </row>
    <row r="762">
      <c r="B762" s="39"/>
    </row>
    <row r="763">
      <c r="B763" s="39"/>
    </row>
    <row r="764">
      <c r="B764" s="39"/>
    </row>
    <row r="765">
      <c r="B765" s="39"/>
    </row>
    <row r="766">
      <c r="B766" s="39"/>
    </row>
    <row r="767">
      <c r="B767" s="39"/>
    </row>
    <row r="768">
      <c r="B768" s="39"/>
    </row>
    <row r="769">
      <c r="B769" s="39"/>
    </row>
    <row r="770">
      <c r="B770" s="39"/>
    </row>
    <row r="771">
      <c r="B771" s="39"/>
    </row>
    <row r="772">
      <c r="B772" s="39"/>
    </row>
    <row r="773">
      <c r="B773" s="39"/>
    </row>
    <row r="774">
      <c r="B774" s="39"/>
    </row>
    <row r="775">
      <c r="B775" s="39"/>
    </row>
    <row r="776">
      <c r="B776" s="39"/>
    </row>
    <row r="777">
      <c r="B777" s="39"/>
    </row>
    <row r="778">
      <c r="B778" s="39"/>
    </row>
    <row r="779">
      <c r="B779" s="39"/>
    </row>
    <row r="780">
      <c r="B780" s="39"/>
    </row>
    <row r="781">
      <c r="B781" s="39"/>
    </row>
    <row r="782">
      <c r="B782" s="39"/>
    </row>
    <row r="783">
      <c r="B783" s="39"/>
    </row>
    <row r="784">
      <c r="B784" s="39"/>
    </row>
    <row r="785">
      <c r="B785" s="39"/>
    </row>
    <row r="786">
      <c r="B786" s="39"/>
    </row>
    <row r="787">
      <c r="B787" s="39"/>
    </row>
    <row r="788">
      <c r="B788" s="39"/>
    </row>
    <row r="789">
      <c r="B789" s="39"/>
    </row>
    <row r="790">
      <c r="B790" s="39"/>
    </row>
    <row r="791">
      <c r="B791" s="39"/>
    </row>
    <row r="792">
      <c r="B792" s="39"/>
    </row>
    <row r="793">
      <c r="B793" s="39"/>
    </row>
    <row r="794">
      <c r="B794" s="39"/>
    </row>
    <row r="795">
      <c r="B795" s="39"/>
    </row>
    <row r="796">
      <c r="B796" s="39"/>
    </row>
    <row r="797">
      <c r="B797" s="39"/>
    </row>
    <row r="798">
      <c r="B798" s="39"/>
    </row>
    <row r="799">
      <c r="B799" s="39"/>
    </row>
    <row r="800">
      <c r="B800" s="39"/>
    </row>
    <row r="801">
      <c r="B801" s="39"/>
    </row>
    <row r="802">
      <c r="B802" s="39"/>
    </row>
    <row r="803">
      <c r="B803" s="39"/>
    </row>
    <row r="804">
      <c r="B804" s="39"/>
    </row>
    <row r="805">
      <c r="B805" s="39"/>
    </row>
    <row r="806">
      <c r="B806" s="39"/>
    </row>
    <row r="807">
      <c r="B807" s="39"/>
    </row>
    <row r="808">
      <c r="B808" s="39"/>
    </row>
    <row r="809">
      <c r="B809" s="39"/>
    </row>
    <row r="810">
      <c r="B810" s="39"/>
    </row>
    <row r="811">
      <c r="B811" s="39"/>
    </row>
    <row r="812">
      <c r="B812" s="39"/>
    </row>
    <row r="813">
      <c r="B813" s="39"/>
    </row>
    <row r="814">
      <c r="B814" s="39"/>
    </row>
    <row r="815">
      <c r="B815" s="39"/>
    </row>
    <row r="816">
      <c r="B816" s="39"/>
    </row>
    <row r="817">
      <c r="B817" s="39"/>
    </row>
    <row r="818">
      <c r="B818" s="39"/>
    </row>
    <row r="819">
      <c r="B819" s="39"/>
    </row>
    <row r="820">
      <c r="B820" s="39"/>
    </row>
    <row r="821">
      <c r="B821" s="39"/>
    </row>
    <row r="822">
      <c r="B822" s="39"/>
    </row>
    <row r="823">
      <c r="B823" s="39"/>
    </row>
    <row r="824">
      <c r="B824" s="39"/>
    </row>
    <row r="825">
      <c r="B825" s="39"/>
    </row>
    <row r="826">
      <c r="B826" s="39"/>
    </row>
    <row r="827">
      <c r="B827" s="39"/>
    </row>
    <row r="828">
      <c r="B828" s="39"/>
    </row>
    <row r="829">
      <c r="B829" s="39"/>
    </row>
    <row r="830">
      <c r="B830" s="39"/>
    </row>
    <row r="831">
      <c r="B831" s="39"/>
    </row>
    <row r="832">
      <c r="B832" s="39"/>
    </row>
    <row r="833">
      <c r="B833" s="39"/>
    </row>
    <row r="834">
      <c r="B834" s="39"/>
    </row>
    <row r="835">
      <c r="B835" s="39"/>
    </row>
    <row r="836">
      <c r="B836" s="39"/>
    </row>
    <row r="837">
      <c r="B837" s="39"/>
    </row>
    <row r="838">
      <c r="B838" s="39"/>
    </row>
    <row r="839">
      <c r="B839" s="39"/>
    </row>
    <row r="840">
      <c r="B840" s="39"/>
    </row>
    <row r="841">
      <c r="B841" s="39"/>
    </row>
    <row r="842">
      <c r="B842" s="39"/>
    </row>
    <row r="843">
      <c r="B843" s="39"/>
    </row>
    <row r="844">
      <c r="B844" s="39"/>
    </row>
    <row r="845">
      <c r="B845" s="39"/>
    </row>
    <row r="846">
      <c r="B846" s="39"/>
    </row>
    <row r="847">
      <c r="B847" s="39"/>
    </row>
    <row r="848">
      <c r="B848" s="39"/>
    </row>
    <row r="849">
      <c r="B849" s="39"/>
    </row>
    <row r="850">
      <c r="B850" s="39"/>
    </row>
    <row r="851">
      <c r="B851" s="39"/>
    </row>
    <row r="852">
      <c r="B852" s="39"/>
    </row>
    <row r="853">
      <c r="B853" s="39"/>
    </row>
    <row r="854">
      <c r="B854" s="39"/>
    </row>
    <row r="855">
      <c r="B855" s="39"/>
    </row>
    <row r="856">
      <c r="B856" s="39"/>
    </row>
    <row r="857">
      <c r="B857" s="39"/>
    </row>
    <row r="858">
      <c r="B858" s="39"/>
    </row>
    <row r="859">
      <c r="B859" s="39"/>
    </row>
    <row r="860">
      <c r="B860" s="39"/>
    </row>
    <row r="861">
      <c r="B861" s="39"/>
    </row>
    <row r="862">
      <c r="B862" s="39"/>
    </row>
    <row r="863">
      <c r="B863" s="39"/>
    </row>
    <row r="864">
      <c r="B864" s="39"/>
    </row>
    <row r="865">
      <c r="B865" s="39"/>
    </row>
    <row r="866">
      <c r="B866" s="39"/>
    </row>
    <row r="867">
      <c r="B867" s="39"/>
    </row>
    <row r="868">
      <c r="B868" s="39"/>
    </row>
    <row r="869">
      <c r="B869" s="39"/>
    </row>
    <row r="870">
      <c r="B870" s="39"/>
    </row>
    <row r="871">
      <c r="B871" s="39"/>
    </row>
    <row r="872">
      <c r="B872" s="39"/>
    </row>
    <row r="873">
      <c r="B873" s="39"/>
    </row>
    <row r="874">
      <c r="B874" s="39"/>
    </row>
    <row r="875">
      <c r="B875" s="39"/>
    </row>
    <row r="876">
      <c r="B876" s="39"/>
    </row>
    <row r="877">
      <c r="B877" s="39"/>
    </row>
    <row r="878">
      <c r="B878" s="39"/>
    </row>
    <row r="879">
      <c r="B879" s="39"/>
    </row>
    <row r="880">
      <c r="B880" s="39"/>
    </row>
    <row r="881">
      <c r="B881" s="39"/>
    </row>
    <row r="882">
      <c r="B882" s="39"/>
    </row>
    <row r="883">
      <c r="B883" s="39"/>
    </row>
    <row r="884">
      <c r="B884" s="39"/>
    </row>
    <row r="885">
      <c r="B885" s="39"/>
    </row>
    <row r="886">
      <c r="B886" s="39"/>
    </row>
    <row r="887">
      <c r="B887" s="39"/>
    </row>
    <row r="888">
      <c r="B888" s="39"/>
    </row>
    <row r="889">
      <c r="B889" s="39"/>
    </row>
    <row r="890">
      <c r="B890" s="39"/>
    </row>
    <row r="891">
      <c r="B891" s="39"/>
    </row>
    <row r="892">
      <c r="B892" s="39"/>
    </row>
    <row r="893">
      <c r="B893" s="39"/>
    </row>
    <row r="894">
      <c r="B894" s="39"/>
    </row>
    <row r="895">
      <c r="B895" s="39"/>
    </row>
    <row r="896">
      <c r="B896" s="39"/>
    </row>
    <row r="897">
      <c r="B897" s="39"/>
    </row>
    <row r="898">
      <c r="B898" s="39"/>
    </row>
    <row r="899">
      <c r="B899" s="39"/>
    </row>
    <row r="900">
      <c r="B900" s="39"/>
    </row>
    <row r="901">
      <c r="B901" s="39"/>
    </row>
    <row r="902">
      <c r="B902" s="39"/>
    </row>
    <row r="903">
      <c r="B903" s="39"/>
    </row>
    <row r="904">
      <c r="B904" s="39"/>
    </row>
    <row r="905">
      <c r="B905" s="39"/>
    </row>
    <row r="906">
      <c r="B906" s="39"/>
    </row>
    <row r="907">
      <c r="B907" s="39"/>
    </row>
    <row r="908">
      <c r="B908" s="39"/>
    </row>
    <row r="909">
      <c r="B909" s="39"/>
    </row>
    <row r="910">
      <c r="B910" s="39"/>
    </row>
    <row r="911">
      <c r="B911" s="39"/>
    </row>
    <row r="912">
      <c r="B912" s="39"/>
    </row>
    <row r="913">
      <c r="B913" s="39"/>
    </row>
    <row r="914">
      <c r="B914" s="39"/>
    </row>
    <row r="915">
      <c r="B915" s="39"/>
    </row>
    <row r="916">
      <c r="B916" s="39"/>
    </row>
    <row r="917">
      <c r="B917" s="39"/>
    </row>
    <row r="918">
      <c r="B918" s="39"/>
    </row>
    <row r="919">
      <c r="B919" s="39"/>
    </row>
    <row r="920">
      <c r="B920" s="39"/>
    </row>
    <row r="921">
      <c r="B921" s="39"/>
    </row>
    <row r="922">
      <c r="B922" s="39"/>
    </row>
    <row r="923">
      <c r="B923" s="39"/>
    </row>
    <row r="924">
      <c r="B924" s="39"/>
    </row>
    <row r="925">
      <c r="B925" s="39"/>
    </row>
    <row r="926">
      <c r="B926" s="39"/>
    </row>
    <row r="927">
      <c r="B927" s="39"/>
    </row>
    <row r="928">
      <c r="B928" s="39"/>
    </row>
    <row r="929">
      <c r="B929" s="39"/>
    </row>
    <row r="930">
      <c r="B930" s="39"/>
    </row>
    <row r="931">
      <c r="B931" s="39"/>
    </row>
    <row r="932">
      <c r="B932" s="39"/>
    </row>
    <row r="933">
      <c r="B933" s="39"/>
    </row>
    <row r="934">
      <c r="B934" s="39"/>
    </row>
    <row r="935">
      <c r="B935" s="39"/>
    </row>
    <row r="936">
      <c r="B936" s="39"/>
    </row>
    <row r="937">
      <c r="B937" s="39"/>
    </row>
    <row r="938">
      <c r="B938" s="39"/>
    </row>
    <row r="939">
      <c r="B939" s="39"/>
    </row>
    <row r="940">
      <c r="B940" s="39"/>
    </row>
    <row r="941">
      <c r="B941" s="39"/>
    </row>
    <row r="942">
      <c r="B942" s="39"/>
    </row>
    <row r="943">
      <c r="B943" s="39"/>
    </row>
    <row r="944">
      <c r="B944" s="39"/>
    </row>
    <row r="945">
      <c r="B945" s="39"/>
    </row>
    <row r="946">
      <c r="B946" s="39"/>
    </row>
    <row r="947">
      <c r="B947" s="39"/>
    </row>
    <row r="948">
      <c r="B948" s="39"/>
    </row>
    <row r="949">
      <c r="B949" s="39"/>
    </row>
    <row r="950">
      <c r="B950" s="39"/>
    </row>
    <row r="951">
      <c r="B951" s="39"/>
    </row>
    <row r="952">
      <c r="B952" s="39"/>
    </row>
    <row r="953">
      <c r="B953" s="39"/>
    </row>
    <row r="954">
      <c r="B954" s="39"/>
    </row>
    <row r="955">
      <c r="B955" s="39"/>
    </row>
    <row r="956">
      <c r="B956" s="39"/>
    </row>
    <row r="957">
      <c r="B957" s="39"/>
    </row>
    <row r="958">
      <c r="B958" s="39"/>
    </row>
    <row r="959">
      <c r="B959" s="39"/>
    </row>
    <row r="960">
      <c r="B960" s="39"/>
    </row>
    <row r="961">
      <c r="B961" s="39"/>
    </row>
    <row r="962">
      <c r="B962" s="39"/>
    </row>
    <row r="963">
      <c r="B963" s="39"/>
    </row>
    <row r="964">
      <c r="B964" s="39"/>
    </row>
    <row r="965">
      <c r="B965" s="39"/>
    </row>
    <row r="966">
      <c r="B966" s="39"/>
    </row>
    <row r="967">
      <c r="B967" s="39"/>
    </row>
    <row r="968">
      <c r="B968" s="39"/>
    </row>
    <row r="969">
      <c r="B969" s="39"/>
    </row>
    <row r="970">
      <c r="B970" s="39"/>
    </row>
    <row r="971">
      <c r="B971" s="39"/>
    </row>
    <row r="972">
      <c r="B972" s="39"/>
    </row>
    <row r="973">
      <c r="B973" s="39"/>
    </row>
    <row r="974">
      <c r="B974" s="39"/>
    </row>
    <row r="975">
      <c r="B975" s="39"/>
    </row>
    <row r="976">
      <c r="B976" s="39"/>
    </row>
    <row r="977">
      <c r="B977" s="39"/>
    </row>
    <row r="978">
      <c r="B978" s="39"/>
    </row>
    <row r="979">
      <c r="B979" s="39"/>
    </row>
    <row r="980">
      <c r="B980" s="39"/>
    </row>
    <row r="981">
      <c r="B981" s="39"/>
    </row>
    <row r="982">
      <c r="B982" s="39"/>
    </row>
    <row r="983">
      <c r="B983" s="39"/>
    </row>
    <row r="984">
      <c r="B984" s="39"/>
    </row>
    <row r="985">
      <c r="B985" s="39"/>
    </row>
    <row r="986">
      <c r="B986" s="39"/>
    </row>
    <row r="987">
      <c r="B987" s="39"/>
    </row>
    <row r="988">
      <c r="B988" s="39"/>
    </row>
    <row r="989">
      <c r="B989" s="39"/>
    </row>
    <row r="990">
      <c r="B990" s="39"/>
    </row>
    <row r="991">
      <c r="B991" s="39"/>
    </row>
    <row r="992">
      <c r="B992" s="39"/>
    </row>
    <row r="993">
      <c r="B993" s="39"/>
    </row>
    <row r="994">
      <c r="B994" s="39"/>
    </row>
    <row r="995">
      <c r="B995" s="39"/>
    </row>
    <row r="996">
      <c r="B996" s="39"/>
    </row>
    <row r="997">
      <c r="B997" s="39"/>
    </row>
    <row r="998">
      <c r="B998" s="39"/>
    </row>
    <row r="999">
      <c r="B999" s="39"/>
    </row>
    <row r="1000">
      <c r="B1000" s="39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23.88"/>
    <col customWidth="1" min="7" max="7" width="25.13"/>
  </cols>
  <sheetData>
    <row r="1">
      <c r="A1" s="58" t="s">
        <v>38</v>
      </c>
      <c r="B1" s="58" t="s">
        <v>517</v>
      </c>
      <c r="C1" s="58" t="s">
        <v>518</v>
      </c>
      <c r="D1" s="58" t="s">
        <v>125</v>
      </c>
      <c r="E1" s="58" t="s">
        <v>468</v>
      </c>
      <c r="F1" s="58" t="s">
        <v>519</v>
      </c>
      <c r="G1" s="58" t="s">
        <v>520</v>
      </c>
    </row>
    <row r="2">
      <c r="A2" s="58" t="s">
        <v>77</v>
      </c>
      <c r="B2" s="90">
        <v>15776.56786</v>
      </c>
      <c r="C2" s="196">
        <v>0.0</v>
      </c>
      <c r="D2" s="59">
        <v>0.04</v>
      </c>
      <c r="E2" s="196">
        <v>2.358615111</v>
      </c>
      <c r="F2" s="196">
        <v>37210.85135431294</v>
      </c>
      <c r="G2" s="196">
        <v>0.0</v>
      </c>
    </row>
    <row r="3">
      <c r="A3" s="58" t="s">
        <v>196</v>
      </c>
      <c r="B3" s="90">
        <v>0.0</v>
      </c>
      <c r="C3" s="196">
        <v>0.0</v>
      </c>
      <c r="D3" s="58" t="s">
        <v>134</v>
      </c>
      <c r="E3" s="196">
        <v>1.02</v>
      </c>
      <c r="F3" s="196">
        <v>0.0</v>
      </c>
      <c r="G3" s="196">
        <v>0.0</v>
      </c>
    </row>
    <row r="4">
      <c r="A4" s="58" t="s">
        <v>70</v>
      </c>
      <c r="B4" s="90">
        <v>26592.60853</v>
      </c>
      <c r="C4" s="196">
        <v>18834.61</v>
      </c>
      <c r="D4" s="59">
        <v>0.0385</v>
      </c>
      <c r="E4" s="196">
        <v>173.1638356</v>
      </c>
      <c r="F4" s="196">
        <v>4604878.091664078</v>
      </c>
      <c r="G4" s="196">
        <v>3261473.309630116</v>
      </c>
    </row>
    <row r="5">
      <c r="A5" s="58" t="s">
        <v>60</v>
      </c>
      <c r="B5" s="90">
        <v>5.745770414E7</v>
      </c>
      <c r="C5" s="196">
        <v>3.14394534E7</v>
      </c>
      <c r="D5" s="59">
        <v>0.0205</v>
      </c>
      <c r="E5" s="196">
        <v>1.224927047</v>
      </c>
      <c r="F5" s="90">
        <v>7.038149585960987E7</v>
      </c>
      <c r="G5" s="90">
        <v>3.851103681255611E7</v>
      </c>
    </row>
    <row r="6">
      <c r="A6" s="58" t="s">
        <v>284</v>
      </c>
      <c r="B6" s="90">
        <v>0.0</v>
      </c>
      <c r="C6" s="196">
        <v>0.0</v>
      </c>
      <c r="D6" s="58" t="s">
        <v>134</v>
      </c>
      <c r="E6" s="196">
        <v>180.32</v>
      </c>
      <c r="F6" s="90">
        <v>0.0</v>
      </c>
      <c r="G6" s="90">
        <v>0.0</v>
      </c>
    </row>
    <row r="7">
      <c r="A7" s="58" t="s">
        <v>101</v>
      </c>
      <c r="B7" s="90">
        <v>0.0</v>
      </c>
      <c r="C7" s="196">
        <v>0.0</v>
      </c>
      <c r="D7" s="58" t="s">
        <v>134</v>
      </c>
      <c r="E7" s="196">
        <v>0.6678409518</v>
      </c>
      <c r="F7" s="90">
        <v>0.0</v>
      </c>
      <c r="G7" s="90">
        <v>0.0</v>
      </c>
    </row>
    <row r="8">
      <c r="A8" s="58" t="s">
        <v>469</v>
      </c>
      <c r="B8" s="90">
        <v>0.0</v>
      </c>
      <c r="C8" s="196">
        <v>0.0</v>
      </c>
      <c r="D8" s="58" t="s">
        <v>134</v>
      </c>
      <c r="E8" s="196">
        <v>1.0</v>
      </c>
      <c r="F8" s="90">
        <v>0.0</v>
      </c>
      <c r="G8" s="90">
        <v>0.0</v>
      </c>
    </row>
    <row r="9">
      <c r="A9" s="58" t="s">
        <v>112</v>
      </c>
      <c r="B9" s="90">
        <v>0.0</v>
      </c>
      <c r="C9" s="196">
        <v>0.0</v>
      </c>
      <c r="D9" s="58" t="s">
        <v>134</v>
      </c>
      <c r="E9" s="196">
        <v>0.9086764428</v>
      </c>
      <c r="F9" s="90">
        <v>0.0</v>
      </c>
      <c r="G9" s="90">
        <v>0.0</v>
      </c>
    </row>
    <row r="10">
      <c r="A10" s="58" t="s">
        <v>111</v>
      </c>
      <c r="B10" s="90">
        <v>0.0</v>
      </c>
      <c r="C10" s="196">
        <v>0.0</v>
      </c>
      <c r="D10" s="58" t="s">
        <v>134</v>
      </c>
      <c r="E10" s="196">
        <v>0.0968507155</v>
      </c>
      <c r="F10" s="90">
        <v>0.0</v>
      </c>
      <c r="G10" s="90">
        <v>0.0</v>
      </c>
    </row>
    <row r="11">
      <c r="A11" s="58" t="s">
        <v>242</v>
      </c>
      <c r="B11" s="90">
        <v>0.0</v>
      </c>
      <c r="C11" s="196">
        <v>0.0</v>
      </c>
      <c r="D11" s="58" t="s">
        <v>134</v>
      </c>
      <c r="E11" s="196">
        <v>0.095818</v>
      </c>
      <c r="F11" s="90">
        <v>0.0</v>
      </c>
      <c r="G11" s="90">
        <v>0.0</v>
      </c>
    </row>
    <row r="12">
      <c r="A12" s="58" t="s">
        <v>211</v>
      </c>
      <c r="B12" s="90">
        <v>0.0</v>
      </c>
      <c r="C12" s="196">
        <v>0.0</v>
      </c>
      <c r="D12" s="58" t="s">
        <v>134</v>
      </c>
      <c r="E12" s="196">
        <v>104.1704915</v>
      </c>
      <c r="F12" s="90">
        <v>0.0</v>
      </c>
      <c r="G12" s="90">
        <v>0.0</v>
      </c>
    </row>
    <row r="13">
      <c r="A13" s="58" t="s">
        <v>90</v>
      </c>
      <c r="B13" s="90">
        <v>0.0</v>
      </c>
      <c r="C13" s="196">
        <v>0.0</v>
      </c>
      <c r="D13" s="58" t="s">
        <v>134</v>
      </c>
      <c r="E13" s="196">
        <v>14.44190837</v>
      </c>
      <c r="F13" s="90">
        <v>0.0</v>
      </c>
      <c r="G13" s="90">
        <v>0.0</v>
      </c>
    </row>
    <row r="14">
      <c r="A14" s="58" t="s">
        <v>103</v>
      </c>
      <c r="B14" s="90">
        <v>0.0</v>
      </c>
      <c r="C14" s="196">
        <v>0.0</v>
      </c>
      <c r="D14" s="58" t="s">
        <v>134</v>
      </c>
      <c r="E14" s="196">
        <v>17.65911299</v>
      </c>
      <c r="F14" s="90">
        <v>0.0</v>
      </c>
      <c r="G14" s="90">
        <v>0.0</v>
      </c>
    </row>
    <row r="15">
      <c r="A15" s="58" t="s">
        <v>74</v>
      </c>
      <c r="B15" s="90">
        <v>918955.4093</v>
      </c>
      <c r="C15" s="196">
        <v>0.0</v>
      </c>
      <c r="D15" s="59">
        <v>0.0097</v>
      </c>
      <c r="E15" s="196">
        <v>1.078602899</v>
      </c>
      <c r="F15" s="90">
        <v>991187.9685227117</v>
      </c>
      <c r="G15" s="90">
        <v>0.0</v>
      </c>
    </row>
    <row r="16">
      <c r="A16" s="58" t="s">
        <v>66</v>
      </c>
      <c r="B16" s="90">
        <v>6599.359312</v>
      </c>
      <c r="C16" s="196">
        <v>11731.07</v>
      </c>
      <c r="D16" s="59">
        <v>0.0225</v>
      </c>
      <c r="E16" s="196">
        <v>427.8766983</v>
      </c>
      <c r="F16" s="90">
        <v>2823712.0733139194</v>
      </c>
      <c r="G16" s="90">
        <v>5019451.499126181</v>
      </c>
    </row>
    <row r="17">
      <c r="A17" s="58" t="s">
        <v>65</v>
      </c>
      <c r="B17" s="90">
        <v>10488.3056</v>
      </c>
      <c r="C17" s="196">
        <v>0.0</v>
      </c>
      <c r="D17" s="196">
        <v>0.0581</v>
      </c>
      <c r="E17" s="196">
        <v>520.1023256</v>
      </c>
      <c r="F17" s="90">
        <v>5454992.134163503</v>
      </c>
      <c r="G17" s="90">
        <v>0.0</v>
      </c>
    </row>
    <row r="18">
      <c r="A18" s="58" t="s">
        <v>79</v>
      </c>
      <c r="B18" s="90">
        <v>0.0</v>
      </c>
      <c r="C18" s="196">
        <v>0.0</v>
      </c>
      <c r="D18" s="196">
        <v>0.0595</v>
      </c>
      <c r="E18" s="196">
        <v>3.165969505</v>
      </c>
      <c r="F18" s="90">
        <v>0.0</v>
      </c>
      <c r="G18" s="90">
        <v>0.0</v>
      </c>
    </row>
    <row r="19">
      <c r="A19" s="58" t="s">
        <v>235</v>
      </c>
      <c r="B19" s="90">
        <v>0.0</v>
      </c>
      <c r="C19" s="196">
        <v>0.0</v>
      </c>
      <c r="D19" s="58" t="s">
        <v>134</v>
      </c>
      <c r="E19" s="196">
        <v>3.01</v>
      </c>
      <c r="F19" s="90">
        <v>0.0</v>
      </c>
      <c r="G19" s="90">
        <v>0.0</v>
      </c>
    </row>
    <row r="20">
      <c r="A20" s="58" t="s">
        <v>113</v>
      </c>
      <c r="B20" s="90">
        <v>0.0</v>
      </c>
      <c r="C20" s="196">
        <v>0.0</v>
      </c>
      <c r="D20" s="58" t="s">
        <v>134</v>
      </c>
      <c r="E20" s="196">
        <v>15.06</v>
      </c>
      <c r="F20" s="90">
        <v>0.0</v>
      </c>
      <c r="G20" s="90">
        <v>0.0</v>
      </c>
    </row>
    <row r="21">
      <c r="A21" s="58" t="s">
        <v>253</v>
      </c>
      <c r="B21" s="90">
        <v>0.0</v>
      </c>
      <c r="C21" s="196">
        <v>0.0</v>
      </c>
      <c r="D21" s="58" t="s">
        <v>134</v>
      </c>
      <c r="E21" s="196">
        <v>408.09</v>
      </c>
      <c r="F21" s="90">
        <v>0.0</v>
      </c>
      <c r="G21" s="90">
        <v>0.0</v>
      </c>
    </row>
    <row r="22">
      <c r="A22" s="58" t="s">
        <v>89</v>
      </c>
      <c r="B22" s="90">
        <v>4077.619022</v>
      </c>
      <c r="C22" s="196">
        <v>0.0</v>
      </c>
      <c r="D22" s="196">
        <v>0.0183</v>
      </c>
      <c r="E22" s="196">
        <v>121.68</v>
      </c>
      <c r="F22" s="90">
        <v>496164.68259696</v>
      </c>
      <c r="G22" s="90">
        <v>0.0</v>
      </c>
    </row>
    <row r="23">
      <c r="A23" s="58" t="s">
        <v>53</v>
      </c>
      <c r="B23" s="90">
        <v>32931.40334</v>
      </c>
      <c r="C23" s="196">
        <v>6625.49</v>
      </c>
      <c r="D23" s="59">
        <v>0.0298</v>
      </c>
      <c r="E23" s="196">
        <v>46314.63028</v>
      </c>
      <c r="F23" s="90">
        <v>1.5252057702936568E9</v>
      </c>
      <c r="G23" s="90">
        <v>3.0685711977383715E8</v>
      </c>
    </row>
    <row r="24">
      <c r="A24" s="58" t="s">
        <v>104</v>
      </c>
      <c r="B24" s="90">
        <v>0.0</v>
      </c>
      <c r="C24" s="196">
        <v>0.0</v>
      </c>
      <c r="D24" s="59">
        <v>0.0</v>
      </c>
      <c r="E24" s="196">
        <v>40.15750772</v>
      </c>
      <c r="F24" s="90">
        <v>0.0</v>
      </c>
      <c r="G24" s="90">
        <v>0.0</v>
      </c>
    </row>
    <row r="25">
      <c r="A25" s="58" t="s">
        <v>470</v>
      </c>
      <c r="B25" s="90">
        <v>19876.0</v>
      </c>
      <c r="C25" s="196">
        <v>0.0</v>
      </c>
      <c r="D25" s="58" t="s">
        <v>134</v>
      </c>
      <c r="E25" s="196">
        <v>1.001657754</v>
      </c>
      <c r="F25" s="90">
        <v>19908.949518504</v>
      </c>
      <c r="G25" s="90">
        <v>0.0</v>
      </c>
    </row>
    <row r="26">
      <c r="A26" s="58" t="s">
        <v>56</v>
      </c>
      <c r="B26" s="90">
        <v>4.756516975E7</v>
      </c>
      <c r="C26" s="196">
        <v>0.0</v>
      </c>
      <c r="D26" s="196">
        <v>0.0415</v>
      </c>
      <c r="E26" s="196">
        <v>3.916622336</v>
      </c>
      <c r="F26" s="90">
        <v>1.8629480625848153E8</v>
      </c>
      <c r="G26" s="90">
        <v>0.0</v>
      </c>
    </row>
    <row r="27">
      <c r="A27" s="58" t="s">
        <v>81</v>
      </c>
      <c r="B27" s="90">
        <v>1012.241165</v>
      </c>
      <c r="C27" s="196">
        <v>0.0</v>
      </c>
      <c r="D27" s="196">
        <v>0.0453</v>
      </c>
      <c r="E27" s="196">
        <v>187.58</v>
      </c>
      <c r="F27" s="90">
        <v>189876.19773070002</v>
      </c>
      <c r="G27" s="90">
        <v>0.0</v>
      </c>
    </row>
    <row r="28">
      <c r="A28" s="58" t="s">
        <v>279</v>
      </c>
      <c r="B28" s="90">
        <v>0.0</v>
      </c>
      <c r="C28" s="196">
        <v>0.0</v>
      </c>
      <c r="D28" s="58" t="s">
        <v>134</v>
      </c>
      <c r="E28" s="196">
        <v>30.84</v>
      </c>
      <c r="F28" s="90">
        <v>0.0</v>
      </c>
      <c r="G28" s="90">
        <v>0.0</v>
      </c>
    </row>
    <row r="29">
      <c r="A29" s="58" t="s">
        <v>88</v>
      </c>
      <c r="B29" s="90">
        <v>0.0</v>
      </c>
      <c r="C29" s="196">
        <v>0.0</v>
      </c>
      <c r="D29" s="58" t="s">
        <v>134</v>
      </c>
      <c r="E29" s="196">
        <v>3.991734421</v>
      </c>
      <c r="F29" s="90">
        <v>0.0</v>
      </c>
      <c r="G29" s="90">
        <v>0.0</v>
      </c>
    </row>
    <row r="30">
      <c r="A30" s="58" t="s">
        <v>83</v>
      </c>
      <c r="B30" s="90">
        <v>0.0</v>
      </c>
      <c r="C30" s="196">
        <v>0.0</v>
      </c>
      <c r="D30" s="58" t="s">
        <v>134</v>
      </c>
      <c r="E30" s="196">
        <v>30.31</v>
      </c>
      <c r="F30" s="90">
        <v>0.0</v>
      </c>
      <c r="G30" s="90">
        <v>0.0</v>
      </c>
    </row>
    <row r="31">
      <c r="A31" s="58" t="s">
        <v>76</v>
      </c>
      <c r="B31" s="90">
        <v>14971.20478</v>
      </c>
      <c r="C31" s="196">
        <v>0.0</v>
      </c>
      <c r="D31" s="196">
        <v>0.041</v>
      </c>
      <c r="E31" s="196">
        <v>127.3985472</v>
      </c>
      <c r="F31" s="90">
        <v>1907309.7388056957</v>
      </c>
      <c r="G31" s="90">
        <v>0.0</v>
      </c>
    </row>
    <row r="32">
      <c r="A32" s="58" t="s">
        <v>95</v>
      </c>
      <c r="B32" s="90">
        <v>0.0</v>
      </c>
      <c r="C32" s="196">
        <v>0.0</v>
      </c>
      <c r="D32" s="58" t="s">
        <v>134</v>
      </c>
      <c r="E32" s="196">
        <v>35192.45221</v>
      </c>
      <c r="F32" s="90">
        <v>0.0</v>
      </c>
      <c r="G32" s="90">
        <v>0.0</v>
      </c>
    </row>
    <row r="33">
      <c r="A33" s="58" t="s">
        <v>72</v>
      </c>
      <c r="B33" s="90">
        <v>658302.0038</v>
      </c>
      <c r="C33" s="196">
        <v>538608.56</v>
      </c>
      <c r="D33" s="196">
        <v>0.0668</v>
      </c>
      <c r="E33" s="196">
        <v>24.25242304</v>
      </c>
      <c r="F33" s="90">
        <v>1.5965418684237286E7</v>
      </c>
      <c r="G33" s="90">
        <v>1.3062562650085224E7</v>
      </c>
    </row>
    <row r="34">
      <c r="A34" s="58" t="s">
        <v>73</v>
      </c>
      <c r="B34" s="90">
        <v>300244.0313</v>
      </c>
      <c r="C34" s="196">
        <v>1900000.0</v>
      </c>
      <c r="D34" s="196">
        <v>0.0288</v>
      </c>
      <c r="E34" s="196">
        <v>3.224794378</v>
      </c>
      <c r="F34" s="90">
        <v>968225.2641642959</v>
      </c>
      <c r="G34" s="90">
        <v>6127109.3182</v>
      </c>
    </row>
    <row r="35">
      <c r="A35" s="58" t="s">
        <v>82</v>
      </c>
      <c r="B35" s="90">
        <v>2651.478356</v>
      </c>
      <c r="C35" s="196">
        <v>0.0</v>
      </c>
      <c r="D35" s="196">
        <v>0.0298</v>
      </c>
      <c r="E35" s="196">
        <v>34.29459694</v>
      </c>
      <c r="F35" s="90">
        <v>90931.38151415382</v>
      </c>
      <c r="G35" s="90">
        <v>0.0</v>
      </c>
    </row>
    <row r="36">
      <c r="A36" s="58" t="s">
        <v>54</v>
      </c>
      <c r="B36" s="90">
        <v>229352.0163</v>
      </c>
      <c r="C36" s="196">
        <v>59614.06</v>
      </c>
      <c r="D36" s="196">
        <v>0.0384</v>
      </c>
      <c r="E36" s="196">
        <v>3819.675532</v>
      </c>
      <c r="F36" s="90">
        <v>8.760502848759751E8</v>
      </c>
      <c r="G36" s="90">
        <v>2.2770636634517992E8</v>
      </c>
    </row>
    <row r="37">
      <c r="A37" s="58" t="s">
        <v>107</v>
      </c>
      <c r="B37" s="90">
        <v>0.0</v>
      </c>
      <c r="C37" s="196">
        <v>0.0</v>
      </c>
      <c r="D37" s="58" t="s">
        <v>134</v>
      </c>
      <c r="E37" s="196">
        <v>88.74747431</v>
      </c>
      <c r="F37" s="90">
        <v>0.0</v>
      </c>
      <c r="G37" s="90">
        <v>0.0</v>
      </c>
    </row>
    <row r="38">
      <c r="A38" s="58" t="s">
        <v>108</v>
      </c>
      <c r="B38" s="90">
        <v>0.0</v>
      </c>
      <c r="C38" s="196">
        <v>0.0</v>
      </c>
      <c r="D38" s="58" t="s">
        <v>134</v>
      </c>
      <c r="E38" s="196">
        <v>1.12</v>
      </c>
      <c r="F38" s="90">
        <v>0.0</v>
      </c>
      <c r="G38" s="90">
        <v>0.0</v>
      </c>
    </row>
    <row r="39">
      <c r="A39" s="58" t="s">
        <v>243</v>
      </c>
      <c r="B39" s="90">
        <v>0.0</v>
      </c>
      <c r="C39" s="196">
        <v>0.0</v>
      </c>
      <c r="D39" s="58" t="s">
        <v>134</v>
      </c>
      <c r="E39" s="196">
        <v>1.362562138</v>
      </c>
      <c r="F39" s="90">
        <v>0.0</v>
      </c>
      <c r="G39" s="90">
        <v>0.0</v>
      </c>
    </row>
    <row r="40">
      <c r="A40" s="58" t="s">
        <v>59</v>
      </c>
      <c r="B40" s="90">
        <v>0.0</v>
      </c>
      <c r="C40" s="196">
        <v>1.571643888E7</v>
      </c>
      <c r="D40" s="58" t="s">
        <v>134</v>
      </c>
      <c r="E40" s="196">
        <v>39.51861627</v>
      </c>
      <c r="F40" s="90">
        <v>0.0</v>
      </c>
      <c r="G40" s="90">
        <v>6.210919172296287E8</v>
      </c>
    </row>
    <row r="41">
      <c r="A41" s="58" t="s">
        <v>471</v>
      </c>
      <c r="B41" s="90">
        <v>226504.0</v>
      </c>
      <c r="C41" s="196">
        <v>0.0</v>
      </c>
      <c r="D41" s="58" t="s">
        <v>134</v>
      </c>
      <c r="E41" s="196">
        <v>0.9964788368</v>
      </c>
      <c r="F41" s="90">
        <v>225706.4424505472</v>
      </c>
      <c r="G41" s="90">
        <v>0.0</v>
      </c>
    </row>
    <row r="42">
      <c r="A42" s="58" t="s">
        <v>93</v>
      </c>
      <c r="B42" s="90">
        <v>83721.60377</v>
      </c>
      <c r="C42" s="196">
        <v>0.0</v>
      </c>
      <c r="D42" s="196">
        <v>0.0048</v>
      </c>
      <c r="E42" s="196">
        <v>1.235585033</v>
      </c>
      <c r="F42" s="90">
        <v>103445.16055696837</v>
      </c>
      <c r="G42" s="90">
        <v>0.0</v>
      </c>
    </row>
    <row r="43">
      <c r="A43" s="58" t="s">
        <v>94</v>
      </c>
      <c r="B43" s="90">
        <v>0.0</v>
      </c>
      <c r="C43" s="196">
        <v>0.0</v>
      </c>
      <c r="D43" s="58" t="s">
        <v>134</v>
      </c>
      <c r="E43" s="196">
        <v>2.57</v>
      </c>
      <c r="F43" s="90">
        <v>0.0</v>
      </c>
      <c r="G43" s="90">
        <v>0.0</v>
      </c>
    </row>
    <row r="44">
      <c r="A44" s="58" t="s">
        <v>61</v>
      </c>
      <c r="B44" s="90">
        <v>2205587.094</v>
      </c>
      <c r="C44" s="196">
        <v>0.0</v>
      </c>
      <c r="D44" s="196">
        <v>0.0251</v>
      </c>
      <c r="E44" s="196">
        <v>18.51308692</v>
      </c>
      <c r="F44" s="196">
        <v>4.083222558085221E7</v>
      </c>
      <c r="G44" s="196">
        <v>0.0</v>
      </c>
    </row>
    <row r="45">
      <c r="A45" s="58" t="s">
        <v>100</v>
      </c>
      <c r="B45" s="90">
        <v>3629.98053</v>
      </c>
      <c r="C45" s="196">
        <v>0.0</v>
      </c>
      <c r="D45" s="196">
        <v>0.0</v>
      </c>
      <c r="E45" s="196">
        <v>33.46970838</v>
      </c>
      <c r="F45" s="90">
        <v>121494.38976417783</v>
      </c>
      <c r="G45" s="90">
        <v>0.0</v>
      </c>
    </row>
    <row r="46">
      <c r="A46" s="58" t="s">
        <v>117</v>
      </c>
      <c r="B46" s="90">
        <v>0.0</v>
      </c>
      <c r="C46" s="196">
        <v>0.0</v>
      </c>
      <c r="D46" s="58" t="s">
        <v>134</v>
      </c>
      <c r="E46" s="196">
        <v>5.37</v>
      </c>
      <c r="F46" s="90">
        <v>0.0</v>
      </c>
      <c r="G46" s="90">
        <v>0.0</v>
      </c>
    </row>
    <row r="47">
      <c r="A47" s="58" t="s">
        <v>64</v>
      </c>
      <c r="B47" s="90">
        <v>67463.26828</v>
      </c>
      <c r="C47" s="196">
        <v>0.0</v>
      </c>
      <c r="D47" s="59">
        <v>0.0285</v>
      </c>
      <c r="E47" s="196">
        <v>150.2184313</v>
      </c>
      <c r="F47" s="196">
        <v>1.013422633139265E7</v>
      </c>
      <c r="G47" s="196">
        <v>0.0</v>
      </c>
    </row>
    <row r="48">
      <c r="A48" s="58" t="s">
        <v>63</v>
      </c>
      <c r="B48" s="90">
        <v>56729.8048</v>
      </c>
      <c r="C48" s="196">
        <v>0.0</v>
      </c>
      <c r="D48" s="196">
        <v>0.0488</v>
      </c>
      <c r="E48" s="196">
        <v>75.53490033</v>
      </c>
      <c r="F48" s="90">
        <v>4285080.151308356</v>
      </c>
      <c r="G48" s="90">
        <v>0.0</v>
      </c>
    </row>
    <row r="49">
      <c r="A49" s="58" t="s">
        <v>472</v>
      </c>
      <c r="B49" s="90">
        <v>0.0</v>
      </c>
      <c r="C49" s="196">
        <v>0.0</v>
      </c>
      <c r="D49" s="58" t="s">
        <v>134</v>
      </c>
      <c r="E49" s="196">
        <v>1.003574996</v>
      </c>
      <c r="F49" s="90">
        <v>0.0</v>
      </c>
      <c r="G49" s="90">
        <v>0.0</v>
      </c>
    </row>
    <row r="50">
      <c r="A50" s="58" t="s">
        <v>473</v>
      </c>
      <c r="B50" s="90">
        <v>0.0</v>
      </c>
      <c r="C50" s="196">
        <v>0.0</v>
      </c>
      <c r="D50" s="58" t="s">
        <v>134</v>
      </c>
      <c r="E50" s="196">
        <v>0.989661</v>
      </c>
      <c r="F50" s="90">
        <v>0.0</v>
      </c>
      <c r="G50" s="90">
        <v>0.0</v>
      </c>
    </row>
    <row r="51">
      <c r="A51" s="58" t="s">
        <v>71</v>
      </c>
      <c r="B51" s="90">
        <v>1807071.291</v>
      </c>
      <c r="C51" s="196">
        <v>0.0</v>
      </c>
      <c r="D51" s="196">
        <v>0.0042</v>
      </c>
      <c r="E51" s="196">
        <v>3.162748017</v>
      </c>
      <c r="F51" s="90">
        <v>5715311.14218788</v>
      </c>
      <c r="G51" s="90">
        <v>0.0</v>
      </c>
    </row>
    <row r="52">
      <c r="A52" s="58" t="s">
        <v>57</v>
      </c>
      <c r="B52" s="90">
        <v>3.171704752E7</v>
      </c>
      <c r="C52" s="196">
        <v>0.0</v>
      </c>
      <c r="D52" s="196">
        <v>0.0818</v>
      </c>
      <c r="E52" s="196">
        <v>2.097607594</v>
      </c>
      <c r="F52" s="90">
        <v>6.652991973721086E7</v>
      </c>
      <c r="G52" s="90">
        <v>0.0</v>
      </c>
    </row>
    <row r="53">
      <c r="A53" s="58" t="s">
        <v>474</v>
      </c>
      <c r="B53" s="90">
        <v>203106.0</v>
      </c>
      <c r="C53" s="196">
        <v>0.0</v>
      </c>
      <c r="D53" s="58" t="s">
        <v>134</v>
      </c>
      <c r="E53" s="196">
        <v>1.0</v>
      </c>
      <c r="F53" s="90">
        <v>203106.0</v>
      </c>
      <c r="G53" s="90">
        <v>0.0</v>
      </c>
    </row>
    <row r="54">
      <c r="A54" s="58" t="s">
        <v>109</v>
      </c>
      <c r="B54" s="90">
        <v>0.0</v>
      </c>
      <c r="C54" s="196">
        <v>0.0</v>
      </c>
      <c r="D54" s="58" t="s">
        <v>134</v>
      </c>
      <c r="E54" s="196">
        <v>2294.480115</v>
      </c>
      <c r="F54" s="90">
        <v>0.0</v>
      </c>
      <c r="G54" s="90">
        <v>0.0</v>
      </c>
    </row>
    <row r="55">
      <c r="A55" s="58" t="s">
        <v>86</v>
      </c>
      <c r="B55" s="90">
        <v>137044.9058</v>
      </c>
      <c r="C55" s="196">
        <v>0.0</v>
      </c>
      <c r="D55" s="196">
        <v>0.0042</v>
      </c>
      <c r="E55" s="196">
        <v>5.762180134</v>
      </c>
      <c r="F55" s="90">
        <v>789677.4336666615</v>
      </c>
      <c r="G55" s="90">
        <v>0.0</v>
      </c>
    </row>
    <row r="56">
      <c r="A56" s="58" t="s">
        <v>114</v>
      </c>
      <c r="B56" s="90">
        <v>0.0</v>
      </c>
      <c r="C56" s="196">
        <v>0.0</v>
      </c>
      <c r="D56" s="58" t="s">
        <v>134</v>
      </c>
      <c r="E56" s="196">
        <v>0.4084922851</v>
      </c>
      <c r="F56" s="90">
        <v>0.0</v>
      </c>
      <c r="G56" s="90">
        <v>0.0</v>
      </c>
    </row>
    <row r="57">
      <c r="A57" s="58" t="s">
        <v>110</v>
      </c>
      <c r="B57" s="90">
        <v>0.0</v>
      </c>
      <c r="C57" s="196">
        <v>0.0</v>
      </c>
      <c r="D57" s="196">
        <v>0.0</v>
      </c>
      <c r="E57" s="196">
        <v>0.08548063118</v>
      </c>
      <c r="F57" s="90">
        <v>0.0</v>
      </c>
      <c r="G57" s="90">
        <v>0.0</v>
      </c>
    </row>
    <row r="58">
      <c r="A58" s="58" t="s">
        <v>475</v>
      </c>
      <c r="B58" s="90">
        <v>14686.66667</v>
      </c>
      <c r="C58" s="196">
        <v>0.0</v>
      </c>
      <c r="D58" s="58" t="s">
        <v>134</v>
      </c>
      <c r="E58" s="196">
        <v>1.000273384</v>
      </c>
      <c r="F58" s="90">
        <v>14690.681769680912</v>
      </c>
      <c r="G58" s="90">
        <v>0.0</v>
      </c>
    </row>
    <row r="59">
      <c r="A59" s="58" t="s">
        <v>78</v>
      </c>
      <c r="B59" s="90">
        <v>932.2745853</v>
      </c>
      <c r="C59" s="196">
        <v>0.0</v>
      </c>
      <c r="D59" s="196">
        <v>0.0526</v>
      </c>
      <c r="E59" s="196">
        <v>1806.139252</v>
      </c>
      <c r="F59" s="90">
        <v>1683817.722152352</v>
      </c>
      <c r="G59" s="90">
        <v>0.0</v>
      </c>
    </row>
    <row r="60">
      <c r="A60" s="58" t="s">
        <v>106</v>
      </c>
      <c r="B60" s="90">
        <v>0.0</v>
      </c>
      <c r="C60" s="196">
        <v>0.0</v>
      </c>
      <c r="D60" s="58" t="s">
        <v>134</v>
      </c>
      <c r="E60" s="196">
        <v>0.9224738405</v>
      </c>
      <c r="F60" s="90">
        <v>0.0</v>
      </c>
      <c r="G60" s="90">
        <v>0.0</v>
      </c>
    </row>
    <row r="61">
      <c r="A61" s="58" t="s">
        <v>244</v>
      </c>
      <c r="B61" s="90">
        <v>0.0</v>
      </c>
      <c r="C61" s="196">
        <v>0.0</v>
      </c>
      <c r="D61" s="58" t="s">
        <v>134</v>
      </c>
      <c r="E61" s="196">
        <v>0.146055</v>
      </c>
      <c r="F61" s="90">
        <v>0.0</v>
      </c>
      <c r="G61" s="90">
        <v>0.0</v>
      </c>
    </row>
    <row r="62">
      <c r="A62" s="58" t="s">
        <v>237</v>
      </c>
      <c r="B62" s="90">
        <v>0.0</v>
      </c>
      <c r="C62" s="196">
        <v>0.0</v>
      </c>
      <c r="D62" s="58" t="s">
        <v>134</v>
      </c>
      <c r="E62" s="196">
        <v>7.029018914</v>
      </c>
      <c r="F62" s="90">
        <v>0.0</v>
      </c>
      <c r="G62" s="90">
        <v>0.0</v>
      </c>
    </row>
    <row r="63">
      <c r="A63" s="58" t="s">
        <v>99</v>
      </c>
      <c r="B63" s="90">
        <v>0.0</v>
      </c>
      <c r="C63" s="196">
        <v>0.0</v>
      </c>
      <c r="D63" s="58" t="s">
        <v>134</v>
      </c>
      <c r="E63" s="196">
        <v>0.4805839748</v>
      </c>
      <c r="F63" s="196">
        <v>0.0</v>
      </c>
      <c r="G63" s="196">
        <v>0.0</v>
      </c>
    </row>
    <row r="64">
      <c r="A64" s="58" t="s">
        <v>116</v>
      </c>
      <c r="B64" s="90">
        <v>0.0</v>
      </c>
      <c r="C64" s="196">
        <v>0.0</v>
      </c>
      <c r="D64" s="58" t="s">
        <v>134</v>
      </c>
      <c r="E64" s="196">
        <v>144.3431868</v>
      </c>
      <c r="F64" s="90">
        <v>0.0</v>
      </c>
      <c r="G64" s="90">
        <v>0.0</v>
      </c>
    </row>
    <row r="65">
      <c r="A65" s="58" t="s">
        <v>464</v>
      </c>
      <c r="B65" s="90">
        <v>0.0</v>
      </c>
      <c r="C65" s="196">
        <v>0.0</v>
      </c>
      <c r="D65" s="196">
        <v>0.0</v>
      </c>
      <c r="E65" s="196">
        <v>0.0</v>
      </c>
      <c r="F65" s="90">
        <v>0.0</v>
      </c>
      <c r="G65" s="90">
        <v>0.0</v>
      </c>
    </row>
    <row r="66">
      <c r="A66" s="58" t="s">
        <v>465</v>
      </c>
      <c r="B66" s="90">
        <v>0.0</v>
      </c>
      <c r="C66" s="196">
        <v>0.0</v>
      </c>
      <c r="D66" s="58" t="s">
        <v>134</v>
      </c>
      <c r="E66" s="196">
        <v>0.2071167817</v>
      </c>
      <c r="F66" s="90">
        <v>0.0</v>
      </c>
      <c r="G66" s="90">
        <v>0.0</v>
      </c>
    </row>
    <row r="67">
      <c r="A67" s="58" t="s">
        <v>115</v>
      </c>
      <c r="B67" s="90">
        <v>0.0</v>
      </c>
      <c r="C67" s="196">
        <v>0.0</v>
      </c>
      <c r="D67" s="196">
        <v>0.0</v>
      </c>
      <c r="E67" s="196">
        <v>1.214643649</v>
      </c>
      <c r="F67" s="90">
        <v>0.0</v>
      </c>
      <c r="G67" s="90">
        <v>0.0</v>
      </c>
    </row>
    <row r="68">
      <c r="A68" s="58" t="s">
        <v>67</v>
      </c>
      <c r="B68" s="90">
        <v>143774.7819</v>
      </c>
      <c r="C68" s="196">
        <v>0.0</v>
      </c>
      <c r="D68" s="196">
        <v>0.1339</v>
      </c>
      <c r="E68" s="196">
        <v>4.960176782</v>
      </c>
      <c r="F68" s="196">
        <v>713148.3350174938</v>
      </c>
      <c r="G68" s="196">
        <v>0.0</v>
      </c>
    </row>
    <row r="69">
      <c r="A69" s="58" t="s">
        <v>209</v>
      </c>
      <c r="B69" s="90">
        <v>0.0</v>
      </c>
      <c r="C69" s="196">
        <v>0.0</v>
      </c>
      <c r="D69" s="58" t="s">
        <v>134</v>
      </c>
      <c r="E69" s="196">
        <v>175.6196177</v>
      </c>
      <c r="F69" s="90">
        <v>0.0</v>
      </c>
      <c r="G69" s="90">
        <v>0.0</v>
      </c>
    </row>
    <row r="70">
      <c r="A70" s="58" t="s">
        <v>466</v>
      </c>
      <c r="B70" s="90">
        <v>0.0</v>
      </c>
      <c r="C70" s="196">
        <v>0.0</v>
      </c>
      <c r="D70" s="58" t="s">
        <v>134</v>
      </c>
      <c r="E70" s="196">
        <v>0.0</v>
      </c>
      <c r="F70" s="90">
        <v>0.0</v>
      </c>
      <c r="G70" s="90">
        <v>0.0</v>
      </c>
    </row>
    <row r="71">
      <c r="A71" s="58" t="s">
        <v>58</v>
      </c>
      <c r="B71" s="90">
        <v>0.0</v>
      </c>
      <c r="C71" s="196">
        <v>1.802738322E8</v>
      </c>
      <c r="D71" s="58" t="s">
        <v>134</v>
      </c>
      <c r="E71" s="196">
        <v>3.325319692</v>
      </c>
      <c r="F71" s="90">
        <v>0.0</v>
      </c>
      <c r="G71" s="90">
        <v>5.994681241669636E8</v>
      </c>
    </row>
    <row r="72">
      <c r="A72" s="58" t="s">
        <v>476</v>
      </c>
      <c r="B72" s="90">
        <v>0.0</v>
      </c>
      <c r="C72" s="196">
        <v>0.0</v>
      </c>
      <c r="D72" s="58" t="s">
        <v>134</v>
      </c>
      <c r="E72" s="196">
        <v>0.995462</v>
      </c>
      <c r="F72" s="90">
        <v>0.0</v>
      </c>
      <c r="G72" s="90">
        <v>0.0</v>
      </c>
    </row>
    <row r="73">
      <c r="A73" s="58" t="s">
        <v>87</v>
      </c>
      <c r="B73" s="90">
        <v>17505.85668</v>
      </c>
      <c r="C73" s="196">
        <v>0.0</v>
      </c>
      <c r="D73" s="196">
        <v>0.0396</v>
      </c>
      <c r="E73" s="196">
        <v>5.23640161</v>
      </c>
      <c r="F73" s="90">
        <v>91667.69610358126</v>
      </c>
      <c r="G73" s="90">
        <v>0.0</v>
      </c>
    </row>
    <row r="74">
      <c r="A74" s="58" t="s">
        <v>85</v>
      </c>
      <c r="B74" s="90">
        <v>5441.436539</v>
      </c>
      <c r="C74" s="196">
        <v>0.0</v>
      </c>
      <c r="D74" s="58" t="s">
        <v>134</v>
      </c>
      <c r="E74" s="196">
        <v>0.7098</v>
      </c>
      <c r="F74" s="90">
        <v>3862.3316553822</v>
      </c>
      <c r="G74" s="90">
        <v>0.0</v>
      </c>
    </row>
    <row r="75">
      <c r="A75" s="58" t="s">
        <v>91</v>
      </c>
      <c r="B75" s="90">
        <v>0.0</v>
      </c>
      <c r="C75" s="196">
        <v>0.0</v>
      </c>
      <c r="D75" s="58" t="s">
        <v>134</v>
      </c>
      <c r="E75" s="196">
        <v>0.7738</v>
      </c>
      <c r="F75" s="90">
        <v>0.0</v>
      </c>
      <c r="G75" s="90">
        <v>0.0</v>
      </c>
    </row>
    <row r="76">
      <c r="A76" s="58" t="s">
        <v>84</v>
      </c>
      <c r="B76" s="90">
        <v>0.0</v>
      </c>
      <c r="C76" s="196">
        <v>0.0</v>
      </c>
      <c r="D76" s="58" t="s">
        <v>134</v>
      </c>
      <c r="E76" s="196">
        <v>1.3207</v>
      </c>
      <c r="F76" s="90">
        <v>0.0</v>
      </c>
      <c r="G76" s="90">
        <v>0.0</v>
      </c>
    </row>
    <row r="77">
      <c r="A77" s="58" t="s">
        <v>92</v>
      </c>
      <c r="B77" s="90">
        <v>0.0</v>
      </c>
      <c r="C77" s="196">
        <v>0.0</v>
      </c>
      <c r="D77" s="58" t="s">
        <v>134</v>
      </c>
      <c r="E77" s="196">
        <v>0.1282</v>
      </c>
      <c r="F77" s="90">
        <v>0.0</v>
      </c>
      <c r="G77" s="90">
        <v>0.0</v>
      </c>
    </row>
    <row r="78">
      <c r="A78" s="58" t="s">
        <v>246</v>
      </c>
      <c r="B78" s="90">
        <v>0.0</v>
      </c>
      <c r="C78" s="196">
        <v>0.0</v>
      </c>
      <c r="D78" s="58" t="s">
        <v>134</v>
      </c>
      <c r="E78" s="196">
        <v>0.341427</v>
      </c>
      <c r="F78" s="90">
        <v>0.0</v>
      </c>
      <c r="G78" s="90">
        <v>0.0</v>
      </c>
    </row>
    <row r="79">
      <c r="A79" s="58" t="s">
        <v>477</v>
      </c>
      <c r="B79" s="90">
        <v>162503.0</v>
      </c>
      <c r="C79" s="196">
        <v>0.0</v>
      </c>
      <c r="D79" s="58" t="s">
        <v>134</v>
      </c>
      <c r="E79" s="196">
        <v>0.99811</v>
      </c>
      <c r="F79" s="90">
        <v>162195.86933000002</v>
      </c>
      <c r="G79" s="90">
        <v>0.0</v>
      </c>
    </row>
    <row r="80">
      <c r="A80" s="58" t="s">
        <v>97</v>
      </c>
      <c r="B80" s="90">
        <v>8999.5267</v>
      </c>
      <c r="C80" s="196">
        <v>0.0</v>
      </c>
      <c r="D80" s="196">
        <v>0.0093</v>
      </c>
      <c r="E80" s="196">
        <v>8.569450724</v>
      </c>
      <c r="F80" s="90">
        <v>77121.00059497233</v>
      </c>
      <c r="G80" s="90">
        <v>0.0</v>
      </c>
    </row>
    <row r="81">
      <c r="A81" s="58" t="s">
        <v>69</v>
      </c>
      <c r="B81" s="90">
        <v>250074.5173</v>
      </c>
      <c r="C81" s="196">
        <v>0.0</v>
      </c>
      <c r="D81" s="59">
        <v>0.0228</v>
      </c>
      <c r="E81" s="196">
        <v>14.44022362</v>
      </c>
      <c r="F81" s="90">
        <v>3611131.9514755583</v>
      </c>
      <c r="G81" s="90">
        <v>0.0</v>
      </c>
    </row>
    <row r="82">
      <c r="A82" s="58" t="s">
        <v>323</v>
      </c>
      <c r="B82" s="90">
        <v>0.0</v>
      </c>
      <c r="C82" s="196">
        <v>250000.0</v>
      </c>
      <c r="D82" s="58" t="s">
        <v>134</v>
      </c>
      <c r="E82" s="196">
        <v>1.0</v>
      </c>
      <c r="F82" s="90">
        <v>0.0</v>
      </c>
      <c r="G82" s="90">
        <v>250000.0</v>
      </c>
    </row>
    <row r="83">
      <c r="A83" s="58" t="s">
        <v>478</v>
      </c>
      <c r="B83" s="90">
        <v>1833770.086</v>
      </c>
      <c r="C83" s="196">
        <v>1.290729816E8</v>
      </c>
      <c r="D83" s="58" t="s">
        <v>134</v>
      </c>
      <c r="E83" s="196">
        <v>1.001215616</v>
      </c>
      <c r="F83" s="196">
        <v>1835999.246256863</v>
      </c>
      <c r="G83" s="196">
        <v>1.2922988478160067E8</v>
      </c>
    </row>
    <row r="84">
      <c r="A84" s="58" t="s">
        <v>479</v>
      </c>
      <c r="B84" s="196">
        <v>194793.1515</v>
      </c>
      <c r="C84" s="196">
        <v>0.0</v>
      </c>
      <c r="D84" s="58" t="s">
        <v>134</v>
      </c>
      <c r="E84" s="196">
        <v>1.001801906</v>
      </c>
      <c r="F84" s="196">
        <v>195144.15044844677</v>
      </c>
      <c r="G84" s="196">
        <v>0.0</v>
      </c>
    </row>
    <row r="85">
      <c r="A85" s="58" t="s">
        <v>105</v>
      </c>
      <c r="B85" s="196">
        <v>0.0</v>
      </c>
      <c r="C85" s="196">
        <v>0.0</v>
      </c>
      <c r="D85" s="58" t="s">
        <v>134</v>
      </c>
      <c r="E85" s="196">
        <v>3.47</v>
      </c>
      <c r="F85" s="196">
        <v>0.0</v>
      </c>
      <c r="G85" s="196">
        <v>0.0</v>
      </c>
    </row>
    <row r="86">
      <c r="A86" s="58" t="s">
        <v>146</v>
      </c>
      <c r="B86" s="196">
        <v>5.346669474</v>
      </c>
      <c r="C86" s="196">
        <v>387.87</v>
      </c>
      <c r="D86" s="196">
        <v>0.0298</v>
      </c>
      <c r="E86" s="196">
        <v>46304.83329</v>
      </c>
      <c r="F86" s="196">
        <v>247576.638650302</v>
      </c>
      <c r="G86" s="196">
        <v>1.79602556881923E7</v>
      </c>
    </row>
    <row r="87">
      <c r="A87" s="58" t="s">
        <v>102</v>
      </c>
      <c r="B87" s="196">
        <v>0.0</v>
      </c>
      <c r="C87" s="196">
        <v>0.0</v>
      </c>
      <c r="D87" s="58" t="s">
        <v>134</v>
      </c>
      <c r="E87" s="196">
        <v>175.96</v>
      </c>
      <c r="F87" s="196">
        <v>0.0</v>
      </c>
      <c r="G87" s="196">
        <v>0.0</v>
      </c>
    </row>
    <row r="88">
      <c r="A88" s="58" t="s">
        <v>98</v>
      </c>
      <c r="B88" s="196">
        <v>0.08263452155</v>
      </c>
      <c r="C88" s="196">
        <v>0.0</v>
      </c>
      <c r="D88" s="196">
        <v>0.0554</v>
      </c>
      <c r="E88" s="196">
        <v>1801.374258</v>
      </c>
      <c r="F88" s="196">
        <v>148.85569994231628</v>
      </c>
      <c r="G88" s="196">
        <v>0.0</v>
      </c>
    </row>
    <row r="89">
      <c r="A89" s="58" t="s">
        <v>68</v>
      </c>
      <c r="B89" s="196">
        <v>1.342568476E7</v>
      </c>
      <c r="C89" s="196">
        <v>0.0</v>
      </c>
      <c r="D89" s="196">
        <v>0.0091</v>
      </c>
      <c r="E89" s="196">
        <v>0.270127</v>
      </c>
      <c r="F89" s="196">
        <v>3626639.94716452</v>
      </c>
      <c r="G89" s="196">
        <v>0.0</v>
      </c>
    </row>
    <row r="90">
      <c r="A90" s="58" t="s">
        <v>62</v>
      </c>
      <c r="B90" s="196">
        <v>7904396.138</v>
      </c>
      <c r="C90" s="196">
        <v>5.765456275E7</v>
      </c>
      <c r="D90" s="196">
        <v>0.0127</v>
      </c>
      <c r="E90" s="196">
        <v>0.8665334374</v>
      </c>
      <c r="F90" s="196">
        <v>6849423.556032425</v>
      </c>
      <c r="G90" s="196">
        <v>4.99596064415515E7</v>
      </c>
    </row>
    <row r="91">
      <c r="A91" s="58" t="s">
        <v>241</v>
      </c>
      <c r="B91" s="196">
        <v>23365.20162</v>
      </c>
      <c r="C91" s="196">
        <v>0.0</v>
      </c>
      <c r="D91" s="58" t="s">
        <v>134</v>
      </c>
      <c r="E91" s="196">
        <v>4.033459355</v>
      </c>
      <c r="F91" s="196">
        <v>94242.59105565015</v>
      </c>
      <c r="G91" s="196">
        <v>0.0</v>
      </c>
    </row>
    <row r="92">
      <c r="A92" s="58" t="s">
        <v>96</v>
      </c>
      <c r="B92" s="196">
        <v>0.0</v>
      </c>
      <c r="C92" s="196">
        <v>0.0</v>
      </c>
      <c r="D92" s="58" t="s">
        <v>134</v>
      </c>
      <c r="E92" s="196">
        <v>35357.36619</v>
      </c>
      <c r="F92" s="196">
        <v>0.0</v>
      </c>
      <c r="G92" s="196">
        <v>0.0</v>
      </c>
    </row>
    <row r="93">
      <c r="A93" s="58" t="s">
        <v>248</v>
      </c>
      <c r="B93" s="196">
        <v>0.0</v>
      </c>
      <c r="C93" s="196">
        <v>0.0</v>
      </c>
      <c r="D93" s="58" t="s">
        <v>134</v>
      </c>
      <c r="E93" s="196">
        <v>208.14</v>
      </c>
      <c r="F93" s="196">
        <v>0.0</v>
      </c>
      <c r="G93" s="196">
        <v>0.0</v>
      </c>
    </row>
    <row r="94">
      <c r="A94" s="58" t="s">
        <v>257</v>
      </c>
      <c r="B94" s="196">
        <v>0.0</v>
      </c>
      <c r="C94" s="196">
        <v>0.0</v>
      </c>
      <c r="D94" s="58" t="s">
        <v>134</v>
      </c>
      <c r="E94" s="196">
        <v>2.38</v>
      </c>
      <c r="F94" s="196">
        <v>0.0</v>
      </c>
      <c r="G94" s="196">
        <v>0.0</v>
      </c>
    </row>
    <row r="95">
      <c r="A95" s="58" t="s">
        <v>75</v>
      </c>
      <c r="B95" s="196">
        <v>31051.87597</v>
      </c>
      <c r="C95" s="196">
        <v>0.0</v>
      </c>
      <c r="D95" s="59">
        <v>0.0155</v>
      </c>
      <c r="E95" s="196">
        <v>159.5050466</v>
      </c>
      <c r="F95" s="196">
        <v>4952930.92361227</v>
      </c>
      <c r="G95" s="196">
        <v>0.0</v>
      </c>
    </row>
    <row r="96">
      <c r="A96" s="58" t="s">
        <v>80</v>
      </c>
      <c r="B96" s="196">
        <v>729815.9614</v>
      </c>
      <c r="C96" s="196">
        <v>0.0</v>
      </c>
      <c r="D96" s="196">
        <v>0.0169</v>
      </c>
      <c r="E96" s="196">
        <v>0.7482698139</v>
      </c>
      <c r="F96" s="196">
        <v>546099.2536180277</v>
      </c>
      <c r="G96" s="196">
        <v>0.0</v>
      </c>
    </row>
    <row r="97">
      <c r="A97" s="58" t="s">
        <v>480</v>
      </c>
      <c r="B97" s="196">
        <v>0.0</v>
      </c>
      <c r="C97" s="196">
        <v>0.0</v>
      </c>
      <c r="D97" s="58" t="s">
        <v>134</v>
      </c>
      <c r="E97" s="196">
        <v>0.999594</v>
      </c>
      <c r="F97" s="196">
        <v>0.0</v>
      </c>
      <c r="G97" s="196">
        <v>0.0</v>
      </c>
    </row>
    <row r="98">
      <c r="D98" s="39"/>
    </row>
    <row r="99">
      <c r="D99" s="39"/>
    </row>
    <row r="100">
      <c r="D100" s="39"/>
    </row>
    <row r="101">
      <c r="D101" s="39"/>
    </row>
    <row r="102">
      <c r="D102" s="39"/>
    </row>
    <row r="103">
      <c r="D103" s="39"/>
    </row>
    <row r="104">
      <c r="D104" s="39"/>
    </row>
    <row r="105">
      <c r="D105" s="39"/>
    </row>
    <row r="106">
      <c r="D106" s="39"/>
    </row>
    <row r="107">
      <c r="D107" s="39"/>
    </row>
    <row r="108">
      <c r="D108" s="39"/>
    </row>
    <row r="109">
      <c r="D109" s="39"/>
    </row>
    <row r="110">
      <c r="D110" s="39"/>
    </row>
    <row r="111">
      <c r="D111" s="39"/>
    </row>
    <row r="112">
      <c r="D112" s="39"/>
    </row>
    <row r="113">
      <c r="D113" s="39"/>
    </row>
    <row r="114">
      <c r="D114" s="39"/>
    </row>
    <row r="115">
      <c r="D115" s="39"/>
    </row>
    <row r="116">
      <c r="D116" s="39"/>
    </row>
    <row r="117">
      <c r="D117" s="39"/>
    </row>
    <row r="118">
      <c r="D118" s="39"/>
    </row>
    <row r="119">
      <c r="D119" s="39"/>
    </row>
    <row r="120">
      <c r="D120" s="39"/>
    </row>
    <row r="121">
      <c r="D121" s="39"/>
    </row>
    <row r="122">
      <c r="D122" s="39"/>
    </row>
    <row r="123">
      <c r="D123" s="39"/>
    </row>
    <row r="124">
      <c r="D124" s="39"/>
    </row>
    <row r="125">
      <c r="D125" s="39"/>
    </row>
    <row r="126">
      <c r="D126" s="39"/>
    </row>
    <row r="127">
      <c r="D127" s="39"/>
    </row>
    <row r="128">
      <c r="D128" s="39"/>
    </row>
    <row r="129">
      <c r="D129" s="39"/>
    </row>
    <row r="130">
      <c r="D130" s="39"/>
    </row>
    <row r="131">
      <c r="D131" s="39"/>
    </row>
    <row r="132">
      <c r="D132" s="39"/>
    </row>
    <row r="133">
      <c r="D133" s="39"/>
    </row>
    <row r="134">
      <c r="D134" s="39"/>
    </row>
    <row r="135">
      <c r="D135" s="39"/>
    </row>
    <row r="136">
      <c r="D136" s="39"/>
    </row>
    <row r="137">
      <c r="D137" s="39"/>
    </row>
    <row r="138">
      <c r="D138" s="39"/>
    </row>
    <row r="139">
      <c r="D139" s="39"/>
    </row>
    <row r="140">
      <c r="D140" s="39"/>
    </row>
    <row r="141">
      <c r="D141" s="39"/>
    </row>
    <row r="142">
      <c r="D142" s="39"/>
    </row>
    <row r="143">
      <c r="D143" s="39"/>
    </row>
    <row r="144">
      <c r="D144" s="39"/>
    </row>
    <row r="145">
      <c r="D145" s="39"/>
    </row>
    <row r="146">
      <c r="D146" s="39"/>
    </row>
    <row r="147">
      <c r="D147" s="39"/>
    </row>
    <row r="148">
      <c r="D148" s="39"/>
    </row>
    <row r="149">
      <c r="D149" s="39"/>
    </row>
    <row r="150">
      <c r="D150" s="39"/>
    </row>
    <row r="151">
      <c r="D151" s="39"/>
    </row>
    <row r="152">
      <c r="D152" s="39"/>
    </row>
    <row r="153">
      <c r="D153" s="39"/>
    </row>
    <row r="154">
      <c r="D154" s="39"/>
    </row>
    <row r="155">
      <c r="D155" s="39"/>
    </row>
    <row r="156">
      <c r="D156" s="39"/>
    </row>
    <row r="157">
      <c r="D157" s="39"/>
    </row>
    <row r="158">
      <c r="D158" s="39"/>
    </row>
    <row r="159">
      <c r="D159" s="39"/>
    </row>
    <row r="160">
      <c r="D160" s="39"/>
    </row>
    <row r="161">
      <c r="D161" s="39"/>
    </row>
    <row r="162">
      <c r="D162" s="39"/>
    </row>
    <row r="163">
      <c r="D163" s="39"/>
    </row>
    <row r="164">
      <c r="D164" s="39"/>
    </row>
    <row r="165">
      <c r="D165" s="39"/>
    </row>
    <row r="166">
      <c r="D166" s="39"/>
    </row>
    <row r="167">
      <c r="D167" s="39"/>
    </row>
    <row r="168">
      <c r="D168" s="39"/>
    </row>
    <row r="169">
      <c r="D169" s="39"/>
    </row>
    <row r="170">
      <c r="D170" s="39"/>
    </row>
    <row r="171">
      <c r="D171" s="39"/>
    </row>
    <row r="172">
      <c r="D172" s="39"/>
    </row>
    <row r="173">
      <c r="D173" s="39"/>
    </row>
    <row r="174">
      <c r="D174" s="39"/>
    </row>
    <row r="175">
      <c r="D175" s="39"/>
    </row>
    <row r="176">
      <c r="D176" s="39"/>
    </row>
    <row r="177">
      <c r="D177" s="39"/>
    </row>
    <row r="178">
      <c r="D178" s="39"/>
    </row>
    <row r="179">
      <c r="D179" s="39"/>
    </row>
    <row r="180">
      <c r="D180" s="39"/>
    </row>
    <row r="181">
      <c r="D181" s="39"/>
    </row>
    <row r="182">
      <c r="D182" s="39"/>
    </row>
    <row r="183">
      <c r="D183" s="39"/>
    </row>
    <row r="184">
      <c r="D184" s="39"/>
    </row>
    <row r="185">
      <c r="D185" s="39"/>
    </row>
    <row r="186">
      <c r="D186" s="39"/>
    </row>
    <row r="187">
      <c r="D187" s="39"/>
    </row>
    <row r="188">
      <c r="D188" s="39"/>
    </row>
    <row r="189">
      <c r="D189" s="39"/>
    </row>
    <row r="190">
      <c r="D190" s="39"/>
    </row>
    <row r="191">
      <c r="D191" s="39"/>
    </row>
    <row r="192">
      <c r="D192" s="39"/>
    </row>
    <row r="193">
      <c r="D193" s="39"/>
    </row>
    <row r="194">
      <c r="D194" s="39"/>
    </row>
    <row r="195">
      <c r="D195" s="39"/>
    </row>
    <row r="196">
      <c r="D196" s="39"/>
    </row>
    <row r="197">
      <c r="D197" s="39"/>
    </row>
    <row r="198">
      <c r="D198" s="39"/>
    </row>
    <row r="199">
      <c r="D199" s="39"/>
    </row>
    <row r="200">
      <c r="D200" s="39"/>
    </row>
    <row r="201">
      <c r="D201" s="39"/>
    </row>
    <row r="202">
      <c r="D202" s="39"/>
    </row>
    <row r="203">
      <c r="D203" s="39"/>
    </row>
    <row r="204">
      <c r="D204" s="39"/>
    </row>
    <row r="205">
      <c r="D205" s="39"/>
    </row>
    <row r="206">
      <c r="D206" s="39"/>
    </row>
    <row r="207">
      <c r="D207" s="39"/>
    </row>
    <row r="208">
      <c r="D208" s="39"/>
    </row>
    <row r="209">
      <c r="D209" s="39"/>
    </row>
    <row r="210">
      <c r="D210" s="39"/>
    </row>
    <row r="211">
      <c r="D211" s="39"/>
    </row>
    <row r="212">
      <c r="D212" s="39"/>
    </row>
    <row r="213">
      <c r="D213" s="39"/>
    </row>
    <row r="214">
      <c r="D214" s="39"/>
    </row>
    <row r="215">
      <c r="D215" s="39"/>
    </row>
    <row r="216">
      <c r="D216" s="39"/>
    </row>
    <row r="217">
      <c r="D217" s="39"/>
    </row>
    <row r="218">
      <c r="D218" s="39"/>
    </row>
    <row r="219">
      <c r="D219" s="39"/>
    </row>
    <row r="220">
      <c r="D220" s="39"/>
    </row>
    <row r="221">
      <c r="D221" s="39"/>
    </row>
    <row r="222">
      <c r="D222" s="39"/>
    </row>
    <row r="223">
      <c r="D223" s="39"/>
    </row>
    <row r="224">
      <c r="D224" s="39"/>
    </row>
    <row r="225">
      <c r="D225" s="39"/>
    </row>
    <row r="226">
      <c r="D226" s="39"/>
    </row>
    <row r="227">
      <c r="D227" s="39"/>
    </row>
    <row r="228">
      <c r="D228" s="39"/>
    </row>
    <row r="229">
      <c r="D229" s="39"/>
    </row>
    <row r="230">
      <c r="D230" s="39"/>
    </row>
    <row r="231">
      <c r="D231" s="39"/>
    </row>
    <row r="232">
      <c r="D232" s="39"/>
    </row>
    <row r="233">
      <c r="D233" s="39"/>
    </row>
    <row r="234">
      <c r="D234" s="39"/>
    </row>
    <row r="235">
      <c r="D235" s="39"/>
    </row>
    <row r="236">
      <c r="D236" s="39"/>
    </row>
    <row r="237">
      <c r="D237" s="39"/>
    </row>
    <row r="238">
      <c r="D238" s="39"/>
    </row>
    <row r="239">
      <c r="D239" s="39"/>
    </row>
    <row r="240">
      <c r="D240" s="39"/>
    </row>
    <row r="241">
      <c r="D241" s="39"/>
    </row>
    <row r="242">
      <c r="D242" s="39"/>
    </row>
    <row r="243">
      <c r="D243" s="39"/>
    </row>
    <row r="244">
      <c r="D244" s="39"/>
    </row>
    <row r="245">
      <c r="D245" s="39"/>
    </row>
    <row r="246">
      <c r="D246" s="39"/>
    </row>
    <row r="247">
      <c r="D247" s="39"/>
    </row>
    <row r="248">
      <c r="D248" s="39"/>
    </row>
    <row r="249">
      <c r="D249" s="39"/>
    </row>
    <row r="250">
      <c r="D250" s="39"/>
    </row>
    <row r="251">
      <c r="D251" s="39"/>
    </row>
    <row r="252">
      <c r="D252" s="39"/>
    </row>
    <row r="253">
      <c r="D253" s="39"/>
    </row>
    <row r="254">
      <c r="D254" s="39"/>
    </row>
    <row r="255">
      <c r="D255" s="39"/>
    </row>
    <row r="256">
      <c r="D256" s="39"/>
    </row>
    <row r="257">
      <c r="D257" s="39"/>
    </row>
    <row r="258">
      <c r="D258" s="39"/>
    </row>
    <row r="259">
      <c r="D259" s="39"/>
    </row>
    <row r="260">
      <c r="D260" s="39"/>
    </row>
    <row r="261">
      <c r="D261" s="39"/>
    </row>
    <row r="262">
      <c r="D262" s="39"/>
    </row>
    <row r="263">
      <c r="D263" s="39"/>
    </row>
    <row r="264">
      <c r="D264" s="39"/>
    </row>
    <row r="265">
      <c r="D265" s="39"/>
    </row>
    <row r="266">
      <c r="D266" s="39"/>
    </row>
    <row r="267">
      <c r="D267" s="39"/>
    </row>
    <row r="268">
      <c r="D268" s="39"/>
    </row>
    <row r="269">
      <c r="D269" s="39"/>
    </row>
    <row r="270">
      <c r="D270" s="39"/>
    </row>
    <row r="271">
      <c r="D271" s="39"/>
    </row>
    <row r="272">
      <c r="D272" s="39"/>
    </row>
    <row r="273">
      <c r="D273" s="39"/>
    </row>
    <row r="274">
      <c r="D274" s="39"/>
    </row>
    <row r="275">
      <c r="D275" s="39"/>
    </row>
    <row r="276">
      <c r="D276" s="39"/>
    </row>
    <row r="277">
      <c r="D277" s="39"/>
    </row>
    <row r="278">
      <c r="D278" s="39"/>
    </row>
    <row r="279">
      <c r="D279" s="39"/>
    </row>
    <row r="280">
      <c r="D280" s="39"/>
    </row>
    <row r="281">
      <c r="D281" s="39"/>
    </row>
    <row r="282">
      <c r="D282" s="39"/>
    </row>
    <row r="283">
      <c r="D283" s="39"/>
    </row>
    <row r="284">
      <c r="D284" s="39"/>
    </row>
    <row r="285">
      <c r="D285" s="39"/>
    </row>
    <row r="286">
      <c r="D286" s="39"/>
    </row>
    <row r="287">
      <c r="D287" s="39"/>
    </row>
    <row r="288">
      <c r="D288" s="39"/>
    </row>
    <row r="289">
      <c r="D289" s="39"/>
    </row>
    <row r="290">
      <c r="D290" s="39"/>
    </row>
    <row r="291">
      <c r="D291" s="39"/>
    </row>
    <row r="292">
      <c r="D292" s="39"/>
    </row>
    <row r="293">
      <c r="D293" s="39"/>
    </row>
    <row r="294">
      <c r="D294" s="39"/>
    </row>
    <row r="295">
      <c r="D295" s="39"/>
    </row>
    <row r="296">
      <c r="D296" s="39"/>
    </row>
    <row r="297">
      <c r="D297" s="39"/>
    </row>
    <row r="298">
      <c r="D298" s="39"/>
    </row>
    <row r="299">
      <c r="D299" s="39"/>
    </row>
    <row r="300">
      <c r="D300" s="39"/>
    </row>
    <row r="301">
      <c r="D301" s="39"/>
    </row>
    <row r="302">
      <c r="D302" s="39"/>
    </row>
    <row r="303">
      <c r="D303" s="39"/>
    </row>
    <row r="304">
      <c r="D304" s="39"/>
    </row>
    <row r="305">
      <c r="D305" s="39"/>
    </row>
    <row r="306">
      <c r="D306" s="39"/>
    </row>
    <row r="307">
      <c r="D307" s="39"/>
    </row>
    <row r="308">
      <c r="D308" s="39"/>
    </row>
    <row r="309">
      <c r="D309" s="39"/>
    </row>
    <row r="310">
      <c r="D310" s="39"/>
    </row>
    <row r="311">
      <c r="D311" s="39"/>
    </row>
    <row r="312">
      <c r="D312" s="39"/>
    </row>
    <row r="313">
      <c r="D313" s="39"/>
    </row>
    <row r="314">
      <c r="D314" s="39"/>
    </row>
    <row r="315">
      <c r="D315" s="39"/>
    </row>
    <row r="316">
      <c r="D316" s="39"/>
    </row>
    <row r="317">
      <c r="D317" s="39"/>
    </row>
    <row r="318">
      <c r="D318" s="39"/>
    </row>
    <row r="319">
      <c r="D319" s="39"/>
    </row>
    <row r="320">
      <c r="D320" s="39"/>
    </row>
    <row r="321">
      <c r="D321" s="39"/>
    </row>
    <row r="322">
      <c r="D322" s="39"/>
    </row>
    <row r="323">
      <c r="D323" s="39"/>
    </row>
    <row r="324">
      <c r="D324" s="39"/>
    </row>
    <row r="325">
      <c r="D325" s="39"/>
    </row>
    <row r="326">
      <c r="D326" s="39"/>
    </row>
    <row r="327">
      <c r="D327" s="39"/>
    </row>
    <row r="328">
      <c r="D328" s="39"/>
    </row>
    <row r="329">
      <c r="D329" s="39"/>
    </row>
    <row r="330">
      <c r="D330" s="39"/>
    </row>
    <row r="331">
      <c r="D331" s="39"/>
    </row>
    <row r="332">
      <c r="D332" s="39"/>
    </row>
    <row r="333">
      <c r="D333" s="39"/>
    </row>
    <row r="334">
      <c r="D334" s="39"/>
    </row>
    <row r="335">
      <c r="D335" s="39"/>
    </row>
    <row r="336">
      <c r="D336" s="39"/>
    </row>
    <row r="337">
      <c r="D337" s="39"/>
    </row>
    <row r="338">
      <c r="D338" s="39"/>
    </row>
    <row r="339">
      <c r="D339" s="39"/>
    </row>
    <row r="340">
      <c r="D340" s="39"/>
    </row>
    <row r="341">
      <c r="D341" s="39"/>
    </row>
    <row r="342">
      <c r="D342" s="39"/>
    </row>
    <row r="343">
      <c r="D343" s="39"/>
    </row>
    <row r="344">
      <c r="D344" s="39"/>
    </row>
    <row r="345">
      <c r="D345" s="39"/>
    </row>
    <row r="346">
      <c r="D346" s="39"/>
    </row>
    <row r="347">
      <c r="D347" s="39"/>
    </row>
    <row r="348">
      <c r="D348" s="39"/>
    </row>
    <row r="349">
      <c r="D349" s="39"/>
    </row>
    <row r="350">
      <c r="D350" s="39"/>
    </row>
    <row r="351">
      <c r="D351" s="39"/>
    </row>
    <row r="352">
      <c r="D352" s="39"/>
    </row>
    <row r="353">
      <c r="D353" s="39"/>
    </row>
    <row r="354">
      <c r="D354" s="39"/>
    </row>
    <row r="355">
      <c r="D355" s="39"/>
    </row>
    <row r="356">
      <c r="D356" s="39"/>
    </row>
    <row r="357">
      <c r="D357" s="39"/>
    </row>
    <row r="358">
      <c r="D358" s="39"/>
    </row>
    <row r="359">
      <c r="D359" s="39"/>
    </row>
    <row r="360">
      <c r="D360" s="39"/>
    </row>
    <row r="361">
      <c r="D361" s="39"/>
    </row>
    <row r="362">
      <c r="D362" s="39"/>
    </row>
    <row r="363">
      <c r="D363" s="39"/>
    </row>
    <row r="364">
      <c r="D364" s="39"/>
    </row>
    <row r="365">
      <c r="D365" s="39"/>
    </row>
    <row r="366">
      <c r="D366" s="39"/>
    </row>
    <row r="367">
      <c r="D367" s="39"/>
    </row>
    <row r="368">
      <c r="D368" s="39"/>
    </row>
    <row r="369">
      <c r="D369" s="39"/>
    </row>
    <row r="370">
      <c r="D370" s="39"/>
    </row>
    <row r="371">
      <c r="D371" s="39"/>
    </row>
    <row r="372">
      <c r="D372" s="39"/>
    </row>
    <row r="373">
      <c r="D373" s="39"/>
    </row>
    <row r="374">
      <c r="D374" s="39"/>
    </row>
    <row r="375">
      <c r="D375" s="39"/>
    </row>
    <row r="376">
      <c r="D376" s="39"/>
    </row>
    <row r="377">
      <c r="D377" s="39"/>
    </row>
    <row r="378">
      <c r="D378" s="39"/>
    </row>
    <row r="379">
      <c r="D379" s="39"/>
    </row>
    <row r="380">
      <c r="D380" s="39"/>
    </row>
    <row r="381">
      <c r="D381" s="39"/>
    </row>
    <row r="382">
      <c r="D382" s="39"/>
    </row>
    <row r="383">
      <c r="D383" s="39"/>
    </row>
    <row r="384">
      <c r="D384" s="39"/>
    </row>
    <row r="385">
      <c r="D385" s="39"/>
    </row>
    <row r="386">
      <c r="D386" s="39"/>
    </row>
    <row r="387">
      <c r="D387" s="39"/>
    </row>
    <row r="388">
      <c r="D388" s="39"/>
    </row>
    <row r="389">
      <c r="D389" s="39"/>
    </row>
    <row r="390">
      <c r="D390" s="39"/>
    </row>
    <row r="391">
      <c r="D391" s="39"/>
    </row>
    <row r="392">
      <c r="D392" s="39"/>
    </row>
    <row r="393">
      <c r="D393" s="39"/>
    </row>
    <row r="394">
      <c r="D394" s="39"/>
    </row>
    <row r="395">
      <c r="D395" s="39"/>
    </row>
    <row r="396">
      <c r="D396" s="39"/>
    </row>
    <row r="397">
      <c r="D397" s="39"/>
    </row>
    <row r="398">
      <c r="D398" s="39"/>
    </row>
    <row r="399">
      <c r="D399" s="39"/>
    </row>
    <row r="400">
      <c r="D400" s="39"/>
    </row>
    <row r="401">
      <c r="D401" s="39"/>
    </row>
    <row r="402">
      <c r="D402" s="39"/>
    </row>
    <row r="403">
      <c r="D403" s="39"/>
    </row>
    <row r="404">
      <c r="D404" s="39"/>
    </row>
    <row r="405">
      <c r="D405" s="39"/>
    </row>
    <row r="406">
      <c r="D406" s="39"/>
    </row>
    <row r="407">
      <c r="D407" s="39"/>
    </row>
    <row r="408">
      <c r="D408" s="39"/>
    </row>
    <row r="409">
      <c r="D409" s="39"/>
    </row>
    <row r="410">
      <c r="D410" s="39"/>
    </row>
    <row r="411">
      <c r="D411" s="39"/>
    </row>
    <row r="412">
      <c r="D412" s="39"/>
    </row>
    <row r="413">
      <c r="D413" s="39"/>
    </row>
    <row r="414">
      <c r="D414" s="39"/>
    </row>
    <row r="415">
      <c r="D415" s="39"/>
    </row>
    <row r="416">
      <c r="D416" s="39"/>
    </row>
    <row r="417">
      <c r="D417" s="39"/>
    </row>
    <row r="418">
      <c r="D418" s="39"/>
    </row>
    <row r="419">
      <c r="D419" s="39"/>
    </row>
    <row r="420">
      <c r="D420" s="39"/>
    </row>
    <row r="421">
      <c r="D421" s="39"/>
    </row>
    <row r="422">
      <c r="D422" s="39"/>
    </row>
    <row r="423">
      <c r="D423" s="39"/>
    </row>
    <row r="424">
      <c r="D424" s="39"/>
    </row>
    <row r="425">
      <c r="D425" s="39"/>
    </row>
    <row r="426">
      <c r="D426" s="39"/>
    </row>
    <row r="427">
      <c r="D427" s="39"/>
    </row>
    <row r="428">
      <c r="D428" s="39"/>
    </row>
    <row r="429">
      <c r="D429" s="39"/>
    </row>
    <row r="430">
      <c r="D430" s="39"/>
    </row>
    <row r="431">
      <c r="D431" s="39"/>
    </row>
    <row r="432">
      <c r="D432" s="39"/>
    </row>
    <row r="433">
      <c r="D433" s="39"/>
    </row>
    <row r="434">
      <c r="D434" s="39"/>
    </row>
    <row r="435">
      <c r="D435" s="39"/>
    </row>
    <row r="436">
      <c r="D436" s="39"/>
    </row>
    <row r="437">
      <c r="D437" s="39"/>
    </row>
    <row r="438">
      <c r="D438" s="39"/>
    </row>
    <row r="439">
      <c r="D439" s="39"/>
    </row>
    <row r="440">
      <c r="D440" s="39"/>
    </row>
    <row r="441">
      <c r="D441" s="39"/>
    </row>
    <row r="442">
      <c r="D442" s="39"/>
    </row>
    <row r="443">
      <c r="D443" s="39"/>
    </row>
    <row r="444">
      <c r="D444" s="39"/>
    </row>
    <row r="445">
      <c r="D445" s="39"/>
    </row>
    <row r="446">
      <c r="D446" s="39"/>
    </row>
    <row r="447">
      <c r="D447" s="39"/>
    </row>
    <row r="448">
      <c r="D448" s="39"/>
    </row>
    <row r="449">
      <c r="D449" s="39"/>
    </row>
    <row r="450">
      <c r="D450" s="39"/>
    </row>
    <row r="451">
      <c r="D451" s="39"/>
    </row>
    <row r="452">
      <c r="D452" s="39"/>
    </row>
    <row r="453">
      <c r="D453" s="39"/>
    </row>
    <row r="454">
      <c r="D454" s="39"/>
    </row>
    <row r="455">
      <c r="D455" s="39"/>
    </row>
    <row r="456">
      <c r="D456" s="39"/>
    </row>
    <row r="457">
      <c r="D457" s="39"/>
    </row>
    <row r="458">
      <c r="D458" s="39"/>
    </row>
    <row r="459">
      <c r="D459" s="39"/>
    </row>
    <row r="460">
      <c r="D460" s="39"/>
    </row>
    <row r="461">
      <c r="D461" s="39"/>
    </row>
    <row r="462">
      <c r="D462" s="39"/>
    </row>
    <row r="463">
      <c r="D463" s="39"/>
    </row>
    <row r="464">
      <c r="D464" s="39"/>
    </row>
    <row r="465">
      <c r="D465" s="39"/>
    </row>
    <row r="466">
      <c r="D466" s="39"/>
    </row>
    <row r="467">
      <c r="D467" s="39"/>
    </row>
    <row r="468">
      <c r="D468" s="39"/>
    </row>
    <row r="469">
      <c r="D469" s="39"/>
    </row>
    <row r="470">
      <c r="D470" s="39"/>
    </row>
    <row r="471">
      <c r="D471" s="39"/>
    </row>
    <row r="472">
      <c r="D472" s="39"/>
    </row>
    <row r="473">
      <c r="D473" s="39"/>
    </row>
    <row r="474">
      <c r="D474" s="39"/>
    </row>
    <row r="475">
      <c r="D475" s="39"/>
    </row>
    <row r="476">
      <c r="D476" s="39"/>
    </row>
    <row r="477">
      <c r="D477" s="39"/>
    </row>
    <row r="478">
      <c r="D478" s="39"/>
    </row>
    <row r="479">
      <c r="D479" s="39"/>
    </row>
    <row r="480">
      <c r="D480" s="39"/>
    </row>
    <row r="481">
      <c r="D481" s="39"/>
    </row>
    <row r="482">
      <c r="D482" s="39"/>
    </row>
    <row r="483">
      <c r="D483" s="39"/>
    </row>
    <row r="484">
      <c r="D484" s="39"/>
    </row>
    <row r="485">
      <c r="D485" s="39"/>
    </row>
    <row r="486">
      <c r="D486" s="39"/>
    </row>
    <row r="487">
      <c r="D487" s="39"/>
    </row>
    <row r="488">
      <c r="D488" s="39"/>
    </row>
    <row r="489">
      <c r="D489" s="39"/>
    </row>
    <row r="490">
      <c r="D490" s="39"/>
    </row>
    <row r="491">
      <c r="D491" s="39"/>
    </row>
    <row r="492">
      <c r="D492" s="39"/>
    </row>
    <row r="493">
      <c r="D493" s="39"/>
    </row>
    <row r="494">
      <c r="D494" s="39"/>
    </row>
    <row r="495">
      <c r="D495" s="39"/>
    </row>
    <row r="496">
      <c r="D496" s="39"/>
    </row>
    <row r="497">
      <c r="D497" s="39"/>
    </row>
    <row r="498">
      <c r="D498" s="39"/>
    </row>
    <row r="499">
      <c r="D499" s="39"/>
    </row>
    <row r="500">
      <c r="D500" s="39"/>
    </row>
    <row r="501">
      <c r="D501" s="39"/>
    </row>
    <row r="502">
      <c r="D502" s="39"/>
    </row>
    <row r="503">
      <c r="D503" s="39"/>
    </row>
    <row r="504">
      <c r="D504" s="39"/>
    </row>
    <row r="505">
      <c r="D505" s="39"/>
    </row>
    <row r="506">
      <c r="D506" s="39"/>
    </row>
    <row r="507">
      <c r="D507" s="39"/>
    </row>
    <row r="508">
      <c r="D508" s="39"/>
    </row>
    <row r="509">
      <c r="D509" s="39"/>
    </row>
    <row r="510">
      <c r="D510" s="39"/>
    </row>
    <row r="511">
      <c r="D511" s="39"/>
    </row>
    <row r="512">
      <c r="D512" s="39"/>
    </row>
    <row r="513">
      <c r="D513" s="39"/>
    </row>
    <row r="514">
      <c r="D514" s="39"/>
    </row>
    <row r="515">
      <c r="D515" s="39"/>
    </row>
    <row r="516">
      <c r="D516" s="39"/>
    </row>
    <row r="517">
      <c r="D517" s="39"/>
    </row>
    <row r="518">
      <c r="D518" s="39"/>
    </row>
    <row r="519">
      <c r="D519" s="39"/>
    </row>
    <row r="520">
      <c r="D520" s="39"/>
    </row>
    <row r="521">
      <c r="D521" s="39"/>
    </row>
    <row r="522">
      <c r="D522" s="39"/>
    </row>
    <row r="523">
      <c r="D523" s="39"/>
    </row>
    <row r="524">
      <c r="D524" s="39"/>
    </row>
    <row r="525">
      <c r="D525" s="39"/>
    </row>
    <row r="526">
      <c r="D526" s="39"/>
    </row>
    <row r="527">
      <c r="D527" s="39"/>
    </row>
    <row r="528">
      <c r="D528" s="39"/>
    </row>
    <row r="529">
      <c r="D529" s="39"/>
    </row>
    <row r="530">
      <c r="D530" s="39"/>
    </row>
    <row r="531">
      <c r="D531" s="39"/>
    </row>
    <row r="532">
      <c r="D532" s="39"/>
    </row>
    <row r="533">
      <c r="D533" s="39"/>
    </row>
    <row r="534">
      <c r="D534" s="39"/>
    </row>
    <row r="535">
      <c r="D535" s="39"/>
    </row>
    <row r="536">
      <c r="D536" s="39"/>
    </row>
    <row r="537">
      <c r="D537" s="39"/>
    </row>
    <row r="538">
      <c r="D538" s="39"/>
    </row>
    <row r="539">
      <c r="D539" s="39"/>
    </row>
    <row r="540">
      <c r="D540" s="39"/>
    </row>
    <row r="541">
      <c r="D541" s="39"/>
    </row>
    <row r="542">
      <c r="D542" s="39"/>
    </row>
    <row r="543">
      <c r="D543" s="39"/>
    </row>
    <row r="544">
      <c r="D544" s="39"/>
    </row>
    <row r="545">
      <c r="D545" s="39"/>
    </row>
    <row r="546">
      <c r="D546" s="39"/>
    </row>
    <row r="547">
      <c r="D547" s="39"/>
    </row>
    <row r="548">
      <c r="D548" s="39"/>
    </row>
    <row r="549">
      <c r="D549" s="39"/>
    </row>
    <row r="550">
      <c r="D550" s="39"/>
    </row>
    <row r="551">
      <c r="D551" s="39"/>
    </row>
    <row r="552">
      <c r="D552" s="39"/>
    </row>
    <row r="553">
      <c r="D553" s="39"/>
    </row>
    <row r="554">
      <c r="D554" s="39"/>
    </row>
    <row r="555">
      <c r="D555" s="39"/>
    </row>
    <row r="556">
      <c r="D556" s="39"/>
    </row>
    <row r="557">
      <c r="D557" s="39"/>
    </row>
    <row r="558">
      <c r="D558" s="39"/>
    </row>
    <row r="559">
      <c r="D559" s="39"/>
    </row>
    <row r="560">
      <c r="D560" s="39"/>
    </row>
    <row r="561">
      <c r="D561" s="39"/>
    </row>
    <row r="562">
      <c r="D562" s="39"/>
    </row>
    <row r="563">
      <c r="D563" s="39"/>
    </row>
    <row r="564">
      <c r="D564" s="39"/>
    </row>
    <row r="565">
      <c r="D565" s="39"/>
    </row>
    <row r="566">
      <c r="D566" s="39"/>
    </row>
    <row r="567">
      <c r="D567" s="39"/>
    </row>
    <row r="568">
      <c r="D568" s="39"/>
    </row>
    <row r="569">
      <c r="D569" s="39"/>
    </row>
    <row r="570">
      <c r="D570" s="39"/>
    </row>
    <row r="571">
      <c r="D571" s="39"/>
    </row>
    <row r="572">
      <c r="D572" s="39"/>
    </row>
    <row r="573">
      <c r="D573" s="39"/>
    </row>
    <row r="574">
      <c r="D574" s="39"/>
    </row>
    <row r="575">
      <c r="D575" s="39"/>
    </row>
    <row r="576">
      <c r="D576" s="39"/>
    </row>
    <row r="577">
      <c r="D577" s="39"/>
    </row>
    <row r="578">
      <c r="D578" s="39"/>
    </row>
    <row r="579">
      <c r="D579" s="39"/>
    </row>
    <row r="580">
      <c r="D580" s="39"/>
    </row>
    <row r="581">
      <c r="D581" s="39"/>
    </row>
    <row r="582">
      <c r="D582" s="39"/>
    </row>
    <row r="583">
      <c r="D583" s="39"/>
    </row>
    <row r="584">
      <c r="D584" s="39"/>
    </row>
    <row r="585">
      <c r="D585" s="39"/>
    </row>
    <row r="586">
      <c r="D586" s="39"/>
    </row>
    <row r="587">
      <c r="D587" s="39"/>
    </row>
    <row r="588">
      <c r="D588" s="39"/>
    </row>
    <row r="589">
      <c r="D589" s="39"/>
    </row>
    <row r="590">
      <c r="D590" s="39"/>
    </row>
    <row r="591">
      <c r="D591" s="39"/>
    </row>
    <row r="592">
      <c r="D592" s="39"/>
    </row>
    <row r="593">
      <c r="D593" s="39"/>
    </row>
    <row r="594">
      <c r="D594" s="39"/>
    </row>
    <row r="595">
      <c r="D595" s="39"/>
    </row>
    <row r="596">
      <c r="D596" s="39"/>
    </row>
    <row r="597">
      <c r="D597" s="39"/>
    </row>
    <row r="598">
      <c r="D598" s="39"/>
    </row>
    <row r="599">
      <c r="D599" s="39"/>
    </row>
    <row r="600">
      <c r="D600" s="39"/>
    </row>
    <row r="601">
      <c r="D601" s="39"/>
    </row>
    <row r="602">
      <c r="D602" s="39"/>
    </row>
    <row r="603">
      <c r="D603" s="39"/>
    </row>
    <row r="604">
      <c r="D604" s="39"/>
    </row>
    <row r="605">
      <c r="D605" s="39"/>
    </row>
    <row r="606">
      <c r="D606" s="39"/>
    </row>
    <row r="607">
      <c r="D607" s="39"/>
    </row>
    <row r="608">
      <c r="D608" s="39"/>
    </row>
    <row r="609">
      <c r="D609" s="39"/>
    </row>
    <row r="610">
      <c r="D610" s="39"/>
    </row>
    <row r="611">
      <c r="D611" s="39"/>
    </row>
    <row r="612">
      <c r="D612" s="39"/>
    </row>
    <row r="613">
      <c r="D613" s="39"/>
    </row>
    <row r="614">
      <c r="D614" s="39"/>
    </row>
    <row r="615">
      <c r="D615" s="39"/>
    </row>
    <row r="616">
      <c r="D616" s="39"/>
    </row>
    <row r="617">
      <c r="D617" s="39"/>
    </row>
    <row r="618">
      <c r="D618" s="39"/>
    </row>
    <row r="619">
      <c r="D619" s="39"/>
    </row>
    <row r="620">
      <c r="D620" s="39"/>
    </row>
    <row r="621">
      <c r="D621" s="39"/>
    </row>
    <row r="622">
      <c r="D622" s="39"/>
    </row>
    <row r="623">
      <c r="D623" s="39"/>
    </row>
    <row r="624">
      <c r="D624" s="39"/>
    </row>
    <row r="625">
      <c r="D625" s="39"/>
    </row>
    <row r="626">
      <c r="D626" s="39"/>
    </row>
    <row r="627">
      <c r="D627" s="39"/>
    </row>
    <row r="628">
      <c r="D628" s="39"/>
    </row>
    <row r="629">
      <c r="D629" s="39"/>
    </row>
    <row r="630">
      <c r="D630" s="39"/>
    </row>
    <row r="631">
      <c r="D631" s="39"/>
    </row>
    <row r="632">
      <c r="D632" s="39"/>
    </row>
    <row r="633">
      <c r="D633" s="39"/>
    </row>
    <row r="634">
      <c r="D634" s="39"/>
    </row>
    <row r="635">
      <c r="D635" s="39"/>
    </row>
    <row r="636">
      <c r="D636" s="39"/>
    </row>
    <row r="637">
      <c r="D637" s="39"/>
    </row>
    <row r="638">
      <c r="D638" s="39"/>
    </row>
    <row r="639">
      <c r="D639" s="39"/>
    </row>
    <row r="640">
      <c r="D640" s="39"/>
    </row>
    <row r="641">
      <c r="D641" s="39"/>
    </row>
    <row r="642">
      <c r="D642" s="39"/>
    </row>
    <row r="643">
      <c r="D643" s="39"/>
    </row>
    <row r="644">
      <c r="D644" s="39"/>
    </row>
    <row r="645">
      <c r="D645" s="39"/>
    </row>
    <row r="646">
      <c r="D646" s="39"/>
    </row>
    <row r="647">
      <c r="D647" s="39"/>
    </row>
    <row r="648">
      <c r="D648" s="39"/>
    </row>
    <row r="649">
      <c r="D649" s="39"/>
    </row>
    <row r="650">
      <c r="D650" s="39"/>
    </row>
    <row r="651">
      <c r="D651" s="39"/>
    </row>
    <row r="652">
      <c r="D652" s="39"/>
    </row>
    <row r="653">
      <c r="D653" s="39"/>
    </row>
    <row r="654">
      <c r="D654" s="39"/>
    </row>
    <row r="655">
      <c r="D655" s="39"/>
    </row>
    <row r="656">
      <c r="D656" s="39"/>
    </row>
    <row r="657">
      <c r="D657" s="39"/>
    </row>
    <row r="658">
      <c r="D658" s="39"/>
    </row>
    <row r="659">
      <c r="D659" s="39"/>
    </row>
    <row r="660">
      <c r="D660" s="39"/>
    </row>
    <row r="661">
      <c r="D661" s="39"/>
    </row>
    <row r="662">
      <c r="D662" s="39"/>
    </row>
    <row r="663">
      <c r="D663" s="39"/>
    </row>
    <row r="664">
      <c r="D664" s="39"/>
    </row>
    <row r="665">
      <c r="D665" s="39"/>
    </row>
    <row r="666">
      <c r="D666" s="39"/>
    </row>
    <row r="667">
      <c r="D667" s="39"/>
    </row>
    <row r="668">
      <c r="D668" s="39"/>
    </row>
    <row r="669">
      <c r="D669" s="39"/>
    </row>
    <row r="670">
      <c r="D670" s="39"/>
    </row>
    <row r="671">
      <c r="D671" s="39"/>
    </row>
    <row r="672">
      <c r="D672" s="39"/>
    </row>
    <row r="673">
      <c r="D673" s="39"/>
    </row>
    <row r="674">
      <c r="D674" s="39"/>
    </row>
    <row r="675">
      <c r="D675" s="39"/>
    </row>
    <row r="676">
      <c r="D676" s="39"/>
    </row>
    <row r="677">
      <c r="D677" s="39"/>
    </row>
    <row r="678">
      <c r="D678" s="39"/>
    </row>
    <row r="679">
      <c r="D679" s="39"/>
    </row>
    <row r="680">
      <c r="D680" s="39"/>
    </row>
    <row r="681">
      <c r="D681" s="39"/>
    </row>
    <row r="682">
      <c r="D682" s="39"/>
    </row>
    <row r="683">
      <c r="D683" s="39"/>
    </row>
    <row r="684">
      <c r="D684" s="39"/>
    </row>
    <row r="685">
      <c r="D685" s="39"/>
    </row>
    <row r="686">
      <c r="D686" s="39"/>
    </row>
    <row r="687">
      <c r="D687" s="39"/>
    </row>
    <row r="688">
      <c r="D688" s="39"/>
    </row>
    <row r="689">
      <c r="D689" s="39"/>
    </row>
    <row r="690">
      <c r="D690" s="39"/>
    </row>
    <row r="691">
      <c r="D691" s="39"/>
    </row>
    <row r="692">
      <c r="D692" s="39"/>
    </row>
    <row r="693">
      <c r="D693" s="39"/>
    </row>
    <row r="694">
      <c r="D694" s="39"/>
    </row>
    <row r="695">
      <c r="D695" s="39"/>
    </row>
    <row r="696">
      <c r="D696" s="39"/>
    </row>
    <row r="697">
      <c r="D697" s="39"/>
    </row>
    <row r="698">
      <c r="D698" s="39"/>
    </row>
    <row r="699">
      <c r="D699" s="39"/>
    </row>
    <row r="700">
      <c r="D700" s="39"/>
    </row>
    <row r="701">
      <c r="D701" s="39"/>
    </row>
    <row r="702">
      <c r="D702" s="39"/>
    </row>
    <row r="703">
      <c r="D703" s="39"/>
    </row>
    <row r="704">
      <c r="D704" s="39"/>
    </row>
    <row r="705">
      <c r="D705" s="39"/>
    </row>
    <row r="706">
      <c r="D706" s="39"/>
    </row>
    <row r="707">
      <c r="D707" s="39"/>
    </row>
    <row r="708">
      <c r="D708" s="39"/>
    </row>
    <row r="709">
      <c r="D709" s="39"/>
    </row>
    <row r="710">
      <c r="D710" s="39"/>
    </row>
    <row r="711">
      <c r="D711" s="39"/>
    </row>
    <row r="712">
      <c r="D712" s="39"/>
    </row>
    <row r="713">
      <c r="D713" s="39"/>
    </row>
    <row r="714">
      <c r="D714" s="39"/>
    </row>
    <row r="715">
      <c r="D715" s="39"/>
    </row>
    <row r="716">
      <c r="D716" s="39"/>
    </row>
    <row r="717">
      <c r="D717" s="39"/>
    </row>
    <row r="718">
      <c r="D718" s="39"/>
    </row>
    <row r="719">
      <c r="D719" s="39"/>
    </row>
    <row r="720">
      <c r="D720" s="39"/>
    </row>
    <row r="721">
      <c r="D721" s="39"/>
    </row>
    <row r="722">
      <c r="D722" s="39"/>
    </row>
    <row r="723">
      <c r="D723" s="39"/>
    </row>
    <row r="724">
      <c r="D724" s="39"/>
    </row>
    <row r="725">
      <c r="D725" s="39"/>
    </row>
    <row r="726">
      <c r="D726" s="39"/>
    </row>
    <row r="727">
      <c r="D727" s="39"/>
    </row>
    <row r="728">
      <c r="D728" s="39"/>
    </row>
    <row r="729">
      <c r="D729" s="39"/>
    </row>
    <row r="730">
      <c r="D730" s="39"/>
    </row>
    <row r="731">
      <c r="D731" s="39"/>
    </row>
    <row r="732">
      <c r="D732" s="39"/>
    </row>
    <row r="733">
      <c r="D733" s="39"/>
    </row>
    <row r="734">
      <c r="D734" s="39"/>
    </row>
    <row r="735">
      <c r="D735" s="39"/>
    </row>
    <row r="736">
      <c r="D736" s="39"/>
    </row>
    <row r="737">
      <c r="D737" s="39"/>
    </row>
    <row r="738">
      <c r="D738" s="39"/>
    </row>
    <row r="739">
      <c r="D739" s="39"/>
    </row>
    <row r="740">
      <c r="D740" s="39"/>
    </row>
    <row r="741">
      <c r="D741" s="39"/>
    </row>
    <row r="742">
      <c r="D742" s="39"/>
    </row>
    <row r="743">
      <c r="D743" s="39"/>
    </row>
    <row r="744">
      <c r="D744" s="39"/>
    </row>
    <row r="745">
      <c r="D745" s="39"/>
    </row>
    <row r="746">
      <c r="D746" s="39"/>
    </row>
    <row r="747">
      <c r="D747" s="39"/>
    </row>
    <row r="748">
      <c r="D748" s="39"/>
    </row>
    <row r="749">
      <c r="D749" s="39"/>
    </row>
    <row r="750">
      <c r="D750" s="39"/>
    </row>
    <row r="751">
      <c r="D751" s="39"/>
    </row>
    <row r="752">
      <c r="D752" s="39"/>
    </row>
    <row r="753">
      <c r="D753" s="39"/>
    </row>
    <row r="754">
      <c r="D754" s="39"/>
    </row>
    <row r="755">
      <c r="D755" s="39"/>
    </row>
    <row r="756">
      <c r="D756" s="39"/>
    </row>
    <row r="757">
      <c r="D757" s="39"/>
    </row>
    <row r="758">
      <c r="D758" s="39"/>
    </row>
    <row r="759">
      <c r="D759" s="39"/>
    </row>
    <row r="760">
      <c r="D760" s="39"/>
    </row>
    <row r="761">
      <c r="D761" s="39"/>
    </row>
    <row r="762">
      <c r="D762" s="39"/>
    </row>
    <row r="763">
      <c r="D763" s="39"/>
    </row>
    <row r="764">
      <c r="D764" s="39"/>
    </row>
    <row r="765">
      <c r="D765" s="39"/>
    </row>
    <row r="766">
      <c r="D766" s="39"/>
    </row>
    <row r="767">
      <c r="D767" s="39"/>
    </row>
    <row r="768">
      <c r="D768" s="39"/>
    </row>
    <row r="769">
      <c r="D769" s="39"/>
    </row>
    <row r="770">
      <c r="D770" s="39"/>
    </row>
    <row r="771">
      <c r="D771" s="39"/>
    </row>
    <row r="772">
      <c r="D772" s="39"/>
    </row>
    <row r="773">
      <c r="D773" s="39"/>
    </row>
    <row r="774">
      <c r="D774" s="39"/>
    </row>
    <row r="775">
      <c r="D775" s="39"/>
    </row>
    <row r="776">
      <c r="D776" s="39"/>
    </row>
    <row r="777">
      <c r="D777" s="39"/>
    </row>
    <row r="778">
      <c r="D778" s="39"/>
    </row>
    <row r="779">
      <c r="D779" s="39"/>
    </row>
    <row r="780">
      <c r="D780" s="39"/>
    </row>
    <row r="781">
      <c r="D781" s="39"/>
    </row>
    <row r="782">
      <c r="D782" s="39"/>
    </row>
    <row r="783">
      <c r="D783" s="39"/>
    </row>
    <row r="784">
      <c r="D784" s="39"/>
    </row>
    <row r="785">
      <c r="D785" s="39"/>
    </row>
    <row r="786">
      <c r="D786" s="39"/>
    </row>
    <row r="787">
      <c r="D787" s="39"/>
    </row>
    <row r="788">
      <c r="D788" s="39"/>
    </row>
    <row r="789">
      <c r="D789" s="39"/>
    </row>
    <row r="790">
      <c r="D790" s="39"/>
    </row>
    <row r="791">
      <c r="D791" s="39"/>
    </row>
    <row r="792">
      <c r="D792" s="39"/>
    </row>
    <row r="793">
      <c r="D793" s="39"/>
    </row>
    <row r="794">
      <c r="D794" s="39"/>
    </row>
    <row r="795">
      <c r="D795" s="39"/>
    </row>
    <row r="796">
      <c r="D796" s="39"/>
    </row>
    <row r="797">
      <c r="D797" s="39"/>
    </row>
    <row r="798">
      <c r="D798" s="39"/>
    </row>
    <row r="799">
      <c r="D799" s="39"/>
    </row>
    <row r="800">
      <c r="D800" s="39"/>
    </row>
    <row r="801">
      <c r="D801" s="39"/>
    </row>
    <row r="802">
      <c r="D802" s="39"/>
    </row>
    <row r="803">
      <c r="D803" s="39"/>
    </row>
    <row r="804">
      <c r="D804" s="39"/>
    </row>
    <row r="805">
      <c r="D805" s="39"/>
    </row>
    <row r="806">
      <c r="D806" s="39"/>
    </row>
    <row r="807">
      <c r="D807" s="39"/>
    </row>
    <row r="808">
      <c r="D808" s="39"/>
    </row>
    <row r="809">
      <c r="D809" s="39"/>
    </row>
    <row r="810">
      <c r="D810" s="39"/>
    </row>
    <row r="811">
      <c r="D811" s="39"/>
    </row>
    <row r="812">
      <c r="D812" s="39"/>
    </row>
    <row r="813">
      <c r="D813" s="39"/>
    </row>
    <row r="814">
      <c r="D814" s="39"/>
    </row>
    <row r="815">
      <c r="D815" s="39"/>
    </row>
    <row r="816">
      <c r="D816" s="39"/>
    </row>
    <row r="817">
      <c r="D817" s="39"/>
    </row>
    <row r="818">
      <c r="D818" s="39"/>
    </row>
    <row r="819">
      <c r="D819" s="39"/>
    </row>
    <row r="820">
      <c r="D820" s="39"/>
    </row>
    <row r="821">
      <c r="D821" s="39"/>
    </row>
    <row r="822">
      <c r="D822" s="39"/>
    </row>
    <row r="823">
      <c r="D823" s="39"/>
    </row>
    <row r="824">
      <c r="D824" s="39"/>
    </row>
    <row r="825">
      <c r="D825" s="39"/>
    </row>
    <row r="826">
      <c r="D826" s="39"/>
    </row>
    <row r="827">
      <c r="D827" s="39"/>
    </row>
    <row r="828">
      <c r="D828" s="39"/>
    </row>
    <row r="829">
      <c r="D829" s="39"/>
    </row>
    <row r="830">
      <c r="D830" s="39"/>
    </row>
    <row r="831">
      <c r="D831" s="39"/>
    </row>
    <row r="832">
      <c r="D832" s="39"/>
    </row>
    <row r="833">
      <c r="D833" s="39"/>
    </row>
    <row r="834">
      <c r="D834" s="39"/>
    </row>
    <row r="835">
      <c r="D835" s="39"/>
    </row>
    <row r="836">
      <c r="D836" s="39"/>
    </row>
    <row r="837">
      <c r="D837" s="39"/>
    </row>
    <row r="838">
      <c r="D838" s="39"/>
    </row>
    <row r="839">
      <c r="D839" s="39"/>
    </row>
    <row r="840">
      <c r="D840" s="39"/>
    </row>
    <row r="841">
      <c r="D841" s="39"/>
    </row>
    <row r="842">
      <c r="D842" s="39"/>
    </row>
    <row r="843">
      <c r="D843" s="39"/>
    </row>
    <row r="844">
      <c r="D844" s="39"/>
    </row>
    <row r="845">
      <c r="D845" s="39"/>
    </row>
    <row r="846">
      <c r="D846" s="39"/>
    </row>
    <row r="847">
      <c r="D847" s="39"/>
    </row>
    <row r="848">
      <c r="D848" s="39"/>
    </row>
    <row r="849">
      <c r="D849" s="39"/>
    </row>
    <row r="850">
      <c r="D850" s="39"/>
    </row>
    <row r="851">
      <c r="D851" s="39"/>
    </row>
    <row r="852">
      <c r="D852" s="39"/>
    </row>
    <row r="853">
      <c r="D853" s="39"/>
    </row>
    <row r="854">
      <c r="D854" s="39"/>
    </row>
    <row r="855">
      <c r="D855" s="39"/>
    </row>
    <row r="856">
      <c r="D856" s="39"/>
    </row>
    <row r="857">
      <c r="D857" s="39"/>
    </row>
    <row r="858">
      <c r="D858" s="39"/>
    </row>
    <row r="859">
      <c r="D859" s="39"/>
    </row>
    <row r="860">
      <c r="D860" s="39"/>
    </row>
    <row r="861">
      <c r="D861" s="39"/>
    </row>
    <row r="862">
      <c r="D862" s="39"/>
    </row>
    <row r="863">
      <c r="D863" s="39"/>
    </row>
    <row r="864">
      <c r="D864" s="39"/>
    </row>
    <row r="865">
      <c r="D865" s="39"/>
    </row>
    <row r="866">
      <c r="D866" s="39"/>
    </row>
    <row r="867">
      <c r="D867" s="39"/>
    </row>
    <row r="868">
      <c r="D868" s="39"/>
    </row>
    <row r="869">
      <c r="D869" s="39"/>
    </row>
    <row r="870">
      <c r="D870" s="39"/>
    </row>
    <row r="871">
      <c r="D871" s="39"/>
    </row>
    <row r="872">
      <c r="D872" s="39"/>
    </row>
    <row r="873">
      <c r="D873" s="39"/>
    </row>
    <row r="874">
      <c r="D874" s="39"/>
    </row>
    <row r="875">
      <c r="D875" s="39"/>
    </row>
    <row r="876">
      <c r="D876" s="39"/>
    </row>
    <row r="877">
      <c r="D877" s="39"/>
    </row>
    <row r="878">
      <c r="D878" s="39"/>
    </row>
    <row r="879">
      <c r="D879" s="39"/>
    </row>
    <row r="880">
      <c r="D880" s="39"/>
    </row>
    <row r="881">
      <c r="D881" s="39"/>
    </row>
    <row r="882">
      <c r="D882" s="39"/>
    </row>
    <row r="883">
      <c r="D883" s="39"/>
    </row>
    <row r="884">
      <c r="D884" s="39"/>
    </row>
    <row r="885">
      <c r="D885" s="39"/>
    </row>
    <row r="886">
      <c r="D886" s="39"/>
    </row>
    <row r="887">
      <c r="D887" s="39"/>
    </row>
    <row r="888">
      <c r="D888" s="39"/>
    </row>
    <row r="889">
      <c r="D889" s="39"/>
    </row>
    <row r="890">
      <c r="D890" s="39"/>
    </row>
    <row r="891">
      <c r="D891" s="39"/>
    </row>
    <row r="892">
      <c r="D892" s="39"/>
    </row>
    <row r="893">
      <c r="D893" s="39"/>
    </row>
    <row r="894">
      <c r="D894" s="39"/>
    </row>
    <row r="895">
      <c r="D895" s="39"/>
    </row>
    <row r="896">
      <c r="D896" s="39"/>
    </row>
    <row r="897">
      <c r="D897" s="39"/>
    </row>
    <row r="898">
      <c r="D898" s="39"/>
    </row>
    <row r="899">
      <c r="D899" s="39"/>
    </row>
    <row r="900">
      <c r="D900" s="39"/>
    </row>
    <row r="901">
      <c r="D901" s="39"/>
    </row>
    <row r="902">
      <c r="D902" s="39"/>
    </row>
    <row r="903">
      <c r="D903" s="39"/>
    </row>
    <row r="904">
      <c r="D904" s="39"/>
    </row>
    <row r="905">
      <c r="D905" s="39"/>
    </row>
    <row r="906">
      <c r="D906" s="39"/>
    </row>
    <row r="907">
      <c r="D907" s="39"/>
    </row>
    <row r="908">
      <c r="D908" s="39"/>
    </row>
    <row r="909">
      <c r="D909" s="39"/>
    </row>
    <row r="910">
      <c r="D910" s="39"/>
    </row>
    <row r="911">
      <c r="D911" s="39"/>
    </row>
    <row r="912">
      <c r="D912" s="39"/>
    </row>
    <row r="913">
      <c r="D913" s="39"/>
    </row>
    <row r="914">
      <c r="D914" s="39"/>
    </row>
    <row r="915">
      <c r="D915" s="39"/>
    </row>
    <row r="916">
      <c r="D916" s="39"/>
    </row>
    <row r="917">
      <c r="D917" s="39"/>
    </row>
    <row r="918">
      <c r="D918" s="39"/>
    </row>
    <row r="919">
      <c r="D919" s="39"/>
    </row>
    <row r="920">
      <c r="D920" s="39"/>
    </row>
    <row r="921">
      <c r="D921" s="39"/>
    </row>
    <row r="922">
      <c r="D922" s="39"/>
    </row>
    <row r="923">
      <c r="D923" s="39"/>
    </row>
    <row r="924">
      <c r="D924" s="39"/>
    </row>
    <row r="925">
      <c r="D925" s="39"/>
    </row>
    <row r="926">
      <c r="D926" s="39"/>
    </row>
    <row r="927">
      <c r="D927" s="39"/>
    </row>
    <row r="928">
      <c r="D928" s="39"/>
    </row>
    <row r="929">
      <c r="D929" s="39"/>
    </row>
    <row r="930">
      <c r="D930" s="39"/>
    </row>
    <row r="931">
      <c r="D931" s="39"/>
    </row>
    <row r="932">
      <c r="D932" s="39"/>
    </row>
    <row r="933">
      <c r="D933" s="39"/>
    </row>
    <row r="934">
      <c r="D934" s="39"/>
    </row>
    <row r="935">
      <c r="D935" s="39"/>
    </row>
    <row r="936">
      <c r="D936" s="39"/>
    </row>
    <row r="937">
      <c r="D937" s="39"/>
    </row>
    <row r="938">
      <c r="D938" s="39"/>
    </row>
    <row r="939">
      <c r="D939" s="39"/>
    </row>
    <row r="940">
      <c r="D940" s="39"/>
    </row>
    <row r="941">
      <c r="D941" s="39"/>
    </row>
    <row r="942">
      <c r="D942" s="39"/>
    </row>
    <row r="943">
      <c r="D943" s="39"/>
    </row>
    <row r="944">
      <c r="D944" s="39"/>
    </row>
    <row r="945">
      <c r="D945" s="39"/>
    </row>
    <row r="946">
      <c r="D946" s="39"/>
    </row>
    <row r="947">
      <c r="D947" s="39"/>
    </row>
    <row r="948">
      <c r="D948" s="39"/>
    </row>
    <row r="949">
      <c r="D949" s="39"/>
    </row>
    <row r="950">
      <c r="D950" s="39"/>
    </row>
    <row r="951">
      <c r="D951" s="39"/>
    </row>
    <row r="952">
      <c r="D952" s="39"/>
    </row>
    <row r="953">
      <c r="D953" s="39"/>
    </row>
    <row r="954">
      <c r="D954" s="39"/>
    </row>
    <row r="955">
      <c r="D955" s="39"/>
    </row>
    <row r="956">
      <c r="D956" s="39"/>
    </row>
    <row r="957">
      <c r="D957" s="39"/>
    </row>
    <row r="958">
      <c r="D958" s="39"/>
    </row>
    <row r="959">
      <c r="D959" s="39"/>
    </row>
    <row r="960">
      <c r="D960" s="39"/>
    </row>
    <row r="961">
      <c r="D961" s="39"/>
    </row>
    <row r="962">
      <c r="D962" s="39"/>
    </row>
    <row r="963">
      <c r="D963" s="39"/>
    </row>
    <row r="964">
      <c r="D964" s="39"/>
    </row>
    <row r="965">
      <c r="D965" s="39"/>
    </row>
    <row r="966">
      <c r="D966" s="39"/>
    </row>
    <row r="967">
      <c r="D967" s="39"/>
    </row>
    <row r="968">
      <c r="D968" s="39"/>
    </row>
    <row r="969">
      <c r="D969" s="39"/>
    </row>
    <row r="970">
      <c r="D970" s="39"/>
    </row>
    <row r="971">
      <c r="D971" s="39"/>
    </row>
    <row r="972">
      <c r="D972" s="39"/>
    </row>
    <row r="973">
      <c r="D973" s="39"/>
    </row>
    <row r="974">
      <c r="D974" s="39"/>
    </row>
    <row r="975">
      <c r="D975" s="39"/>
    </row>
    <row r="976">
      <c r="D976" s="39"/>
    </row>
    <row r="977">
      <c r="D977" s="39"/>
    </row>
    <row r="978">
      <c r="D978" s="39"/>
    </row>
    <row r="979">
      <c r="D979" s="39"/>
    </row>
    <row r="980">
      <c r="D980" s="39"/>
    </row>
    <row r="981">
      <c r="D981" s="39"/>
    </row>
    <row r="982">
      <c r="D982" s="39"/>
    </row>
    <row r="983">
      <c r="D983" s="39"/>
    </row>
    <row r="984">
      <c r="D984" s="39"/>
    </row>
    <row r="985">
      <c r="D985" s="39"/>
    </row>
    <row r="986">
      <c r="D986" s="39"/>
    </row>
    <row r="987">
      <c r="D987" s="39"/>
    </row>
    <row r="988">
      <c r="D988" s="39"/>
    </row>
    <row r="989">
      <c r="D989" s="39"/>
    </row>
    <row r="990">
      <c r="D990" s="39"/>
    </row>
    <row r="991">
      <c r="D991" s="39"/>
    </row>
    <row r="992">
      <c r="D992" s="39"/>
    </row>
    <row r="993">
      <c r="D993" s="39"/>
    </row>
    <row r="994">
      <c r="D994" s="39"/>
    </row>
    <row r="995">
      <c r="D995" s="39"/>
    </row>
    <row r="996">
      <c r="D996" s="39"/>
    </row>
    <row r="997">
      <c r="D997" s="39"/>
    </row>
    <row r="998">
      <c r="D998" s="39"/>
    </row>
    <row r="999">
      <c r="D999" s="39"/>
    </row>
  </sheetData>
  <autoFilter ref="$A$1:$G$999">
    <sortState ref="A1:G999">
      <sortCondition descending="1" ref="G1:G999"/>
      <sortCondition descending="1" ref="F1:F999"/>
    </sortState>
  </autoFil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2.88"/>
    <col customWidth="1" min="3" max="3" width="18.13"/>
  </cols>
  <sheetData>
    <row r="1">
      <c r="A1" s="58" t="s">
        <v>38</v>
      </c>
      <c r="B1" s="58" t="s">
        <v>521</v>
      </c>
      <c r="C1" s="58" t="s">
        <v>522</v>
      </c>
    </row>
    <row r="2">
      <c r="A2" s="58" t="s">
        <v>20</v>
      </c>
      <c r="B2" s="196">
        <v>2.2962508167E10</v>
      </c>
      <c r="C2" s="196">
        <v>-2.2406961911E10</v>
      </c>
    </row>
    <row r="3">
      <c r="A3" s="58" t="s">
        <v>77</v>
      </c>
      <c r="B3" s="196">
        <v>6885080.063</v>
      </c>
      <c r="C3" s="196">
        <v>-778768.8394</v>
      </c>
    </row>
    <row r="4">
      <c r="A4" s="58" t="s">
        <v>196</v>
      </c>
      <c r="B4" s="196">
        <v>4.69071018E7</v>
      </c>
      <c r="C4" s="196">
        <v>-2.026758536E7</v>
      </c>
    </row>
    <row r="5">
      <c r="A5" s="58" t="s">
        <v>70</v>
      </c>
      <c r="B5" s="196">
        <v>206066.441</v>
      </c>
      <c r="C5" s="196">
        <v>-198920.987</v>
      </c>
    </row>
    <row r="6">
      <c r="A6" s="58" t="s">
        <v>60</v>
      </c>
      <c r="B6" s="196">
        <v>2.589930043E8</v>
      </c>
      <c r="C6" s="196">
        <v>-2.21112898E8</v>
      </c>
    </row>
    <row r="7">
      <c r="A7" s="58" t="s">
        <v>284</v>
      </c>
      <c r="B7" s="196">
        <v>0.01369194501</v>
      </c>
      <c r="C7" s="196">
        <v>0.0</v>
      </c>
    </row>
    <row r="8">
      <c r="A8" s="58" t="s">
        <v>101</v>
      </c>
      <c r="B8" s="196">
        <v>552645.0164</v>
      </c>
      <c r="C8" s="196">
        <v>0.0</v>
      </c>
    </row>
    <row r="9">
      <c r="A9" s="58" t="s">
        <v>469</v>
      </c>
      <c r="B9" s="196">
        <v>1.786463626E7</v>
      </c>
      <c r="C9" s="196">
        <v>0.0</v>
      </c>
    </row>
    <row r="10">
      <c r="A10" s="58" t="s">
        <v>112</v>
      </c>
      <c r="B10" s="196">
        <v>4689.634052</v>
      </c>
      <c r="C10" s="196">
        <v>0.0</v>
      </c>
    </row>
    <row r="11">
      <c r="A11" s="58" t="s">
        <v>111</v>
      </c>
      <c r="B11" s="196">
        <v>48602.39536</v>
      </c>
      <c r="C11" s="196">
        <v>0.0</v>
      </c>
    </row>
    <row r="12">
      <c r="A12" s="58" t="s">
        <v>242</v>
      </c>
      <c r="B12" s="196">
        <v>7269608.577</v>
      </c>
      <c r="C12" s="196">
        <v>0.0</v>
      </c>
    </row>
    <row r="13">
      <c r="A13" s="58" t="s">
        <v>211</v>
      </c>
      <c r="B13" s="196">
        <v>128672.0082</v>
      </c>
      <c r="C13" s="196">
        <v>0.0</v>
      </c>
    </row>
    <row r="14">
      <c r="A14" s="58" t="s">
        <v>90</v>
      </c>
      <c r="B14" s="196">
        <v>231511.6257</v>
      </c>
      <c r="C14" s="196">
        <v>0.0</v>
      </c>
    </row>
    <row r="15">
      <c r="A15" s="58" t="s">
        <v>103</v>
      </c>
      <c r="B15" s="196">
        <v>12376.25604</v>
      </c>
      <c r="C15" s="196">
        <v>-7204.070357</v>
      </c>
    </row>
    <row r="16">
      <c r="A16" s="58" t="s">
        <v>74</v>
      </c>
      <c r="B16" s="196">
        <v>1.830550084E7</v>
      </c>
      <c r="C16" s="196">
        <v>-1.863088754E7</v>
      </c>
    </row>
    <row r="17">
      <c r="A17" s="58" t="s">
        <v>66</v>
      </c>
      <c r="B17" s="196">
        <v>91609.60096</v>
      </c>
      <c r="C17" s="196">
        <v>-89907.96157</v>
      </c>
    </row>
    <row r="18">
      <c r="A18" s="58" t="s">
        <v>65</v>
      </c>
      <c r="B18" s="196">
        <v>72108.49626</v>
      </c>
      <c r="C18" s="196">
        <v>-79539.35497</v>
      </c>
    </row>
    <row r="19">
      <c r="A19" s="58" t="s">
        <v>79</v>
      </c>
      <c r="B19" s="196">
        <v>3966888.508</v>
      </c>
      <c r="C19" s="196">
        <v>-936367.8172</v>
      </c>
    </row>
    <row r="20">
      <c r="A20" s="58" t="s">
        <v>235</v>
      </c>
      <c r="B20" s="196">
        <v>400000.1271</v>
      </c>
      <c r="C20" s="196">
        <v>0.0</v>
      </c>
    </row>
    <row r="21">
      <c r="A21" s="58" t="s">
        <v>113</v>
      </c>
      <c r="B21" s="196">
        <v>273.8501463</v>
      </c>
      <c r="C21" s="196">
        <v>0.0</v>
      </c>
    </row>
    <row r="22">
      <c r="A22" s="58" t="s">
        <v>253</v>
      </c>
      <c r="B22" s="196">
        <v>220.6933202</v>
      </c>
      <c r="C22" s="196">
        <v>0.0</v>
      </c>
    </row>
    <row r="23">
      <c r="A23" s="58" t="s">
        <v>89</v>
      </c>
      <c r="B23" s="196">
        <v>30222.32106</v>
      </c>
      <c r="C23" s="196">
        <v>-29416.72825</v>
      </c>
    </row>
    <row r="24">
      <c r="A24" s="58" t="s">
        <v>53</v>
      </c>
      <c r="B24" s="196">
        <v>118491.0299</v>
      </c>
      <c r="C24" s="196">
        <v>-146099.0912</v>
      </c>
    </row>
    <row r="25">
      <c r="A25" s="58" t="s">
        <v>104</v>
      </c>
      <c r="B25" s="196">
        <v>3867.471676</v>
      </c>
      <c r="C25" s="196">
        <v>-0.240714734</v>
      </c>
    </row>
    <row r="26">
      <c r="A26" s="58" t="s">
        <v>470</v>
      </c>
      <c r="B26" s="196">
        <v>1.057762259E7</v>
      </c>
      <c r="C26" s="196">
        <v>-6.419724784E7</v>
      </c>
    </row>
    <row r="27">
      <c r="A27" s="58" t="s">
        <v>56</v>
      </c>
      <c r="B27" s="196">
        <v>6.572942269E8</v>
      </c>
      <c r="C27" s="196">
        <v>-3.220523784E8</v>
      </c>
    </row>
    <row r="28">
      <c r="A28" s="58" t="s">
        <v>81</v>
      </c>
      <c r="B28" s="196">
        <v>43105.10981</v>
      </c>
      <c r="C28" s="196">
        <v>-40464.37756</v>
      </c>
    </row>
    <row r="29">
      <c r="A29" s="58" t="s">
        <v>279</v>
      </c>
      <c r="B29" s="196">
        <v>5.139779179</v>
      </c>
      <c r="C29" s="196">
        <v>0.0</v>
      </c>
    </row>
    <row r="30">
      <c r="A30" s="58" t="s">
        <v>88</v>
      </c>
      <c r="B30" s="196">
        <v>1284979.282</v>
      </c>
      <c r="C30" s="196">
        <v>-2.750943737</v>
      </c>
    </row>
    <row r="31">
      <c r="A31" s="58" t="s">
        <v>83</v>
      </c>
      <c r="B31" s="196">
        <v>283060.5414</v>
      </c>
      <c r="C31" s="196">
        <v>0.0</v>
      </c>
    </row>
    <row r="32">
      <c r="A32" s="58" t="s">
        <v>76</v>
      </c>
      <c r="B32" s="196">
        <v>136839.8827</v>
      </c>
      <c r="C32" s="196">
        <v>-137296.72</v>
      </c>
    </row>
    <row r="33">
      <c r="A33" s="58" t="s">
        <v>95</v>
      </c>
      <c r="B33" s="196">
        <v>37.53214397</v>
      </c>
      <c r="C33" s="196">
        <v>0.0</v>
      </c>
    </row>
    <row r="34">
      <c r="A34" s="58" t="s">
        <v>72</v>
      </c>
      <c r="B34" s="196">
        <v>2973378.989</v>
      </c>
      <c r="C34" s="196">
        <v>-5317340.894</v>
      </c>
    </row>
    <row r="35">
      <c r="A35" s="58" t="s">
        <v>73</v>
      </c>
      <c r="B35" s="196">
        <v>6455538.374</v>
      </c>
      <c r="C35" s="196">
        <v>-6190581.489</v>
      </c>
    </row>
    <row r="36">
      <c r="A36" s="58" t="s">
        <v>82</v>
      </c>
      <c r="B36" s="196">
        <v>214644.2002</v>
      </c>
      <c r="C36" s="196">
        <v>-325751.8661</v>
      </c>
    </row>
    <row r="37">
      <c r="A37" s="58" t="s">
        <v>54</v>
      </c>
      <c r="B37" s="196">
        <v>1628325.81</v>
      </c>
      <c r="C37" s="196">
        <v>-1552477.99</v>
      </c>
    </row>
    <row r="38">
      <c r="A38" s="58" t="s">
        <v>107</v>
      </c>
      <c r="B38" s="196">
        <v>474.2709744</v>
      </c>
      <c r="C38" s="196">
        <v>0.0</v>
      </c>
    </row>
    <row r="39">
      <c r="A39" s="58" t="s">
        <v>108</v>
      </c>
      <c r="B39" s="196">
        <v>28064.87165</v>
      </c>
      <c r="C39" s="196">
        <v>0.0</v>
      </c>
    </row>
    <row r="40">
      <c r="A40" s="58" t="s">
        <v>243</v>
      </c>
      <c r="B40" s="196">
        <v>504618.051</v>
      </c>
      <c r="C40" s="196">
        <v>0.0</v>
      </c>
    </row>
    <row r="41">
      <c r="A41" s="58" t="s">
        <v>59</v>
      </c>
      <c r="B41" s="196">
        <v>1.676765926E7</v>
      </c>
      <c r="C41" s="196">
        <v>-1.571643888E7</v>
      </c>
    </row>
    <row r="42">
      <c r="A42" s="58" t="s">
        <v>471</v>
      </c>
      <c r="B42" s="196">
        <v>5.758055543E7</v>
      </c>
      <c r="C42" s="196">
        <v>-1.231666991E8</v>
      </c>
    </row>
    <row r="43">
      <c r="A43" s="58" t="s">
        <v>93</v>
      </c>
      <c r="B43" s="196">
        <v>1873281.23</v>
      </c>
      <c r="C43" s="196">
        <v>-1906629.227</v>
      </c>
    </row>
    <row r="44">
      <c r="A44" s="58" t="s">
        <v>94</v>
      </c>
      <c r="B44" s="196">
        <v>904018.601</v>
      </c>
      <c r="C44" s="196">
        <v>0.0</v>
      </c>
    </row>
    <row r="45">
      <c r="A45" s="58" t="s">
        <v>61</v>
      </c>
      <c r="B45" s="196">
        <v>1.29232857E7</v>
      </c>
      <c r="C45" s="196">
        <v>-1.396783222E7</v>
      </c>
    </row>
    <row r="46">
      <c r="A46" s="58" t="s">
        <v>100</v>
      </c>
      <c r="B46" s="196">
        <v>12253.99809</v>
      </c>
      <c r="C46" s="196">
        <v>-12875.70265</v>
      </c>
    </row>
    <row r="47">
      <c r="A47" s="58" t="s">
        <v>117</v>
      </c>
      <c r="B47" s="196">
        <v>12.86675658</v>
      </c>
      <c r="C47" s="196">
        <v>0.0</v>
      </c>
    </row>
    <row r="48">
      <c r="A48" s="58" t="s">
        <v>64</v>
      </c>
      <c r="B48" s="196">
        <v>541734.265</v>
      </c>
      <c r="C48" s="196">
        <v>-553017.0658</v>
      </c>
    </row>
    <row r="49">
      <c r="A49" s="58" t="s">
        <v>63</v>
      </c>
      <c r="B49" s="196">
        <v>2628025.747</v>
      </c>
      <c r="C49" s="196">
        <v>-2876526.309</v>
      </c>
    </row>
    <row r="50">
      <c r="A50" s="58" t="s">
        <v>472</v>
      </c>
      <c r="B50" s="196">
        <v>1.035546674E7</v>
      </c>
      <c r="C50" s="196">
        <v>0.0</v>
      </c>
    </row>
    <row r="51">
      <c r="A51" s="58" t="s">
        <v>473</v>
      </c>
      <c r="B51" s="196">
        <v>0.0</v>
      </c>
      <c r="C51" s="196">
        <v>0.0</v>
      </c>
    </row>
    <row r="52">
      <c r="A52" s="58" t="s">
        <v>71</v>
      </c>
      <c r="B52" s="196">
        <v>9414686.256</v>
      </c>
      <c r="C52" s="196">
        <v>-9330389.365</v>
      </c>
    </row>
    <row r="53">
      <c r="A53" s="58" t="s">
        <v>57</v>
      </c>
      <c r="B53" s="196">
        <v>5.446244059E8</v>
      </c>
      <c r="C53" s="196">
        <v>-5.276527676E8</v>
      </c>
    </row>
    <row r="54">
      <c r="A54" s="58" t="s">
        <v>474</v>
      </c>
      <c r="B54" s="196">
        <v>7.546729231E7</v>
      </c>
      <c r="C54" s="196">
        <v>-5.937278885E8</v>
      </c>
    </row>
    <row r="55">
      <c r="A55" s="58" t="s">
        <v>109</v>
      </c>
      <c r="B55" s="196">
        <v>11.87823651</v>
      </c>
      <c r="C55" s="196">
        <v>0.0</v>
      </c>
    </row>
    <row r="56">
      <c r="A56" s="58" t="s">
        <v>86</v>
      </c>
      <c r="B56" s="196">
        <v>755814.8303</v>
      </c>
      <c r="C56" s="196">
        <v>-729295.4103</v>
      </c>
    </row>
    <row r="57">
      <c r="A57" s="58" t="s">
        <v>114</v>
      </c>
      <c r="B57" s="196">
        <v>740.7702447</v>
      </c>
      <c r="C57" s="196">
        <v>0.0</v>
      </c>
    </row>
    <row r="58">
      <c r="A58" s="58" t="s">
        <v>110</v>
      </c>
      <c r="B58" s="196">
        <v>186214.4927</v>
      </c>
      <c r="C58" s="196">
        <v>-10.0</v>
      </c>
    </row>
    <row r="59">
      <c r="A59" s="58" t="s">
        <v>475</v>
      </c>
      <c r="B59" s="196">
        <v>1.606869383E7</v>
      </c>
      <c r="C59" s="196">
        <v>-6.242277122E7</v>
      </c>
    </row>
    <row r="60">
      <c r="A60" s="58" t="s">
        <v>78</v>
      </c>
      <c r="B60" s="196">
        <v>8126.966008</v>
      </c>
      <c r="C60" s="196">
        <v>-28504.2838</v>
      </c>
    </row>
    <row r="61">
      <c r="A61" s="58" t="s">
        <v>106</v>
      </c>
      <c r="B61" s="196">
        <v>159147.4688</v>
      </c>
      <c r="C61" s="196">
        <v>0.0</v>
      </c>
    </row>
    <row r="62">
      <c r="A62" s="58" t="s">
        <v>244</v>
      </c>
      <c r="B62" s="196">
        <v>4272069.953</v>
      </c>
      <c r="C62" s="196">
        <v>0.0</v>
      </c>
    </row>
    <row r="63">
      <c r="A63" s="58" t="s">
        <v>237</v>
      </c>
      <c r="B63" s="196">
        <v>162992.6837</v>
      </c>
      <c r="C63" s="196">
        <v>0.0</v>
      </c>
    </row>
    <row r="64">
      <c r="A64" s="58" t="s">
        <v>99</v>
      </c>
      <c r="B64" s="196">
        <v>933182.1711</v>
      </c>
      <c r="C64" s="196">
        <v>0.0</v>
      </c>
    </row>
    <row r="65">
      <c r="A65" s="58" t="s">
        <v>116</v>
      </c>
      <c r="B65" s="196">
        <v>0.70342021</v>
      </c>
      <c r="C65" s="196">
        <v>0.0</v>
      </c>
    </row>
    <row r="66">
      <c r="A66" s="58" t="s">
        <v>464</v>
      </c>
      <c r="B66" s="196">
        <v>0.0</v>
      </c>
      <c r="C66" s="196">
        <v>7.113632616E-8</v>
      </c>
    </row>
    <row r="67">
      <c r="A67" s="58" t="s">
        <v>465</v>
      </c>
      <c r="B67" s="196">
        <v>0.0</v>
      </c>
      <c r="C67" s="196">
        <v>0.0</v>
      </c>
    </row>
    <row r="68">
      <c r="A68" s="58" t="s">
        <v>115</v>
      </c>
      <c r="B68" s="196">
        <v>92.04084298</v>
      </c>
      <c r="C68" s="196">
        <v>-22.50475332</v>
      </c>
    </row>
    <row r="69">
      <c r="A69" s="58" t="s">
        <v>67</v>
      </c>
      <c r="B69" s="196">
        <v>7056778.989</v>
      </c>
      <c r="C69" s="196">
        <v>-6949168.191</v>
      </c>
    </row>
    <row r="70">
      <c r="A70" s="58" t="s">
        <v>209</v>
      </c>
      <c r="B70" s="196">
        <v>104168.0596</v>
      </c>
      <c r="C70" s="196">
        <v>-0.00474649</v>
      </c>
    </row>
    <row r="71">
      <c r="A71" s="58" t="s">
        <v>466</v>
      </c>
      <c r="B71" s="196">
        <v>0.0</v>
      </c>
      <c r="C71" s="196">
        <v>0.0</v>
      </c>
    </row>
    <row r="72">
      <c r="A72" s="58" t="s">
        <v>58</v>
      </c>
      <c r="B72" s="196">
        <v>1.813459023E8</v>
      </c>
      <c r="C72" s="196">
        <v>-1.802738322E8</v>
      </c>
    </row>
    <row r="73">
      <c r="A73" s="58" t="s">
        <v>476</v>
      </c>
      <c r="B73" s="196">
        <v>1716609.406</v>
      </c>
      <c r="C73" s="196">
        <v>-6979267.686</v>
      </c>
    </row>
    <row r="74">
      <c r="A74" s="58" t="s">
        <v>87</v>
      </c>
      <c r="B74" s="196">
        <v>764865.399</v>
      </c>
      <c r="C74" s="196">
        <v>-565218.8407</v>
      </c>
    </row>
    <row r="75">
      <c r="A75" s="58" t="s">
        <v>85</v>
      </c>
      <c r="B75" s="196">
        <v>7208907.6</v>
      </c>
      <c r="C75" s="196">
        <v>-1.244925796E7</v>
      </c>
    </row>
    <row r="76">
      <c r="A76" s="58" t="s">
        <v>91</v>
      </c>
      <c r="B76" s="196">
        <v>3348120.317</v>
      </c>
      <c r="C76" s="196">
        <v>-4373237.129</v>
      </c>
    </row>
    <row r="77">
      <c r="A77" s="58" t="s">
        <v>84</v>
      </c>
      <c r="B77" s="196">
        <v>4352768.658</v>
      </c>
      <c r="C77" s="196">
        <v>-1.12204323E7</v>
      </c>
    </row>
    <row r="78">
      <c r="A78" s="58" t="s">
        <v>92</v>
      </c>
      <c r="B78" s="196">
        <v>1.896930224E7</v>
      </c>
      <c r="C78" s="196">
        <v>-3.551336458E7</v>
      </c>
    </row>
    <row r="79">
      <c r="A79" s="58" t="s">
        <v>246</v>
      </c>
      <c r="B79" s="196">
        <v>1225840.995</v>
      </c>
      <c r="C79" s="196">
        <v>0.0</v>
      </c>
    </row>
    <row r="80">
      <c r="A80" s="58" t="s">
        <v>477</v>
      </c>
      <c r="B80" s="196">
        <v>6732389.975</v>
      </c>
      <c r="C80" s="196">
        <v>-2.455032788E7</v>
      </c>
    </row>
    <row r="81">
      <c r="A81" s="58" t="s">
        <v>97</v>
      </c>
      <c r="B81" s="196">
        <v>126716.3715</v>
      </c>
      <c r="C81" s="196">
        <v>-106355.6074</v>
      </c>
    </row>
    <row r="82">
      <c r="A82" s="58" t="s">
        <v>69</v>
      </c>
      <c r="B82" s="196">
        <v>2310356.807</v>
      </c>
      <c r="C82" s="196">
        <v>-2593611.964</v>
      </c>
    </row>
    <row r="83">
      <c r="A83" s="58" t="s">
        <v>323</v>
      </c>
      <c r="B83" s="196">
        <v>1.237784502E9</v>
      </c>
      <c r="C83" s="196">
        <v>-1.019881076E8</v>
      </c>
    </row>
    <row r="84">
      <c r="A84" s="58" t="s">
        <v>478</v>
      </c>
      <c r="B84" s="196">
        <v>1.046574504E9</v>
      </c>
      <c r="C84" s="196">
        <v>-2.034690028E9</v>
      </c>
    </row>
    <row r="85">
      <c r="A85" s="58" t="s">
        <v>479</v>
      </c>
      <c r="B85" s="196">
        <v>5.53005926E8</v>
      </c>
      <c r="C85" s="196">
        <v>-1.444765755E9</v>
      </c>
    </row>
    <row r="86">
      <c r="A86" s="58" t="s">
        <v>105</v>
      </c>
      <c r="B86" s="196">
        <v>42468.49501</v>
      </c>
      <c r="C86" s="196">
        <v>0.0</v>
      </c>
    </row>
    <row r="87">
      <c r="A87" s="58" t="s">
        <v>146</v>
      </c>
      <c r="B87" s="196">
        <v>34303.52298</v>
      </c>
      <c r="C87" s="196">
        <v>-426.4055826</v>
      </c>
    </row>
    <row r="88">
      <c r="A88" s="58" t="s">
        <v>102</v>
      </c>
      <c r="B88" s="196">
        <v>1666.471496</v>
      </c>
      <c r="C88" s="196">
        <v>-1736.551032</v>
      </c>
    </row>
    <row r="89">
      <c r="A89" s="58" t="s">
        <v>98</v>
      </c>
      <c r="B89" s="196">
        <v>338.4017606</v>
      </c>
      <c r="C89" s="196">
        <v>-261.1049248</v>
      </c>
    </row>
    <row r="90">
      <c r="A90" s="58" t="s">
        <v>68</v>
      </c>
      <c r="B90" s="196">
        <v>1.316709584E8</v>
      </c>
      <c r="C90" s="196">
        <v>-1.273310165E8</v>
      </c>
    </row>
    <row r="91">
      <c r="A91" s="58" t="s">
        <v>62</v>
      </c>
      <c r="B91" s="196">
        <v>2.339273837E8</v>
      </c>
      <c r="C91" s="196">
        <v>-2.293524629E8</v>
      </c>
    </row>
    <row r="92">
      <c r="A92" s="58" t="s">
        <v>241</v>
      </c>
      <c r="B92" s="196">
        <v>294387.9426</v>
      </c>
      <c r="C92" s="196">
        <v>-293022.1543</v>
      </c>
    </row>
    <row r="93">
      <c r="A93" s="58" t="s">
        <v>96</v>
      </c>
      <c r="B93" s="196">
        <v>52.50547601</v>
      </c>
      <c r="C93" s="196">
        <v>-9.865671041</v>
      </c>
    </row>
    <row r="94">
      <c r="A94" s="58" t="s">
        <v>248</v>
      </c>
      <c r="B94" s="196">
        <v>1044.03038</v>
      </c>
      <c r="C94" s="196">
        <v>0.0</v>
      </c>
    </row>
    <row r="95">
      <c r="A95" s="58" t="s">
        <v>257</v>
      </c>
      <c r="B95" s="196">
        <v>20007.23888</v>
      </c>
      <c r="C95" s="196">
        <v>0.0</v>
      </c>
    </row>
    <row r="96">
      <c r="A96" s="58" t="s">
        <v>75</v>
      </c>
      <c r="B96" s="196">
        <v>122594.1295</v>
      </c>
      <c r="C96" s="196">
        <v>-123080.2447</v>
      </c>
    </row>
    <row r="97">
      <c r="A97" s="58" t="s">
        <v>80</v>
      </c>
      <c r="B97" s="196">
        <v>1.48177688E7</v>
      </c>
      <c r="C97" s="196">
        <v>-1.484525916E7</v>
      </c>
    </row>
    <row r="98">
      <c r="A98" s="58" t="s">
        <v>480</v>
      </c>
      <c r="B98" s="196">
        <v>737094.8002</v>
      </c>
      <c r="C98" s="196">
        <v>-755650.5794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2" max="2" width="12.88"/>
    <col customWidth="1" min="3" max="3" width="18.13"/>
    <col customWidth="1" min="9" max="9" width="21.13"/>
    <col customWidth="1" min="10" max="10" width="20.88"/>
  </cols>
  <sheetData>
    <row r="1">
      <c r="A1" s="66" t="str">
        <f>Coin_Total_Asset_Liability!A1</f>
        <v>Coin</v>
      </c>
      <c r="B1" s="66" t="str">
        <f>Coin_Total_Asset_Liability!B1</f>
        <v>Net Assets Total</v>
      </c>
      <c r="C1" s="66" t="str">
        <f>Coin_Total_Asset_Liability!C1</f>
        <v>Net Liabilities Total</v>
      </c>
      <c r="D1" s="58" t="s">
        <v>523</v>
      </c>
      <c r="E1" s="94" t="s">
        <v>468</v>
      </c>
      <c r="F1" s="57" t="s">
        <v>524</v>
      </c>
      <c r="G1" s="59" t="s">
        <v>525</v>
      </c>
      <c r="I1" s="57" t="s">
        <v>526</v>
      </c>
      <c r="J1" s="57" t="s">
        <v>527</v>
      </c>
    </row>
    <row r="2">
      <c r="D2" s="66" t="str">
        <f>Coin_Total_Asset_Liability!D2</f>
        <v/>
      </c>
      <c r="E2" s="81"/>
      <c r="F2" s="38"/>
      <c r="G2" s="39" t="str">
        <f>IFERROR(If(A2="CEL",0, VLOOKUP(A2,COFA!A:B,2,FALSE)))</f>
        <v/>
      </c>
      <c r="I2" s="38"/>
      <c r="J2" s="38"/>
    </row>
    <row r="3">
      <c r="A3" s="66" t="str">
        <f>Coin_Total_Asset_Liability!A3</f>
        <v>1INCH</v>
      </c>
      <c r="B3" s="66">
        <f>Coin_Total_Asset_Liability!B3</f>
        <v>6885080.063</v>
      </c>
      <c r="C3" s="66">
        <f>Coin_Total_Asset_Liability!C3</f>
        <v>-778768.8394</v>
      </c>
      <c r="D3" s="66">
        <f t="shared" ref="D3:D95" si="1">B3+C3</f>
        <v>6106311.224</v>
      </c>
      <c r="E3" s="81">
        <f>iferror(VLOOKUP(A3,Price!A:B,2,False))</f>
        <v>2.358615111</v>
      </c>
      <c r="F3" s="38">
        <f t="shared" ref="F3:F95" si="2">E3*D3</f>
        <v>14402437.92</v>
      </c>
      <c r="G3" s="39">
        <f>If(A3="CEL",0,iferror(VLOOKUP(A3,COFA!A:B,2,FALSE),0))</f>
        <v>0.04</v>
      </c>
      <c r="I3" s="38">
        <f>E3*G3*D3</f>
        <v>576097.517</v>
      </c>
      <c r="J3" s="38">
        <f t="shared" ref="J3:J95" si="3">I3/52</f>
        <v>11078.7984</v>
      </c>
    </row>
    <row r="4">
      <c r="A4" s="66" t="str">
        <f>Coin_Total_Asset_Liability!A4</f>
        <v>3CRV</v>
      </c>
      <c r="B4" s="66">
        <f>Coin_Total_Asset_Liability!B4</f>
        <v>46907101.8</v>
      </c>
      <c r="C4" s="66">
        <f>Coin_Total_Asset_Liability!C4</f>
        <v>-20267585.36</v>
      </c>
      <c r="D4" s="66">
        <f t="shared" si="1"/>
        <v>26639516.44</v>
      </c>
      <c r="E4" s="81">
        <f>iferror(VLOOKUP(A4,Price!A:B,2,False))</f>
        <v>1.02</v>
      </c>
      <c r="F4" s="38">
        <f t="shared" si="2"/>
        <v>27172306.77</v>
      </c>
      <c r="G4" s="39" t="str">
        <f>If(A4="CEL",0,iferror(VLOOKUP(A4,COFA!A:B,2,FALSE),0))</f>
        <v>N/A</v>
      </c>
      <c r="I4" s="38" t="str">
        <f t="shared" ref="I4:I95" si="4">iferror(E4*G4*D4)</f>
        <v/>
      </c>
      <c r="J4" s="38">
        <f t="shared" si="3"/>
        <v>0</v>
      </c>
    </row>
    <row r="5">
      <c r="A5" s="66" t="str">
        <f>Coin_Total_Asset_Liability!A5</f>
        <v>AAVE</v>
      </c>
      <c r="B5" s="66">
        <f>Coin_Total_Asset_Liability!B5</f>
        <v>206066.441</v>
      </c>
      <c r="C5" s="66">
        <f>Coin_Total_Asset_Liability!C5</f>
        <v>-198920.987</v>
      </c>
      <c r="D5" s="66">
        <f t="shared" si="1"/>
        <v>7145.454</v>
      </c>
      <c r="E5" s="81">
        <f>iferror(VLOOKUP(A5,Price!A:B,2,False))</f>
        <v>173.1638356</v>
      </c>
      <c r="F5" s="38">
        <f t="shared" si="2"/>
        <v>1237334.222</v>
      </c>
      <c r="G5" s="39">
        <f>If(A5="CEL",0,iferror(VLOOKUP(A5,COFA!A:B,2,FALSE),0))</f>
        <v>0.0385</v>
      </c>
      <c r="I5" s="38">
        <f t="shared" si="4"/>
        <v>47637.36754</v>
      </c>
      <c r="J5" s="38">
        <f t="shared" si="3"/>
        <v>916.1032219</v>
      </c>
    </row>
    <row r="6">
      <c r="A6" s="66" t="str">
        <f>Coin_Total_Asset_Liability!A6</f>
        <v>ADA</v>
      </c>
      <c r="B6" s="66">
        <f>Coin_Total_Asset_Liability!B6</f>
        <v>258993004.3</v>
      </c>
      <c r="C6" s="66">
        <f>Coin_Total_Asset_Liability!C6</f>
        <v>-221112898</v>
      </c>
      <c r="D6" s="66">
        <f t="shared" si="1"/>
        <v>37880106.3</v>
      </c>
      <c r="E6" s="81">
        <f>iferror(VLOOKUP(A6,Price!A:B,2,False))</f>
        <v>1.224927047</v>
      </c>
      <c r="F6" s="38">
        <f t="shared" si="2"/>
        <v>46400366.75</v>
      </c>
      <c r="G6" s="39">
        <f>If(A6="CEL",0,iferror(VLOOKUP(A6,COFA!A:B,2,FALSE),0))</f>
        <v>0.0205</v>
      </c>
      <c r="I6" s="38">
        <f t="shared" si="4"/>
        <v>951207.5184</v>
      </c>
      <c r="J6" s="38">
        <f t="shared" si="3"/>
        <v>18292.45228</v>
      </c>
    </row>
    <row r="7">
      <c r="A7" s="66" t="str">
        <f>Coin_Total_Asset_Liability!A7</f>
        <v>ALCX</v>
      </c>
      <c r="B7" s="66">
        <f>Coin_Total_Asset_Liability!B7</f>
        <v>0.01369194501</v>
      </c>
      <c r="C7" s="66">
        <f>Coin_Total_Asset_Liability!C7</f>
        <v>0</v>
      </c>
      <c r="D7" s="66">
        <f t="shared" si="1"/>
        <v>0.01369194501</v>
      </c>
      <c r="E7" s="81">
        <f>iferror(VLOOKUP(A7,Price!A:B,2,False))</f>
        <v>180.32</v>
      </c>
      <c r="F7" s="38">
        <f t="shared" si="2"/>
        <v>2.468931524</v>
      </c>
      <c r="G7" s="39" t="str">
        <f>If(A7="CEL",0,iferror(VLOOKUP(A7,COFA!A:B,2,FALSE),0))</f>
        <v>N/A</v>
      </c>
      <c r="I7" s="38" t="str">
        <f t="shared" si="4"/>
        <v/>
      </c>
      <c r="J7" s="38">
        <f t="shared" si="3"/>
        <v>0</v>
      </c>
    </row>
    <row r="8">
      <c r="A8" s="66" t="str">
        <f>Coin_Total_Asset_Liability!A8</f>
        <v>ALPHA</v>
      </c>
      <c r="B8" s="66">
        <f>Coin_Total_Asset_Liability!B8</f>
        <v>552645.0164</v>
      </c>
      <c r="C8" s="66">
        <f>Coin_Total_Asset_Liability!C8</f>
        <v>0</v>
      </c>
      <c r="D8" s="66">
        <f t="shared" si="1"/>
        <v>552645.0164</v>
      </c>
      <c r="E8" s="81">
        <f>iferror(VLOOKUP(A8,Price!A:B,2,False))</f>
        <v>0.6678409518</v>
      </c>
      <c r="F8" s="38">
        <f t="shared" si="2"/>
        <v>369078.9738</v>
      </c>
      <c r="G8" s="39" t="str">
        <f>If(A8="CEL",0,iferror(VLOOKUP(A8,COFA!A:B,2,FALSE),0))</f>
        <v>N/A</v>
      </c>
      <c r="I8" s="38" t="str">
        <f t="shared" si="4"/>
        <v/>
      </c>
      <c r="J8" s="38">
        <f t="shared" si="3"/>
        <v>0</v>
      </c>
    </row>
    <row r="9">
      <c r="A9" s="66" t="str">
        <f>Coin_Total_Asset_Liability!A9</f>
        <v>alUSD</v>
      </c>
      <c r="B9" s="66">
        <f>Coin_Total_Asset_Liability!B9</f>
        <v>17864636.26</v>
      </c>
      <c r="C9" s="66">
        <f>Coin_Total_Asset_Liability!C9</f>
        <v>0</v>
      </c>
      <c r="D9" s="66">
        <f t="shared" si="1"/>
        <v>17864636.26</v>
      </c>
      <c r="E9" s="81">
        <f>iferror(VLOOKUP(A9,Price!A:B,2,False))</f>
        <v>1</v>
      </c>
      <c r="F9" s="38">
        <f t="shared" si="2"/>
        <v>17864636.26</v>
      </c>
      <c r="G9" s="39" t="str">
        <f>If(A9="CEL",0,iferror(VLOOKUP(A9,COFA!A:B,2,FALSE),0))</f>
        <v>N/A</v>
      </c>
      <c r="I9" s="38" t="str">
        <f t="shared" si="4"/>
        <v/>
      </c>
      <c r="J9" s="38">
        <f t="shared" si="3"/>
        <v>0</v>
      </c>
    </row>
    <row r="10">
      <c r="A10" s="66" t="str">
        <f>Coin_Total_Asset_Liability!A10</f>
        <v>AMPL</v>
      </c>
      <c r="B10" s="66">
        <f>Coin_Total_Asset_Liability!B10</f>
        <v>4689.634052</v>
      </c>
      <c r="C10" s="66">
        <f>Coin_Total_Asset_Liability!C10</f>
        <v>0</v>
      </c>
      <c r="D10" s="66">
        <f t="shared" si="1"/>
        <v>4689.634052</v>
      </c>
      <c r="E10" s="81">
        <f>iferror(VLOOKUP(A10,Price!A:B,2,False))</f>
        <v>0.9086764428</v>
      </c>
      <c r="F10" s="38">
        <f t="shared" si="2"/>
        <v>4261.359988</v>
      </c>
      <c r="G10" s="39" t="str">
        <f>If(A10="CEL",0,iferror(VLOOKUP(A10,COFA!A:B,2,FALSE),0))</f>
        <v>N/A</v>
      </c>
      <c r="I10" s="38" t="str">
        <f t="shared" si="4"/>
        <v/>
      </c>
      <c r="J10" s="38">
        <f t="shared" si="3"/>
        <v>0</v>
      </c>
    </row>
    <row r="11">
      <c r="A11" s="66" t="str">
        <f>Coin_Total_Asset_Liability!A11</f>
        <v>ANKR</v>
      </c>
      <c r="B11" s="66">
        <f>Coin_Total_Asset_Liability!B11</f>
        <v>48602.39536</v>
      </c>
      <c r="C11" s="66">
        <f>Coin_Total_Asset_Liability!C11</f>
        <v>0</v>
      </c>
      <c r="D11" s="66">
        <f t="shared" si="1"/>
        <v>48602.39536</v>
      </c>
      <c r="E11" s="81">
        <f>iferror(VLOOKUP(A11,Price!A:B,2,False))</f>
        <v>0.0968507155</v>
      </c>
      <c r="F11" s="38">
        <f t="shared" si="2"/>
        <v>4707.176766</v>
      </c>
      <c r="G11" s="39" t="str">
        <f>If(A11="CEL",0,iferror(VLOOKUP(A11,COFA!A:B,2,FALSE),0))</f>
        <v>N/A</v>
      </c>
      <c r="I11" s="38" t="str">
        <f t="shared" si="4"/>
        <v/>
      </c>
      <c r="J11" s="38">
        <f t="shared" si="3"/>
        <v>0</v>
      </c>
    </row>
    <row r="12">
      <c r="A12" s="66" t="str">
        <f>Coin_Total_Asset_Liability!A12</f>
        <v>ATLAS</v>
      </c>
      <c r="B12" s="66">
        <f>Coin_Total_Asset_Liability!B12</f>
        <v>7269608.577</v>
      </c>
      <c r="C12" s="66">
        <f>Coin_Total_Asset_Liability!C12</f>
        <v>0</v>
      </c>
      <c r="D12" s="66">
        <f t="shared" si="1"/>
        <v>7269608.577</v>
      </c>
      <c r="E12" s="81">
        <f>iferror(VLOOKUP(A12,Price!A:B,2,False))</f>
        <v>0.095818</v>
      </c>
      <c r="F12" s="38">
        <f t="shared" si="2"/>
        <v>696559.3546</v>
      </c>
      <c r="G12" s="39">
        <f>If(A12="CEL",0,iferror(VLOOKUP(A12,COFA!A:B,2,FALSE),0))</f>
        <v>0</v>
      </c>
      <c r="I12" s="38">
        <f t="shared" si="4"/>
        <v>0</v>
      </c>
      <c r="J12" s="38">
        <f t="shared" si="3"/>
        <v>0</v>
      </c>
    </row>
    <row r="13">
      <c r="A13" s="66" t="str">
        <f>Coin_Total_Asset_Liability!A13</f>
        <v>AVAX</v>
      </c>
      <c r="B13" s="66">
        <f>Coin_Total_Asset_Liability!B13</f>
        <v>128672.0082</v>
      </c>
      <c r="C13" s="66">
        <f>Coin_Total_Asset_Liability!C13</f>
        <v>0</v>
      </c>
      <c r="D13" s="66">
        <f t="shared" si="1"/>
        <v>128672.0082</v>
      </c>
      <c r="E13" s="81">
        <f>iferror(VLOOKUP(A13,Price!A:B,2,False))</f>
        <v>104.1704915</v>
      </c>
      <c r="F13" s="38">
        <f t="shared" si="2"/>
        <v>13403826.34</v>
      </c>
      <c r="G13" s="39">
        <f>If(A13="CEL",0,iferror(VLOOKUP(A13,COFA!A:B,2,FALSE),0))</f>
        <v>0</v>
      </c>
      <c r="I13" s="38">
        <f t="shared" si="4"/>
        <v>0</v>
      </c>
      <c r="J13" s="38">
        <f t="shared" si="3"/>
        <v>0</v>
      </c>
    </row>
    <row r="14">
      <c r="A14" s="66" t="str">
        <f>Coin_Total_Asset_Liability!A14</f>
        <v>BADGER</v>
      </c>
      <c r="B14" s="66">
        <f>Coin_Total_Asset_Liability!B14</f>
        <v>231511.6257</v>
      </c>
      <c r="C14" s="66">
        <f>Coin_Total_Asset_Liability!C14</f>
        <v>0</v>
      </c>
      <c r="D14" s="66">
        <f t="shared" si="1"/>
        <v>231511.6257</v>
      </c>
      <c r="E14" s="81">
        <f>iferror(VLOOKUP(A14,Price!A:B,2,False))</f>
        <v>14.44190837</v>
      </c>
      <c r="F14" s="38">
        <f t="shared" si="2"/>
        <v>3343469.685</v>
      </c>
      <c r="G14" s="39" t="str">
        <f>If(A14="CEL",0,iferror(VLOOKUP(A14,COFA!A:B,2,FALSE),0))</f>
        <v>N/A</v>
      </c>
      <c r="I14" s="38" t="str">
        <f t="shared" si="4"/>
        <v/>
      </c>
      <c r="J14" s="38">
        <f t="shared" si="3"/>
        <v>0</v>
      </c>
    </row>
    <row r="15">
      <c r="A15" s="66" t="str">
        <f>Coin_Total_Asset_Liability!A15</f>
        <v>BAL</v>
      </c>
      <c r="B15" s="66">
        <f>Coin_Total_Asset_Liability!B15</f>
        <v>12376.25604</v>
      </c>
      <c r="C15" s="66">
        <f>Coin_Total_Asset_Liability!C15</f>
        <v>-7204.070357</v>
      </c>
      <c r="D15" s="66">
        <f t="shared" si="1"/>
        <v>5172.185683</v>
      </c>
      <c r="E15" s="81">
        <f>iferror(VLOOKUP(A15,Price!A:B,2,False))</f>
        <v>17.65911299</v>
      </c>
      <c r="F15" s="38">
        <f t="shared" si="2"/>
        <v>91336.21138</v>
      </c>
      <c r="G15" s="39" t="str">
        <f>If(A15="CEL",0,iferror(VLOOKUP(A15,COFA!A:B,2,FALSE),0))</f>
        <v>N/A</v>
      </c>
      <c r="I15" s="38" t="str">
        <f t="shared" si="4"/>
        <v/>
      </c>
      <c r="J15" s="38">
        <f t="shared" si="3"/>
        <v>0</v>
      </c>
    </row>
    <row r="16">
      <c r="A16" s="66" t="str">
        <f>Coin_Total_Asset_Liability!A16</f>
        <v>BAT</v>
      </c>
      <c r="B16" s="66">
        <f>Coin_Total_Asset_Liability!B16</f>
        <v>18305500.84</v>
      </c>
      <c r="C16" s="66">
        <f>Coin_Total_Asset_Liability!C16</f>
        <v>-18630887.54</v>
      </c>
      <c r="D16" s="66">
        <f t="shared" si="1"/>
        <v>-325386.7</v>
      </c>
      <c r="E16" s="81">
        <f>iferror(VLOOKUP(A16,Price!A:B,2,False))</f>
        <v>1.078602899</v>
      </c>
      <c r="F16" s="38">
        <f t="shared" si="2"/>
        <v>-350963.0379</v>
      </c>
      <c r="G16" s="39">
        <f>If(A16="CEL",0,iferror(VLOOKUP(A16,COFA!A:B,2,FALSE),0))</f>
        <v>0.0097</v>
      </c>
      <c r="I16" s="38">
        <f t="shared" si="4"/>
        <v>-3404.341468</v>
      </c>
      <c r="J16" s="38">
        <f t="shared" si="3"/>
        <v>-65.46810515</v>
      </c>
    </row>
    <row r="17">
      <c r="A17" s="66" t="str">
        <f>Coin_Total_Asset_Liability!A17</f>
        <v>BCH</v>
      </c>
      <c r="B17" s="66">
        <f>Coin_Total_Asset_Liability!B17</f>
        <v>91609.60096</v>
      </c>
      <c r="C17" s="66">
        <f>Coin_Total_Asset_Liability!C17</f>
        <v>-89907.96157</v>
      </c>
      <c r="D17" s="66">
        <f t="shared" si="1"/>
        <v>1701.63939</v>
      </c>
      <c r="E17" s="81">
        <f>iferror(VLOOKUP(A17,Price!A:B,2,False))</f>
        <v>427.8766983</v>
      </c>
      <c r="F17" s="38">
        <f t="shared" si="2"/>
        <v>728091.8439</v>
      </c>
      <c r="G17" s="39">
        <f>If(A17="CEL",0,iferror(VLOOKUP(A17,COFA!A:B,2,FALSE),0))</f>
        <v>0.0225</v>
      </c>
      <c r="I17" s="38">
        <f t="shared" si="4"/>
        <v>16382.06649</v>
      </c>
      <c r="J17" s="38">
        <f t="shared" si="3"/>
        <v>315.0397401</v>
      </c>
    </row>
    <row r="18">
      <c r="A18" s="66" t="str">
        <f>Coin_Total_Asset_Liability!A18</f>
        <v>BNB</v>
      </c>
      <c r="B18" s="66">
        <f>Coin_Total_Asset_Liability!B18</f>
        <v>72108.49626</v>
      </c>
      <c r="C18" s="66">
        <f>Coin_Total_Asset_Liability!C18</f>
        <v>-79539.35497</v>
      </c>
      <c r="D18" s="66">
        <f t="shared" si="1"/>
        <v>-7430.85871</v>
      </c>
      <c r="E18" s="81">
        <f>iferror(VLOOKUP(A18,Price!A:B,2,False))</f>
        <v>520.1023256</v>
      </c>
      <c r="F18" s="38">
        <f t="shared" si="2"/>
        <v>-3864806.896</v>
      </c>
      <c r="G18" s="39">
        <f>If(A18="CEL",0,iferror(VLOOKUP(A18,COFA!A:B,2,FALSE),0))</f>
        <v>0.0581</v>
      </c>
      <c r="I18" s="38">
        <f t="shared" si="4"/>
        <v>-224545.2807</v>
      </c>
      <c r="J18" s="38">
        <f t="shared" si="3"/>
        <v>-4318.178474</v>
      </c>
    </row>
    <row r="19">
      <c r="A19" s="66" t="str">
        <f>Coin_Total_Asset_Liability!A19</f>
        <v>BNT</v>
      </c>
      <c r="B19" s="66">
        <f>Coin_Total_Asset_Liability!B19</f>
        <v>3966888.508</v>
      </c>
      <c r="C19" s="66">
        <f>Coin_Total_Asset_Liability!C19</f>
        <v>-936367.8172</v>
      </c>
      <c r="D19" s="66">
        <f t="shared" si="1"/>
        <v>3030520.691</v>
      </c>
      <c r="E19" s="81">
        <f>iferror(VLOOKUP(A19,Price!A:B,2,False))</f>
        <v>3.165969505</v>
      </c>
      <c r="F19" s="38">
        <f t="shared" si="2"/>
        <v>9594536.091</v>
      </c>
      <c r="G19" s="39">
        <f>If(A19="CEL",0,iferror(VLOOKUP(A19,COFA!A:B,2,FALSE),0))</f>
        <v>0.0595</v>
      </c>
      <c r="I19" s="38">
        <f t="shared" si="4"/>
        <v>570874.8974</v>
      </c>
      <c r="J19" s="38">
        <f t="shared" si="3"/>
        <v>10978.36341</v>
      </c>
    </row>
    <row r="20">
      <c r="A20" s="66" t="str">
        <f>Coin_Total_Asset_Liability!A20</f>
        <v>BOBA</v>
      </c>
      <c r="B20" s="66">
        <f>Coin_Total_Asset_Liability!B20</f>
        <v>400000.1271</v>
      </c>
      <c r="C20" s="66">
        <f>Coin_Total_Asset_Liability!C20</f>
        <v>0</v>
      </c>
      <c r="D20" s="66">
        <f t="shared" si="1"/>
        <v>400000.1271</v>
      </c>
      <c r="E20" s="81">
        <f>iferror(VLOOKUP(A20,Price!A:B,2,False))</f>
        <v>3.01</v>
      </c>
      <c r="F20" s="38">
        <f t="shared" si="2"/>
        <v>1204000.383</v>
      </c>
      <c r="G20" s="39">
        <f>If(A20="CEL",0,iferror(VLOOKUP(A20,COFA!A:B,2,FALSE),0))</f>
        <v>0</v>
      </c>
      <c r="I20" s="38">
        <f t="shared" si="4"/>
        <v>0</v>
      </c>
      <c r="J20" s="38">
        <f t="shared" si="3"/>
        <v>0</v>
      </c>
    </row>
    <row r="21">
      <c r="A21" s="66" t="str">
        <f>Coin_Total_Asset_Liability!A21</f>
        <v>BOND</v>
      </c>
      <c r="B21" s="66">
        <f>Coin_Total_Asset_Liability!B21</f>
        <v>273.8501463</v>
      </c>
      <c r="C21" s="66">
        <f>Coin_Total_Asset_Liability!C21</f>
        <v>0</v>
      </c>
      <c r="D21" s="66">
        <f t="shared" si="1"/>
        <v>273.8501463</v>
      </c>
      <c r="E21" s="81">
        <f>iferror(VLOOKUP(A21,Price!A:B,2,False))</f>
        <v>15.06</v>
      </c>
      <c r="F21" s="38">
        <f t="shared" si="2"/>
        <v>4124.183203</v>
      </c>
      <c r="G21" s="39" t="str">
        <f>If(A21="CEL",0,iferror(VLOOKUP(A21,COFA!A:B,2,FALSE),0))</f>
        <v>N/A</v>
      </c>
      <c r="I21" s="38" t="str">
        <f t="shared" si="4"/>
        <v/>
      </c>
      <c r="J21" s="38">
        <f t="shared" si="3"/>
        <v>0</v>
      </c>
    </row>
    <row r="22">
      <c r="A22" s="66" t="str">
        <f>Coin_Total_Asset_Liability!A22</f>
        <v>BOR</v>
      </c>
      <c r="B22" s="66">
        <f>Coin_Total_Asset_Liability!B22</f>
        <v>220.6933202</v>
      </c>
      <c r="C22" s="66">
        <f>Coin_Total_Asset_Liability!C22</f>
        <v>0</v>
      </c>
      <c r="D22" s="66">
        <f t="shared" si="1"/>
        <v>220.6933202</v>
      </c>
      <c r="E22" s="81">
        <f>iferror(VLOOKUP(A22,Price!A:B,2,False))</f>
        <v>408.09</v>
      </c>
      <c r="F22" s="38">
        <f t="shared" si="2"/>
        <v>90062.73704</v>
      </c>
      <c r="G22" s="39" t="str">
        <f>If(A22="CEL",0,iferror(VLOOKUP(A22,COFA!A:B,2,FALSE),0))</f>
        <v>N/A</v>
      </c>
      <c r="I22" s="38" t="str">
        <f t="shared" si="4"/>
        <v/>
      </c>
      <c r="J22" s="38">
        <f t="shared" si="3"/>
        <v>0</v>
      </c>
    </row>
    <row r="23">
      <c r="A23" s="66" t="str">
        <f>Coin_Total_Asset_Liability!A23</f>
        <v>BSV</v>
      </c>
      <c r="B23" s="66">
        <f>Coin_Total_Asset_Liability!B23</f>
        <v>30222.32106</v>
      </c>
      <c r="C23" s="66">
        <f>Coin_Total_Asset_Liability!C23</f>
        <v>-29416.72825</v>
      </c>
      <c r="D23" s="66">
        <f t="shared" si="1"/>
        <v>805.59281</v>
      </c>
      <c r="E23" s="81">
        <f>iferror(VLOOKUP(A23,Price!A:B,2,False))</f>
        <v>121.68</v>
      </c>
      <c r="F23" s="38">
        <f t="shared" si="2"/>
        <v>98024.53312</v>
      </c>
      <c r="G23" s="39">
        <f>If(A23="CEL",0,iferror(VLOOKUP(A23,COFA!A:B,2,FALSE),0))</f>
        <v>0.0183</v>
      </c>
      <c r="I23" s="38">
        <f t="shared" si="4"/>
        <v>1793.848956</v>
      </c>
      <c r="J23" s="38">
        <f t="shared" si="3"/>
        <v>34.49709531</v>
      </c>
    </row>
    <row r="24">
      <c r="A24" s="66" t="str">
        <f>Coin_Total_Asset_Liability!A24</f>
        <v>BTC</v>
      </c>
      <c r="B24" s="66">
        <f>Coin_Total_Asset_Liability!B24</f>
        <v>118491.0299</v>
      </c>
      <c r="C24" s="66">
        <f>Coin_Total_Asset_Liability!C24</f>
        <v>-146099.0912</v>
      </c>
      <c r="D24" s="66">
        <f t="shared" si="1"/>
        <v>-27608.0613</v>
      </c>
      <c r="E24" s="81">
        <f>iferror(VLOOKUP(A24,Price!A:B,2,False))</f>
        <v>46314.63028</v>
      </c>
      <c r="F24" s="38">
        <f t="shared" si="2"/>
        <v>-1278657152</v>
      </c>
      <c r="G24" s="39">
        <f>If(A24="CEL",0,iferror(VLOOKUP(A24,COFA!A:B,2,FALSE),0))</f>
        <v>0.0298</v>
      </c>
      <c r="I24" s="38">
        <f t="shared" si="4"/>
        <v>-38103983.13</v>
      </c>
      <c r="J24" s="38">
        <f t="shared" si="3"/>
        <v>-732768.9063</v>
      </c>
    </row>
    <row r="25">
      <c r="A25" s="66" t="str">
        <f>Coin_Total_Asset_Liability!A25</f>
        <v>BTG</v>
      </c>
      <c r="B25" s="66">
        <f>Coin_Total_Asset_Liability!B25</f>
        <v>3867.471676</v>
      </c>
      <c r="C25" s="66">
        <f>Coin_Total_Asset_Liability!C25</f>
        <v>-0.240714734</v>
      </c>
      <c r="D25" s="66">
        <f t="shared" si="1"/>
        <v>3867.230961</v>
      </c>
      <c r="E25" s="81">
        <f>iferror(VLOOKUP(A25,Price!A:B,2,False))</f>
        <v>40.15750772</v>
      </c>
      <c r="F25" s="38">
        <f t="shared" si="2"/>
        <v>155298.3572</v>
      </c>
      <c r="G25" s="39">
        <f>If(A25="CEL",0,iferror(VLOOKUP(A25,COFA!A:B,2,FALSE),0))</f>
        <v>0</v>
      </c>
      <c r="I25" s="38">
        <f t="shared" si="4"/>
        <v>0</v>
      </c>
      <c r="J25" s="38">
        <f t="shared" si="3"/>
        <v>0</v>
      </c>
    </row>
    <row r="26">
      <c r="A26" s="66" t="str">
        <f>Coin_Total_Asset_Liability!A26</f>
        <v>BUSD</v>
      </c>
      <c r="B26" s="66">
        <f>Coin_Total_Asset_Liability!B26</f>
        <v>10577622.59</v>
      </c>
      <c r="C26" s="66">
        <f>Coin_Total_Asset_Liability!C26</f>
        <v>-64197247.84</v>
      </c>
      <c r="D26" s="66">
        <f t="shared" si="1"/>
        <v>-53619625.25</v>
      </c>
      <c r="E26" s="81">
        <f>iferror(VLOOKUP(A26,Price!A:B,2,False))</f>
        <v>1.001657754</v>
      </c>
      <c r="F26" s="38">
        <f t="shared" si="2"/>
        <v>-53708513.4</v>
      </c>
      <c r="G26" s="39" t="str">
        <f>If(A26="CEL",0,iferror(VLOOKUP(A26,COFA!A:B,2,FALSE),0))</f>
        <v>N/A</v>
      </c>
      <c r="I26" s="38" t="str">
        <f t="shared" si="4"/>
        <v/>
      </c>
      <c r="J26" s="38">
        <f t="shared" si="3"/>
        <v>0</v>
      </c>
    </row>
    <row r="27">
      <c r="A27" s="66" t="str">
        <f>Coin_Total_Asset_Liability!A27</f>
        <v>CEL</v>
      </c>
      <c r="B27" s="66">
        <f>Coin_Total_Asset_Liability!B27</f>
        <v>657294226.9</v>
      </c>
      <c r="C27" s="66">
        <f>Coin_Total_Asset_Liability!C27</f>
        <v>-322052378.4</v>
      </c>
      <c r="D27" s="66">
        <f t="shared" si="1"/>
        <v>335241848.5</v>
      </c>
      <c r="E27" s="81">
        <f>iferror(VLOOKUP(A27,Price!A:B,2,False))</f>
        <v>3.916622336</v>
      </c>
      <c r="F27" s="38">
        <f t="shared" si="2"/>
        <v>1313015712</v>
      </c>
      <c r="G27" s="39">
        <f>If(A27="CEL",0,iferror(VLOOKUP(A27,COFA!A:B,2,FALSE),0))</f>
        <v>0</v>
      </c>
      <c r="I27" s="38">
        <f t="shared" si="4"/>
        <v>0</v>
      </c>
      <c r="J27" s="38">
        <f t="shared" si="3"/>
        <v>0</v>
      </c>
    </row>
    <row r="28">
      <c r="A28" s="66" t="str">
        <f>Coin_Total_Asset_Liability!A28</f>
        <v>COMP</v>
      </c>
      <c r="B28" s="66">
        <f>Coin_Total_Asset_Liability!B28</f>
        <v>43105.10981</v>
      </c>
      <c r="C28" s="66">
        <f>Coin_Total_Asset_Liability!C28</f>
        <v>-40464.37756</v>
      </c>
      <c r="D28" s="66">
        <f t="shared" si="1"/>
        <v>2640.73225</v>
      </c>
      <c r="E28" s="81">
        <f>iferror(VLOOKUP(A28,Price!A:B,2,False))</f>
        <v>187.58</v>
      </c>
      <c r="F28" s="38">
        <f t="shared" si="2"/>
        <v>495348.5555</v>
      </c>
      <c r="G28" s="39">
        <f>If(A28="CEL",0,iferror(VLOOKUP(A28,COFA!A:B,2,FALSE),0))</f>
        <v>0.0453</v>
      </c>
      <c r="I28" s="38">
        <f t="shared" si="4"/>
        <v>22439.28956</v>
      </c>
      <c r="J28" s="38">
        <f t="shared" si="3"/>
        <v>431.5247993</v>
      </c>
    </row>
    <row r="29">
      <c r="A29" s="66" t="str">
        <f>Coin_Total_Asset_Liability!A29</f>
        <v>CREAM</v>
      </c>
      <c r="B29" s="66">
        <f>Coin_Total_Asset_Liability!B29</f>
        <v>5.139779179</v>
      </c>
      <c r="C29" s="66">
        <f>Coin_Total_Asset_Liability!C29</f>
        <v>0</v>
      </c>
      <c r="D29" s="66">
        <f t="shared" si="1"/>
        <v>5.139779179</v>
      </c>
      <c r="E29" s="81">
        <f>iferror(VLOOKUP(A29,Price!A:B,2,False))</f>
        <v>30.84</v>
      </c>
      <c r="F29" s="38">
        <f t="shared" si="2"/>
        <v>158.5107899</v>
      </c>
      <c r="G29" s="39">
        <f>If(A29="CEL",0,iferror(VLOOKUP(A29,COFA!A:B,2,FALSE),0))</f>
        <v>0</v>
      </c>
      <c r="I29" s="38">
        <f t="shared" si="4"/>
        <v>0</v>
      </c>
      <c r="J29" s="38">
        <f t="shared" si="3"/>
        <v>0</v>
      </c>
    </row>
    <row r="30">
      <c r="A30" s="66" t="str">
        <f>Coin_Total_Asset_Liability!A30</f>
        <v>CRV</v>
      </c>
      <c r="B30" s="66">
        <f>Coin_Total_Asset_Liability!B30</f>
        <v>1284979.282</v>
      </c>
      <c r="C30" s="66">
        <f>Coin_Total_Asset_Liability!C30</f>
        <v>-2.750943737</v>
      </c>
      <c r="D30" s="66">
        <f t="shared" si="1"/>
        <v>1284976.531</v>
      </c>
      <c r="E30" s="81">
        <f>iferror(VLOOKUP(A30,Price!A:B,2,False))</f>
        <v>3.991734421</v>
      </c>
      <c r="F30" s="38">
        <f t="shared" si="2"/>
        <v>5129285.049</v>
      </c>
      <c r="G30" s="39" t="str">
        <f>If(A30="CEL",0,iferror(VLOOKUP(A30,COFA!A:B,2,FALSE),0))</f>
        <v>N/A</v>
      </c>
      <c r="I30" s="38" t="str">
        <f t="shared" si="4"/>
        <v/>
      </c>
      <c r="J30" s="38">
        <f t="shared" si="3"/>
        <v>0</v>
      </c>
    </row>
    <row r="31">
      <c r="A31" s="66" t="str">
        <f>Coin_Total_Asset_Liability!A31</f>
        <v>CVX</v>
      </c>
      <c r="B31" s="66">
        <f>Coin_Total_Asset_Liability!B31</f>
        <v>283060.5414</v>
      </c>
      <c r="C31" s="66">
        <f>Coin_Total_Asset_Liability!C31</f>
        <v>0</v>
      </c>
      <c r="D31" s="66">
        <f t="shared" si="1"/>
        <v>283060.5414</v>
      </c>
      <c r="E31" s="81">
        <f>iferror(VLOOKUP(A31,Price!A:B,2,False))</f>
        <v>30.31</v>
      </c>
      <c r="F31" s="38">
        <f t="shared" si="2"/>
        <v>8579565.01</v>
      </c>
      <c r="G31" s="39" t="str">
        <f>If(A31="CEL",0,iferror(VLOOKUP(A31,COFA!A:B,2,FALSE),0))</f>
        <v>N/A</v>
      </c>
      <c r="I31" s="38" t="str">
        <f t="shared" si="4"/>
        <v/>
      </c>
      <c r="J31" s="38">
        <f t="shared" si="3"/>
        <v>0</v>
      </c>
    </row>
    <row r="32">
      <c r="A32" s="66" t="str">
        <f>Coin_Total_Asset_Liability!A32</f>
        <v>DASH</v>
      </c>
      <c r="B32" s="66">
        <f>Coin_Total_Asset_Liability!B32</f>
        <v>136839.8827</v>
      </c>
      <c r="C32" s="66">
        <f>Coin_Total_Asset_Liability!C32</f>
        <v>-137296.72</v>
      </c>
      <c r="D32" s="66">
        <f t="shared" si="1"/>
        <v>-456.8373</v>
      </c>
      <c r="E32" s="81">
        <f>iferror(VLOOKUP(A32,Price!A:B,2,False))</f>
        <v>127.3985472</v>
      </c>
      <c r="F32" s="38">
        <f t="shared" si="2"/>
        <v>-58200.40833</v>
      </c>
      <c r="G32" s="39">
        <f>If(A32="CEL",0,iferror(VLOOKUP(A32,COFA!A:B,2,FALSE),0))</f>
        <v>0.041</v>
      </c>
      <c r="I32" s="38">
        <f t="shared" si="4"/>
        <v>-2386.216741</v>
      </c>
      <c r="J32" s="38">
        <f t="shared" si="3"/>
        <v>-45.88878349</v>
      </c>
    </row>
    <row r="33">
      <c r="A33" s="66" t="str">
        <f>Coin_Total_Asset_Liability!A33</f>
        <v>DIGG</v>
      </c>
      <c r="B33" s="66">
        <f>Coin_Total_Asset_Liability!B33</f>
        <v>37.53214397</v>
      </c>
      <c r="C33" s="66">
        <f>Coin_Total_Asset_Liability!C33</f>
        <v>0</v>
      </c>
      <c r="D33" s="66">
        <f t="shared" si="1"/>
        <v>37.53214397</v>
      </c>
      <c r="E33" s="81">
        <f>iferror(VLOOKUP(A33,Price!A:B,2,False))</f>
        <v>35192.45221</v>
      </c>
      <c r="F33" s="38">
        <f t="shared" si="2"/>
        <v>1320848.183</v>
      </c>
      <c r="G33" s="39" t="str">
        <f>If(A33="CEL",0,iferror(VLOOKUP(A33,COFA!A:B,2,FALSE),0))</f>
        <v>N/A</v>
      </c>
      <c r="I33" s="38" t="str">
        <f t="shared" si="4"/>
        <v/>
      </c>
      <c r="J33" s="38">
        <f t="shared" si="3"/>
        <v>0</v>
      </c>
    </row>
    <row r="34">
      <c r="A34" s="66" t="str">
        <f>Coin_Total_Asset_Liability!A34</f>
        <v>DOT</v>
      </c>
      <c r="B34" s="66">
        <f>Coin_Total_Asset_Liability!B34</f>
        <v>2973378.989</v>
      </c>
      <c r="C34" s="66">
        <f>Coin_Total_Asset_Liability!C34</f>
        <v>-5317340.894</v>
      </c>
      <c r="D34" s="66">
        <f t="shared" si="1"/>
        <v>-2343961.905</v>
      </c>
      <c r="E34" s="81">
        <f>iferror(VLOOKUP(A34,Price!A:B,2,False))</f>
        <v>24.25242304</v>
      </c>
      <c r="F34" s="38">
        <f t="shared" si="2"/>
        <v>-56846755.71</v>
      </c>
      <c r="G34" s="39">
        <f>If(A34="CEL",0,iferror(VLOOKUP(A34,COFA!A:B,2,FALSE),0))</f>
        <v>0.0668</v>
      </c>
      <c r="I34" s="38">
        <f t="shared" si="4"/>
        <v>-3797363.281</v>
      </c>
      <c r="J34" s="38">
        <f t="shared" si="3"/>
        <v>-73026.21695</v>
      </c>
    </row>
    <row r="35">
      <c r="A35" s="66" t="str">
        <f>Coin_Total_Asset_Liability!A35</f>
        <v>EOS</v>
      </c>
      <c r="B35" s="66">
        <f>Coin_Total_Asset_Liability!B35</f>
        <v>6455538.374</v>
      </c>
      <c r="C35" s="66">
        <f>Coin_Total_Asset_Liability!C35</f>
        <v>-6190581.489</v>
      </c>
      <c r="D35" s="66">
        <f t="shared" si="1"/>
        <v>264956.885</v>
      </c>
      <c r="E35" s="81">
        <f>iferror(VLOOKUP(A35,Price!A:B,2,False))</f>
        <v>3.224794378</v>
      </c>
      <c r="F35" s="38">
        <f t="shared" si="2"/>
        <v>854431.4732</v>
      </c>
      <c r="G35" s="39">
        <f>If(A35="CEL",0,iferror(VLOOKUP(A35,COFA!A:B,2,FALSE),0))</f>
        <v>0.0288</v>
      </c>
      <c r="I35" s="38">
        <f t="shared" si="4"/>
        <v>24607.62643</v>
      </c>
      <c r="J35" s="38">
        <f t="shared" si="3"/>
        <v>473.2235851</v>
      </c>
    </row>
    <row r="36">
      <c r="A36" s="66" t="str">
        <f>Coin_Total_Asset_Liability!A36</f>
        <v>ETC</v>
      </c>
      <c r="B36" s="66">
        <f>Coin_Total_Asset_Liability!B36</f>
        <v>214644.2002</v>
      </c>
      <c r="C36" s="66">
        <f>Coin_Total_Asset_Liability!C36</f>
        <v>-325751.8661</v>
      </c>
      <c r="D36" s="66">
        <f t="shared" si="1"/>
        <v>-111107.6659</v>
      </c>
      <c r="E36" s="81">
        <f>iferror(VLOOKUP(A36,Price!A:B,2,False))</f>
        <v>34.29459694</v>
      </c>
      <c r="F36" s="38">
        <f t="shared" si="2"/>
        <v>-3810392.619</v>
      </c>
      <c r="G36" s="39">
        <f>If(A36="CEL",0,iferror(VLOOKUP(A36,COFA!A:B,2,FALSE),0))</f>
        <v>0.0298</v>
      </c>
      <c r="I36" s="38">
        <f t="shared" si="4"/>
        <v>-113549.7</v>
      </c>
      <c r="J36" s="38">
        <f t="shared" si="3"/>
        <v>-2183.648078</v>
      </c>
    </row>
    <row r="37">
      <c r="A37" s="66" t="str">
        <f>Coin_Total_Asset_Liability!A37</f>
        <v>ETH</v>
      </c>
      <c r="B37" s="66">
        <f>Coin_Total_Asset_Liability!B37</f>
        <v>1628325.81</v>
      </c>
      <c r="C37" s="66">
        <f>Coin_Total_Asset_Liability!C37</f>
        <v>-1552477.99</v>
      </c>
      <c r="D37" s="66">
        <f t="shared" si="1"/>
        <v>75847.82</v>
      </c>
      <c r="E37" s="81">
        <f>iferror(VLOOKUP(A37,Price!A:B,2,False))</f>
        <v>3819.675532</v>
      </c>
      <c r="F37" s="38">
        <f t="shared" si="2"/>
        <v>289714062.2</v>
      </c>
      <c r="G37" s="39">
        <f>If(A37="CEL",0,iferror(VLOOKUP(A37,COFA!A:B,2,FALSE),0))</f>
        <v>0.0384</v>
      </c>
      <c r="I37" s="38">
        <f t="shared" si="4"/>
        <v>11125019.99</v>
      </c>
      <c r="J37" s="38">
        <f t="shared" si="3"/>
        <v>213942.6921</v>
      </c>
    </row>
    <row r="38">
      <c r="A38" s="66" t="str">
        <f>Coin_Total_Asset_Liability!A38</f>
        <v>FARM</v>
      </c>
      <c r="B38" s="66">
        <f>Coin_Total_Asset_Liability!B38</f>
        <v>474.2709744</v>
      </c>
      <c r="C38" s="66">
        <f>Coin_Total_Asset_Liability!C38</f>
        <v>0</v>
      </c>
      <c r="D38" s="66">
        <f t="shared" si="1"/>
        <v>474.2709744</v>
      </c>
      <c r="E38" s="81">
        <f>iferror(VLOOKUP(A38,Price!A:B,2,False))</f>
        <v>88.74747431</v>
      </c>
      <c r="F38" s="38">
        <f t="shared" si="2"/>
        <v>42090.35112</v>
      </c>
      <c r="G38" s="39" t="str">
        <f>If(A38="CEL",0,iferror(VLOOKUP(A38,COFA!A:B,2,FALSE),0))</f>
        <v>N/A</v>
      </c>
      <c r="I38" s="38" t="str">
        <f t="shared" si="4"/>
        <v/>
      </c>
      <c r="J38" s="38">
        <f t="shared" si="3"/>
        <v>0</v>
      </c>
    </row>
    <row r="39">
      <c r="A39" s="66" t="str">
        <f>Coin_Total_Asset_Liability!A39</f>
        <v>FIS</v>
      </c>
      <c r="B39" s="66">
        <f>Coin_Total_Asset_Liability!B39</f>
        <v>28064.87165</v>
      </c>
      <c r="C39" s="66">
        <f>Coin_Total_Asset_Liability!C39</f>
        <v>0</v>
      </c>
      <c r="D39" s="66">
        <f t="shared" si="1"/>
        <v>28064.87165</v>
      </c>
      <c r="E39" s="81">
        <f>iferror(VLOOKUP(A39,Price!A:B,2,False))</f>
        <v>1.12</v>
      </c>
      <c r="F39" s="38">
        <f t="shared" si="2"/>
        <v>31432.65625</v>
      </c>
      <c r="G39" s="39" t="str">
        <f>If(A39="CEL",0,iferror(VLOOKUP(A39,COFA!A:B,2,FALSE),0))</f>
        <v>N/A</v>
      </c>
      <c r="I39" s="38" t="str">
        <f t="shared" si="4"/>
        <v/>
      </c>
      <c r="J39" s="38">
        <f t="shared" si="3"/>
        <v>0</v>
      </c>
    </row>
    <row r="40">
      <c r="A40" s="66" t="str">
        <f>Coin_Total_Asset_Liability!A40</f>
        <v>FTM</v>
      </c>
      <c r="B40" s="66">
        <f>Coin_Total_Asset_Liability!B40</f>
        <v>504618.051</v>
      </c>
      <c r="C40" s="66">
        <f>Coin_Total_Asset_Liability!C40</f>
        <v>0</v>
      </c>
      <c r="D40" s="66">
        <f t="shared" si="1"/>
        <v>504618.051</v>
      </c>
      <c r="E40" s="81">
        <f>iferror(VLOOKUP(A40,Price!A:B,2,False))</f>
        <v>1.362562138</v>
      </c>
      <c r="F40" s="38">
        <f t="shared" si="2"/>
        <v>687573.4504</v>
      </c>
      <c r="G40" s="39">
        <f>If(A40="CEL",0,iferror(VLOOKUP(A40,COFA!A:B,2,FALSE),0))</f>
        <v>0</v>
      </c>
      <c r="I40" s="38">
        <f t="shared" si="4"/>
        <v>0</v>
      </c>
      <c r="J40" s="38">
        <f t="shared" si="3"/>
        <v>0</v>
      </c>
    </row>
    <row r="41">
      <c r="A41" s="66" t="str">
        <f>Coin_Total_Asset_Liability!A41</f>
        <v>FTT</v>
      </c>
      <c r="B41" s="66">
        <f>Coin_Total_Asset_Liability!B41</f>
        <v>16767659.26</v>
      </c>
      <c r="C41" s="66">
        <f>Coin_Total_Asset_Liability!C41</f>
        <v>-15716438.88</v>
      </c>
      <c r="D41" s="66">
        <f t="shared" si="1"/>
        <v>1051220.38</v>
      </c>
      <c r="E41" s="81">
        <f>iferror(VLOOKUP(A41,Price!A:B,2,False))</f>
        <v>39.51861627</v>
      </c>
      <c r="F41" s="38">
        <f t="shared" si="2"/>
        <v>41542774.81</v>
      </c>
      <c r="G41" s="39" t="str">
        <f>If(A41="CEL",0,iferror(VLOOKUP(A41,COFA!A:B,2,FALSE),0))</f>
        <v>N/A</v>
      </c>
      <c r="I41" s="38" t="str">
        <f t="shared" si="4"/>
        <v/>
      </c>
      <c r="J41" s="38">
        <f t="shared" si="3"/>
        <v>0</v>
      </c>
    </row>
    <row r="42">
      <c r="A42" s="66" t="str">
        <f>Coin_Total_Asset_Liability!A42</f>
        <v>GUSD</v>
      </c>
      <c r="B42" s="66">
        <f>Coin_Total_Asset_Liability!B42</f>
        <v>57580555.43</v>
      </c>
      <c r="C42" s="66">
        <f>Coin_Total_Asset_Liability!C42</f>
        <v>-123166699.1</v>
      </c>
      <c r="D42" s="66">
        <f t="shared" si="1"/>
        <v>-65586143.67</v>
      </c>
      <c r="E42" s="81">
        <f>iferror(VLOOKUP(A42,Price!A:B,2,False))</f>
        <v>0.9964788368</v>
      </c>
      <c r="F42" s="38">
        <f t="shared" si="2"/>
        <v>-65355204.15</v>
      </c>
      <c r="G42" s="39" t="str">
        <f>If(A42="CEL",0,iferror(VLOOKUP(A42,COFA!A:B,2,FALSE),0))</f>
        <v>N/A</v>
      </c>
      <c r="I42" s="38" t="str">
        <f t="shared" si="4"/>
        <v/>
      </c>
      <c r="J42" s="38">
        <f t="shared" si="3"/>
        <v>0</v>
      </c>
    </row>
    <row r="43">
      <c r="A43" s="66" t="str">
        <f>Coin_Total_Asset_Liability!A43</f>
        <v>KNC</v>
      </c>
      <c r="B43" s="66">
        <f>Coin_Total_Asset_Liability!B43</f>
        <v>1873281.23</v>
      </c>
      <c r="C43" s="66">
        <f>Coin_Total_Asset_Liability!C43</f>
        <v>-1906629.227</v>
      </c>
      <c r="D43" s="66">
        <f t="shared" si="1"/>
        <v>-33347.997</v>
      </c>
      <c r="E43" s="81">
        <f>iferror(VLOOKUP(A43,Price!A:B,2,False))</f>
        <v>1.235585033</v>
      </c>
      <c r="F43" s="38">
        <f t="shared" si="2"/>
        <v>-41204.28597</v>
      </c>
      <c r="G43" s="39">
        <f>If(A43="CEL",0,iferror(VLOOKUP(A43,COFA!A:B,2,FALSE),0))</f>
        <v>0.0048</v>
      </c>
      <c r="I43" s="38">
        <f t="shared" si="4"/>
        <v>-197.7805727</v>
      </c>
      <c r="J43" s="38">
        <f t="shared" si="3"/>
        <v>-3.803472551</v>
      </c>
    </row>
    <row r="44">
      <c r="A44" s="66" t="str">
        <f>Coin_Total_Asset_Liability!A44</f>
        <v>LDO</v>
      </c>
      <c r="B44" s="66">
        <f>Coin_Total_Asset_Liability!B44</f>
        <v>904018.601</v>
      </c>
      <c r="C44" s="66">
        <f>Coin_Total_Asset_Liability!C44</f>
        <v>0</v>
      </c>
      <c r="D44" s="66">
        <f t="shared" si="1"/>
        <v>904018.601</v>
      </c>
      <c r="E44" s="81">
        <f>iferror(VLOOKUP(A44,Price!A:B,2,False))</f>
        <v>2.57</v>
      </c>
      <c r="F44" s="38">
        <f t="shared" si="2"/>
        <v>2323327.805</v>
      </c>
      <c r="G44" s="39" t="str">
        <f>If(A44="CEL",0,iferror(VLOOKUP(A44,COFA!A:B,2,FALSE),0))</f>
        <v>N/A</v>
      </c>
      <c r="I44" s="38" t="str">
        <f t="shared" si="4"/>
        <v/>
      </c>
      <c r="J44" s="38">
        <f t="shared" si="3"/>
        <v>0</v>
      </c>
    </row>
    <row r="45">
      <c r="A45" s="66" t="str">
        <f>Coin_Total_Asset_Liability!A45</f>
        <v>LINK</v>
      </c>
      <c r="B45" s="66">
        <f>Coin_Total_Asset_Liability!B45</f>
        <v>12923285.7</v>
      </c>
      <c r="C45" s="66">
        <f>Coin_Total_Asset_Liability!C45</f>
        <v>-13967832.22</v>
      </c>
      <c r="D45" s="66">
        <f t="shared" si="1"/>
        <v>-1044546.52</v>
      </c>
      <c r="E45" s="81">
        <f>iferror(VLOOKUP(A45,Price!A:B,2,False))</f>
        <v>18.51308692</v>
      </c>
      <c r="F45" s="38">
        <f t="shared" si="2"/>
        <v>-19337780.52</v>
      </c>
      <c r="G45" s="39">
        <f>If(A45="CEL",0,iferror(VLOOKUP(A45,COFA!A:B,2,FALSE),0))</f>
        <v>0.0251</v>
      </c>
      <c r="I45" s="38">
        <f t="shared" si="4"/>
        <v>-485378.291</v>
      </c>
      <c r="J45" s="38">
        <f t="shared" si="3"/>
        <v>-9334.197903</v>
      </c>
    </row>
    <row r="46">
      <c r="A46" s="66" t="str">
        <f>Coin_Total_Asset_Liability!A46</f>
        <v>LPT</v>
      </c>
      <c r="B46" s="66">
        <f>Coin_Total_Asset_Liability!B46</f>
        <v>12253.99809</v>
      </c>
      <c r="C46" s="66">
        <f>Coin_Total_Asset_Liability!C46</f>
        <v>-12875.70265</v>
      </c>
      <c r="D46" s="66">
        <f t="shared" si="1"/>
        <v>-621.70456</v>
      </c>
      <c r="E46" s="81">
        <f>iferror(VLOOKUP(A46,Price!A:B,2,False))</f>
        <v>33.46970838</v>
      </c>
      <c r="F46" s="38">
        <f t="shared" si="2"/>
        <v>-20808.27032</v>
      </c>
      <c r="G46" s="39">
        <f>If(A46="CEL",0,iferror(VLOOKUP(A46,COFA!A:B,2,FALSE),0))</f>
        <v>0</v>
      </c>
      <c r="I46" s="38">
        <f t="shared" si="4"/>
        <v>0</v>
      </c>
      <c r="J46" s="38">
        <f t="shared" si="3"/>
        <v>0</v>
      </c>
    </row>
    <row r="47">
      <c r="A47" s="66" t="str">
        <f>Coin_Total_Asset_Liability!A47</f>
        <v>LQTY</v>
      </c>
      <c r="B47" s="66">
        <f>Coin_Total_Asset_Liability!B47</f>
        <v>12.86675658</v>
      </c>
      <c r="C47" s="66">
        <f>Coin_Total_Asset_Liability!C47</f>
        <v>0</v>
      </c>
      <c r="D47" s="66">
        <f t="shared" si="1"/>
        <v>12.86675658</v>
      </c>
      <c r="E47" s="81">
        <f>iferror(VLOOKUP(A47,Price!A:B,2,False))</f>
        <v>5.37</v>
      </c>
      <c r="F47" s="38">
        <f t="shared" si="2"/>
        <v>69.09448283</v>
      </c>
      <c r="G47" s="39" t="str">
        <f>If(A47="CEL",0,iferror(VLOOKUP(A47,COFA!A:B,2,FALSE),0))</f>
        <v>N/A</v>
      </c>
      <c r="I47" s="38" t="str">
        <f t="shared" si="4"/>
        <v/>
      </c>
      <c r="J47" s="38">
        <f t="shared" si="3"/>
        <v>0</v>
      </c>
    </row>
    <row r="48">
      <c r="A48" s="66" t="str">
        <f>Coin_Total_Asset_Liability!A48</f>
        <v>LTC</v>
      </c>
      <c r="B48" s="66">
        <f>Coin_Total_Asset_Liability!B48</f>
        <v>541734.265</v>
      </c>
      <c r="C48" s="66">
        <f>Coin_Total_Asset_Liability!C48</f>
        <v>-553017.0658</v>
      </c>
      <c r="D48" s="66">
        <f t="shared" si="1"/>
        <v>-11282.8008</v>
      </c>
      <c r="E48" s="81">
        <f>iferror(VLOOKUP(A48,Price!A:B,2,False))</f>
        <v>150.2184313</v>
      </c>
      <c r="F48" s="38">
        <f t="shared" si="2"/>
        <v>-1694884.637</v>
      </c>
      <c r="G48" s="39">
        <f>If(A48="CEL",0,iferror(VLOOKUP(A48,COFA!A:B,2,FALSE),0))</f>
        <v>0.0285</v>
      </c>
      <c r="I48" s="38">
        <f t="shared" si="4"/>
        <v>-48304.21215</v>
      </c>
      <c r="J48" s="38">
        <f t="shared" si="3"/>
        <v>-928.9271567</v>
      </c>
    </row>
    <row r="49">
      <c r="A49" s="66" t="str">
        <f>Coin_Total_Asset_Liability!A49</f>
        <v>LUNA</v>
      </c>
      <c r="B49" s="66">
        <f>Coin_Total_Asset_Liability!B49</f>
        <v>2628025.747</v>
      </c>
      <c r="C49" s="66">
        <f>Coin_Total_Asset_Liability!C49</f>
        <v>-2876526.309</v>
      </c>
      <c r="D49" s="66">
        <f t="shared" si="1"/>
        <v>-248500.562</v>
      </c>
      <c r="E49" s="81">
        <f>iferror(VLOOKUP(A49,Price!A:B,2,False))</f>
        <v>75.53490033</v>
      </c>
      <c r="F49" s="38">
        <f t="shared" si="2"/>
        <v>-18770465.18</v>
      </c>
      <c r="G49" s="39">
        <f>If(A49="CEL",0,iferror(VLOOKUP(A49,COFA!A:B,2,FALSE),0))</f>
        <v>0.0488</v>
      </c>
      <c r="I49" s="38">
        <f t="shared" si="4"/>
        <v>-915998.7009</v>
      </c>
      <c r="J49" s="38">
        <f t="shared" si="3"/>
        <v>-17615.35963</v>
      </c>
    </row>
    <row r="50">
      <c r="A50" s="66" t="str">
        <f>Coin_Total_Asset_Liability!A50</f>
        <v>LUSD</v>
      </c>
      <c r="B50" s="66">
        <f>Coin_Total_Asset_Liability!B50</f>
        <v>10355466.74</v>
      </c>
      <c r="C50" s="66">
        <f>Coin_Total_Asset_Liability!C50</f>
        <v>0</v>
      </c>
      <c r="D50" s="66">
        <f t="shared" si="1"/>
        <v>10355466.74</v>
      </c>
      <c r="E50" s="81">
        <f>iferror(VLOOKUP(A50,Price!A:B,2,False))</f>
        <v>1.003574996</v>
      </c>
      <c r="F50" s="38">
        <f t="shared" si="2"/>
        <v>10392487.49</v>
      </c>
      <c r="G50" s="39" t="str">
        <f>If(A50="CEL",0,iferror(VLOOKUP(A50,COFA!A:B,2,FALSE),0))</f>
        <v>N/A</v>
      </c>
      <c r="I50" s="38" t="str">
        <f t="shared" si="4"/>
        <v/>
      </c>
      <c r="J50" s="38">
        <f t="shared" si="3"/>
        <v>0</v>
      </c>
    </row>
    <row r="51">
      <c r="A51" s="66" t="str">
        <f>Coin_Total_Asset_Liability!A51</f>
        <v>LUSD Curve</v>
      </c>
      <c r="B51" s="66">
        <f>Coin_Total_Asset_Liability!B51</f>
        <v>0</v>
      </c>
      <c r="C51" s="66">
        <f>Coin_Total_Asset_Liability!C51</f>
        <v>0</v>
      </c>
      <c r="D51" s="66">
        <f t="shared" si="1"/>
        <v>0</v>
      </c>
      <c r="E51" s="81">
        <f>iferror(VLOOKUP(A51,Price!A:B,2,False))</f>
        <v>0.989661</v>
      </c>
      <c r="F51" s="38">
        <f t="shared" si="2"/>
        <v>0</v>
      </c>
      <c r="G51" s="39" t="str">
        <f>If(A51="CEL",0,iferror(VLOOKUP(A51,COFA!A:B,2,FALSE),0))</f>
        <v>N/A</v>
      </c>
      <c r="I51" s="38" t="str">
        <f t="shared" si="4"/>
        <v/>
      </c>
      <c r="J51" s="38">
        <f t="shared" si="3"/>
        <v>0</v>
      </c>
    </row>
    <row r="52">
      <c r="A52" s="66" t="str">
        <f>Coin_Total_Asset_Liability!A52</f>
        <v>MANA</v>
      </c>
      <c r="B52" s="66">
        <f>Coin_Total_Asset_Liability!B52</f>
        <v>9414686.256</v>
      </c>
      <c r="C52" s="66">
        <f>Coin_Total_Asset_Liability!C52</f>
        <v>-9330389.365</v>
      </c>
      <c r="D52" s="66">
        <f t="shared" si="1"/>
        <v>84296.891</v>
      </c>
      <c r="E52" s="81">
        <f>iferror(VLOOKUP(A52,Price!A:B,2,False))</f>
        <v>3.162748017</v>
      </c>
      <c r="F52" s="38">
        <f t="shared" si="2"/>
        <v>266609.8248</v>
      </c>
      <c r="G52" s="39">
        <f>If(A52="CEL",0,iferror(VLOOKUP(A52,COFA!A:B,2,FALSE),0))</f>
        <v>0.0042</v>
      </c>
      <c r="I52" s="38">
        <f t="shared" si="4"/>
        <v>1119.761264</v>
      </c>
      <c r="J52" s="38">
        <f t="shared" si="3"/>
        <v>21.53387047</v>
      </c>
    </row>
    <row r="53">
      <c r="A53" s="66" t="str">
        <f>Coin_Total_Asset_Liability!A53</f>
        <v>MATIC</v>
      </c>
      <c r="B53" s="66">
        <f>Coin_Total_Asset_Liability!B53</f>
        <v>544624405.9</v>
      </c>
      <c r="C53" s="66">
        <f>Coin_Total_Asset_Liability!C53</f>
        <v>-527652767.6</v>
      </c>
      <c r="D53" s="66">
        <f t="shared" si="1"/>
        <v>16971638.3</v>
      </c>
      <c r="E53" s="81">
        <f>iferror(VLOOKUP(A53,Price!A:B,2,False))</f>
        <v>2.097607594</v>
      </c>
      <c r="F53" s="38">
        <f t="shared" si="2"/>
        <v>35599837.38</v>
      </c>
      <c r="G53" s="39">
        <f>If(A53="CEL",0,iferror(VLOOKUP(A53,COFA!A:B,2,FALSE),0))</f>
        <v>0.0818</v>
      </c>
      <c r="I53" s="38">
        <f t="shared" si="4"/>
        <v>2912066.698</v>
      </c>
      <c r="J53" s="38">
        <f t="shared" si="3"/>
        <v>56001.28265</v>
      </c>
    </row>
    <row r="54">
      <c r="A54" s="66" t="str">
        <f>Coin_Total_Asset_Liability!A54</f>
        <v>MCDAI</v>
      </c>
      <c r="B54" s="66">
        <f>Coin_Total_Asset_Liability!B54</f>
        <v>75467292.31</v>
      </c>
      <c r="C54" s="66">
        <f>Coin_Total_Asset_Liability!C54</f>
        <v>-593727888.5</v>
      </c>
      <c r="D54" s="66">
        <f t="shared" si="1"/>
        <v>-518260596.2</v>
      </c>
      <c r="E54" s="81">
        <f>iferror(VLOOKUP(A54,Price!A:B,2,False))</f>
        <v>1</v>
      </c>
      <c r="F54" s="38">
        <f t="shared" si="2"/>
        <v>-518260596.2</v>
      </c>
      <c r="G54" s="39" t="str">
        <f>If(A54="CEL",0,iferror(VLOOKUP(A54,COFA!A:B,2,FALSE),0))</f>
        <v>N/A</v>
      </c>
      <c r="I54" s="38" t="str">
        <f t="shared" si="4"/>
        <v/>
      </c>
      <c r="J54" s="38">
        <f t="shared" si="3"/>
        <v>0</v>
      </c>
    </row>
    <row r="55">
      <c r="A55" s="66" t="str">
        <f>Coin_Total_Asset_Liability!A55</f>
        <v>MKR</v>
      </c>
      <c r="B55" s="66">
        <f>Coin_Total_Asset_Liability!B55</f>
        <v>11.87823651</v>
      </c>
      <c r="C55" s="66">
        <f>Coin_Total_Asset_Liability!C55</f>
        <v>0</v>
      </c>
      <c r="D55" s="66">
        <f t="shared" si="1"/>
        <v>11.87823651</v>
      </c>
      <c r="E55" s="81">
        <f>iferror(VLOOKUP(A55,Price!A:B,2,False))</f>
        <v>2294.480115</v>
      </c>
      <c r="F55" s="38">
        <f t="shared" si="2"/>
        <v>27254.37747</v>
      </c>
      <c r="G55" s="39" t="str">
        <f>If(A55="CEL",0,iferror(VLOOKUP(A55,COFA!A:B,2,FALSE),0))</f>
        <v>N/A</v>
      </c>
      <c r="I55" s="38" t="str">
        <f t="shared" si="4"/>
        <v/>
      </c>
      <c r="J55" s="38">
        <f t="shared" si="3"/>
        <v>0</v>
      </c>
    </row>
    <row r="56">
      <c r="A56" s="66" t="str">
        <f>Coin_Total_Asset_Liability!A56</f>
        <v>OMG</v>
      </c>
      <c r="B56" s="66">
        <f>Coin_Total_Asset_Liability!B56</f>
        <v>755814.8303</v>
      </c>
      <c r="C56" s="66">
        <f>Coin_Total_Asset_Liability!C56</f>
        <v>-729295.4103</v>
      </c>
      <c r="D56" s="66">
        <f t="shared" si="1"/>
        <v>26519.42</v>
      </c>
      <c r="E56" s="81">
        <f>iferror(VLOOKUP(A56,Price!A:B,2,False))</f>
        <v>5.762180134</v>
      </c>
      <c r="F56" s="38">
        <f t="shared" si="2"/>
        <v>152809.6751</v>
      </c>
      <c r="G56" s="39">
        <f>If(A56="CEL",0,iferror(VLOOKUP(A56,COFA!A:B,2,FALSE),0))</f>
        <v>0.0042</v>
      </c>
      <c r="I56" s="38">
        <f t="shared" si="4"/>
        <v>641.8006354</v>
      </c>
      <c r="J56" s="38">
        <f t="shared" si="3"/>
        <v>12.34231991</v>
      </c>
    </row>
    <row r="57">
      <c r="A57" s="66" t="str">
        <f>Coin_Total_Asset_Liability!A57</f>
        <v>ONX</v>
      </c>
      <c r="B57" s="66">
        <f>Coin_Total_Asset_Liability!B57</f>
        <v>740.7702447</v>
      </c>
      <c r="C57" s="66">
        <f>Coin_Total_Asset_Liability!C57</f>
        <v>0</v>
      </c>
      <c r="D57" s="66">
        <f t="shared" si="1"/>
        <v>740.7702447</v>
      </c>
      <c r="E57" s="81">
        <f>iferror(VLOOKUP(A57,Price!A:B,2,False))</f>
        <v>0.4084922851</v>
      </c>
      <c r="F57" s="38">
        <f t="shared" si="2"/>
        <v>302.59893</v>
      </c>
      <c r="G57" s="39" t="str">
        <f>If(A57="CEL",0,iferror(VLOOKUP(A57,COFA!A:B,2,FALSE),0))</f>
        <v>N/A</v>
      </c>
      <c r="I57" s="38" t="str">
        <f t="shared" si="4"/>
        <v/>
      </c>
      <c r="J57" s="38">
        <f t="shared" si="3"/>
        <v>0</v>
      </c>
    </row>
    <row r="58">
      <c r="A58" s="66" t="str">
        <f>Coin_Total_Asset_Liability!A58</f>
        <v>ORBS</v>
      </c>
      <c r="B58" s="66">
        <f>Coin_Total_Asset_Liability!B58</f>
        <v>186214.4927</v>
      </c>
      <c r="C58" s="66">
        <f>Coin_Total_Asset_Liability!C58</f>
        <v>-10</v>
      </c>
      <c r="D58" s="66">
        <f t="shared" si="1"/>
        <v>186204.4927</v>
      </c>
      <c r="E58" s="81">
        <f>iferror(VLOOKUP(A58,Price!A:B,2,False))</f>
        <v>0.08548063118</v>
      </c>
      <c r="F58" s="38">
        <f t="shared" si="2"/>
        <v>15916.87756</v>
      </c>
      <c r="G58" s="39">
        <f>If(A58="CEL",0,iferror(VLOOKUP(A58,COFA!A:B,2,FALSE),0))</f>
        <v>0</v>
      </c>
      <c r="I58" s="38">
        <f t="shared" si="4"/>
        <v>0</v>
      </c>
      <c r="J58" s="38">
        <f t="shared" si="3"/>
        <v>0</v>
      </c>
    </row>
    <row r="59">
      <c r="A59" s="66" t="str">
        <f>Coin_Total_Asset_Liability!A59</f>
        <v>PAX</v>
      </c>
      <c r="B59" s="66">
        <f>Coin_Total_Asset_Liability!B59</f>
        <v>16068693.83</v>
      </c>
      <c r="C59" s="66">
        <f>Coin_Total_Asset_Liability!C59</f>
        <v>-62422771.22</v>
      </c>
      <c r="D59" s="66">
        <f t="shared" si="1"/>
        <v>-46354077.39</v>
      </c>
      <c r="E59" s="81">
        <f>iferror(VLOOKUP(A59,Price!A:B,2,False))</f>
        <v>1.000273384</v>
      </c>
      <c r="F59" s="38">
        <f t="shared" si="2"/>
        <v>-46366749.85</v>
      </c>
      <c r="G59" s="39" t="str">
        <f>If(A59="CEL",0,iferror(VLOOKUP(A59,COFA!A:B,2,FALSE),0))</f>
        <v>N/A</v>
      </c>
      <c r="I59" s="38" t="str">
        <f t="shared" si="4"/>
        <v/>
      </c>
      <c r="J59" s="38">
        <f t="shared" si="3"/>
        <v>0</v>
      </c>
    </row>
    <row r="60">
      <c r="A60" s="66" t="str">
        <f>Coin_Total_Asset_Liability!A60</f>
        <v>PAXG</v>
      </c>
      <c r="B60" s="66">
        <f>Coin_Total_Asset_Liability!B60</f>
        <v>8126.966008</v>
      </c>
      <c r="C60" s="66">
        <f>Coin_Total_Asset_Liability!C60</f>
        <v>-28504.2838</v>
      </c>
      <c r="D60" s="66">
        <f t="shared" si="1"/>
        <v>-20377.31779</v>
      </c>
      <c r="E60" s="81">
        <f>iferror(VLOOKUP(A60,Price!A:B,2,False))</f>
        <v>1806.139252</v>
      </c>
      <c r="F60" s="38">
        <f t="shared" si="2"/>
        <v>-36804273.51</v>
      </c>
      <c r="G60" s="39">
        <f>If(A60="CEL",0,iferror(VLOOKUP(A60,COFA!A:B,2,FALSE),0))</f>
        <v>0.0526</v>
      </c>
      <c r="I60" s="38">
        <f t="shared" si="4"/>
        <v>-1935904.787</v>
      </c>
      <c r="J60" s="38">
        <f t="shared" si="3"/>
        <v>-37228.93821</v>
      </c>
    </row>
    <row r="61">
      <c r="A61" s="66" t="str">
        <f>Coin_Total_Asset_Liability!A61</f>
        <v>PNT</v>
      </c>
      <c r="B61" s="66">
        <f>Coin_Total_Asset_Liability!B61</f>
        <v>159147.4688</v>
      </c>
      <c r="C61" s="66">
        <f>Coin_Total_Asset_Liability!C61</f>
        <v>0</v>
      </c>
      <c r="D61" s="66">
        <f t="shared" si="1"/>
        <v>159147.4688</v>
      </c>
      <c r="E61" s="81">
        <f>iferror(VLOOKUP(A61,Price!A:B,2,False))</f>
        <v>0.9224738405</v>
      </c>
      <c r="F61" s="38">
        <f t="shared" si="2"/>
        <v>146809.3767</v>
      </c>
      <c r="G61" s="39" t="str">
        <f>If(A61="CEL",0,iferror(VLOOKUP(A61,COFA!A:B,2,FALSE),0))</f>
        <v>N/A</v>
      </c>
      <c r="I61" s="38" t="str">
        <f t="shared" si="4"/>
        <v/>
      </c>
      <c r="J61" s="38">
        <f t="shared" si="3"/>
        <v>0</v>
      </c>
    </row>
    <row r="62">
      <c r="A62" s="66" t="str">
        <f>Coin_Total_Asset_Liability!A62</f>
        <v>QI</v>
      </c>
      <c r="B62" s="66">
        <f>Coin_Total_Asset_Liability!B62</f>
        <v>4272069.953</v>
      </c>
      <c r="C62" s="66">
        <f>Coin_Total_Asset_Liability!C62</f>
        <v>0</v>
      </c>
      <c r="D62" s="66">
        <f t="shared" si="1"/>
        <v>4272069.953</v>
      </c>
      <c r="E62" s="81">
        <f>iferror(VLOOKUP(A62,Price!A:B,2,False))</f>
        <v>0.146055</v>
      </c>
      <c r="F62" s="38">
        <f t="shared" si="2"/>
        <v>623957.177</v>
      </c>
      <c r="G62" s="39">
        <f>If(A62="CEL",0,iferror(VLOOKUP(A62,COFA!A:B,2,FALSE),0))</f>
        <v>0</v>
      </c>
      <c r="I62" s="38">
        <f t="shared" si="4"/>
        <v>0</v>
      </c>
      <c r="J62" s="38">
        <f t="shared" si="3"/>
        <v>0</v>
      </c>
    </row>
    <row r="63">
      <c r="A63" s="66" t="str">
        <f>Coin_Total_Asset_Liability!A63</f>
        <v>RAY</v>
      </c>
      <c r="B63" s="66">
        <f>Coin_Total_Asset_Liability!B63</f>
        <v>162992.6837</v>
      </c>
      <c r="C63" s="66">
        <f>Coin_Total_Asset_Liability!C63</f>
        <v>0</v>
      </c>
      <c r="D63" s="66">
        <f t="shared" si="1"/>
        <v>162992.6837</v>
      </c>
      <c r="E63" s="81">
        <f>iferror(VLOOKUP(A63,Price!A:B,2,False))</f>
        <v>7.029018914</v>
      </c>
      <c r="F63" s="38">
        <f t="shared" si="2"/>
        <v>1145678.657</v>
      </c>
      <c r="G63" s="39">
        <f>If(A63="CEL",0,iferror(VLOOKUP(A63,COFA!A:B,2,FALSE),0))</f>
        <v>0</v>
      </c>
      <c r="I63" s="38">
        <f t="shared" si="4"/>
        <v>0</v>
      </c>
      <c r="J63" s="38">
        <f t="shared" si="3"/>
        <v>0</v>
      </c>
    </row>
    <row r="64">
      <c r="A64" s="66" t="str">
        <f>Coin_Total_Asset_Liability!A64</f>
        <v>REN</v>
      </c>
      <c r="B64" s="66">
        <f>Coin_Total_Asset_Liability!B64</f>
        <v>933182.1711</v>
      </c>
      <c r="C64" s="66">
        <f>Coin_Total_Asset_Liability!C64</f>
        <v>0</v>
      </c>
      <c r="D64" s="66">
        <f t="shared" si="1"/>
        <v>933182.1711</v>
      </c>
      <c r="E64" s="81">
        <f>iferror(VLOOKUP(A64,Price!A:B,2,False))</f>
        <v>0.4805839748</v>
      </c>
      <c r="F64" s="38">
        <f t="shared" si="2"/>
        <v>448472.397</v>
      </c>
      <c r="G64" s="39" t="str">
        <f>If(A64="CEL",0,iferror(VLOOKUP(A64,COFA!A:B,2,FALSE),0))</f>
        <v>N/A</v>
      </c>
      <c r="I64" s="38" t="str">
        <f t="shared" si="4"/>
        <v/>
      </c>
      <c r="J64" s="38">
        <f t="shared" si="3"/>
        <v>0</v>
      </c>
    </row>
    <row r="65">
      <c r="A65" s="66" t="str">
        <f>Coin_Total_Asset_Liability!A65</f>
        <v>ROOK</v>
      </c>
      <c r="B65" s="66">
        <f>Coin_Total_Asset_Liability!B65</f>
        <v>0.70342021</v>
      </c>
      <c r="C65" s="66">
        <f>Coin_Total_Asset_Liability!C65</f>
        <v>0</v>
      </c>
      <c r="D65" s="66">
        <f t="shared" si="1"/>
        <v>0.70342021</v>
      </c>
      <c r="E65" s="81">
        <f>iferror(VLOOKUP(A65,Price!A:B,2,False))</f>
        <v>144.3431868</v>
      </c>
      <c r="F65" s="38">
        <f t="shared" si="2"/>
        <v>101.5339148</v>
      </c>
      <c r="G65" s="39" t="str">
        <f>If(A65="CEL",0,iferror(VLOOKUP(A65,COFA!A:B,2,FALSE),0))</f>
        <v>N/A</v>
      </c>
      <c r="I65" s="38" t="str">
        <f t="shared" si="4"/>
        <v/>
      </c>
      <c r="J65" s="38">
        <f t="shared" si="3"/>
        <v>0</v>
      </c>
    </row>
    <row r="66">
      <c r="A66" s="66" t="str">
        <f>Coin_Total_Asset_Liability!A66</f>
        <v>SGA</v>
      </c>
      <c r="B66" s="66">
        <f>Coin_Total_Asset_Liability!B66</f>
        <v>0</v>
      </c>
      <c r="C66" s="66">
        <f>Coin_Total_Asset_Liability!C66</f>
        <v>0.00000007113632616</v>
      </c>
      <c r="D66" s="66">
        <f t="shared" si="1"/>
        <v>0.00000007113632616</v>
      </c>
      <c r="E66" s="81">
        <f>iferror(VLOOKUP(A66,Price!A:B,2,False))</f>
        <v>0</v>
      </c>
      <c r="F66" s="38">
        <f t="shared" si="2"/>
        <v>0</v>
      </c>
      <c r="G66" s="39">
        <f>If(A66="CEL",0,iferror(VLOOKUP(A66,COFA!A:B,2,FALSE),0))</f>
        <v>0</v>
      </c>
      <c r="I66" s="38">
        <f t="shared" si="4"/>
        <v>0</v>
      </c>
      <c r="J66" s="38">
        <f t="shared" si="3"/>
        <v>0</v>
      </c>
    </row>
    <row r="67">
      <c r="A67" s="66" t="str">
        <f>Coin_Total_Asset_Liability!A67</f>
        <v>SGB</v>
      </c>
      <c r="B67" s="66">
        <f>Coin_Total_Asset_Liability!B67</f>
        <v>0</v>
      </c>
      <c r="C67" s="66">
        <f>Coin_Total_Asset_Liability!C67</f>
        <v>0</v>
      </c>
      <c r="D67" s="66">
        <f t="shared" si="1"/>
        <v>0</v>
      </c>
      <c r="E67" s="81">
        <f>iferror(VLOOKUP(A67,Price!A:B,2,False))</f>
        <v>0.2071167817</v>
      </c>
      <c r="F67" s="38">
        <f t="shared" si="2"/>
        <v>0</v>
      </c>
      <c r="G67" s="39">
        <f>If(A67="CEL",0,iferror(VLOOKUP(A67,COFA!A:B,2,FALSE),0))</f>
        <v>0</v>
      </c>
      <c r="I67" s="38">
        <f t="shared" si="4"/>
        <v>0</v>
      </c>
      <c r="J67" s="38">
        <f t="shared" si="3"/>
        <v>0</v>
      </c>
    </row>
    <row r="68">
      <c r="A68" s="66" t="str">
        <f>Coin_Total_Asset_Liability!A68</f>
        <v>SGR</v>
      </c>
      <c r="B68" s="66">
        <f>Coin_Total_Asset_Liability!B68</f>
        <v>92.04084298</v>
      </c>
      <c r="C68" s="66">
        <f>Coin_Total_Asset_Liability!C68</f>
        <v>-22.50475332</v>
      </c>
      <c r="D68" s="66">
        <f t="shared" si="1"/>
        <v>69.53608966</v>
      </c>
      <c r="E68" s="81">
        <f>iferror(VLOOKUP(A68,Price!A:B,2,False))</f>
        <v>1.214643649</v>
      </c>
      <c r="F68" s="38">
        <f t="shared" si="2"/>
        <v>84.46156968</v>
      </c>
      <c r="G68" s="39">
        <f>If(A68="CEL",0,iferror(VLOOKUP(A68,COFA!A:B,2,FALSE),0))</f>
        <v>0</v>
      </c>
      <c r="I68" s="38">
        <f t="shared" si="4"/>
        <v>0</v>
      </c>
      <c r="J68" s="38">
        <f t="shared" si="3"/>
        <v>0</v>
      </c>
    </row>
    <row r="69">
      <c r="A69" s="66" t="str">
        <f>Coin_Total_Asset_Liability!A69</f>
        <v>SNX</v>
      </c>
      <c r="B69" s="66">
        <f>Coin_Total_Asset_Liability!B69</f>
        <v>7056778.989</v>
      </c>
      <c r="C69" s="66">
        <f>Coin_Total_Asset_Liability!C69</f>
        <v>-6949168.191</v>
      </c>
      <c r="D69" s="66">
        <f t="shared" si="1"/>
        <v>107610.798</v>
      </c>
      <c r="E69" s="81">
        <f>iferror(VLOOKUP(A69,Price!A:B,2,False))</f>
        <v>4.960176782</v>
      </c>
      <c r="F69" s="38">
        <f t="shared" si="2"/>
        <v>533768.5817</v>
      </c>
      <c r="G69" s="39">
        <f>If(A69="CEL",0,iferror(VLOOKUP(A69,COFA!A:B,2,FALSE),0))</f>
        <v>0.1339</v>
      </c>
      <c r="I69" s="38">
        <f t="shared" si="4"/>
        <v>71471.61309</v>
      </c>
      <c r="J69" s="38">
        <f t="shared" si="3"/>
        <v>1374.454098</v>
      </c>
    </row>
    <row r="70">
      <c r="A70" s="66" t="str">
        <f>Coin_Total_Asset_Liability!A70</f>
        <v>SOL</v>
      </c>
      <c r="B70" s="66">
        <f>Coin_Total_Asset_Liability!B70</f>
        <v>104168.0596</v>
      </c>
      <c r="C70" s="66">
        <f>Coin_Total_Asset_Liability!C70</f>
        <v>-0.00474649</v>
      </c>
      <c r="D70" s="66">
        <f t="shared" si="1"/>
        <v>104168.0549</v>
      </c>
      <c r="E70" s="81">
        <f>iferror(VLOOKUP(A70,Price!A:B,2,False))</f>
        <v>175.6196177</v>
      </c>
      <c r="F70" s="38">
        <f t="shared" si="2"/>
        <v>18293953.97</v>
      </c>
      <c r="G70" s="39">
        <f>If(A70="CEL",0,iferror(VLOOKUP(A70,COFA!A:B,2,FALSE),0))</f>
        <v>0</v>
      </c>
      <c r="I70" s="38">
        <f t="shared" si="4"/>
        <v>0</v>
      </c>
      <c r="J70" s="38">
        <f t="shared" si="3"/>
        <v>0</v>
      </c>
    </row>
    <row r="71">
      <c r="A71" s="66" t="str">
        <f>Coin_Total_Asset_Liability!A71</f>
        <v>SPARK</v>
      </c>
      <c r="B71" s="66">
        <f>Coin_Total_Asset_Liability!B71</f>
        <v>0</v>
      </c>
      <c r="C71" s="66">
        <f>Coin_Total_Asset_Liability!C71</f>
        <v>0</v>
      </c>
      <c r="D71" s="66">
        <f t="shared" si="1"/>
        <v>0</v>
      </c>
      <c r="E71" s="81">
        <f>iferror(VLOOKUP(A71,Price!A:B,2,False))</f>
        <v>0</v>
      </c>
      <c r="F71" s="38">
        <f t="shared" si="2"/>
        <v>0</v>
      </c>
      <c r="G71" s="39" t="str">
        <f>If(A71="CEL",0,iferror(VLOOKUP(A71,COFA!A:B,2,FALSE),0))</f>
        <v>N/A</v>
      </c>
      <c r="I71" s="38" t="str">
        <f t="shared" si="4"/>
        <v/>
      </c>
      <c r="J71" s="38">
        <f t="shared" si="3"/>
        <v>0</v>
      </c>
    </row>
    <row r="72">
      <c r="A72" s="66" t="str">
        <f>Coin_Total_Asset_Liability!A72</f>
        <v>SRM</v>
      </c>
      <c r="B72" s="66">
        <f>Coin_Total_Asset_Liability!B72</f>
        <v>181345902.3</v>
      </c>
      <c r="C72" s="66">
        <f>Coin_Total_Asset_Liability!C72</f>
        <v>-180273832.2</v>
      </c>
      <c r="D72" s="66">
        <f t="shared" si="1"/>
        <v>1072070.1</v>
      </c>
      <c r="E72" s="81">
        <f>iferror(VLOOKUP(A72,Price!A:B,2,False))</f>
        <v>3.325319692</v>
      </c>
      <c r="F72" s="38">
        <f t="shared" si="2"/>
        <v>3564975.815</v>
      </c>
      <c r="G72" s="39">
        <f>If(A72="CEL",0,iferror(VLOOKUP(A72,COFA!A:B,2,FALSE),0))</f>
        <v>0</v>
      </c>
      <c r="I72" s="38">
        <f t="shared" si="4"/>
        <v>0</v>
      </c>
      <c r="J72" s="38">
        <f t="shared" si="3"/>
        <v>0</v>
      </c>
    </row>
    <row r="73">
      <c r="A73" s="66" t="str">
        <f>Coin_Total_Asset_Liability!A73</f>
        <v>SUSD</v>
      </c>
      <c r="B73" s="66">
        <f>Coin_Total_Asset_Liability!B73</f>
        <v>1716609.406</v>
      </c>
      <c r="C73" s="66">
        <f>Coin_Total_Asset_Liability!C73</f>
        <v>-6979267.686</v>
      </c>
      <c r="D73" s="66">
        <f t="shared" si="1"/>
        <v>-5262658.28</v>
      </c>
      <c r="E73" s="81">
        <f>iferror(VLOOKUP(A73,Price!A:B,2,False))</f>
        <v>0.995462</v>
      </c>
      <c r="F73" s="38">
        <f t="shared" si="2"/>
        <v>-5238776.337</v>
      </c>
      <c r="G73" s="39" t="str">
        <f>If(A73="CEL",0,iferror(VLOOKUP(A73,COFA!A:B,2,FALSE),0))</f>
        <v>N/A</v>
      </c>
      <c r="I73" s="38" t="str">
        <f t="shared" si="4"/>
        <v/>
      </c>
      <c r="J73" s="38">
        <f t="shared" si="3"/>
        <v>0</v>
      </c>
    </row>
    <row r="74">
      <c r="A74" s="66" t="str">
        <f>Coin_Total_Asset_Liability!A74</f>
        <v>SUSHI</v>
      </c>
      <c r="B74" s="66">
        <f>Coin_Total_Asset_Liability!B74</f>
        <v>764865.399</v>
      </c>
      <c r="C74" s="66">
        <f>Coin_Total_Asset_Liability!C74</f>
        <v>-565218.8407</v>
      </c>
      <c r="D74" s="66">
        <f t="shared" si="1"/>
        <v>199646.5583</v>
      </c>
      <c r="E74" s="81">
        <f>iferror(VLOOKUP(A74,Price!A:B,2,False))</f>
        <v>5.23640161</v>
      </c>
      <c r="F74" s="38">
        <f t="shared" si="2"/>
        <v>1045429.559</v>
      </c>
      <c r="G74" s="39">
        <f>If(A74="CEL",0,iferror(VLOOKUP(A74,COFA!A:B,2,FALSE),0))</f>
        <v>0.0396</v>
      </c>
      <c r="I74" s="38">
        <f t="shared" si="4"/>
        <v>41399.01055</v>
      </c>
      <c r="J74" s="38">
        <f t="shared" si="3"/>
        <v>796.1348182</v>
      </c>
    </row>
    <row r="75">
      <c r="A75" s="66" t="str">
        <f>Coin_Total_Asset_Liability!A75</f>
        <v>TAUD</v>
      </c>
      <c r="B75" s="66">
        <f>Coin_Total_Asset_Liability!B75</f>
        <v>7208907.6</v>
      </c>
      <c r="C75" s="66">
        <f>Coin_Total_Asset_Liability!C75</f>
        <v>-12449257.96</v>
      </c>
      <c r="D75" s="66">
        <f t="shared" si="1"/>
        <v>-5240350.36</v>
      </c>
      <c r="E75" s="81">
        <f>iferror(VLOOKUP(A75,Price!A:B,2,False))</f>
        <v>0.7098</v>
      </c>
      <c r="F75" s="38">
        <f t="shared" si="2"/>
        <v>-3719600.686</v>
      </c>
      <c r="G75" s="39" t="str">
        <f>If(A75="CEL",0,iferror(VLOOKUP(A75,COFA!A:B,2,FALSE),0))</f>
        <v>N/A</v>
      </c>
      <c r="I75" s="38" t="str">
        <f t="shared" si="4"/>
        <v/>
      </c>
      <c r="J75" s="38">
        <f t="shared" si="3"/>
        <v>0</v>
      </c>
    </row>
    <row r="76">
      <c r="A76" s="66" t="str">
        <f>Coin_Total_Asset_Liability!A76</f>
        <v>TCAD</v>
      </c>
      <c r="B76" s="66">
        <f>Coin_Total_Asset_Liability!B76</f>
        <v>3348120.317</v>
      </c>
      <c r="C76" s="66">
        <f>Coin_Total_Asset_Liability!C76</f>
        <v>-4373237.129</v>
      </c>
      <c r="D76" s="66">
        <f t="shared" si="1"/>
        <v>-1025116.812</v>
      </c>
      <c r="E76" s="81">
        <f>iferror(VLOOKUP(A76,Price!A:B,2,False))</f>
        <v>0.7738</v>
      </c>
      <c r="F76" s="38">
        <f t="shared" si="2"/>
        <v>-793235.3891</v>
      </c>
      <c r="G76" s="39" t="str">
        <f>If(A76="CEL",0,iferror(VLOOKUP(A76,COFA!A:B,2,FALSE),0))</f>
        <v>N/A</v>
      </c>
      <c r="I76" s="38" t="str">
        <f t="shared" si="4"/>
        <v/>
      </c>
      <c r="J76" s="38">
        <f t="shared" si="3"/>
        <v>0</v>
      </c>
    </row>
    <row r="77">
      <c r="A77" s="66" t="str">
        <f>Coin_Total_Asset_Liability!A77</f>
        <v>TGBP</v>
      </c>
      <c r="B77" s="66">
        <f>Coin_Total_Asset_Liability!B77</f>
        <v>4352768.658</v>
      </c>
      <c r="C77" s="66">
        <f>Coin_Total_Asset_Liability!C77</f>
        <v>-11220432.3</v>
      </c>
      <c r="D77" s="66">
        <f t="shared" si="1"/>
        <v>-6867663.642</v>
      </c>
      <c r="E77" s="81">
        <f>iferror(VLOOKUP(A77,Price!A:B,2,False))</f>
        <v>1.3207</v>
      </c>
      <c r="F77" s="38">
        <f t="shared" si="2"/>
        <v>-9070123.372</v>
      </c>
      <c r="G77" s="39" t="str">
        <f>If(A77="CEL",0,iferror(VLOOKUP(A77,COFA!A:B,2,FALSE),0))</f>
        <v>N/A</v>
      </c>
      <c r="I77" s="38" t="str">
        <f t="shared" si="4"/>
        <v/>
      </c>
      <c r="J77" s="38">
        <f t="shared" si="3"/>
        <v>0</v>
      </c>
    </row>
    <row r="78">
      <c r="A78" s="66" t="str">
        <f>Coin_Total_Asset_Liability!A78</f>
        <v>THKD</v>
      </c>
      <c r="B78" s="66">
        <f>Coin_Total_Asset_Liability!B78</f>
        <v>18969302.24</v>
      </c>
      <c r="C78" s="66">
        <f>Coin_Total_Asset_Liability!C78</f>
        <v>-35513364.58</v>
      </c>
      <c r="D78" s="66">
        <f t="shared" si="1"/>
        <v>-16544062.34</v>
      </c>
      <c r="E78" s="81">
        <f>iferror(VLOOKUP(A78,Price!A:B,2,False))</f>
        <v>0.1282</v>
      </c>
      <c r="F78" s="38">
        <f t="shared" si="2"/>
        <v>-2120948.792</v>
      </c>
      <c r="G78" s="39" t="str">
        <f>If(A78="CEL",0,iferror(VLOOKUP(A78,COFA!A:B,2,FALSE),0))</f>
        <v>N/A</v>
      </c>
      <c r="I78" s="38" t="str">
        <f t="shared" si="4"/>
        <v/>
      </c>
      <c r="J78" s="38">
        <f t="shared" si="3"/>
        <v>0</v>
      </c>
    </row>
    <row r="79">
      <c r="A79" s="66" t="str">
        <f>Coin_Total_Asset_Liability!A79</f>
        <v>TRU</v>
      </c>
      <c r="B79" s="66">
        <f>Coin_Total_Asset_Liability!B79</f>
        <v>1225840.995</v>
      </c>
      <c r="C79" s="66">
        <f>Coin_Total_Asset_Liability!C79</f>
        <v>0</v>
      </c>
      <c r="D79" s="66">
        <f t="shared" si="1"/>
        <v>1225840.995</v>
      </c>
      <c r="E79" s="81">
        <f>iferror(VLOOKUP(A79,Price!A:B,2,False))</f>
        <v>0.341427</v>
      </c>
      <c r="F79" s="38">
        <f t="shared" si="2"/>
        <v>418535.2134</v>
      </c>
      <c r="G79" s="39">
        <f>If(A79="CEL",0,iferror(VLOOKUP(A79,COFA!A:B,2,FALSE),0))</f>
        <v>0</v>
      </c>
      <c r="I79" s="38">
        <f t="shared" si="4"/>
        <v>0</v>
      </c>
      <c r="J79" s="38">
        <f t="shared" si="3"/>
        <v>0</v>
      </c>
    </row>
    <row r="80">
      <c r="A80" s="66" t="str">
        <f>Coin_Total_Asset_Liability!A80</f>
        <v>TUSD</v>
      </c>
      <c r="B80" s="66">
        <f>Coin_Total_Asset_Liability!B80</f>
        <v>6732389.975</v>
      </c>
      <c r="C80" s="66">
        <f>Coin_Total_Asset_Liability!C80</f>
        <v>-24550327.88</v>
      </c>
      <c r="D80" s="66">
        <f t="shared" si="1"/>
        <v>-17817937.91</v>
      </c>
      <c r="E80" s="81">
        <f>iferror(VLOOKUP(A80,Price!A:B,2,False))</f>
        <v>0.99811</v>
      </c>
      <c r="F80" s="38">
        <f t="shared" si="2"/>
        <v>-17784262</v>
      </c>
      <c r="G80" s="39" t="str">
        <f>If(A80="CEL",0,iferror(VLOOKUP(A80,COFA!A:B,2,FALSE),0))</f>
        <v>N/A</v>
      </c>
      <c r="I80" s="38" t="str">
        <f t="shared" si="4"/>
        <v/>
      </c>
      <c r="J80" s="38">
        <f t="shared" si="3"/>
        <v>0</v>
      </c>
    </row>
    <row r="81">
      <c r="A81" s="66" t="str">
        <f>Coin_Total_Asset_Liability!A81</f>
        <v>UMA</v>
      </c>
      <c r="B81" s="66">
        <f>Coin_Total_Asset_Liability!B81</f>
        <v>126716.3715</v>
      </c>
      <c r="C81" s="66">
        <f>Coin_Total_Asset_Liability!C81</f>
        <v>-106355.6074</v>
      </c>
      <c r="D81" s="66">
        <f t="shared" si="1"/>
        <v>20360.7641</v>
      </c>
      <c r="E81" s="81">
        <f>iferror(VLOOKUP(A81,Price!A:B,2,False))</f>
        <v>8.569450724</v>
      </c>
      <c r="F81" s="38">
        <f t="shared" si="2"/>
        <v>174480.5647</v>
      </c>
      <c r="G81" s="39">
        <f>If(A81="CEL",0,iferror(VLOOKUP(A81,COFA!A:B,2,FALSE),0))</f>
        <v>0.0093</v>
      </c>
      <c r="I81" s="38">
        <f t="shared" si="4"/>
        <v>1622.669251</v>
      </c>
      <c r="J81" s="38">
        <f t="shared" si="3"/>
        <v>31.20517791</v>
      </c>
    </row>
    <row r="82">
      <c r="A82" s="66" t="str">
        <f>Coin_Total_Asset_Liability!A82</f>
        <v>UNI</v>
      </c>
      <c r="B82" s="66">
        <f>Coin_Total_Asset_Liability!B82</f>
        <v>2310356.807</v>
      </c>
      <c r="C82" s="66">
        <f>Coin_Total_Asset_Liability!C82</f>
        <v>-2593611.964</v>
      </c>
      <c r="D82" s="66">
        <f t="shared" si="1"/>
        <v>-283255.157</v>
      </c>
      <c r="E82" s="81">
        <f>iferror(VLOOKUP(A82,Price!A:B,2,False))</f>
        <v>14.44022362</v>
      </c>
      <c r="F82" s="38">
        <f t="shared" si="2"/>
        <v>-4090267.809</v>
      </c>
      <c r="G82" s="39">
        <f>If(A82="CEL",0,iferror(VLOOKUP(A82,COFA!A:B,2,FALSE),0))</f>
        <v>0.0228</v>
      </c>
      <c r="I82" s="38">
        <f t="shared" si="4"/>
        <v>-93258.10604</v>
      </c>
      <c r="J82" s="38">
        <f t="shared" si="3"/>
        <v>-1793.425116</v>
      </c>
    </row>
    <row r="83">
      <c r="A83" s="66" t="str">
        <f>Coin_Total_Asset_Liability!A83</f>
        <v>USD</v>
      </c>
      <c r="B83" s="66">
        <f>Coin_Total_Asset_Liability!B83</f>
        <v>1237784502</v>
      </c>
      <c r="C83" s="66">
        <f>Coin_Total_Asset_Liability!C83</f>
        <v>-101988107.6</v>
      </c>
      <c r="D83" s="66">
        <f t="shared" si="1"/>
        <v>1135796394</v>
      </c>
      <c r="E83" s="81">
        <f>iferror(VLOOKUP(A83,Price!A:B,2,False))</f>
        <v>1</v>
      </c>
      <c r="F83" s="38">
        <f t="shared" si="2"/>
        <v>1135796394</v>
      </c>
      <c r="G83" s="39" t="str">
        <f>If(A83="CEL",0,iferror(VLOOKUP(A83,COFA!A:B,2,FALSE),0))</f>
        <v>N/A</v>
      </c>
      <c r="I83" s="38" t="str">
        <f t="shared" si="4"/>
        <v/>
      </c>
      <c r="J83" s="38">
        <f t="shared" si="3"/>
        <v>0</v>
      </c>
    </row>
    <row r="84">
      <c r="A84" s="66" t="str">
        <f>Coin_Total_Asset_Liability!A84</f>
        <v>USDC</v>
      </c>
      <c r="B84" s="66">
        <f>Coin_Total_Asset_Liability!B84</f>
        <v>1046574504</v>
      </c>
      <c r="C84" s="66">
        <f>Coin_Total_Asset_Liability!C84</f>
        <v>-2034690028</v>
      </c>
      <c r="D84" s="66">
        <f t="shared" si="1"/>
        <v>-988115524</v>
      </c>
      <c r="E84" s="81">
        <f>iferror(VLOOKUP(A84,Price!A:B,2,False))</f>
        <v>1.001215616</v>
      </c>
      <c r="F84" s="38">
        <f t="shared" si="2"/>
        <v>-989316693</v>
      </c>
      <c r="G84" s="39" t="str">
        <f>If(A84="CEL",0,iferror(VLOOKUP(A84,COFA!A:B,2,FALSE),0))</f>
        <v>N/A</v>
      </c>
      <c r="I84" s="38" t="str">
        <f t="shared" si="4"/>
        <v/>
      </c>
      <c r="J84" s="38">
        <f t="shared" si="3"/>
        <v>0</v>
      </c>
    </row>
    <row r="85">
      <c r="A85" s="66" t="str">
        <f>Coin_Total_Asset_Liability!A85</f>
        <v>USDT ERC20</v>
      </c>
      <c r="B85" s="66">
        <f>Coin_Total_Asset_Liability!B85</f>
        <v>553005926</v>
      </c>
      <c r="C85" s="66">
        <f>Coin_Total_Asset_Liability!C85</f>
        <v>-1444765755</v>
      </c>
      <c r="D85" s="66">
        <f t="shared" si="1"/>
        <v>-891759829</v>
      </c>
      <c r="E85" s="81">
        <f>iferror(VLOOKUP(A85,Price!A:B,2,False))</f>
        <v>1.001801906</v>
      </c>
      <c r="F85" s="38">
        <f t="shared" si="2"/>
        <v>-893366696.4</v>
      </c>
      <c r="G85" s="39" t="str">
        <f>If(A85="CEL",0,iferror(VLOOKUP(A85,COFA!A:B,2,FALSE),0))</f>
        <v>N/A</v>
      </c>
      <c r="I85" s="38" t="str">
        <f t="shared" si="4"/>
        <v/>
      </c>
      <c r="J85" s="38">
        <f t="shared" si="3"/>
        <v>0</v>
      </c>
    </row>
    <row r="86">
      <c r="A86" s="66" t="str">
        <f>Coin_Total_Asset_Liability!A86</f>
        <v>VSP</v>
      </c>
      <c r="B86" s="66">
        <f>Coin_Total_Asset_Liability!B86</f>
        <v>42468.49501</v>
      </c>
      <c r="C86" s="66">
        <f>Coin_Total_Asset_Liability!C86</f>
        <v>0</v>
      </c>
      <c r="D86" s="66">
        <f t="shared" si="1"/>
        <v>42468.49501</v>
      </c>
      <c r="E86" s="81">
        <f>iferror(VLOOKUP(A86,Price!A:B,2,False))</f>
        <v>3.47</v>
      </c>
      <c r="F86" s="38">
        <f t="shared" si="2"/>
        <v>147365.6777</v>
      </c>
      <c r="G86" s="39" t="str">
        <f>If(A86="CEL",0,iferror(VLOOKUP(A86,COFA!A:B,2,FALSE),0))</f>
        <v>N/A</v>
      </c>
      <c r="I86" s="38" t="str">
        <f t="shared" si="4"/>
        <v/>
      </c>
      <c r="J86" s="38">
        <f t="shared" si="3"/>
        <v>0</v>
      </c>
    </row>
    <row r="87">
      <c r="A87" s="66" t="str">
        <f>Coin_Total_Asset_Liability!A87</f>
        <v>WBTC</v>
      </c>
      <c r="B87" s="66">
        <f>Coin_Total_Asset_Liability!B87</f>
        <v>34303.52298</v>
      </c>
      <c r="C87" s="66">
        <f>Coin_Total_Asset_Liability!C87</f>
        <v>-426.4055826</v>
      </c>
      <c r="D87" s="66">
        <f t="shared" si="1"/>
        <v>33877.1174</v>
      </c>
      <c r="E87" s="81">
        <f>iferror(VLOOKUP(A87,Price!A:B,2,False))</f>
        <v>46304.83329</v>
      </c>
      <c r="F87" s="38">
        <f t="shared" si="2"/>
        <v>1568674273</v>
      </c>
      <c r="G87" s="39">
        <f>If(A87="CEL",0,iferror(VLOOKUP(A87,COFA!A:B,2,FALSE),0))</f>
        <v>0.0298</v>
      </c>
      <c r="I87" s="38">
        <f t="shared" si="4"/>
        <v>46746493.35</v>
      </c>
      <c r="J87" s="38">
        <f t="shared" si="3"/>
        <v>898971.0259</v>
      </c>
    </row>
    <row r="88">
      <c r="A88" s="66" t="str">
        <f>Coin_Total_Asset_Liability!A88</f>
        <v>WDGLD</v>
      </c>
      <c r="B88" s="66">
        <f>Coin_Total_Asset_Liability!B88</f>
        <v>1666.471496</v>
      </c>
      <c r="C88" s="66">
        <f>Coin_Total_Asset_Liability!C88</f>
        <v>-1736.551032</v>
      </c>
      <c r="D88" s="66">
        <f t="shared" si="1"/>
        <v>-70.079536</v>
      </c>
      <c r="E88" s="81">
        <f>iferror(VLOOKUP(A88,Price!A:B,2,False))</f>
        <v>175.96</v>
      </c>
      <c r="F88" s="38">
        <f t="shared" si="2"/>
        <v>-12331.19515</v>
      </c>
      <c r="G88" s="39" t="str">
        <f>If(A88="CEL",0,iferror(VLOOKUP(A88,COFA!A:B,2,FALSE),0))</f>
        <v>N/A</v>
      </c>
      <c r="I88" s="38" t="str">
        <f t="shared" si="4"/>
        <v/>
      </c>
      <c r="J88" s="38">
        <f t="shared" si="3"/>
        <v>0</v>
      </c>
    </row>
    <row r="89">
      <c r="A89" s="66" t="str">
        <f>Coin_Total_Asset_Liability!A89</f>
        <v>XAUT</v>
      </c>
      <c r="B89" s="66">
        <f>Coin_Total_Asset_Liability!B89</f>
        <v>338.4017606</v>
      </c>
      <c r="C89" s="66">
        <f>Coin_Total_Asset_Liability!C89</f>
        <v>-261.1049248</v>
      </c>
      <c r="D89" s="66">
        <f t="shared" si="1"/>
        <v>77.2968358</v>
      </c>
      <c r="E89" s="81">
        <f>iferror(VLOOKUP(A89,Price!A:B,2,False))</f>
        <v>1801.374258</v>
      </c>
      <c r="F89" s="38">
        <f t="shared" si="2"/>
        <v>139240.5302</v>
      </c>
      <c r="G89" s="39">
        <f>If(A89="CEL",0,iferror(VLOOKUP(A89,COFA!A:B,2,FALSE),0))</f>
        <v>0.0554</v>
      </c>
      <c r="I89" s="38">
        <f t="shared" si="4"/>
        <v>7713.925375</v>
      </c>
      <c r="J89" s="38">
        <f t="shared" si="3"/>
        <v>148.3447188</v>
      </c>
    </row>
    <row r="90">
      <c r="A90" s="66" t="str">
        <f>Coin_Total_Asset_Liability!A90</f>
        <v>XLM</v>
      </c>
      <c r="B90" s="66">
        <f>Coin_Total_Asset_Liability!B90</f>
        <v>131670958.4</v>
      </c>
      <c r="C90" s="66">
        <f>Coin_Total_Asset_Liability!C90</f>
        <v>-127331016.5</v>
      </c>
      <c r="D90" s="66">
        <f t="shared" si="1"/>
        <v>4339941.9</v>
      </c>
      <c r="E90" s="81">
        <f>iferror(VLOOKUP(A90,Price!A:B,2,False))</f>
        <v>0.270127</v>
      </c>
      <c r="F90" s="38">
        <f t="shared" si="2"/>
        <v>1172335.486</v>
      </c>
      <c r="G90" s="39">
        <f>If(A90="CEL",0,iferror(VLOOKUP(A90,COFA!A:B,2,FALSE),0))</f>
        <v>0.0091</v>
      </c>
      <c r="I90" s="38">
        <f t="shared" si="4"/>
        <v>10668.25292</v>
      </c>
      <c r="J90" s="38">
        <f t="shared" si="3"/>
        <v>205.15871</v>
      </c>
    </row>
    <row r="91">
      <c r="A91" s="66" t="str">
        <f>Coin_Total_Asset_Liability!A91</f>
        <v>XRP</v>
      </c>
      <c r="B91" s="66">
        <f>Coin_Total_Asset_Liability!B91</f>
        <v>233927383.7</v>
      </c>
      <c r="C91" s="66">
        <f>Coin_Total_Asset_Liability!C91</f>
        <v>-229352462.9</v>
      </c>
      <c r="D91" s="66">
        <f t="shared" si="1"/>
        <v>4574920.8</v>
      </c>
      <c r="E91" s="81">
        <f>iferror(VLOOKUP(A91,Price!A:B,2,False))</f>
        <v>0.8665334374</v>
      </c>
      <c r="F91" s="38">
        <f t="shared" si="2"/>
        <v>3964321.847</v>
      </c>
      <c r="G91" s="39">
        <f>If(A91="CEL",0,iferror(VLOOKUP(A91,COFA!A:B,2,FALSE),0))</f>
        <v>0.0127</v>
      </c>
      <c r="I91" s="38">
        <f t="shared" si="4"/>
        <v>50346.88745</v>
      </c>
      <c r="J91" s="38">
        <f t="shared" si="3"/>
        <v>968.2093741</v>
      </c>
    </row>
    <row r="92">
      <c r="A92" s="66" t="str">
        <f>Coin_Total_Asset_Liability!A92</f>
        <v>XTZ</v>
      </c>
      <c r="B92" s="66">
        <f>Coin_Total_Asset_Liability!B92</f>
        <v>294387.9426</v>
      </c>
      <c r="C92" s="66">
        <f>Coin_Total_Asset_Liability!C92</f>
        <v>-293022.1543</v>
      </c>
      <c r="D92" s="66">
        <f t="shared" si="1"/>
        <v>1365.7883</v>
      </c>
      <c r="E92" s="81">
        <f>iferror(VLOOKUP(A92,Price!A:B,2,False))</f>
        <v>4.033459355</v>
      </c>
      <c r="F92" s="38">
        <f t="shared" si="2"/>
        <v>5508.851596</v>
      </c>
      <c r="G92" s="39">
        <f>If(A92="CEL",0,iferror(VLOOKUP(A92,COFA!A:B,2,FALSE),0))</f>
        <v>0</v>
      </c>
      <c r="I92" s="38">
        <f t="shared" si="4"/>
        <v>0</v>
      </c>
      <c r="J92" s="38">
        <f t="shared" si="3"/>
        <v>0</v>
      </c>
    </row>
    <row r="93">
      <c r="A93" s="66" t="str">
        <f>Coin_Total_Asset_Liability!A93</f>
        <v>YFI</v>
      </c>
      <c r="B93" s="66">
        <f>Coin_Total_Asset_Liability!B93</f>
        <v>52.50547601</v>
      </c>
      <c r="C93" s="66">
        <f>Coin_Total_Asset_Liability!C93</f>
        <v>-9.865671041</v>
      </c>
      <c r="D93" s="66">
        <f t="shared" si="1"/>
        <v>42.63980497</v>
      </c>
      <c r="E93" s="81">
        <f>iferror(VLOOKUP(A93,Price!A:B,2,False))</f>
        <v>35357.36619</v>
      </c>
      <c r="F93" s="38">
        <f t="shared" si="2"/>
        <v>1507631.199</v>
      </c>
      <c r="G93" s="39" t="str">
        <f>If(A93="CEL",0,iferror(VLOOKUP(A93,COFA!A:B,2,FALSE),0))</f>
        <v>N/A</v>
      </c>
      <c r="I93" s="38" t="str">
        <f t="shared" si="4"/>
        <v/>
      </c>
      <c r="J93" s="38">
        <f t="shared" si="3"/>
        <v>0</v>
      </c>
    </row>
    <row r="94">
      <c r="A94" s="66" t="str">
        <f>Coin_Total_Asset_Liability!A94</f>
        <v>YFL</v>
      </c>
      <c r="B94" s="66">
        <f>Coin_Total_Asset_Liability!B94</f>
        <v>1044.03038</v>
      </c>
      <c r="C94" s="66">
        <f>Coin_Total_Asset_Liability!C94</f>
        <v>0</v>
      </c>
      <c r="D94" s="66">
        <f t="shared" si="1"/>
        <v>1044.03038</v>
      </c>
      <c r="E94" s="81">
        <f>iferror(VLOOKUP(A94,Price!A:B,2,False))</f>
        <v>208.14</v>
      </c>
      <c r="F94" s="38">
        <f t="shared" si="2"/>
        <v>217304.4833</v>
      </c>
      <c r="G94" s="39">
        <f>If(A94="CEL",0,iferror(VLOOKUP(A94,COFA!A:B,2,FALSE),0))</f>
        <v>0</v>
      </c>
      <c r="I94" s="38">
        <f t="shared" si="4"/>
        <v>0</v>
      </c>
      <c r="J94" s="38">
        <f t="shared" si="3"/>
        <v>0</v>
      </c>
    </row>
    <row r="95">
      <c r="A95" s="66" t="str">
        <f>Coin_Total_Asset_Liability!A95</f>
        <v>yveCRV-DAO</v>
      </c>
      <c r="B95" s="66">
        <f>Coin_Total_Asset_Liability!B95</f>
        <v>20007.23888</v>
      </c>
      <c r="C95" s="66">
        <f>Coin_Total_Asset_Liability!C95</f>
        <v>0</v>
      </c>
      <c r="D95" s="66">
        <f t="shared" si="1"/>
        <v>20007.23888</v>
      </c>
      <c r="E95" s="81">
        <f>iferror(VLOOKUP(A95,Price!A:B,2,False))</f>
        <v>2.38</v>
      </c>
      <c r="F95" s="38">
        <f t="shared" si="2"/>
        <v>47617.22853</v>
      </c>
      <c r="G95" s="39">
        <f>If(A95="CEL",0,iferror(VLOOKUP(A95,COFA!A:B,2,FALSE),0))</f>
        <v>0</v>
      </c>
      <c r="I95" s="38">
        <f t="shared" si="4"/>
        <v>0</v>
      </c>
      <c r="J95" s="38">
        <f t="shared" si="3"/>
        <v>0</v>
      </c>
    </row>
    <row r="96">
      <c r="A96" s="58" t="s">
        <v>20</v>
      </c>
      <c r="B96" s="66">
        <f>Coin_Total_Asset_Liability!B96</f>
        <v>122594.1295</v>
      </c>
      <c r="C96" s="66">
        <f>Coin_Total_Asset_Liability!C96</f>
        <v>-123080.2447</v>
      </c>
      <c r="E96" s="81"/>
      <c r="F96" s="38">
        <f>SUM(F3:F95)</f>
        <v>555662913.7</v>
      </c>
      <c r="G96" s="39"/>
      <c r="I96" s="38">
        <f t="shared" ref="I96:J96" si="5">SUM(I3:I95)</f>
        <v>17455330.26</v>
      </c>
      <c r="J96" s="38">
        <f t="shared" si="5"/>
        <v>335679.4282</v>
      </c>
    </row>
    <row r="97">
      <c r="A97" s="66" t="str">
        <f>Coin_Total_Asset_Liability!A97</f>
        <v>ZRX</v>
      </c>
      <c r="B97" s="66">
        <f>Coin_Total_Asset_Liability!B97</f>
        <v>14817768.8</v>
      </c>
      <c r="C97" s="66">
        <f>Coin_Total_Asset_Liability!C97</f>
        <v>-14845259.16</v>
      </c>
      <c r="E97" s="81"/>
      <c r="F97" s="38"/>
      <c r="G97" s="39"/>
      <c r="I97" s="38"/>
      <c r="J97" s="38"/>
    </row>
    <row r="98">
      <c r="A98" s="66" t="str">
        <f>Coin_Total_Asset_Liability!A98</f>
        <v>ZUSD</v>
      </c>
      <c r="B98" s="66">
        <f>Coin_Total_Asset_Liability!B98</f>
        <v>737094.8002</v>
      </c>
      <c r="C98" s="66">
        <f>Coin_Total_Asset_Liability!C98</f>
        <v>-755650.5794</v>
      </c>
      <c r="E98" s="81"/>
      <c r="F98" s="38"/>
      <c r="G98" s="39"/>
      <c r="I98" s="38"/>
      <c r="J98" s="38"/>
    </row>
    <row r="99">
      <c r="E99" s="81"/>
      <c r="F99" s="38"/>
      <c r="G99" s="39"/>
      <c r="I99" s="38"/>
      <c r="J99" s="38"/>
    </row>
    <row r="100">
      <c r="E100" s="81"/>
      <c r="F100" s="38"/>
      <c r="G100" s="39"/>
      <c r="I100" s="38"/>
      <c r="J100" s="38"/>
    </row>
    <row r="101">
      <c r="E101" s="81"/>
      <c r="F101" s="38"/>
      <c r="G101" s="39"/>
      <c r="I101" s="38"/>
      <c r="J101" s="38"/>
    </row>
    <row r="102">
      <c r="E102" s="81"/>
      <c r="F102" s="38"/>
      <c r="G102" s="39"/>
      <c r="I102" s="38"/>
      <c r="J102" s="38"/>
    </row>
    <row r="103">
      <c r="E103" s="81"/>
      <c r="F103" s="38"/>
      <c r="G103" s="39"/>
      <c r="I103" s="38"/>
      <c r="J103" s="38"/>
    </row>
    <row r="104">
      <c r="E104" s="81"/>
      <c r="F104" s="38"/>
      <c r="G104" s="39"/>
      <c r="I104" s="38"/>
      <c r="J104" s="38"/>
    </row>
    <row r="105">
      <c r="E105" s="81"/>
      <c r="F105" s="38"/>
      <c r="G105" s="39"/>
      <c r="I105" s="38"/>
      <c r="J105" s="38"/>
    </row>
    <row r="106">
      <c r="E106" s="81"/>
      <c r="F106" s="38"/>
      <c r="G106" s="39"/>
      <c r="I106" s="38"/>
      <c r="J106" s="38"/>
    </row>
    <row r="107">
      <c r="E107" s="81"/>
      <c r="F107" s="38"/>
      <c r="G107" s="39"/>
      <c r="I107" s="38"/>
      <c r="J107" s="38"/>
    </row>
    <row r="108">
      <c r="E108" s="81"/>
      <c r="F108" s="38"/>
      <c r="G108" s="39"/>
      <c r="I108" s="38"/>
      <c r="J108" s="38"/>
    </row>
    <row r="109">
      <c r="E109" s="81"/>
      <c r="F109" s="38"/>
      <c r="G109" s="39"/>
      <c r="I109" s="38"/>
      <c r="J109" s="38"/>
    </row>
    <row r="110">
      <c r="E110" s="81"/>
      <c r="F110" s="38"/>
      <c r="G110" s="39"/>
      <c r="I110" s="38"/>
      <c r="J110" s="38"/>
    </row>
    <row r="111">
      <c r="E111" s="81"/>
      <c r="F111" s="38"/>
      <c r="G111" s="39"/>
      <c r="I111" s="38"/>
      <c r="J111" s="38"/>
    </row>
    <row r="112">
      <c r="E112" s="81"/>
      <c r="F112" s="38"/>
      <c r="G112" s="39"/>
      <c r="I112" s="38"/>
      <c r="J112" s="38"/>
    </row>
    <row r="113">
      <c r="E113" s="81"/>
      <c r="F113" s="38"/>
      <c r="G113" s="39"/>
      <c r="I113" s="38"/>
      <c r="J113" s="38"/>
    </row>
    <row r="114">
      <c r="E114" s="81"/>
      <c r="F114" s="38"/>
      <c r="G114" s="39"/>
      <c r="I114" s="38"/>
      <c r="J114" s="38"/>
    </row>
    <row r="115">
      <c r="E115" s="81"/>
      <c r="F115" s="38"/>
      <c r="G115" s="39"/>
      <c r="I115" s="38"/>
      <c r="J115" s="38"/>
    </row>
    <row r="116">
      <c r="E116" s="81"/>
      <c r="F116" s="38"/>
      <c r="G116" s="39"/>
      <c r="I116" s="38"/>
      <c r="J116" s="38"/>
    </row>
    <row r="117">
      <c r="E117" s="81"/>
      <c r="F117" s="38"/>
      <c r="G117" s="39"/>
      <c r="I117" s="38"/>
      <c r="J117" s="38"/>
    </row>
    <row r="118">
      <c r="E118" s="81"/>
      <c r="F118" s="38"/>
      <c r="G118" s="39"/>
      <c r="I118" s="38"/>
      <c r="J118" s="38"/>
    </row>
    <row r="119">
      <c r="E119" s="81"/>
      <c r="F119" s="38"/>
      <c r="G119" s="39"/>
      <c r="I119" s="38"/>
      <c r="J119" s="38"/>
    </row>
    <row r="120">
      <c r="E120" s="81"/>
      <c r="F120" s="38"/>
      <c r="G120" s="39"/>
      <c r="I120" s="38"/>
      <c r="J120" s="38"/>
    </row>
    <row r="121">
      <c r="E121" s="81"/>
      <c r="F121" s="38"/>
      <c r="G121" s="39"/>
      <c r="I121" s="38"/>
      <c r="J121" s="38"/>
    </row>
    <row r="122">
      <c r="E122" s="81"/>
      <c r="F122" s="38"/>
      <c r="G122" s="39"/>
      <c r="I122" s="38"/>
      <c r="J122" s="38"/>
    </row>
    <row r="123">
      <c r="E123" s="81"/>
      <c r="F123" s="38"/>
      <c r="G123" s="39"/>
      <c r="I123" s="38"/>
      <c r="J123" s="38"/>
    </row>
    <row r="124">
      <c r="E124" s="81"/>
      <c r="F124" s="38"/>
      <c r="G124" s="39"/>
      <c r="I124" s="38"/>
      <c r="J124" s="38"/>
    </row>
    <row r="125">
      <c r="E125" s="81"/>
      <c r="F125" s="38"/>
      <c r="G125" s="39"/>
      <c r="I125" s="38"/>
      <c r="J125" s="38"/>
    </row>
    <row r="126">
      <c r="E126" s="81"/>
      <c r="F126" s="38"/>
      <c r="G126" s="39"/>
      <c r="I126" s="38"/>
      <c r="J126" s="38"/>
    </row>
    <row r="127">
      <c r="E127" s="81"/>
      <c r="F127" s="38"/>
      <c r="G127" s="39"/>
      <c r="I127" s="38"/>
      <c r="J127" s="38"/>
    </row>
    <row r="128">
      <c r="E128" s="81"/>
      <c r="F128" s="38"/>
      <c r="G128" s="39"/>
      <c r="I128" s="38"/>
      <c r="J128" s="38"/>
    </row>
    <row r="129">
      <c r="E129" s="81"/>
      <c r="F129" s="38"/>
      <c r="G129" s="39"/>
      <c r="I129" s="38"/>
      <c r="J129" s="38"/>
    </row>
    <row r="130">
      <c r="E130" s="81"/>
      <c r="F130" s="38"/>
      <c r="G130" s="39"/>
      <c r="I130" s="38"/>
      <c r="J130" s="38"/>
    </row>
    <row r="131">
      <c r="E131" s="81"/>
      <c r="F131" s="38"/>
      <c r="G131" s="39"/>
      <c r="I131" s="38"/>
      <c r="J131" s="38"/>
    </row>
    <row r="132">
      <c r="E132" s="81"/>
      <c r="F132" s="38"/>
      <c r="G132" s="39"/>
      <c r="I132" s="38"/>
      <c r="J132" s="38"/>
    </row>
    <row r="133">
      <c r="E133" s="81"/>
      <c r="F133" s="38"/>
      <c r="G133" s="39"/>
      <c r="I133" s="38"/>
      <c r="J133" s="38"/>
    </row>
    <row r="134">
      <c r="E134" s="81"/>
      <c r="F134" s="38"/>
      <c r="G134" s="39"/>
      <c r="I134" s="38"/>
      <c r="J134" s="38"/>
    </row>
    <row r="135">
      <c r="E135" s="81"/>
      <c r="F135" s="38"/>
      <c r="G135" s="39"/>
      <c r="I135" s="38"/>
      <c r="J135" s="38"/>
    </row>
    <row r="136">
      <c r="E136" s="81"/>
      <c r="F136" s="38"/>
      <c r="G136" s="39"/>
      <c r="I136" s="38"/>
      <c r="J136" s="38"/>
    </row>
    <row r="137">
      <c r="E137" s="81"/>
      <c r="F137" s="38"/>
      <c r="G137" s="39"/>
      <c r="I137" s="38"/>
      <c r="J137" s="38"/>
    </row>
    <row r="138">
      <c r="E138" s="81"/>
      <c r="F138" s="38"/>
      <c r="G138" s="39"/>
      <c r="I138" s="38"/>
      <c r="J138" s="38"/>
    </row>
    <row r="139">
      <c r="E139" s="81"/>
      <c r="F139" s="38"/>
      <c r="G139" s="39"/>
      <c r="I139" s="38"/>
      <c r="J139" s="38"/>
    </row>
    <row r="140">
      <c r="E140" s="81"/>
      <c r="F140" s="38"/>
      <c r="G140" s="39"/>
      <c r="I140" s="38"/>
      <c r="J140" s="38"/>
    </row>
    <row r="141">
      <c r="E141" s="81"/>
      <c r="F141" s="38"/>
      <c r="G141" s="39"/>
      <c r="I141" s="38"/>
      <c r="J141" s="38"/>
    </row>
    <row r="142">
      <c r="E142" s="81"/>
      <c r="F142" s="38"/>
      <c r="G142" s="39"/>
      <c r="I142" s="38"/>
      <c r="J142" s="38"/>
    </row>
    <row r="143">
      <c r="E143" s="81"/>
      <c r="F143" s="38"/>
      <c r="G143" s="39"/>
      <c r="I143" s="38"/>
      <c r="J143" s="38"/>
    </row>
    <row r="144">
      <c r="E144" s="81"/>
      <c r="F144" s="38"/>
      <c r="G144" s="39"/>
      <c r="I144" s="38"/>
      <c r="J144" s="38"/>
    </row>
    <row r="145">
      <c r="E145" s="81"/>
      <c r="F145" s="38"/>
      <c r="G145" s="39"/>
      <c r="I145" s="38"/>
      <c r="J145" s="38"/>
    </row>
    <row r="146">
      <c r="E146" s="81"/>
      <c r="F146" s="38"/>
      <c r="G146" s="39"/>
      <c r="I146" s="38"/>
      <c r="J146" s="38"/>
    </row>
    <row r="147">
      <c r="E147" s="81"/>
      <c r="F147" s="38"/>
      <c r="G147" s="39"/>
      <c r="I147" s="38"/>
      <c r="J147" s="38"/>
    </row>
    <row r="148">
      <c r="E148" s="81"/>
      <c r="F148" s="38"/>
      <c r="G148" s="39"/>
      <c r="I148" s="38"/>
      <c r="J148" s="38"/>
    </row>
    <row r="149">
      <c r="E149" s="81"/>
      <c r="F149" s="38"/>
      <c r="G149" s="39"/>
      <c r="I149" s="38"/>
      <c r="J149" s="38"/>
    </row>
    <row r="150">
      <c r="E150" s="81"/>
      <c r="F150" s="38"/>
      <c r="G150" s="39"/>
      <c r="I150" s="38"/>
      <c r="J150" s="38"/>
    </row>
    <row r="151">
      <c r="E151" s="81"/>
      <c r="F151" s="38"/>
      <c r="G151" s="39"/>
      <c r="I151" s="38"/>
      <c r="J151" s="38"/>
    </row>
    <row r="152">
      <c r="E152" s="81"/>
      <c r="F152" s="38"/>
      <c r="G152" s="39"/>
      <c r="I152" s="38"/>
      <c r="J152" s="38"/>
    </row>
    <row r="153">
      <c r="E153" s="81"/>
      <c r="F153" s="38"/>
      <c r="G153" s="39"/>
      <c r="I153" s="38"/>
      <c r="J153" s="38"/>
    </row>
    <row r="154">
      <c r="E154" s="81"/>
      <c r="F154" s="38"/>
      <c r="G154" s="39"/>
      <c r="I154" s="38"/>
      <c r="J154" s="38"/>
    </row>
    <row r="155">
      <c r="E155" s="81"/>
      <c r="F155" s="38"/>
      <c r="G155" s="39"/>
      <c r="I155" s="38"/>
      <c r="J155" s="38"/>
    </row>
    <row r="156">
      <c r="E156" s="81"/>
      <c r="F156" s="38"/>
      <c r="G156" s="39"/>
      <c r="I156" s="38"/>
      <c r="J156" s="38"/>
    </row>
    <row r="157">
      <c r="E157" s="81"/>
      <c r="F157" s="38"/>
      <c r="G157" s="39"/>
      <c r="I157" s="38"/>
      <c r="J157" s="38"/>
    </row>
    <row r="158">
      <c r="E158" s="81"/>
      <c r="F158" s="38"/>
      <c r="G158" s="39"/>
      <c r="I158" s="38"/>
      <c r="J158" s="38"/>
    </row>
    <row r="159">
      <c r="E159" s="81"/>
      <c r="F159" s="38"/>
      <c r="G159" s="39"/>
      <c r="I159" s="38"/>
      <c r="J159" s="38"/>
    </row>
    <row r="160">
      <c r="E160" s="81"/>
      <c r="F160" s="38"/>
      <c r="G160" s="39"/>
      <c r="I160" s="38"/>
      <c r="J160" s="38"/>
    </row>
    <row r="161">
      <c r="E161" s="81"/>
      <c r="F161" s="38"/>
      <c r="G161" s="39"/>
      <c r="I161" s="38"/>
      <c r="J161" s="38"/>
    </row>
    <row r="162">
      <c r="E162" s="81"/>
      <c r="F162" s="38"/>
      <c r="G162" s="39"/>
      <c r="I162" s="38"/>
      <c r="J162" s="38"/>
    </row>
    <row r="163">
      <c r="E163" s="81"/>
      <c r="F163" s="38"/>
      <c r="G163" s="39"/>
      <c r="I163" s="38"/>
      <c r="J163" s="38"/>
    </row>
    <row r="164">
      <c r="E164" s="81"/>
      <c r="F164" s="38"/>
      <c r="G164" s="39"/>
      <c r="I164" s="38"/>
      <c r="J164" s="38"/>
    </row>
    <row r="165">
      <c r="E165" s="81"/>
      <c r="F165" s="38"/>
      <c r="G165" s="39"/>
      <c r="I165" s="38"/>
      <c r="J165" s="38"/>
    </row>
    <row r="166">
      <c r="E166" s="81"/>
      <c r="F166" s="38"/>
      <c r="G166" s="39"/>
      <c r="I166" s="38"/>
      <c r="J166" s="38"/>
    </row>
    <row r="167">
      <c r="E167" s="81"/>
      <c r="F167" s="38"/>
      <c r="G167" s="39"/>
      <c r="I167" s="38"/>
      <c r="J167" s="38"/>
    </row>
    <row r="168">
      <c r="E168" s="81"/>
      <c r="F168" s="38"/>
      <c r="G168" s="39"/>
      <c r="I168" s="38"/>
      <c r="J168" s="38"/>
    </row>
    <row r="169">
      <c r="E169" s="81"/>
      <c r="F169" s="38"/>
      <c r="G169" s="39"/>
      <c r="I169" s="38"/>
      <c r="J169" s="38"/>
    </row>
    <row r="170">
      <c r="E170" s="81"/>
      <c r="F170" s="38"/>
      <c r="G170" s="39"/>
      <c r="I170" s="38"/>
      <c r="J170" s="38"/>
    </row>
    <row r="171">
      <c r="E171" s="81"/>
      <c r="F171" s="38"/>
      <c r="G171" s="39"/>
      <c r="I171" s="38"/>
      <c r="J171" s="38"/>
    </row>
    <row r="172">
      <c r="E172" s="81"/>
      <c r="F172" s="38"/>
      <c r="G172" s="39"/>
      <c r="I172" s="38"/>
      <c r="J172" s="38"/>
    </row>
    <row r="173">
      <c r="E173" s="81"/>
      <c r="F173" s="38"/>
      <c r="G173" s="39"/>
      <c r="I173" s="38"/>
      <c r="J173" s="38"/>
    </row>
    <row r="174">
      <c r="E174" s="81"/>
      <c r="F174" s="38"/>
      <c r="G174" s="39"/>
      <c r="I174" s="38"/>
      <c r="J174" s="38"/>
    </row>
    <row r="175">
      <c r="E175" s="81"/>
      <c r="F175" s="38"/>
      <c r="G175" s="39"/>
      <c r="I175" s="38"/>
      <c r="J175" s="38"/>
    </row>
    <row r="176">
      <c r="E176" s="81"/>
      <c r="F176" s="38"/>
      <c r="G176" s="39"/>
      <c r="I176" s="38"/>
      <c r="J176" s="38"/>
    </row>
    <row r="177">
      <c r="E177" s="81"/>
      <c r="F177" s="38"/>
      <c r="G177" s="39"/>
      <c r="I177" s="38"/>
      <c r="J177" s="38"/>
    </row>
    <row r="178">
      <c r="E178" s="81"/>
      <c r="F178" s="38"/>
      <c r="G178" s="39"/>
      <c r="I178" s="38"/>
      <c r="J178" s="38"/>
    </row>
    <row r="179">
      <c r="E179" s="81"/>
      <c r="F179" s="38"/>
      <c r="G179" s="39"/>
      <c r="I179" s="38"/>
      <c r="J179" s="38"/>
    </row>
    <row r="180">
      <c r="E180" s="81"/>
      <c r="F180" s="38"/>
      <c r="G180" s="39"/>
      <c r="I180" s="38"/>
      <c r="J180" s="38"/>
    </row>
    <row r="181">
      <c r="E181" s="81"/>
      <c r="F181" s="38"/>
      <c r="G181" s="39"/>
      <c r="I181" s="38"/>
      <c r="J181" s="38"/>
    </row>
    <row r="182">
      <c r="E182" s="81"/>
      <c r="F182" s="38"/>
      <c r="G182" s="39"/>
      <c r="I182" s="38"/>
      <c r="J182" s="38"/>
    </row>
    <row r="183">
      <c r="E183" s="81"/>
      <c r="F183" s="38"/>
      <c r="G183" s="39"/>
      <c r="I183" s="38"/>
      <c r="J183" s="38"/>
    </row>
    <row r="184">
      <c r="E184" s="81"/>
      <c r="F184" s="38"/>
      <c r="G184" s="39"/>
      <c r="I184" s="38"/>
      <c r="J184" s="38"/>
    </row>
    <row r="185">
      <c r="E185" s="81"/>
      <c r="F185" s="38"/>
      <c r="G185" s="39"/>
      <c r="I185" s="38"/>
      <c r="J185" s="38"/>
    </row>
    <row r="186">
      <c r="E186" s="81"/>
      <c r="F186" s="38"/>
      <c r="G186" s="39"/>
      <c r="I186" s="38"/>
      <c r="J186" s="38"/>
    </row>
    <row r="187">
      <c r="E187" s="81"/>
      <c r="F187" s="38"/>
      <c r="G187" s="39"/>
      <c r="I187" s="38"/>
      <c r="J187" s="38"/>
    </row>
    <row r="188">
      <c r="E188" s="81"/>
      <c r="F188" s="38"/>
      <c r="G188" s="39"/>
      <c r="I188" s="38"/>
      <c r="J188" s="38"/>
    </row>
    <row r="189">
      <c r="E189" s="81"/>
      <c r="F189" s="38"/>
      <c r="G189" s="39"/>
      <c r="I189" s="38"/>
      <c r="J189" s="38"/>
    </row>
    <row r="190">
      <c r="E190" s="81"/>
      <c r="F190" s="38"/>
      <c r="G190" s="39"/>
      <c r="I190" s="38"/>
      <c r="J190" s="38"/>
    </row>
    <row r="191">
      <c r="E191" s="81"/>
      <c r="F191" s="38"/>
      <c r="G191" s="39"/>
      <c r="I191" s="38"/>
      <c r="J191" s="38"/>
    </row>
    <row r="192">
      <c r="E192" s="81"/>
      <c r="F192" s="38"/>
      <c r="G192" s="39"/>
      <c r="I192" s="38"/>
      <c r="J192" s="38"/>
    </row>
    <row r="193">
      <c r="E193" s="81"/>
      <c r="F193" s="38"/>
      <c r="G193" s="39"/>
      <c r="I193" s="38"/>
      <c r="J193" s="38"/>
    </row>
    <row r="194">
      <c r="E194" s="81"/>
      <c r="F194" s="38"/>
      <c r="G194" s="39"/>
      <c r="I194" s="38"/>
      <c r="J194" s="38"/>
    </row>
    <row r="195">
      <c r="E195" s="81"/>
      <c r="F195" s="38"/>
      <c r="G195" s="39"/>
      <c r="I195" s="38"/>
      <c r="J195" s="38"/>
    </row>
    <row r="196">
      <c r="E196" s="81"/>
      <c r="F196" s="38"/>
      <c r="G196" s="39"/>
      <c r="I196" s="38"/>
      <c r="J196" s="38"/>
    </row>
    <row r="197">
      <c r="E197" s="81"/>
      <c r="F197" s="38"/>
      <c r="G197" s="39"/>
      <c r="I197" s="38"/>
      <c r="J197" s="38"/>
    </row>
    <row r="198">
      <c r="E198" s="81"/>
      <c r="F198" s="38"/>
      <c r="G198" s="39"/>
      <c r="I198" s="38"/>
      <c r="J198" s="38"/>
    </row>
    <row r="199">
      <c r="E199" s="81"/>
      <c r="F199" s="38"/>
      <c r="G199" s="39"/>
      <c r="I199" s="38"/>
      <c r="J199" s="38"/>
    </row>
    <row r="200">
      <c r="E200" s="81"/>
      <c r="F200" s="38"/>
      <c r="G200" s="39"/>
      <c r="I200" s="38"/>
      <c r="J200" s="38"/>
    </row>
    <row r="201">
      <c r="E201" s="81"/>
      <c r="F201" s="38"/>
      <c r="G201" s="39"/>
      <c r="I201" s="38"/>
      <c r="J201" s="38"/>
    </row>
    <row r="202">
      <c r="E202" s="81"/>
      <c r="F202" s="38"/>
      <c r="G202" s="39"/>
      <c r="I202" s="38"/>
      <c r="J202" s="38"/>
    </row>
    <row r="203">
      <c r="E203" s="81"/>
      <c r="F203" s="38"/>
      <c r="G203" s="39"/>
      <c r="I203" s="38"/>
      <c r="J203" s="38"/>
    </row>
    <row r="204">
      <c r="E204" s="81"/>
      <c r="F204" s="38"/>
      <c r="G204" s="39"/>
      <c r="I204" s="38"/>
      <c r="J204" s="38"/>
    </row>
    <row r="205">
      <c r="E205" s="81"/>
      <c r="F205" s="38"/>
      <c r="G205" s="39"/>
      <c r="I205" s="38"/>
      <c r="J205" s="38"/>
    </row>
    <row r="206">
      <c r="E206" s="81"/>
      <c r="F206" s="38"/>
      <c r="G206" s="39"/>
      <c r="I206" s="38"/>
      <c r="J206" s="38"/>
    </row>
    <row r="207">
      <c r="E207" s="81"/>
      <c r="F207" s="38"/>
      <c r="G207" s="39"/>
      <c r="I207" s="38"/>
      <c r="J207" s="38"/>
    </row>
    <row r="208">
      <c r="E208" s="81"/>
      <c r="F208" s="38"/>
      <c r="G208" s="39"/>
      <c r="I208" s="38"/>
      <c r="J208" s="38"/>
    </row>
    <row r="209">
      <c r="E209" s="81"/>
      <c r="F209" s="38"/>
      <c r="G209" s="39"/>
      <c r="I209" s="38"/>
      <c r="J209" s="38"/>
    </row>
    <row r="210">
      <c r="E210" s="81"/>
      <c r="F210" s="38"/>
      <c r="G210" s="39"/>
      <c r="I210" s="38"/>
      <c r="J210" s="38"/>
    </row>
    <row r="211">
      <c r="E211" s="81"/>
      <c r="F211" s="38"/>
      <c r="G211" s="39"/>
      <c r="I211" s="38"/>
      <c r="J211" s="38"/>
    </row>
    <row r="212">
      <c r="E212" s="81"/>
      <c r="F212" s="38"/>
      <c r="G212" s="39"/>
      <c r="I212" s="38"/>
      <c r="J212" s="38"/>
    </row>
    <row r="213">
      <c r="E213" s="81"/>
      <c r="F213" s="38"/>
      <c r="G213" s="39"/>
      <c r="I213" s="38"/>
      <c r="J213" s="38"/>
    </row>
    <row r="214">
      <c r="E214" s="81"/>
      <c r="F214" s="38"/>
      <c r="G214" s="39"/>
      <c r="I214" s="38"/>
      <c r="J214" s="38"/>
    </row>
    <row r="215">
      <c r="E215" s="81"/>
      <c r="F215" s="38"/>
      <c r="G215" s="39"/>
      <c r="I215" s="38"/>
      <c r="J215" s="38"/>
    </row>
    <row r="216">
      <c r="E216" s="81"/>
      <c r="F216" s="38"/>
      <c r="G216" s="39"/>
      <c r="I216" s="38"/>
      <c r="J216" s="38"/>
    </row>
    <row r="217">
      <c r="E217" s="81"/>
      <c r="F217" s="38"/>
      <c r="G217" s="39"/>
      <c r="I217" s="38"/>
      <c r="J217" s="38"/>
    </row>
    <row r="218">
      <c r="E218" s="81"/>
      <c r="F218" s="38"/>
      <c r="G218" s="39"/>
      <c r="I218" s="38"/>
      <c r="J218" s="38"/>
    </row>
    <row r="219">
      <c r="E219" s="81"/>
      <c r="F219" s="38"/>
      <c r="G219" s="39"/>
      <c r="I219" s="38"/>
      <c r="J219" s="38"/>
    </row>
    <row r="220">
      <c r="E220" s="81"/>
      <c r="F220" s="38"/>
      <c r="G220" s="39"/>
      <c r="I220" s="38"/>
      <c r="J220" s="38"/>
    </row>
    <row r="221">
      <c r="E221" s="81"/>
      <c r="F221" s="38"/>
      <c r="G221" s="39"/>
      <c r="I221" s="38"/>
      <c r="J221" s="38"/>
    </row>
    <row r="222">
      <c r="E222" s="81"/>
      <c r="F222" s="38"/>
      <c r="G222" s="39"/>
      <c r="I222" s="38"/>
      <c r="J222" s="38"/>
    </row>
    <row r="223">
      <c r="E223" s="81"/>
      <c r="F223" s="38"/>
      <c r="G223" s="39"/>
      <c r="I223" s="38"/>
      <c r="J223" s="38"/>
    </row>
    <row r="224">
      <c r="E224" s="81"/>
      <c r="F224" s="38"/>
      <c r="G224" s="39"/>
      <c r="I224" s="38"/>
      <c r="J224" s="38"/>
    </row>
    <row r="225">
      <c r="E225" s="81"/>
      <c r="F225" s="38"/>
      <c r="G225" s="39"/>
      <c r="I225" s="38"/>
      <c r="J225" s="38"/>
    </row>
    <row r="226">
      <c r="E226" s="81"/>
      <c r="F226" s="38"/>
      <c r="G226" s="39"/>
      <c r="I226" s="38"/>
      <c r="J226" s="38"/>
    </row>
    <row r="227">
      <c r="E227" s="81"/>
      <c r="F227" s="38"/>
      <c r="G227" s="39"/>
      <c r="I227" s="38"/>
      <c r="J227" s="38"/>
    </row>
    <row r="228">
      <c r="E228" s="81"/>
      <c r="F228" s="38"/>
      <c r="G228" s="39"/>
      <c r="I228" s="38"/>
      <c r="J228" s="38"/>
    </row>
    <row r="229">
      <c r="E229" s="81"/>
      <c r="F229" s="38"/>
      <c r="G229" s="39"/>
      <c r="I229" s="38"/>
      <c r="J229" s="38"/>
    </row>
    <row r="230">
      <c r="E230" s="81"/>
      <c r="F230" s="38"/>
      <c r="G230" s="39"/>
      <c r="I230" s="38"/>
      <c r="J230" s="38"/>
    </row>
    <row r="231">
      <c r="E231" s="81"/>
      <c r="F231" s="38"/>
      <c r="G231" s="39"/>
      <c r="I231" s="38"/>
      <c r="J231" s="38"/>
    </row>
    <row r="232">
      <c r="E232" s="81"/>
      <c r="F232" s="38"/>
      <c r="G232" s="39"/>
      <c r="I232" s="38"/>
      <c r="J232" s="38"/>
    </row>
    <row r="233">
      <c r="E233" s="81"/>
      <c r="F233" s="38"/>
      <c r="G233" s="39"/>
      <c r="I233" s="38"/>
      <c r="J233" s="38"/>
    </row>
    <row r="234">
      <c r="E234" s="81"/>
      <c r="F234" s="38"/>
      <c r="G234" s="39"/>
      <c r="I234" s="38"/>
      <c r="J234" s="38"/>
    </row>
    <row r="235">
      <c r="E235" s="81"/>
      <c r="F235" s="38"/>
      <c r="G235" s="39"/>
      <c r="I235" s="38"/>
      <c r="J235" s="38"/>
    </row>
    <row r="236">
      <c r="E236" s="81"/>
      <c r="F236" s="38"/>
      <c r="G236" s="39"/>
      <c r="I236" s="38"/>
      <c r="J236" s="38"/>
    </row>
    <row r="237">
      <c r="E237" s="81"/>
      <c r="F237" s="38"/>
      <c r="G237" s="39"/>
      <c r="I237" s="38"/>
      <c r="J237" s="38"/>
    </row>
    <row r="238">
      <c r="E238" s="81"/>
      <c r="F238" s="38"/>
      <c r="G238" s="39"/>
      <c r="I238" s="38"/>
      <c r="J238" s="38"/>
    </row>
    <row r="239">
      <c r="E239" s="81"/>
      <c r="F239" s="38"/>
      <c r="G239" s="39"/>
      <c r="I239" s="38"/>
      <c r="J239" s="38"/>
    </row>
    <row r="240">
      <c r="E240" s="81"/>
      <c r="F240" s="38"/>
      <c r="G240" s="39"/>
      <c r="I240" s="38"/>
      <c r="J240" s="38"/>
    </row>
    <row r="241">
      <c r="E241" s="81"/>
      <c r="F241" s="38"/>
      <c r="G241" s="39"/>
      <c r="I241" s="38"/>
      <c r="J241" s="38"/>
    </row>
    <row r="242">
      <c r="E242" s="81"/>
      <c r="F242" s="38"/>
      <c r="G242" s="39"/>
      <c r="I242" s="38"/>
      <c r="J242" s="38"/>
    </row>
    <row r="243">
      <c r="E243" s="81"/>
      <c r="F243" s="38"/>
      <c r="G243" s="39"/>
      <c r="I243" s="38"/>
      <c r="J243" s="38"/>
    </row>
    <row r="244">
      <c r="E244" s="81"/>
      <c r="F244" s="38"/>
      <c r="G244" s="39"/>
      <c r="I244" s="38"/>
      <c r="J244" s="38"/>
    </row>
    <row r="245">
      <c r="E245" s="81"/>
      <c r="F245" s="38"/>
      <c r="G245" s="39"/>
      <c r="I245" s="38"/>
      <c r="J245" s="38"/>
    </row>
    <row r="246">
      <c r="E246" s="81"/>
      <c r="F246" s="38"/>
      <c r="G246" s="39"/>
      <c r="I246" s="38"/>
      <c r="J246" s="38"/>
    </row>
    <row r="247">
      <c r="E247" s="81"/>
      <c r="F247" s="38"/>
      <c r="G247" s="39"/>
      <c r="I247" s="38"/>
      <c r="J247" s="38"/>
    </row>
    <row r="248">
      <c r="E248" s="81"/>
      <c r="F248" s="38"/>
      <c r="G248" s="39"/>
      <c r="I248" s="38"/>
      <c r="J248" s="38"/>
    </row>
    <row r="249">
      <c r="E249" s="81"/>
      <c r="F249" s="38"/>
      <c r="G249" s="39"/>
      <c r="I249" s="38"/>
      <c r="J249" s="38"/>
    </row>
    <row r="250">
      <c r="E250" s="81"/>
      <c r="F250" s="38"/>
      <c r="G250" s="39"/>
      <c r="I250" s="38"/>
      <c r="J250" s="38"/>
    </row>
    <row r="251">
      <c r="E251" s="81"/>
      <c r="F251" s="38"/>
      <c r="G251" s="39"/>
      <c r="I251" s="38"/>
      <c r="J251" s="38"/>
    </row>
    <row r="252">
      <c r="E252" s="81"/>
      <c r="F252" s="38"/>
      <c r="G252" s="39"/>
      <c r="I252" s="38"/>
      <c r="J252" s="38"/>
    </row>
    <row r="253">
      <c r="E253" s="81"/>
      <c r="F253" s="38"/>
      <c r="G253" s="39"/>
      <c r="I253" s="38"/>
      <c r="J253" s="38"/>
    </row>
    <row r="254">
      <c r="E254" s="81"/>
      <c r="F254" s="38"/>
      <c r="G254" s="39"/>
      <c r="I254" s="38"/>
      <c r="J254" s="38"/>
    </row>
    <row r="255">
      <c r="E255" s="81"/>
      <c r="F255" s="38"/>
      <c r="G255" s="39"/>
      <c r="I255" s="38"/>
      <c r="J255" s="38"/>
    </row>
    <row r="256">
      <c r="E256" s="81"/>
      <c r="F256" s="38"/>
      <c r="G256" s="39"/>
      <c r="I256" s="38"/>
      <c r="J256" s="38"/>
    </row>
    <row r="257">
      <c r="E257" s="81"/>
      <c r="F257" s="38"/>
      <c r="G257" s="39"/>
      <c r="I257" s="38"/>
      <c r="J257" s="38"/>
    </row>
    <row r="258">
      <c r="E258" s="81"/>
      <c r="F258" s="38"/>
      <c r="G258" s="39"/>
      <c r="I258" s="38"/>
      <c r="J258" s="38"/>
    </row>
    <row r="259">
      <c r="E259" s="81"/>
      <c r="F259" s="38"/>
      <c r="G259" s="39"/>
      <c r="I259" s="38"/>
      <c r="J259" s="38"/>
    </row>
    <row r="260">
      <c r="E260" s="81"/>
      <c r="F260" s="38"/>
      <c r="G260" s="39"/>
      <c r="I260" s="38"/>
      <c r="J260" s="38"/>
    </row>
    <row r="261">
      <c r="E261" s="81"/>
      <c r="F261" s="38"/>
      <c r="G261" s="39"/>
      <c r="I261" s="38"/>
      <c r="J261" s="38"/>
    </row>
    <row r="262">
      <c r="E262" s="81"/>
      <c r="F262" s="38"/>
      <c r="G262" s="39"/>
      <c r="I262" s="38"/>
      <c r="J262" s="38"/>
    </row>
    <row r="263">
      <c r="E263" s="81"/>
      <c r="F263" s="38"/>
      <c r="G263" s="39"/>
      <c r="I263" s="38"/>
      <c r="J263" s="38"/>
    </row>
    <row r="264">
      <c r="E264" s="81"/>
      <c r="F264" s="38"/>
      <c r="G264" s="39"/>
      <c r="I264" s="38"/>
      <c r="J264" s="38"/>
    </row>
    <row r="265">
      <c r="E265" s="81"/>
      <c r="F265" s="38"/>
      <c r="G265" s="39"/>
      <c r="I265" s="38"/>
      <c r="J265" s="38"/>
    </row>
    <row r="266">
      <c r="E266" s="81"/>
      <c r="F266" s="38"/>
      <c r="G266" s="39"/>
      <c r="I266" s="38"/>
      <c r="J266" s="38"/>
    </row>
    <row r="267">
      <c r="E267" s="81"/>
      <c r="F267" s="38"/>
      <c r="G267" s="39"/>
      <c r="I267" s="38"/>
      <c r="J267" s="38"/>
    </row>
    <row r="268">
      <c r="E268" s="81"/>
      <c r="F268" s="38"/>
      <c r="G268" s="39"/>
      <c r="I268" s="38"/>
      <c r="J268" s="38"/>
    </row>
    <row r="269">
      <c r="E269" s="81"/>
      <c r="F269" s="38"/>
      <c r="G269" s="39"/>
      <c r="I269" s="38"/>
      <c r="J269" s="38"/>
    </row>
    <row r="270">
      <c r="E270" s="81"/>
      <c r="F270" s="38"/>
      <c r="G270" s="39"/>
      <c r="I270" s="38"/>
      <c r="J270" s="38"/>
    </row>
    <row r="271">
      <c r="E271" s="81"/>
      <c r="F271" s="38"/>
      <c r="G271" s="39"/>
      <c r="I271" s="38"/>
      <c r="J271" s="38"/>
    </row>
    <row r="272">
      <c r="E272" s="81"/>
      <c r="F272" s="38"/>
      <c r="G272" s="39"/>
      <c r="I272" s="38"/>
      <c r="J272" s="38"/>
    </row>
    <row r="273">
      <c r="E273" s="81"/>
      <c r="F273" s="38"/>
      <c r="G273" s="39"/>
      <c r="I273" s="38"/>
      <c r="J273" s="38"/>
    </row>
    <row r="274">
      <c r="E274" s="81"/>
      <c r="F274" s="38"/>
      <c r="G274" s="39"/>
      <c r="I274" s="38"/>
      <c r="J274" s="38"/>
    </row>
    <row r="275">
      <c r="E275" s="81"/>
      <c r="F275" s="38"/>
      <c r="G275" s="39"/>
      <c r="I275" s="38"/>
      <c r="J275" s="38"/>
    </row>
    <row r="276">
      <c r="E276" s="81"/>
      <c r="F276" s="38"/>
      <c r="G276" s="39"/>
      <c r="I276" s="38"/>
      <c r="J276" s="38"/>
    </row>
    <row r="277">
      <c r="E277" s="81"/>
      <c r="F277" s="38"/>
      <c r="G277" s="39"/>
      <c r="I277" s="38"/>
      <c r="J277" s="38"/>
    </row>
    <row r="278">
      <c r="E278" s="81"/>
      <c r="F278" s="38"/>
      <c r="G278" s="39"/>
      <c r="I278" s="38"/>
      <c r="J278" s="38"/>
    </row>
    <row r="279">
      <c r="E279" s="81"/>
      <c r="F279" s="38"/>
      <c r="G279" s="39"/>
      <c r="I279" s="38"/>
      <c r="J279" s="38"/>
    </row>
    <row r="280">
      <c r="E280" s="81"/>
      <c r="F280" s="38"/>
      <c r="G280" s="39"/>
      <c r="I280" s="38"/>
      <c r="J280" s="38"/>
    </row>
    <row r="281">
      <c r="E281" s="81"/>
      <c r="F281" s="38"/>
      <c r="G281" s="39"/>
      <c r="I281" s="38"/>
      <c r="J281" s="38"/>
    </row>
    <row r="282">
      <c r="E282" s="81"/>
      <c r="F282" s="38"/>
      <c r="G282" s="39"/>
      <c r="I282" s="38"/>
      <c r="J282" s="38"/>
    </row>
    <row r="283">
      <c r="E283" s="81"/>
      <c r="F283" s="38"/>
      <c r="G283" s="39"/>
      <c r="I283" s="38"/>
      <c r="J283" s="38"/>
    </row>
    <row r="284">
      <c r="E284" s="81"/>
      <c r="F284" s="38"/>
      <c r="G284" s="39"/>
      <c r="I284" s="38"/>
      <c r="J284" s="38"/>
    </row>
    <row r="285">
      <c r="E285" s="81"/>
      <c r="F285" s="38"/>
      <c r="G285" s="39"/>
      <c r="I285" s="38"/>
      <c r="J285" s="38"/>
    </row>
    <row r="286">
      <c r="E286" s="81"/>
      <c r="F286" s="38"/>
      <c r="G286" s="39"/>
      <c r="I286" s="38"/>
      <c r="J286" s="38"/>
    </row>
    <row r="287">
      <c r="E287" s="81"/>
      <c r="F287" s="38"/>
      <c r="G287" s="39"/>
      <c r="I287" s="38"/>
      <c r="J287" s="38"/>
    </row>
    <row r="288">
      <c r="E288" s="81"/>
      <c r="F288" s="38"/>
      <c r="G288" s="39"/>
      <c r="I288" s="38"/>
      <c r="J288" s="38"/>
    </row>
    <row r="289">
      <c r="E289" s="81"/>
      <c r="F289" s="38"/>
      <c r="G289" s="39"/>
      <c r="I289" s="38"/>
      <c r="J289" s="38"/>
    </row>
    <row r="290">
      <c r="E290" s="81"/>
      <c r="F290" s="38"/>
      <c r="G290" s="39"/>
      <c r="I290" s="38"/>
      <c r="J290" s="38"/>
    </row>
    <row r="291">
      <c r="E291" s="81"/>
      <c r="F291" s="38"/>
      <c r="G291" s="39"/>
      <c r="I291" s="38"/>
      <c r="J291" s="38"/>
    </row>
    <row r="292">
      <c r="E292" s="81"/>
      <c r="F292" s="38"/>
      <c r="G292" s="39"/>
      <c r="I292" s="38"/>
      <c r="J292" s="38"/>
    </row>
    <row r="293">
      <c r="E293" s="81"/>
      <c r="F293" s="38"/>
      <c r="G293" s="39"/>
      <c r="I293" s="38"/>
      <c r="J293" s="38"/>
    </row>
    <row r="294">
      <c r="E294" s="81"/>
      <c r="F294" s="38"/>
      <c r="G294" s="39"/>
      <c r="I294" s="38"/>
      <c r="J294" s="38"/>
    </row>
    <row r="295">
      <c r="E295" s="81"/>
      <c r="F295" s="38"/>
      <c r="G295" s="39"/>
      <c r="I295" s="38"/>
      <c r="J295" s="38"/>
    </row>
    <row r="296">
      <c r="E296" s="81"/>
      <c r="F296" s="38"/>
      <c r="G296" s="39"/>
      <c r="I296" s="38"/>
      <c r="J296" s="38"/>
    </row>
    <row r="297">
      <c r="E297" s="81"/>
      <c r="F297" s="38"/>
      <c r="G297" s="39"/>
      <c r="I297" s="38"/>
      <c r="J297" s="38"/>
    </row>
    <row r="298">
      <c r="E298" s="81"/>
      <c r="F298" s="38"/>
      <c r="G298" s="39"/>
      <c r="I298" s="38"/>
      <c r="J298" s="38"/>
    </row>
    <row r="299">
      <c r="E299" s="81"/>
      <c r="F299" s="38"/>
      <c r="G299" s="39"/>
      <c r="I299" s="38"/>
      <c r="J299" s="38"/>
    </row>
    <row r="300">
      <c r="E300" s="81"/>
      <c r="F300" s="38"/>
      <c r="G300" s="39"/>
      <c r="I300" s="38"/>
      <c r="J300" s="38"/>
    </row>
    <row r="301">
      <c r="E301" s="81"/>
      <c r="F301" s="38"/>
      <c r="G301" s="39"/>
      <c r="I301" s="38"/>
      <c r="J301" s="38"/>
    </row>
    <row r="302">
      <c r="E302" s="81"/>
      <c r="F302" s="38"/>
      <c r="G302" s="39"/>
      <c r="I302" s="38"/>
      <c r="J302" s="38"/>
    </row>
    <row r="303">
      <c r="E303" s="81"/>
      <c r="F303" s="38"/>
      <c r="G303" s="39"/>
      <c r="I303" s="38"/>
      <c r="J303" s="38"/>
    </row>
    <row r="304">
      <c r="E304" s="81"/>
      <c r="F304" s="38"/>
      <c r="G304" s="39"/>
      <c r="I304" s="38"/>
      <c r="J304" s="38"/>
    </row>
    <row r="305">
      <c r="E305" s="81"/>
      <c r="F305" s="38"/>
      <c r="G305" s="39"/>
      <c r="I305" s="38"/>
      <c r="J305" s="38"/>
    </row>
    <row r="306">
      <c r="E306" s="81"/>
      <c r="F306" s="38"/>
      <c r="G306" s="39"/>
      <c r="I306" s="38"/>
      <c r="J306" s="38"/>
    </row>
    <row r="307">
      <c r="E307" s="81"/>
      <c r="F307" s="38"/>
      <c r="G307" s="39"/>
      <c r="I307" s="38"/>
      <c r="J307" s="38"/>
    </row>
    <row r="308">
      <c r="E308" s="81"/>
      <c r="F308" s="38"/>
      <c r="G308" s="39"/>
      <c r="I308" s="38"/>
      <c r="J308" s="38"/>
    </row>
    <row r="309">
      <c r="E309" s="81"/>
      <c r="F309" s="38"/>
      <c r="G309" s="39"/>
      <c r="I309" s="38"/>
      <c r="J309" s="38"/>
    </row>
    <row r="310">
      <c r="E310" s="81"/>
      <c r="F310" s="38"/>
      <c r="G310" s="39"/>
      <c r="I310" s="38"/>
      <c r="J310" s="38"/>
    </row>
    <row r="311">
      <c r="E311" s="81"/>
      <c r="F311" s="38"/>
      <c r="G311" s="39"/>
      <c r="I311" s="38"/>
      <c r="J311" s="38"/>
    </row>
    <row r="312">
      <c r="E312" s="81"/>
      <c r="F312" s="38"/>
      <c r="G312" s="39"/>
      <c r="I312" s="38"/>
      <c r="J312" s="38"/>
    </row>
    <row r="313">
      <c r="E313" s="81"/>
      <c r="F313" s="38"/>
      <c r="G313" s="39"/>
      <c r="I313" s="38"/>
      <c r="J313" s="38"/>
    </row>
    <row r="314">
      <c r="E314" s="81"/>
      <c r="F314" s="38"/>
      <c r="G314" s="39"/>
      <c r="I314" s="38"/>
      <c r="J314" s="38"/>
    </row>
    <row r="315">
      <c r="E315" s="81"/>
      <c r="F315" s="38"/>
      <c r="G315" s="39"/>
      <c r="I315" s="38"/>
      <c r="J315" s="38"/>
    </row>
    <row r="316">
      <c r="E316" s="81"/>
      <c r="F316" s="38"/>
      <c r="G316" s="39"/>
      <c r="I316" s="38"/>
      <c r="J316" s="38"/>
    </row>
    <row r="317">
      <c r="E317" s="81"/>
      <c r="F317" s="38"/>
      <c r="G317" s="39"/>
      <c r="I317" s="38"/>
      <c r="J317" s="38"/>
    </row>
    <row r="318">
      <c r="E318" s="81"/>
      <c r="F318" s="38"/>
      <c r="G318" s="39"/>
      <c r="I318" s="38"/>
      <c r="J318" s="38"/>
    </row>
    <row r="319">
      <c r="E319" s="81"/>
      <c r="F319" s="38"/>
      <c r="G319" s="39"/>
      <c r="I319" s="38"/>
      <c r="J319" s="38"/>
    </row>
    <row r="320">
      <c r="E320" s="81"/>
      <c r="F320" s="38"/>
      <c r="G320" s="39"/>
      <c r="I320" s="38"/>
      <c r="J320" s="38"/>
    </row>
    <row r="321">
      <c r="E321" s="81"/>
      <c r="F321" s="38"/>
      <c r="G321" s="39"/>
      <c r="I321" s="38"/>
      <c r="J321" s="38"/>
    </row>
    <row r="322">
      <c r="E322" s="81"/>
      <c r="F322" s="38"/>
      <c r="G322" s="39"/>
      <c r="I322" s="38"/>
      <c r="J322" s="38"/>
    </row>
    <row r="323">
      <c r="E323" s="81"/>
      <c r="F323" s="38"/>
      <c r="G323" s="39"/>
      <c r="I323" s="38"/>
      <c r="J323" s="38"/>
    </row>
    <row r="324">
      <c r="E324" s="81"/>
      <c r="F324" s="38"/>
      <c r="G324" s="39"/>
      <c r="I324" s="38"/>
      <c r="J324" s="38"/>
    </row>
    <row r="325">
      <c r="E325" s="81"/>
      <c r="F325" s="38"/>
      <c r="G325" s="39"/>
      <c r="I325" s="38"/>
      <c r="J325" s="38"/>
    </row>
    <row r="326">
      <c r="E326" s="81"/>
      <c r="F326" s="38"/>
      <c r="G326" s="39"/>
      <c r="I326" s="38"/>
      <c r="J326" s="38"/>
    </row>
    <row r="327">
      <c r="E327" s="81"/>
      <c r="F327" s="38"/>
      <c r="G327" s="39"/>
      <c r="I327" s="38"/>
      <c r="J327" s="38"/>
    </row>
    <row r="328">
      <c r="E328" s="81"/>
      <c r="F328" s="38"/>
      <c r="G328" s="39"/>
      <c r="I328" s="38"/>
      <c r="J328" s="38"/>
    </row>
    <row r="329">
      <c r="E329" s="81"/>
      <c r="F329" s="38"/>
      <c r="G329" s="39"/>
      <c r="I329" s="38"/>
      <c r="J329" s="38"/>
    </row>
    <row r="330">
      <c r="E330" s="81"/>
      <c r="F330" s="38"/>
      <c r="G330" s="39"/>
      <c r="I330" s="38"/>
      <c r="J330" s="38"/>
    </row>
    <row r="331">
      <c r="E331" s="81"/>
      <c r="F331" s="38"/>
      <c r="G331" s="39"/>
      <c r="I331" s="38"/>
      <c r="J331" s="38"/>
    </row>
    <row r="332">
      <c r="E332" s="81"/>
      <c r="F332" s="38"/>
      <c r="G332" s="39"/>
      <c r="I332" s="38"/>
      <c r="J332" s="38"/>
    </row>
    <row r="333">
      <c r="E333" s="81"/>
      <c r="F333" s="38"/>
      <c r="G333" s="39"/>
      <c r="I333" s="38"/>
      <c r="J333" s="38"/>
    </row>
    <row r="334">
      <c r="E334" s="81"/>
      <c r="F334" s="38"/>
      <c r="G334" s="39"/>
      <c r="I334" s="38"/>
      <c r="J334" s="38"/>
    </row>
    <row r="335">
      <c r="E335" s="81"/>
      <c r="F335" s="38"/>
      <c r="G335" s="39"/>
      <c r="I335" s="38"/>
      <c r="J335" s="38"/>
    </row>
    <row r="336">
      <c r="E336" s="81"/>
      <c r="F336" s="38"/>
      <c r="G336" s="39"/>
      <c r="I336" s="38"/>
      <c r="J336" s="38"/>
    </row>
    <row r="337">
      <c r="E337" s="81"/>
      <c r="F337" s="38"/>
      <c r="G337" s="39"/>
      <c r="I337" s="38"/>
      <c r="J337" s="38"/>
    </row>
    <row r="338">
      <c r="E338" s="81"/>
      <c r="F338" s="38"/>
      <c r="G338" s="39"/>
      <c r="I338" s="38"/>
      <c r="J338" s="38"/>
    </row>
    <row r="339">
      <c r="E339" s="81"/>
      <c r="F339" s="38"/>
      <c r="G339" s="39"/>
      <c r="I339" s="38"/>
      <c r="J339" s="38"/>
    </row>
    <row r="340">
      <c r="E340" s="81"/>
      <c r="F340" s="38"/>
      <c r="G340" s="39"/>
      <c r="I340" s="38"/>
      <c r="J340" s="38"/>
    </row>
    <row r="341">
      <c r="E341" s="81"/>
      <c r="F341" s="38"/>
      <c r="G341" s="39"/>
      <c r="I341" s="38"/>
      <c r="J341" s="38"/>
    </row>
    <row r="342">
      <c r="E342" s="81"/>
      <c r="F342" s="38"/>
      <c r="G342" s="39"/>
      <c r="I342" s="38"/>
      <c r="J342" s="38"/>
    </row>
    <row r="343">
      <c r="E343" s="81"/>
      <c r="F343" s="38"/>
      <c r="G343" s="39"/>
      <c r="I343" s="38"/>
      <c r="J343" s="38"/>
    </row>
    <row r="344">
      <c r="E344" s="81"/>
      <c r="F344" s="38"/>
      <c r="G344" s="39"/>
      <c r="I344" s="38"/>
      <c r="J344" s="38"/>
    </row>
    <row r="345">
      <c r="E345" s="81"/>
      <c r="F345" s="38"/>
      <c r="G345" s="39"/>
      <c r="I345" s="38"/>
      <c r="J345" s="38"/>
    </row>
    <row r="346">
      <c r="E346" s="81"/>
      <c r="F346" s="38"/>
      <c r="G346" s="39"/>
      <c r="I346" s="38"/>
      <c r="J346" s="38"/>
    </row>
    <row r="347">
      <c r="E347" s="81"/>
      <c r="F347" s="38"/>
      <c r="G347" s="39"/>
      <c r="I347" s="38"/>
      <c r="J347" s="38"/>
    </row>
    <row r="348">
      <c r="E348" s="81"/>
      <c r="F348" s="38"/>
      <c r="G348" s="39"/>
      <c r="I348" s="38"/>
      <c r="J348" s="38"/>
    </row>
    <row r="349">
      <c r="E349" s="81"/>
      <c r="F349" s="38"/>
      <c r="G349" s="39"/>
      <c r="I349" s="38"/>
      <c r="J349" s="38"/>
    </row>
    <row r="350">
      <c r="E350" s="81"/>
      <c r="F350" s="38"/>
      <c r="G350" s="39"/>
      <c r="I350" s="38"/>
      <c r="J350" s="38"/>
    </row>
    <row r="351">
      <c r="E351" s="81"/>
      <c r="F351" s="38"/>
      <c r="G351" s="39"/>
      <c r="I351" s="38"/>
      <c r="J351" s="38"/>
    </row>
    <row r="352">
      <c r="E352" s="81"/>
      <c r="F352" s="38"/>
      <c r="G352" s="39"/>
      <c r="I352" s="38"/>
      <c r="J352" s="38"/>
    </row>
    <row r="353">
      <c r="E353" s="81"/>
      <c r="F353" s="38"/>
      <c r="G353" s="39"/>
      <c r="I353" s="38"/>
      <c r="J353" s="38"/>
    </row>
    <row r="354">
      <c r="E354" s="81"/>
      <c r="F354" s="38"/>
      <c r="G354" s="39"/>
      <c r="I354" s="38"/>
      <c r="J354" s="38"/>
    </row>
    <row r="355">
      <c r="E355" s="81"/>
      <c r="F355" s="38"/>
      <c r="G355" s="39"/>
      <c r="I355" s="38"/>
      <c r="J355" s="38"/>
    </row>
    <row r="356">
      <c r="E356" s="81"/>
      <c r="F356" s="38"/>
      <c r="G356" s="39"/>
      <c r="I356" s="38"/>
      <c r="J356" s="38"/>
    </row>
    <row r="357">
      <c r="E357" s="81"/>
      <c r="F357" s="38"/>
      <c r="G357" s="39"/>
      <c r="I357" s="38"/>
      <c r="J357" s="38"/>
    </row>
    <row r="358">
      <c r="E358" s="81"/>
      <c r="F358" s="38"/>
      <c r="G358" s="39"/>
      <c r="I358" s="38"/>
      <c r="J358" s="38"/>
    </row>
    <row r="359">
      <c r="E359" s="81"/>
      <c r="F359" s="38"/>
      <c r="G359" s="39"/>
      <c r="I359" s="38"/>
      <c r="J359" s="38"/>
    </row>
    <row r="360">
      <c r="E360" s="81"/>
      <c r="F360" s="38"/>
      <c r="G360" s="39"/>
      <c r="I360" s="38"/>
      <c r="J360" s="38"/>
    </row>
    <row r="361">
      <c r="E361" s="81"/>
      <c r="F361" s="38"/>
      <c r="G361" s="39"/>
      <c r="I361" s="38"/>
      <c r="J361" s="38"/>
    </row>
    <row r="362">
      <c r="E362" s="81"/>
      <c r="F362" s="38"/>
      <c r="G362" s="39"/>
      <c r="I362" s="38"/>
      <c r="J362" s="38"/>
    </row>
    <row r="363">
      <c r="E363" s="81"/>
      <c r="F363" s="38"/>
      <c r="G363" s="39"/>
      <c r="I363" s="38"/>
      <c r="J363" s="38"/>
    </row>
    <row r="364">
      <c r="E364" s="81"/>
      <c r="F364" s="38"/>
      <c r="G364" s="39"/>
      <c r="I364" s="38"/>
      <c r="J364" s="38"/>
    </row>
    <row r="365">
      <c r="E365" s="81"/>
      <c r="F365" s="38"/>
      <c r="G365" s="39"/>
      <c r="I365" s="38"/>
      <c r="J365" s="38"/>
    </row>
    <row r="366">
      <c r="E366" s="81"/>
      <c r="F366" s="38"/>
      <c r="G366" s="39"/>
      <c r="I366" s="38"/>
      <c r="J366" s="38"/>
    </row>
    <row r="367">
      <c r="E367" s="81"/>
      <c r="F367" s="38"/>
      <c r="G367" s="39"/>
      <c r="I367" s="38"/>
      <c r="J367" s="38"/>
    </row>
    <row r="368">
      <c r="E368" s="81"/>
      <c r="F368" s="38"/>
      <c r="G368" s="39"/>
      <c r="I368" s="38"/>
      <c r="J368" s="38"/>
    </row>
    <row r="369">
      <c r="E369" s="81"/>
      <c r="F369" s="38"/>
      <c r="G369" s="39"/>
      <c r="I369" s="38"/>
      <c r="J369" s="38"/>
    </row>
    <row r="370">
      <c r="E370" s="81"/>
      <c r="F370" s="38"/>
      <c r="G370" s="39"/>
      <c r="I370" s="38"/>
      <c r="J370" s="38"/>
    </row>
    <row r="371">
      <c r="E371" s="81"/>
      <c r="F371" s="38"/>
      <c r="G371" s="39"/>
      <c r="I371" s="38"/>
      <c r="J371" s="38"/>
    </row>
    <row r="372">
      <c r="E372" s="81"/>
      <c r="F372" s="38"/>
      <c r="G372" s="39"/>
      <c r="I372" s="38"/>
      <c r="J372" s="38"/>
    </row>
    <row r="373">
      <c r="E373" s="81"/>
      <c r="F373" s="38"/>
      <c r="G373" s="39"/>
      <c r="I373" s="38"/>
      <c r="J373" s="38"/>
    </row>
    <row r="374">
      <c r="E374" s="81"/>
      <c r="F374" s="38"/>
      <c r="G374" s="39"/>
      <c r="I374" s="38"/>
      <c r="J374" s="38"/>
    </row>
    <row r="375">
      <c r="E375" s="81"/>
      <c r="F375" s="38"/>
      <c r="G375" s="39"/>
      <c r="I375" s="38"/>
      <c r="J375" s="38"/>
    </row>
    <row r="376">
      <c r="E376" s="81"/>
      <c r="F376" s="38"/>
      <c r="G376" s="39"/>
      <c r="I376" s="38"/>
      <c r="J376" s="38"/>
    </row>
    <row r="377">
      <c r="E377" s="81"/>
      <c r="F377" s="38"/>
      <c r="G377" s="39"/>
      <c r="I377" s="38"/>
      <c r="J377" s="38"/>
    </row>
    <row r="378">
      <c r="E378" s="81"/>
      <c r="F378" s="38"/>
      <c r="G378" s="39"/>
      <c r="I378" s="38"/>
      <c r="J378" s="38"/>
    </row>
    <row r="379">
      <c r="E379" s="81"/>
      <c r="F379" s="38"/>
      <c r="G379" s="39"/>
      <c r="I379" s="38"/>
      <c r="J379" s="38"/>
    </row>
    <row r="380">
      <c r="E380" s="81"/>
      <c r="F380" s="38"/>
      <c r="G380" s="39"/>
      <c r="I380" s="38"/>
      <c r="J380" s="38"/>
    </row>
    <row r="381">
      <c r="E381" s="81"/>
      <c r="F381" s="38"/>
      <c r="G381" s="39"/>
      <c r="I381" s="38"/>
      <c r="J381" s="38"/>
    </row>
    <row r="382">
      <c r="E382" s="81"/>
      <c r="F382" s="38"/>
      <c r="G382" s="39"/>
      <c r="I382" s="38"/>
      <c r="J382" s="38"/>
    </row>
    <row r="383">
      <c r="E383" s="81"/>
      <c r="F383" s="38"/>
      <c r="G383" s="39"/>
      <c r="I383" s="38"/>
      <c r="J383" s="38"/>
    </row>
    <row r="384">
      <c r="E384" s="81"/>
      <c r="F384" s="38"/>
      <c r="G384" s="39"/>
      <c r="I384" s="38"/>
      <c r="J384" s="38"/>
    </row>
    <row r="385">
      <c r="E385" s="81"/>
      <c r="F385" s="38"/>
      <c r="G385" s="39"/>
      <c r="I385" s="38"/>
      <c r="J385" s="38"/>
    </row>
    <row r="386">
      <c r="E386" s="81"/>
      <c r="F386" s="38"/>
      <c r="G386" s="39"/>
      <c r="I386" s="38"/>
      <c r="J386" s="38"/>
    </row>
    <row r="387">
      <c r="E387" s="81"/>
      <c r="F387" s="38"/>
      <c r="G387" s="39"/>
      <c r="I387" s="38"/>
      <c r="J387" s="38"/>
    </row>
    <row r="388">
      <c r="E388" s="81"/>
      <c r="F388" s="38"/>
      <c r="G388" s="39"/>
      <c r="I388" s="38"/>
      <c r="J388" s="38"/>
    </row>
    <row r="389">
      <c r="E389" s="81"/>
      <c r="F389" s="38"/>
      <c r="G389" s="39"/>
      <c r="I389" s="38"/>
      <c r="J389" s="38"/>
    </row>
    <row r="390">
      <c r="E390" s="81"/>
      <c r="F390" s="38"/>
      <c r="G390" s="39"/>
      <c r="I390" s="38"/>
      <c r="J390" s="38"/>
    </row>
    <row r="391">
      <c r="E391" s="81"/>
      <c r="F391" s="38"/>
      <c r="G391" s="39"/>
      <c r="I391" s="38"/>
      <c r="J391" s="38"/>
    </row>
    <row r="392">
      <c r="E392" s="81"/>
      <c r="F392" s="38"/>
      <c r="G392" s="39"/>
      <c r="I392" s="38"/>
      <c r="J392" s="38"/>
    </row>
    <row r="393">
      <c r="E393" s="81"/>
      <c r="F393" s="38"/>
      <c r="G393" s="39"/>
      <c r="I393" s="38"/>
      <c r="J393" s="38"/>
    </row>
    <row r="394">
      <c r="E394" s="81"/>
      <c r="F394" s="38"/>
      <c r="G394" s="39"/>
      <c r="I394" s="38"/>
      <c r="J394" s="38"/>
    </row>
    <row r="395">
      <c r="E395" s="81"/>
      <c r="F395" s="38"/>
      <c r="G395" s="39"/>
      <c r="I395" s="38"/>
      <c r="J395" s="38"/>
    </row>
    <row r="396">
      <c r="E396" s="81"/>
      <c r="F396" s="38"/>
      <c r="G396" s="39"/>
      <c r="I396" s="38"/>
      <c r="J396" s="38"/>
    </row>
    <row r="397">
      <c r="E397" s="81"/>
      <c r="F397" s="38"/>
      <c r="G397" s="39"/>
      <c r="I397" s="38"/>
      <c r="J397" s="38"/>
    </row>
    <row r="398">
      <c r="E398" s="81"/>
      <c r="F398" s="38"/>
      <c r="G398" s="39"/>
      <c r="I398" s="38"/>
      <c r="J398" s="38"/>
    </row>
    <row r="399">
      <c r="E399" s="81"/>
      <c r="F399" s="38"/>
      <c r="G399" s="39"/>
      <c r="I399" s="38"/>
      <c r="J399" s="38"/>
    </row>
    <row r="400">
      <c r="E400" s="81"/>
      <c r="F400" s="38"/>
      <c r="G400" s="39"/>
      <c r="I400" s="38"/>
      <c r="J400" s="38"/>
    </row>
    <row r="401">
      <c r="E401" s="81"/>
      <c r="F401" s="38"/>
      <c r="G401" s="39"/>
      <c r="I401" s="38"/>
      <c r="J401" s="38"/>
    </row>
    <row r="402">
      <c r="E402" s="81"/>
      <c r="F402" s="38"/>
      <c r="G402" s="39"/>
      <c r="I402" s="38"/>
      <c r="J402" s="38"/>
    </row>
    <row r="403">
      <c r="E403" s="81"/>
      <c r="F403" s="38"/>
      <c r="G403" s="39"/>
      <c r="I403" s="38"/>
      <c r="J403" s="38"/>
    </row>
    <row r="404">
      <c r="E404" s="81"/>
      <c r="F404" s="38"/>
      <c r="G404" s="39"/>
      <c r="I404" s="38"/>
      <c r="J404" s="38"/>
    </row>
    <row r="405">
      <c r="E405" s="81"/>
      <c r="F405" s="38"/>
      <c r="G405" s="39"/>
      <c r="I405" s="38"/>
      <c r="J405" s="38"/>
    </row>
    <row r="406">
      <c r="E406" s="81"/>
      <c r="F406" s="38"/>
      <c r="G406" s="39"/>
      <c r="I406" s="38"/>
      <c r="J406" s="38"/>
    </row>
    <row r="407">
      <c r="E407" s="81"/>
      <c r="F407" s="38"/>
      <c r="G407" s="39"/>
      <c r="I407" s="38"/>
      <c r="J407" s="38"/>
    </row>
    <row r="408">
      <c r="E408" s="81"/>
      <c r="F408" s="38"/>
      <c r="G408" s="39"/>
      <c r="I408" s="38"/>
      <c r="J408" s="38"/>
    </row>
    <row r="409">
      <c r="E409" s="81"/>
      <c r="F409" s="38"/>
      <c r="G409" s="39"/>
      <c r="I409" s="38"/>
      <c r="J409" s="38"/>
    </row>
    <row r="410">
      <c r="E410" s="81"/>
      <c r="F410" s="38"/>
      <c r="G410" s="39"/>
      <c r="I410" s="38"/>
      <c r="J410" s="38"/>
    </row>
    <row r="411">
      <c r="E411" s="81"/>
      <c r="F411" s="38"/>
      <c r="G411" s="39"/>
      <c r="I411" s="38"/>
      <c r="J411" s="38"/>
    </row>
    <row r="412">
      <c r="E412" s="81"/>
      <c r="F412" s="38"/>
      <c r="G412" s="39"/>
      <c r="I412" s="38"/>
      <c r="J412" s="38"/>
    </row>
    <row r="413">
      <c r="E413" s="81"/>
      <c r="F413" s="38"/>
      <c r="G413" s="39"/>
      <c r="I413" s="38"/>
      <c r="J413" s="38"/>
    </row>
    <row r="414">
      <c r="E414" s="81"/>
      <c r="F414" s="38"/>
      <c r="G414" s="39"/>
      <c r="I414" s="38"/>
      <c r="J414" s="38"/>
    </row>
    <row r="415">
      <c r="E415" s="81"/>
      <c r="F415" s="38"/>
      <c r="G415" s="39"/>
      <c r="I415" s="38"/>
      <c r="J415" s="38"/>
    </row>
    <row r="416">
      <c r="E416" s="81"/>
      <c r="F416" s="38"/>
      <c r="G416" s="39"/>
      <c r="I416" s="38"/>
      <c r="J416" s="38"/>
    </row>
    <row r="417">
      <c r="E417" s="81"/>
      <c r="F417" s="38"/>
      <c r="G417" s="39"/>
      <c r="I417" s="38"/>
      <c r="J417" s="38"/>
    </row>
    <row r="418">
      <c r="E418" s="81"/>
      <c r="F418" s="38"/>
      <c r="G418" s="39"/>
      <c r="I418" s="38"/>
      <c r="J418" s="38"/>
    </row>
    <row r="419">
      <c r="E419" s="81"/>
      <c r="F419" s="38"/>
      <c r="G419" s="39"/>
      <c r="I419" s="38"/>
      <c r="J419" s="38"/>
    </row>
    <row r="420">
      <c r="E420" s="81"/>
      <c r="F420" s="38"/>
      <c r="G420" s="39"/>
      <c r="I420" s="38"/>
      <c r="J420" s="38"/>
    </row>
    <row r="421">
      <c r="E421" s="81"/>
      <c r="F421" s="38"/>
      <c r="G421" s="39"/>
      <c r="I421" s="38"/>
      <c r="J421" s="38"/>
    </row>
    <row r="422">
      <c r="E422" s="81"/>
      <c r="F422" s="38"/>
      <c r="G422" s="39"/>
      <c r="I422" s="38"/>
      <c r="J422" s="38"/>
    </row>
    <row r="423">
      <c r="E423" s="81"/>
      <c r="F423" s="38"/>
      <c r="G423" s="39"/>
      <c r="I423" s="38"/>
      <c r="J423" s="38"/>
    </row>
    <row r="424">
      <c r="E424" s="81"/>
      <c r="F424" s="38"/>
      <c r="G424" s="39"/>
      <c r="I424" s="38"/>
      <c r="J424" s="38"/>
    </row>
    <row r="425">
      <c r="E425" s="81"/>
      <c r="F425" s="38"/>
      <c r="G425" s="39"/>
      <c r="I425" s="38"/>
      <c r="J425" s="38"/>
    </row>
    <row r="426">
      <c r="E426" s="81"/>
      <c r="F426" s="38"/>
      <c r="G426" s="39"/>
      <c r="I426" s="38"/>
      <c r="J426" s="38"/>
    </row>
    <row r="427">
      <c r="E427" s="81"/>
      <c r="F427" s="38"/>
      <c r="G427" s="39"/>
      <c r="I427" s="38"/>
      <c r="J427" s="38"/>
    </row>
    <row r="428">
      <c r="E428" s="81"/>
      <c r="F428" s="38"/>
      <c r="G428" s="39"/>
      <c r="I428" s="38"/>
      <c r="J428" s="38"/>
    </row>
    <row r="429">
      <c r="E429" s="81"/>
      <c r="F429" s="38"/>
      <c r="G429" s="39"/>
      <c r="I429" s="38"/>
      <c r="J429" s="38"/>
    </row>
    <row r="430">
      <c r="E430" s="81"/>
      <c r="F430" s="38"/>
      <c r="G430" s="39"/>
      <c r="I430" s="38"/>
      <c r="J430" s="38"/>
    </row>
    <row r="431">
      <c r="E431" s="81"/>
      <c r="F431" s="38"/>
      <c r="G431" s="39"/>
      <c r="I431" s="38"/>
      <c r="J431" s="38"/>
    </row>
    <row r="432">
      <c r="E432" s="81"/>
      <c r="F432" s="38"/>
      <c r="G432" s="39"/>
      <c r="I432" s="38"/>
      <c r="J432" s="38"/>
    </row>
    <row r="433">
      <c r="E433" s="81"/>
      <c r="F433" s="38"/>
      <c r="G433" s="39"/>
      <c r="I433" s="38"/>
      <c r="J433" s="38"/>
    </row>
    <row r="434">
      <c r="E434" s="81"/>
      <c r="F434" s="38"/>
      <c r="G434" s="39"/>
      <c r="I434" s="38"/>
      <c r="J434" s="38"/>
    </row>
    <row r="435">
      <c r="E435" s="81"/>
      <c r="F435" s="38"/>
      <c r="G435" s="39"/>
      <c r="I435" s="38"/>
      <c r="J435" s="38"/>
    </row>
    <row r="436">
      <c r="E436" s="81"/>
      <c r="F436" s="38"/>
      <c r="G436" s="39"/>
      <c r="I436" s="38"/>
      <c r="J436" s="38"/>
    </row>
    <row r="437">
      <c r="E437" s="81"/>
      <c r="F437" s="38"/>
      <c r="G437" s="39"/>
      <c r="I437" s="38"/>
      <c r="J437" s="38"/>
    </row>
    <row r="438">
      <c r="E438" s="81"/>
      <c r="F438" s="38"/>
      <c r="G438" s="39"/>
      <c r="I438" s="38"/>
      <c r="J438" s="38"/>
    </row>
    <row r="439">
      <c r="E439" s="81"/>
      <c r="F439" s="38"/>
      <c r="G439" s="39"/>
      <c r="I439" s="38"/>
      <c r="J439" s="38"/>
    </row>
    <row r="440">
      <c r="E440" s="81"/>
      <c r="F440" s="38"/>
      <c r="G440" s="39"/>
      <c r="I440" s="38"/>
      <c r="J440" s="38"/>
    </row>
    <row r="441">
      <c r="E441" s="81"/>
      <c r="F441" s="38"/>
      <c r="G441" s="39"/>
      <c r="I441" s="38"/>
      <c r="J441" s="38"/>
    </row>
    <row r="442">
      <c r="E442" s="81"/>
      <c r="F442" s="38"/>
      <c r="G442" s="39"/>
      <c r="I442" s="38"/>
      <c r="J442" s="38"/>
    </row>
    <row r="443">
      <c r="E443" s="81"/>
      <c r="F443" s="38"/>
      <c r="G443" s="39"/>
      <c r="I443" s="38"/>
      <c r="J443" s="38"/>
    </row>
    <row r="444">
      <c r="E444" s="81"/>
      <c r="F444" s="38"/>
      <c r="G444" s="39"/>
      <c r="I444" s="38"/>
      <c r="J444" s="38"/>
    </row>
    <row r="445">
      <c r="E445" s="81"/>
      <c r="F445" s="38"/>
      <c r="G445" s="39"/>
      <c r="I445" s="38"/>
      <c r="J445" s="38"/>
    </row>
    <row r="446">
      <c r="E446" s="81"/>
      <c r="F446" s="38"/>
      <c r="G446" s="39"/>
      <c r="I446" s="38"/>
      <c r="J446" s="38"/>
    </row>
    <row r="447">
      <c r="E447" s="81"/>
      <c r="F447" s="38"/>
      <c r="G447" s="39"/>
      <c r="I447" s="38"/>
      <c r="J447" s="38"/>
    </row>
    <row r="448">
      <c r="E448" s="81"/>
      <c r="F448" s="38"/>
      <c r="G448" s="39"/>
      <c r="I448" s="38"/>
      <c r="J448" s="38"/>
    </row>
    <row r="449">
      <c r="E449" s="81"/>
      <c r="F449" s="38"/>
      <c r="G449" s="39"/>
      <c r="I449" s="38"/>
      <c r="J449" s="38"/>
    </row>
    <row r="450">
      <c r="E450" s="81"/>
      <c r="F450" s="38"/>
      <c r="G450" s="39"/>
      <c r="I450" s="38"/>
      <c r="J450" s="38"/>
    </row>
    <row r="451">
      <c r="E451" s="81"/>
      <c r="F451" s="38"/>
      <c r="G451" s="39"/>
      <c r="I451" s="38"/>
      <c r="J451" s="38"/>
    </row>
    <row r="452">
      <c r="E452" s="81"/>
      <c r="F452" s="38"/>
      <c r="G452" s="39"/>
      <c r="I452" s="38"/>
      <c r="J452" s="38"/>
    </row>
    <row r="453">
      <c r="E453" s="81"/>
      <c r="F453" s="38"/>
      <c r="G453" s="39"/>
      <c r="I453" s="38"/>
      <c r="J453" s="38"/>
    </row>
    <row r="454">
      <c r="E454" s="81"/>
      <c r="F454" s="38"/>
      <c r="G454" s="39"/>
      <c r="I454" s="38"/>
      <c r="J454" s="38"/>
    </row>
    <row r="455">
      <c r="E455" s="81"/>
      <c r="F455" s="38"/>
      <c r="G455" s="39"/>
      <c r="I455" s="38"/>
      <c r="J455" s="38"/>
    </row>
    <row r="456">
      <c r="E456" s="81"/>
      <c r="F456" s="38"/>
      <c r="G456" s="39"/>
      <c r="I456" s="38"/>
      <c r="J456" s="38"/>
    </row>
    <row r="457">
      <c r="E457" s="81"/>
      <c r="F457" s="38"/>
      <c r="G457" s="39"/>
      <c r="I457" s="38"/>
      <c r="J457" s="38"/>
    </row>
    <row r="458">
      <c r="E458" s="81"/>
      <c r="F458" s="38"/>
      <c r="G458" s="39"/>
      <c r="I458" s="38"/>
      <c r="J458" s="38"/>
    </row>
    <row r="459">
      <c r="E459" s="81"/>
      <c r="F459" s="38"/>
      <c r="G459" s="39"/>
      <c r="I459" s="38"/>
      <c r="J459" s="38"/>
    </row>
    <row r="460">
      <c r="E460" s="81"/>
      <c r="F460" s="38"/>
      <c r="G460" s="39"/>
      <c r="I460" s="38"/>
      <c r="J460" s="38"/>
    </row>
    <row r="461">
      <c r="E461" s="81"/>
      <c r="F461" s="38"/>
      <c r="G461" s="39"/>
      <c r="I461" s="38"/>
      <c r="J461" s="38"/>
    </row>
    <row r="462">
      <c r="E462" s="81"/>
      <c r="F462" s="38"/>
      <c r="G462" s="39"/>
      <c r="I462" s="38"/>
      <c r="J462" s="38"/>
    </row>
    <row r="463">
      <c r="E463" s="81"/>
      <c r="F463" s="38"/>
      <c r="G463" s="39"/>
      <c r="I463" s="38"/>
      <c r="J463" s="38"/>
    </row>
    <row r="464">
      <c r="E464" s="81"/>
      <c r="F464" s="38"/>
      <c r="G464" s="39"/>
      <c r="I464" s="38"/>
      <c r="J464" s="38"/>
    </row>
    <row r="465">
      <c r="E465" s="81"/>
      <c r="F465" s="38"/>
      <c r="G465" s="39"/>
      <c r="I465" s="38"/>
      <c r="J465" s="38"/>
    </row>
    <row r="466">
      <c r="E466" s="81"/>
      <c r="F466" s="38"/>
      <c r="G466" s="39"/>
      <c r="I466" s="38"/>
      <c r="J466" s="38"/>
    </row>
    <row r="467">
      <c r="E467" s="81"/>
      <c r="F467" s="38"/>
      <c r="G467" s="39"/>
      <c r="I467" s="38"/>
      <c r="J467" s="38"/>
    </row>
    <row r="468">
      <c r="E468" s="81"/>
      <c r="F468" s="38"/>
      <c r="G468" s="39"/>
      <c r="I468" s="38"/>
      <c r="J468" s="38"/>
    </row>
    <row r="469">
      <c r="E469" s="81"/>
      <c r="F469" s="38"/>
      <c r="G469" s="39"/>
      <c r="I469" s="38"/>
      <c r="J469" s="38"/>
    </row>
    <row r="470">
      <c r="E470" s="81"/>
      <c r="F470" s="38"/>
      <c r="G470" s="39"/>
      <c r="I470" s="38"/>
      <c r="J470" s="38"/>
    </row>
    <row r="471">
      <c r="E471" s="81"/>
      <c r="F471" s="38"/>
      <c r="G471" s="39"/>
      <c r="I471" s="38"/>
      <c r="J471" s="38"/>
    </row>
    <row r="472">
      <c r="E472" s="81"/>
      <c r="F472" s="38"/>
      <c r="G472" s="39"/>
      <c r="I472" s="38"/>
      <c r="J472" s="38"/>
    </row>
    <row r="473">
      <c r="E473" s="81"/>
      <c r="F473" s="38"/>
      <c r="G473" s="39"/>
      <c r="I473" s="38"/>
      <c r="J473" s="38"/>
    </row>
    <row r="474">
      <c r="E474" s="81"/>
      <c r="F474" s="38"/>
      <c r="G474" s="39"/>
      <c r="I474" s="38"/>
      <c r="J474" s="38"/>
    </row>
    <row r="475">
      <c r="E475" s="81"/>
      <c r="F475" s="38"/>
      <c r="G475" s="39"/>
      <c r="I475" s="38"/>
      <c r="J475" s="38"/>
    </row>
    <row r="476">
      <c r="E476" s="81"/>
      <c r="F476" s="38"/>
      <c r="G476" s="39"/>
      <c r="I476" s="38"/>
      <c r="J476" s="38"/>
    </row>
    <row r="477">
      <c r="E477" s="81"/>
      <c r="F477" s="38"/>
      <c r="G477" s="39"/>
      <c r="I477" s="38"/>
      <c r="J477" s="38"/>
    </row>
    <row r="478">
      <c r="E478" s="81"/>
      <c r="F478" s="38"/>
      <c r="G478" s="39"/>
      <c r="I478" s="38"/>
      <c r="J478" s="38"/>
    </row>
    <row r="479">
      <c r="E479" s="81"/>
      <c r="F479" s="38"/>
      <c r="G479" s="39"/>
      <c r="I479" s="38"/>
      <c r="J479" s="38"/>
    </row>
    <row r="480">
      <c r="E480" s="81"/>
      <c r="F480" s="38"/>
      <c r="G480" s="39"/>
      <c r="I480" s="38"/>
      <c r="J480" s="38"/>
    </row>
    <row r="481">
      <c r="E481" s="81"/>
      <c r="F481" s="38"/>
      <c r="G481" s="39"/>
      <c r="I481" s="38"/>
      <c r="J481" s="38"/>
    </row>
    <row r="482">
      <c r="E482" s="81"/>
      <c r="F482" s="38"/>
      <c r="G482" s="39"/>
      <c r="I482" s="38"/>
      <c r="J482" s="38"/>
    </row>
    <row r="483">
      <c r="E483" s="81"/>
      <c r="F483" s="38"/>
      <c r="G483" s="39"/>
      <c r="I483" s="38"/>
      <c r="J483" s="38"/>
    </row>
    <row r="484">
      <c r="E484" s="81"/>
      <c r="F484" s="38"/>
      <c r="G484" s="39"/>
      <c r="I484" s="38"/>
      <c r="J484" s="38"/>
    </row>
    <row r="485">
      <c r="E485" s="81"/>
      <c r="F485" s="38"/>
      <c r="G485" s="39"/>
      <c r="I485" s="38"/>
      <c r="J485" s="38"/>
    </row>
    <row r="486">
      <c r="E486" s="81"/>
      <c r="F486" s="38"/>
      <c r="G486" s="39"/>
      <c r="I486" s="38"/>
      <c r="J486" s="38"/>
    </row>
    <row r="487">
      <c r="E487" s="81"/>
      <c r="F487" s="38"/>
      <c r="G487" s="39"/>
      <c r="I487" s="38"/>
      <c r="J487" s="38"/>
    </row>
    <row r="488">
      <c r="E488" s="81"/>
      <c r="F488" s="38"/>
      <c r="G488" s="39"/>
      <c r="I488" s="38"/>
      <c r="J488" s="38"/>
    </row>
    <row r="489">
      <c r="E489" s="81"/>
      <c r="F489" s="38"/>
      <c r="G489" s="39"/>
      <c r="I489" s="38"/>
      <c r="J489" s="38"/>
    </row>
    <row r="490">
      <c r="E490" s="81"/>
      <c r="F490" s="38"/>
      <c r="G490" s="39"/>
      <c r="I490" s="38"/>
      <c r="J490" s="38"/>
    </row>
    <row r="491">
      <c r="E491" s="81"/>
      <c r="F491" s="38"/>
      <c r="G491" s="39"/>
      <c r="I491" s="38"/>
      <c r="J491" s="38"/>
    </row>
    <row r="492">
      <c r="E492" s="81"/>
      <c r="F492" s="38"/>
      <c r="G492" s="39"/>
      <c r="I492" s="38"/>
      <c r="J492" s="38"/>
    </row>
    <row r="493">
      <c r="E493" s="81"/>
      <c r="F493" s="38"/>
      <c r="G493" s="39"/>
      <c r="I493" s="38"/>
      <c r="J493" s="38"/>
    </row>
    <row r="494">
      <c r="E494" s="81"/>
      <c r="F494" s="38"/>
      <c r="G494" s="39"/>
      <c r="I494" s="38"/>
      <c r="J494" s="38"/>
    </row>
    <row r="495">
      <c r="E495" s="81"/>
      <c r="F495" s="38"/>
      <c r="G495" s="39"/>
      <c r="I495" s="38"/>
      <c r="J495" s="38"/>
    </row>
    <row r="496">
      <c r="E496" s="81"/>
      <c r="F496" s="38"/>
      <c r="G496" s="39"/>
      <c r="I496" s="38"/>
      <c r="J496" s="38"/>
    </row>
    <row r="497">
      <c r="E497" s="81"/>
      <c r="F497" s="38"/>
      <c r="G497" s="39"/>
      <c r="I497" s="38"/>
      <c r="J497" s="38"/>
    </row>
    <row r="498">
      <c r="E498" s="81"/>
      <c r="F498" s="38"/>
      <c r="G498" s="39"/>
      <c r="I498" s="38"/>
      <c r="J498" s="38"/>
    </row>
    <row r="499">
      <c r="E499" s="81"/>
      <c r="F499" s="38"/>
      <c r="G499" s="39"/>
      <c r="I499" s="38"/>
      <c r="J499" s="38"/>
    </row>
    <row r="500">
      <c r="E500" s="81"/>
      <c r="F500" s="38"/>
      <c r="G500" s="39"/>
      <c r="I500" s="38"/>
      <c r="J500" s="38"/>
    </row>
    <row r="501">
      <c r="E501" s="81"/>
      <c r="F501" s="38"/>
      <c r="G501" s="39"/>
      <c r="I501" s="38"/>
      <c r="J501" s="38"/>
    </row>
    <row r="502">
      <c r="E502" s="81"/>
      <c r="F502" s="38"/>
      <c r="G502" s="39"/>
      <c r="I502" s="38"/>
      <c r="J502" s="38"/>
    </row>
    <row r="503">
      <c r="E503" s="81"/>
      <c r="F503" s="38"/>
      <c r="G503" s="39"/>
      <c r="I503" s="38"/>
      <c r="J503" s="38"/>
    </row>
    <row r="504">
      <c r="E504" s="81"/>
      <c r="F504" s="38"/>
      <c r="G504" s="39"/>
      <c r="I504" s="38"/>
      <c r="J504" s="38"/>
    </row>
    <row r="505">
      <c r="E505" s="81"/>
      <c r="F505" s="38"/>
      <c r="G505" s="39"/>
      <c r="I505" s="38"/>
      <c r="J505" s="38"/>
    </row>
    <row r="506">
      <c r="E506" s="81"/>
      <c r="F506" s="38"/>
      <c r="G506" s="39"/>
      <c r="I506" s="38"/>
      <c r="J506" s="38"/>
    </row>
    <row r="507">
      <c r="E507" s="81"/>
      <c r="F507" s="38"/>
      <c r="G507" s="39"/>
      <c r="I507" s="38"/>
      <c r="J507" s="38"/>
    </row>
    <row r="508">
      <c r="E508" s="81"/>
      <c r="F508" s="38"/>
      <c r="G508" s="39"/>
      <c r="I508" s="38"/>
      <c r="J508" s="38"/>
    </row>
    <row r="509">
      <c r="E509" s="81"/>
      <c r="F509" s="38"/>
      <c r="G509" s="39"/>
      <c r="I509" s="38"/>
      <c r="J509" s="38"/>
    </row>
    <row r="510">
      <c r="E510" s="81"/>
      <c r="F510" s="38"/>
      <c r="G510" s="39"/>
      <c r="I510" s="38"/>
      <c r="J510" s="38"/>
    </row>
    <row r="511">
      <c r="E511" s="81"/>
      <c r="F511" s="38"/>
      <c r="G511" s="39"/>
      <c r="I511" s="38"/>
      <c r="J511" s="38"/>
    </row>
    <row r="512">
      <c r="E512" s="81"/>
      <c r="F512" s="38"/>
      <c r="G512" s="39"/>
      <c r="I512" s="38"/>
      <c r="J512" s="38"/>
    </row>
    <row r="513">
      <c r="E513" s="81"/>
      <c r="F513" s="38"/>
      <c r="G513" s="39"/>
      <c r="I513" s="38"/>
      <c r="J513" s="38"/>
    </row>
    <row r="514">
      <c r="E514" s="81"/>
      <c r="F514" s="38"/>
      <c r="G514" s="39"/>
      <c r="I514" s="38"/>
      <c r="J514" s="38"/>
    </row>
    <row r="515">
      <c r="E515" s="81"/>
      <c r="F515" s="38"/>
      <c r="G515" s="39"/>
      <c r="I515" s="38"/>
      <c r="J515" s="38"/>
    </row>
    <row r="516">
      <c r="E516" s="81"/>
      <c r="F516" s="38"/>
      <c r="G516" s="39"/>
      <c r="I516" s="38"/>
      <c r="J516" s="38"/>
    </row>
    <row r="517">
      <c r="E517" s="81"/>
      <c r="F517" s="38"/>
      <c r="G517" s="39"/>
      <c r="I517" s="38"/>
      <c r="J517" s="38"/>
    </row>
    <row r="518">
      <c r="E518" s="81"/>
      <c r="F518" s="38"/>
      <c r="G518" s="39"/>
      <c r="I518" s="38"/>
      <c r="J518" s="38"/>
    </row>
    <row r="519">
      <c r="E519" s="81"/>
      <c r="F519" s="38"/>
      <c r="G519" s="39"/>
      <c r="I519" s="38"/>
      <c r="J519" s="38"/>
    </row>
    <row r="520">
      <c r="E520" s="81"/>
      <c r="F520" s="38"/>
      <c r="G520" s="39"/>
      <c r="I520" s="38"/>
      <c r="J520" s="38"/>
    </row>
    <row r="521">
      <c r="E521" s="81"/>
      <c r="F521" s="38"/>
      <c r="G521" s="39"/>
      <c r="I521" s="38"/>
      <c r="J521" s="38"/>
    </row>
    <row r="522">
      <c r="E522" s="81"/>
      <c r="F522" s="38"/>
      <c r="G522" s="39"/>
      <c r="I522" s="38"/>
      <c r="J522" s="38"/>
    </row>
    <row r="523">
      <c r="E523" s="81"/>
      <c r="F523" s="38"/>
      <c r="G523" s="39"/>
      <c r="I523" s="38"/>
      <c r="J523" s="38"/>
    </row>
    <row r="524">
      <c r="E524" s="81"/>
      <c r="F524" s="38"/>
      <c r="G524" s="39"/>
      <c r="I524" s="38"/>
      <c r="J524" s="38"/>
    </row>
    <row r="525">
      <c r="E525" s="81"/>
      <c r="F525" s="38"/>
      <c r="G525" s="39"/>
      <c r="I525" s="38"/>
      <c r="J525" s="38"/>
    </row>
    <row r="526">
      <c r="E526" s="81"/>
      <c r="F526" s="38"/>
      <c r="G526" s="39"/>
      <c r="I526" s="38"/>
      <c r="J526" s="38"/>
    </row>
    <row r="527">
      <c r="E527" s="81"/>
      <c r="F527" s="38"/>
      <c r="G527" s="39"/>
      <c r="I527" s="38"/>
      <c r="J527" s="38"/>
    </row>
    <row r="528">
      <c r="E528" s="81"/>
      <c r="F528" s="38"/>
      <c r="G528" s="39"/>
      <c r="I528" s="38"/>
      <c r="J528" s="38"/>
    </row>
    <row r="529">
      <c r="E529" s="81"/>
      <c r="F529" s="38"/>
      <c r="G529" s="39"/>
      <c r="I529" s="38"/>
      <c r="J529" s="38"/>
    </row>
    <row r="530">
      <c r="E530" s="81"/>
      <c r="F530" s="38"/>
      <c r="G530" s="39"/>
      <c r="I530" s="38"/>
      <c r="J530" s="38"/>
    </row>
    <row r="531">
      <c r="E531" s="81"/>
      <c r="F531" s="38"/>
      <c r="G531" s="39"/>
      <c r="I531" s="38"/>
      <c r="J531" s="38"/>
    </row>
    <row r="532">
      <c r="E532" s="81"/>
      <c r="F532" s="38"/>
      <c r="G532" s="39"/>
      <c r="I532" s="38"/>
      <c r="J532" s="38"/>
    </row>
    <row r="533">
      <c r="E533" s="81"/>
      <c r="F533" s="38"/>
      <c r="G533" s="39"/>
      <c r="I533" s="38"/>
      <c r="J533" s="38"/>
    </row>
    <row r="534">
      <c r="E534" s="81"/>
      <c r="F534" s="38"/>
      <c r="G534" s="39"/>
      <c r="I534" s="38"/>
      <c r="J534" s="38"/>
    </row>
    <row r="535">
      <c r="E535" s="81"/>
      <c r="F535" s="38"/>
      <c r="G535" s="39"/>
      <c r="I535" s="38"/>
      <c r="J535" s="38"/>
    </row>
    <row r="536">
      <c r="E536" s="81"/>
      <c r="F536" s="38"/>
      <c r="G536" s="39"/>
      <c r="I536" s="38"/>
      <c r="J536" s="38"/>
    </row>
    <row r="537">
      <c r="E537" s="81"/>
      <c r="F537" s="38"/>
      <c r="G537" s="39"/>
      <c r="I537" s="38"/>
      <c r="J537" s="38"/>
    </row>
    <row r="538">
      <c r="E538" s="81"/>
      <c r="F538" s="38"/>
      <c r="G538" s="39"/>
      <c r="I538" s="38"/>
      <c r="J538" s="38"/>
    </row>
    <row r="539">
      <c r="E539" s="81"/>
      <c r="F539" s="38"/>
      <c r="G539" s="39"/>
      <c r="I539" s="38"/>
      <c r="J539" s="38"/>
    </row>
    <row r="540">
      <c r="E540" s="81"/>
      <c r="F540" s="38"/>
      <c r="G540" s="39"/>
      <c r="I540" s="38"/>
      <c r="J540" s="38"/>
    </row>
    <row r="541">
      <c r="E541" s="81"/>
      <c r="F541" s="38"/>
      <c r="G541" s="39"/>
      <c r="I541" s="38"/>
      <c r="J541" s="38"/>
    </row>
    <row r="542">
      <c r="E542" s="81"/>
      <c r="F542" s="38"/>
      <c r="G542" s="39"/>
      <c r="I542" s="38"/>
      <c r="J542" s="38"/>
    </row>
    <row r="543">
      <c r="E543" s="81"/>
      <c r="F543" s="38"/>
      <c r="G543" s="39"/>
      <c r="I543" s="38"/>
      <c r="J543" s="38"/>
    </row>
    <row r="544">
      <c r="E544" s="81"/>
      <c r="F544" s="38"/>
      <c r="G544" s="39"/>
      <c r="I544" s="38"/>
      <c r="J544" s="38"/>
    </row>
    <row r="545">
      <c r="E545" s="81"/>
      <c r="F545" s="38"/>
      <c r="G545" s="39"/>
      <c r="I545" s="38"/>
      <c r="J545" s="38"/>
    </row>
    <row r="546">
      <c r="E546" s="81"/>
      <c r="F546" s="38"/>
      <c r="G546" s="39"/>
      <c r="I546" s="38"/>
      <c r="J546" s="38"/>
    </row>
    <row r="547">
      <c r="E547" s="81"/>
      <c r="F547" s="38"/>
      <c r="G547" s="39"/>
      <c r="I547" s="38"/>
      <c r="J547" s="38"/>
    </row>
    <row r="548">
      <c r="E548" s="81"/>
      <c r="F548" s="38"/>
      <c r="G548" s="39"/>
      <c r="I548" s="38"/>
      <c r="J548" s="38"/>
    </row>
    <row r="549">
      <c r="E549" s="81"/>
      <c r="F549" s="38"/>
      <c r="G549" s="39"/>
      <c r="I549" s="38"/>
      <c r="J549" s="38"/>
    </row>
    <row r="550">
      <c r="E550" s="81"/>
      <c r="F550" s="38"/>
      <c r="G550" s="39"/>
      <c r="I550" s="38"/>
      <c r="J550" s="38"/>
    </row>
    <row r="551">
      <c r="E551" s="81"/>
      <c r="F551" s="38"/>
      <c r="G551" s="39"/>
      <c r="I551" s="38"/>
      <c r="J551" s="38"/>
    </row>
    <row r="552">
      <c r="E552" s="81"/>
      <c r="F552" s="38"/>
      <c r="G552" s="39"/>
      <c r="I552" s="38"/>
      <c r="J552" s="38"/>
    </row>
    <row r="553">
      <c r="E553" s="81"/>
      <c r="F553" s="38"/>
      <c r="G553" s="39"/>
      <c r="I553" s="38"/>
      <c r="J553" s="38"/>
    </row>
    <row r="554">
      <c r="E554" s="81"/>
      <c r="F554" s="38"/>
      <c r="G554" s="39"/>
      <c r="I554" s="38"/>
      <c r="J554" s="38"/>
    </row>
    <row r="555">
      <c r="E555" s="81"/>
      <c r="F555" s="38"/>
      <c r="G555" s="39"/>
      <c r="I555" s="38"/>
      <c r="J555" s="38"/>
    </row>
    <row r="556">
      <c r="E556" s="81"/>
      <c r="F556" s="38"/>
      <c r="G556" s="39"/>
      <c r="I556" s="38"/>
      <c r="J556" s="38"/>
    </row>
    <row r="557">
      <c r="E557" s="81"/>
      <c r="F557" s="38"/>
      <c r="G557" s="39"/>
      <c r="I557" s="38"/>
      <c r="J557" s="38"/>
    </row>
    <row r="558">
      <c r="E558" s="81"/>
      <c r="F558" s="38"/>
      <c r="G558" s="39"/>
      <c r="I558" s="38"/>
      <c r="J558" s="38"/>
    </row>
    <row r="559">
      <c r="E559" s="81"/>
      <c r="F559" s="38"/>
      <c r="G559" s="39"/>
      <c r="I559" s="38"/>
      <c r="J559" s="38"/>
    </row>
    <row r="560">
      <c r="E560" s="81"/>
      <c r="F560" s="38"/>
      <c r="G560" s="39"/>
      <c r="I560" s="38"/>
      <c r="J560" s="38"/>
    </row>
    <row r="561">
      <c r="E561" s="81"/>
      <c r="F561" s="38"/>
      <c r="G561" s="39"/>
      <c r="I561" s="38"/>
      <c r="J561" s="38"/>
    </row>
    <row r="562">
      <c r="E562" s="81"/>
      <c r="F562" s="38"/>
      <c r="G562" s="39"/>
      <c r="I562" s="38"/>
      <c r="J562" s="38"/>
    </row>
    <row r="563">
      <c r="E563" s="81"/>
      <c r="F563" s="38"/>
      <c r="G563" s="39"/>
      <c r="I563" s="38"/>
      <c r="J563" s="38"/>
    </row>
    <row r="564">
      <c r="E564" s="81"/>
      <c r="F564" s="38"/>
      <c r="G564" s="39"/>
      <c r="I564" s="38"/>
      <c r="J564" s="38"/>
    </row>
    <row r="565">
      <c r="E565" s="81"/>
      <c r="F565" s="38"/>
      <c r="G565" s="39"/>
      <c r="I565" s="38"/>
      <c r="J565" s="38"/>
    </row>
    <row r="566">
      <c r="E566" s="81"/>
      <c r="F566" s="38"/>
      <c r="G566" s="39"/>
      <c r="I566" s="38"/>
      <c r="J566" s="38"/>
    </row>
    <row r="567">
      <c r="E567" s="81"/>
      <c r="F567" s="38"/>
      <c r="G567" s="39"/>
      <c r="I567" s="38"/>
      <c r="J567" s="38"/>
    </row>
    <row r="568">
      <c r="E568" s="81"/>
      <c r="F568" s="38"/>
      <c r="G568" s="39"/>
      <c r="I568" s="38"/>
      <c r="J568" s="38"/>
    </row>
    <row r="569">
      <c r="E569" s="81"/>
      <c r="F569" s="38"/>
      <c r="G569" s="39"/>
      <c r="I569" s="38"/>
      <c r="J569" s="38"/>
    </row>
    <row r="570">
      <c r="E570" s="81"/>
      <c r="F570" s="38"/>
      <c r="G570" s="39"/>
      <c r="I570" s="38"/>
      <c r="J570" s="38"/>
    </row>
    <row r="571">
      <c r="E571" s="81"/>
      <c r="F571" s="38"/>
      <c r="G571" s="39"/>
      <c r="I571" s="38"/>
      <c r="J571" s="38"/>
    </row>
    <row r="572">
      <c r="E572" s="81"/>
      <c r="F572" s="38"/>
      <c r="G572" s="39"/>
      <c r="I572" s="38"/>
      <c r="J572" s="38"/>
    </row>
    <row r="573">
      <c r="E573" s="81"/>
      <c r="F573" s="38"/>
      <c r="G573" s="39"/>
      <c r="I573" s="38"/>
      <c r="J573" s="38"/>
    </row>
    <row r="574">
      <c r="E574" s="81"/>
      <c r="F574" s="38"/>
      <c r="G574" s="39"/>
      <c r="I574" s="38"/>
      <c r="J574" s="38"/>
    </row>
    <row r="575">
      <c r="E575" s="81"/>
      <c r="F575" s="38"/>
      <c r="G575" s="39"/>
      <c r="I575" s="38"/>
      <c r="J575" s="38"/>
    </row>
    <row r="576">
      <c r="E576" s="81"/>
      <c r="F576" s="38"/>
      <c r="G576" s="39"/>
      <c r="I576" s="38"/>
      <c r="J576" s="38"/>
    </row>
    <row r="577">
      <c r="E577" s="81"/>
      <c r="F577" s="38"/>
      <c r="G577" s="39"/>
      <c r="I577" s="38"/>
      <c r="J577" s="38"/>
    </row>
    <row r="578">
      <c r="E578" s="81"/>
      <c r="F578" s="38"/>
      <c r="G578" s="39"/>
      <c r="I578" s="38"/>
      <c r="J578" s="38"/>
    </row>
    <row r="579">
      <c r="E579" s="81"/>
      <c r="F579" s="38"/>
      <c r="G579" s="39"/>
      <c r="I579" s="38"/>
      <c r="J579" s="38"/>
    </row>
    <row r="580">
      <c r="E580" s="81"/>
      <c r="F580" s="38"/>
      <c r="G580" s="39"/>
      <c r="I580" s="38"/>
      <c r="J580" s="38"/>
    </row>
    <row r="581">
      <c r="E581" s="81"/>
      <c r="F581" s="38"/>
      <c r="G581" s="39"/>
      <c r="I581" s="38"/>
      <c r="J581" s="38"/>
    </row>
    <row r="582">
      <c r="E582" s="81"/>
      <c r="F582" s="38"/>
      <c r="G582" s="39"/>
      <c r="I582" s="38"/>
      <c r="J582" s="38"/>
    </row>
    <row r="583">
      <c r="E583" s="81"/>
      <c r="F583" s="38"/>
      <c r="G583" s="39"/>
      <c r="I583" s="38"/>
      <c r="J583" s="38"/>
    </row>
    <row r="584">
      <c r="E584" s="81"/>
      <c r="F584" s="38"/>
      <c r="G584" s="39"/>
      <c r="I584" s="38"/>
      <c r="J584" s="38"/>
    </row>
    <row r="585">
      <c r="E585" s="81"/>
      <c r="F585" s="38"/>
      <c r="G585" s="39"/>
      <c r="I585" s="38"/>
      <c r="J585" s="38"/>
    </row>
    <row r="586">
      <c r="E586" s="81"/>
      <c r="F586" s="38"/>
      <c r="G586" s="39"/>
      <c r="I586" s="38"/>
      <c r="J586" s="38"/>
    </row>
    <row r="587">
      <c r="E587" s="81"/>
      <c r="F587" s="38"/>
      <c r="G587" s="39"/>
      <c r="I587" s="38"/>
      <c r="J587" s="38"/>
    </row>
    <row r="588">
      <c r="E588" s="81"/>
      <c r="F588" s="38"/>
      <c r="G588" s="39"/>
      <c r="I588" s="38"/>
      <c r="J588" s="38"/>
    </row>
    <row r="589">
      <c r="E589" s="81"/>
      <c r="F589" s="38"/>
      <c r="G589" s="39"/>
      <c r="I589" s="38"/>
      <c r="J589" s="38"/>
    </row>
    <row r="590">
      <c r="E590" s="81"/>
      <c r="F590" s="38"/>
      <c r="G590" s="39"/>
      <c r="I590" s="38"/>
      <c r="J590" s="38"/>
    </row>
    <row r="591">
      <c r="E591" s="81"/>
      <c r="F591" s="38"/>
      <c r="G591" s="39"/>
      <c r="I591" s="38"/>
      <c r="J591" s="38"/>
    </row>
    <row r="592">
      <c r="E592" s="81"/>
      <c r="F592" s="38"/>
      <c r="G592" s="39"/>
      <c r="I592" s="38"/>
      <c r="J592" s="38"/>
    </row>
    <row r="593">
      <c r="E593" s="81"/>
      <c r="F593" s="38"/>
      <c r="G593" s="39"/>
      <c r="I593" s="38"/>
      <c r="J593" s="38"/>
    </row>
    <row r="594">
      <c r="E594" s="81"/>
      <c r="F594" s="38"/>
      <c r="G594" s="39"/>
      <c r="I594" s="38"/>
      <c r="J594" s="38"/>
    </row>
    <row r="595">
      <c r="E595" s="81"/>
      <c r="F595" s="38"/>
      <c r="G595" s="39"/>
      <c r="I595" s="38"/>
      <c r="J595" s="38"/>
    </row>
    <row r="596">
      <c r="E596" s="81"/>
      <c r="F596" s="38"/>
      <c r="G596" s="39"/>
      <c r="I596" s="38"/>
      <c r="J596" s="38"/>
    </row>
    <row r="597">
      <c r="E597" s="81"/>
      <c r="F597" s="38"/>
      <c r="G597" s="39"/>
      <c r="I597" s="38"/>
      <c r="J597" s="38"/>
    </row>
    <row r="598">
      <c r="E598" s="81"/>
      <c r="F598" s="38"/>
      <c r="G598" s="39"/>
      <c r="I598" s="38"/>
      <c r="J598" s="38"/>
    </row>
    <row r="599">
      <c r="E599" s="81"/>
      <c r="F599" s="38"/>
      <c r="G599" s="39"/>
      <c r="I599" s="38"/>
      <c r="J599" s="38"/>
    </row>
    <row r="600">
      <c r="E600" s="81"/>
      <c r="F600" s="38"/>
      <c r="G600" s="39"/>
      <c r="I600" s="38"/>
      <c r="J600" s="38"/>
    </row>
    <row r="601">
      <c r="E601" s="81"/>
      <c r="F601" s="38"/>
      <c r="G601" s="39"/>
      <c r="I601" s="38"/>
      <c r="J601" s="38"/>
    </row>
    <row r="602">
      <c r="E602" s="81"/>
      <c r="F602" s="38"/>
      <c r="G602" s="39"/>
      <c r="I602" s="38"/>
      <c r="J602" s="38"/>
    </row>
    <row r="603">
      <c r="E603" s="81"/>
      <c r="F603" s="38"/>
      <c r="G603" s="39"/>
      <c r="I603" s="38"/>
      <c r="J603" s="38"/>
    </row>
    <row r="604">
      <c r="E604" s="81"/>
      <c r="F604" s="38"/>
      <c r="G604" s="39"/>
      <c r="I604" s="38"/>
      <c r="J604" s="38"/>
    </row>
    <row r="605">
      <c r="E605" s="81"/>
      <c r="F605" s="38"/>
      <c r="G605" s="39"/>
      <c r="I605" s="38"/>
      <c r="J605" s="38"/>
    </row>
    <row r="606">
      <c r="E606" s="81"/>
      <c r="F606" s="38"/>
      <c r="G606" s="39"/>
      <c r="I606" s="38"/>
      <c r="J606" s="38"/>
    </row>
    <row r="607">
      <c r="E607" s="81"/>
      <c r="F607" s="38"/>
      <c r="G607" s="39"/>
      <c r="I607" s="38"/>
      <c r="J607" s="38"/>
    </row>
    <row r="608">
      <c r="E608" s="81"/>
      <c r="F608" s="38"/>
      <c r="G608" s="39"/>
      <c r="I608" s="38"/>
      <c r="J608" s="38"/>
    </row>
    <row r="609">
      <c r="E609" s="81"/>
      <c r="F609" s="38"/>
      <c r="G609" s="39"/>
      <c r="I609" s="38"/>
      <c r="J609" s="38"/>
    </row>
    <row r="610">
      <c r="E610" s="81"/>
      <c r="F610" s="38"/>
      <c r="G610" s="39"/>
      <c r="I610" s="38"/>
      <c r="J610" s="38"/>
    </row>
    <row r="611">
      <c r="E611" s="81"/>
      <c r="F611" s="38"/>
      <c r="G611" s="39"/>
      <c r="I611" s="38"/>
      <c r="J611" s="38"/>
    </row>
    <row r="612">
      <c r="E612" s="81"/>
      <c r="F612" s="38"/>
      <c r="G612" s="39"/>
      <c r="I612" s="38"/>
      <c r="J612" s="38"/>
    </row>
    <row r="613">
      <c r="E613" s="81"/>
      <c r="F613" s="38"/>
      <c r="G613" s="39"/>
      <c r="I613" s="38"/>
      <c r="J613" s="38"/>
    </row>
    <row r="614">
      <c r="E614" s="81"/>
      <c r="F614" s="38"/>
      <c r="G614" s="39"/>
      <c r="I614" s="38"/>
      <c r="J614" s="38"/>
    </row>
    <row r="615">
      <c r="E615" s="81"/>
      <c r="F615" s="38"/>
      <c r="G615" s="39"/>
      <c r="I615" s="38"/>
      <c r="J615" s="38"/>
    </row>
    <row r="616">
      <c r="E616" s="81"/>
      <c r="F616" s="38"/>
      <c r="G616" s="39"/>
      <c r="I616" s="38"/>
      <c r="J616" s="38"/>
    </row>
    <row r="617">
      <c r="E617" s="81"/>
      <c r="F617" s="38"/>
      <c r="G617" s="39"/>
      <c r="I617" s="38"/>
      <c r="J617" s="38"/>
    </row>
    <row r="618">
      <c r="E618" s="81"/>
      <c r="F618" s="38"/>
      <c r="G618" s="39"/>
      <c r="I618" s="38"/>
      <c r="J618" s="38"/>
    </row>
    <row r="619">
      <c r="E619" s="81"/>
      <c r="F619" s="38"/>
      <c r="G619" s="39"/>
      <c r="I619" s="38"/>
      <c r="J619" s="38"/>
    </row>
    <row r="620">
      <c r="E620" s="81"/>
      <c r="F620" s="38"/>
      <c r="G620" s="39"/>
      <c r="I620" s="38"/>
      <c r="J620" s="38"/>
    </row>
    <row r="621">
      <c r="E621" s="81"/>
      <c r="F621" s="38"/>
      <c r="G621" s="39"/>
      <c r="I621" s="38"/>
      <c r="J621" s="38"/>
    </row>
    <row r="622">
      <c r="E622" s="81"/>
      <c r="F622" s="38"/>
      <c r="G622" s="39"/>
      <c r="I622" s="38"/>
      <c r="J622" s="38"/>
    </row>
    <row r="623">
      <c r="E623" s="81"/>
      <c r="F623" s="38"/>
      <c r="G623" s="39"/>
      <c r="I623" s="38"/>
      <c r="J623" s="38"/>
    </row>
    <row r="624">
      <c r="E624" s="81"/>
      <c r="F624" s="38"/>
      <c r="G624" s="39"/>
      <c r="I624" s="38"/>
      <c r="J624" s="38"/>
    </row>
    <row r="625">
      <c r="E625" s="81"/>
      <c r="F625" s="38"/>
      <c r="G625" s="39"/>
      <c r="I625" s="38"/>
      <c r="J625" s="38"/>
    </row>
    <row r="626">
      <c r="E626" s="81"/>
      <c r="F626" s="38"/>
      <c r="G626" s="39"/>
      <c r="I626" s="38"/>
      <c r="J626" s="38"/>
    </row>
    <row r="627">
      <c r="E627" s="81"/>
      <c r="F627" s="38"/>
      <c r="G627" s="39"/>
      <c r="I627" s="38"/>
      <c r="J627" s="38"/>
    </row>
    <row r="628">
      <c r="E628" s="81"/>
      <c r="F628" s="38"/>
      <c r="G628" s="39"/>
      <c r="I628" s="38"/>
      <c r="J628" s="38"/>
    </row>
    <row r="629">
      <c r="E629" s="81"/>
      <c r="F629" s="38"/>
      <c r="G629" s="39"/>
      <c r="I629" s="38"/>
      <c r="J629" s="38"/>
    </row>
    <row r="630">
      <c r="E630" s="81"/>
      <c r="F630" s="38"/>
      <c r="G630" s="39"/>
      <c r="I630" s="38"/>
      <c r="J630" s="38"/>
    </row>
    <row r="631">
      <c r="E631" s="81"/>
      <c r="F631" s="38"/>
      <c r="G631" s="39"/>
      <c r="I631" s="38"/>
      <c r="J631" s="38"/>
    </row>
    <row r="632">
      <c r="E632" s="81"/>
      <c r="F632" s="38"/>
      <c r="G632" s="39"/>
      <c r="I632" s="38"/>
      <c r="J632" s="38"/>
    </row>
    <row r="633">
      <c r="E633" s="81"/>
      <c r="F633" s="38"/>
      <c r="G633" s="39"/>
      <c r="I633" s="38"/>
      <c r="J633" s="38"/>
    </row>
    <row r="634">
      <c r="E634" s="81"/>
      <c r="F634" s="38"/>
      <c r="G634" s="39"/>
      <c r="I634" s="38"/>
      <c r="J634" s="38"/>
    </row>
    <row r="635">
      <c r="E635" s="81"/>
      <c r="F635" s="38"/>
      <c r="G635" s="39"/>
      <c r="I635" s="38"/>
      <c r="J635" s="38"/>
    </row>
    <row r="636">
      <c r="E636" s="81"/>
      <c r="F636" s="38"/>
      <c r="G636" s="39"/>
      <c r="I636" s="38"/>
      <c r="J636" s="38"/>
    </row>
    <row r="637">
      <c r="E637" s="81"/>
      <c r="F637" s="38"/>
      <c r="G637" s="39"/>
      <c r="I637" s="38"/>
      <c r="J637" s="38"/>
    </row>
    <row r="638">
      <c r="E638" s="81"/>
      <c r="F638" s="38"/>
      <c r="G638" s="39"/>
      <c r="I638" s="38"/>
      <c r="J638" s="38"/>
    </row>
    <row r="639">
      <c r="E639" s="81"/>
      <c r="F639" s="38"/>
      <c r="G639" s="39"/>
      <c r="I639" s="38"/>
      <c r="J639" s="38"/>
    </row>
    <row r="640">
      <c r="E640" s="81"/>
      <c r="F640" s="38"/>
      <c r="G640" s="39"/>
      <c r="I640" s="38"/>
      <c r="J640" s="38"/>
    </row>
    <row r="641">
      <c r="E641" s="81"/>
      <c r="F641" s="38"/>
      <c r="G641" s="39"/>
      <c r="I641" s="38"/>
      <c r="J641" s="38"/>
    </row>
    <row r="642">
      <c r="E642" s="81"/>
      <c r="F642" s="38"/>
      <c r="G642" s="39"/>
      <c r="I642" s="38"/>
      <c r="J642" s="38"/>
    </row>
    <row r="643">
      <c r="E643" s="81"/>
      <c r="F643" s="38"/>
      <c r="G643" s="39"/>
      <c r="I643" s="38"/>
      <c r="J643" s="38"/>
    </row>
    <row r="644">
      <c r="E644" s="81"/>
      <c r="F644" s="38"/>
      <c r="G644" s="39"/>
      <c r="I644" s="38"/>
      <c r="J644" s="38"/>
    </row>
    <row r="645">
      <c r="E645" s="81"/>
      <c r="F645" s="38"/>
      <c r="G645" s="39"/>
      <c r="I645" s="38"/>
      <c r="J645" s="38"/>
    </row>
    <row r="646">
      <c r="E646" s="81"/>
      <c r="F646" s="38"/>
      <c r="G646" s="39"/>
      <c r="I646" s="38"/>
      <c r="J646" s="38"/>
    </row>
    <row r="647">
      <c r="E647" s="81"/>
      <c r="F647" s="38"/>
      <c r="G647" s="39"/>
      <c r="I647" s="38"/>
      <c r="J647" s="38"/>
    </row>
    <row r="648">
      <c r="E648" s="81"/>
      <c r="F648" s="38"/>
      <c r="G648" s="39"/>
      <c r="I648" s="38"/>
      <c r="J648" s="38"/>
    </row>
    <row r="649">
      <c r="E649" s="81"/>
      <c r="F649" s="38"/>
      <c r="G649" s="39"/>
      <c r="I649" s="38"/>
      <c r="J649" s="38"/>
    </row>
    <row r="650">
      <c r="E650" s="81"/>
      <c r="F650" s="38"/>
      <c r="G650" s="39"/>
      <c r="I650" s="38"/>
      <c r="J650" s="38"/>
    </row>
    <row r="651">
      <c r="E651" s="81"/>
      <c r="F651" s="38"/>
      <c r="G651" s="39"/>
      <c r="I651" s="38"/>
      <c r="J651" s="38"/>
    </row>
    <row r="652">
      <c r="E652" s="81"/>
      <c r="F652" s="38"/>
      <c r="G652" s="39"/>
      <c r="I652" s="38"/>
      <c r="J652" s="38"/>
    </row>
    <row r="653">
      <c r="E653" s="81"/>
      <c r="F653" s="38"/>
      <c r="G653" s="39"/>
      <c r="I653" s="38"/>
      <c r="J653" s="38"/>
    </row>
    <row r="654">
      <c r="E654" s="81"/>
      <c r="F654" s="38"/>
      <c r="G654" s="39"/>
      <c r="I654" s="38"/>
      <c r="J654" s="38"/>
    </row>
    <row r="655">
      <c r="E655" s="81"/>
      <c r="F655" s="38"/>
      <c r="G655" s="39"/>
      <c r="I655" s="38"/>
      <c r="J655" s="38"/>
    </row>
    <row r="656">
      <c r="E656" s="81"/>
      <c r="F656" s="38"/>
      <c r="G656" s="39"/>
      <c r="I656" s="38"/>
      <c r="J656" s="38"/>
    </row>
    <row r="657">
      <c r="E657" s="81"/>
      <c r="F657" s="38"/>
      <c r="G657" s="39"/>
      <c r="I657" s="38"/>
      <c r="J657" s="38"/>
    </row>
    <row r="658">
      <c r="E658" s="81"/>
      <c r="F658" s="38"/>
      <c r="G658" s="39"/>
      <c r="I658" s="38"/>
      <c r="J658" s="38"/>
    </row>
    <row r="659">
      <c r="E659" s="81"/>
      <c r="F659" s="38"/>
      <c r="G659" s="39"/>
      <c r="I659" s="38"/>
      <c r="J659" s="38"/>
    </row>
    <row r="660">
      <c r="E660" s="81"/>
      <c r="F660" s="38"/>
      <c r="G660" s="39"/>
      <c r="I660" s="38"/>
      <c r="J660" s="38"/>
    </row>
    <row r="661">
      <c r="E661" s="81"/>
      <c r="F661" s="38"/>
      <c r="G661" s="39"/>
      <c r="I661" s="38"/>
      <c r="J661" s="38"/>
    </row>
    <row r="662">
      <c r="E662" s="81"/>
      <c r="F662" s="38"/>
      <c r="G662" s="39"/>
      <c r="I662" s="38"/>
      <c r="J662" s="38"/>
    </row>
    <row r="663">
      <c r="E663" s="81"/>
      <c r="F663" s="38"/>
      <c r="G663" s="39"/>
      <c r="I663" s="38"/>
      <c r="J663" s="38"/>
    </row>
    <row r="664">
      <c r="E664" s="81"/>
      <c r="F664" s="38"/>
      <c r="G664" s="39"/>
      <c r="I664" s="38"/>
      <c r="J664" s="38"/>
    </row>
    <row r="665">
      <c r="E665" s="81"/>
      <c r="F665" s="38"/>
      <c r="G665" s="39"/>
      <c r="I665" s="38"/>
      <c r="J665" s="38"/>
    </row>
    <row r="666">
      <c r="E666" s="81"/>
      <c r="F666" s="38"/>
      <c r="G666" s="39"/>
      <c r="I666" s="38"/>
      <c r="J666" s="38"/>
    </row>
    <row r="667">
      <c r="E667" s="81"/>
      <c r="F667" s="38"/>
      <c r="G667" s="39"/>
      <c r="I667" s="38"/>
      <c r="J667" s="38"/>
    </row>
    <row r="668">
      <c r="E668" s="81"/>
      <c r="F668" s="38"/>
      <c r="G668" s="39"/>
      <c r="I668" s="38"/>
      <c r="J668" s="38"/>
    </row>
    <row r="669">
      <c r="E669" s="81"/>
      <c r="F669" s="38"/>
      <c r="G669" s="39"/>
      <c r="I669" s="38"/>
      <c r="J669" s="38"/>
    </row>
    <row r="670">
      <c r="E670" s="81"/>
      <c r="F670" s="38"/>
      <c r="G670" s="39"/>
      <c r="I670" s="38"/>
      <c r="J670" s="38"/>
    </row>
    <row r="671">
      <c r="E671" s="81"/>
      <c r="F671" s="38"/>
      <c r="G671" s="39"/>
      <c r="I671" s="38"/>
      <c r="J671" s="38"/>
    </row>
    <row r="672">
      <c r="E672" s="81"/>
      <c r="F672" s="38"/>
      <c r="G672" s="39"/>
      <c r="I672" s="38"/>
      <c r="J672" s="38"/>
    </row>
    <row r="673">
      <c r="E673" s="81"/>
      <c r="F673" s="38"/>
      <c r="G673" s="39"/>
      <c r="I673" s="38"/>
      <c r="J673" s="38"/>
    </row>
    <row r="674">
      <c r="E674" s="81"/>
      <c r="F674" s="38"/>
      <c r="G674" s="39"/>
      <c r="I674" s="38"/>
      <c r="J674" s="38"/>
    </row>
    <row r="675">
      <c r="E675" s="81"/>
      <c r="F675" s="38"/>
      <c r="G675" s="39"/>
      <c r="I675" s="38"/>
      <c r="J675" s="38"/>
    </row>
    <row r="676">
      <c r="E676" s="81"/>
      <c r="F676" s="38"/>
      <c r="G676" s="39"/>
      <c r="I676" s="38"/>
      <c r="J676" s="38"/>
    </row>
    <row r="677">
      <c r="E677" s="81"/>
      <c r="F677" s="38"/>
      <c r="G677" s="39"/>
      <c r="I677" s="38"/>
      <c r="J677" s="38"/>
    </row>
    <row r="678">
      <c r="E678" s="81"/>
      <c r="F678" s="38"/>
      <c r="G678" s="39"/>
      <c r="I678" s="38"/>
      <c r="J678" s="38"/>
    </row>
    <row r="679">
      <c r="E679" s="81"/>
      <c r="F679" s="38"/>
      <c r="G679" s="39"/>
      <c r="I679" s="38"/>
      <c r="J679" s="38"/>
    </row>
    <row r="680">
      <c r="E680" s="81"/>
      <c r="F680" s="38"/>
      <c r="G680" s="39"/>
      <c r="I680" s="38"/>
      <c r="J680" s="38"/>
    </row>
    <row r="681">
      <c r="E681" s="81"/>
      <c r="F681" s="38"/>
      <c r="G681" s="39"/>
      <c r="I681" s="38"/>
      <c r="J681" s="38"/>
    </row>
    <row r="682">
      <c r="E682" s="81"/>
      <c r="F682" s="38"/>
      <c r="G682" s="39"/>
      <c r="I682" s="38"/>
      <c r="J682" s="38"/>
    </row>
    <row r="683">
      <c r="E683" s="81"/>
      <c r="F683" s="38"/>
      <c r="G683" s="39"/>
      <c r="I683" s="38"/>
      <c r="J683" s="38"/>
    </row>
    <row r="684">
      <c r="E684" s="81"/>
      <c r="F684" s="38"/>
      <c r="G684" s="39"/>
      <c r="I684" s="38"/>
      <c r="J684" s="38"/>
    </row>
    <row r="685">
      <c r="E685" s="81"/>
      <c r="F685" s="38"/>
      <c r="G685" s="39"/>
      <c r="I685" s="38"/>
      <c r="J685" s="38"/>
    </row>
    <row r="686">
      <c r="E686" s="81"/>
      <c r="F686" s="38"/>
      <c r="G686" s="39"/>
      <c r="I686" s="38"/>
      <c r="J686" s="38"/>
    </row>
    <row r="687">
      <c r="E687" s="81"/>
      <c r="F687" s="38"/>
      <c r="G687" s="39"/>
      <c r="I687" s="38"/>
      <c r="J687" s="38"/>
    </row>
    <row r="688">
      <c r="E688" s="81"/>
      <c r="F688" s="38"/>
      <c r="G688" s="39"/>
      <c r="I688" s="38"/>
      <c r="J688" s="38"/>
    </row>
    <row r="689">
      <c r="E689" s="81"/>
      <c r="F689" s="38"/>
      <c r="G689" s="39"/>
      <c r="I689" s="38"/>
      <c r="J689" s="38"/>
    </row>
    <row r="690">
      <c r="E690" s="81"/>
      <c r="F690" s="38"/>
      <c r="G690" s="39"/>
      <c r="I690" s="38"/>
      <c r="J690" s="38"/>
    </row>
    <row r="691">
      <c r="E691" s="81"/>
      <c r="F691" s="38"/>
      <c r="G691" s="39"/>
      <c r="I691" s="38"/>
      <c r="J691" s="38"/>
    </row>
    <row r="692">
      <c r="E692" s="81"/>
      <c r="F692" s="38"/>
      <c r="G692" s="39"/>
      <c r="I692" s="38"/>
      <c r="J692" s="38"/>
    </row>
    <row r="693">
      <c r="E693" s="81"/>
      <c r="F693" s="38"/>
      <c r="G693" s="39"/>
      <c r="I693" s="38"/>
      <c r="J693" s="38"/>
    </row>
    <row r="694">
      <c r="E694" s="81"/>
      <c r="F694" s="38"/>
      <c r="G694" s="39"/>
      <c r="I694" s="38"/>
      <c r="J694" s="38"/>
    </row>
    <row r="695">
      <c r="E695" s="81"/>
      <c r="F695" s="38"/>
      <c r="G695" s="39"/>
      <c r="I695" s="38"/>
      <c r="J695" s="38"/>
    </row>
    <row r="696">
      <c r="E696" s="81"/>
      <c r="F696" s="38"/>
      <c r="G696" s="39"/>
      <c r="I696" s="38"/>
      <c r="J696" s="38"/>
    </row>
    <row r="697">
      <c r="E697" s="81"/>
      <c r="F697" s="38"/>
      <c r="G697" s="39"/>
      <c r="I697" s="38"/>
      <c r="J697" s="38"/>
    </row>
    <row r="698">
      <c r="E698" s="81"/>
      <c r="F698" s="38"/>
      <c r="G698" s="39"/>
      <c r="I698" s="38"/>
      <c r="J698" s="38"/>
    </row>
    <row r="699">
      <c r="E699" s="81"/>
      <c r="F699" s="38"/>
      <c r="G699" s="39"/>
      <c r="I699" s="38"/>
      <c r="J699" s="38"/>
    </row>
    <row r="700">
      <c r="E700" s="81"/>
      <c r="F700" s="38"/>
      <c r="G700" s="39"/>
      <c r="I700" s="38"/>
      <c r="J700" s="38"/>
    </row>
    <row r="701">
      <c r="E701" s="81"/>
      <c r="F701" s="38"/>
      <c r="G701" s="39"/>
      <c r="I701" s="38"/>
      <c r="J701" s="38"/>
    </row>
    <row r="702">
      <c r="E702" s="81"/>
      <c r="F702" s="38"/>
      <c r="G702" s="39"/>
      <c r="I702" s="38"/>
      <c r="J702" s="38"/>
    </row>
    <row r="703">
      <c r="E703" s="81"/>
      <c r="F703" s="38"/>
      <c r="G703" s="39"/>
      <c r="I703" s="38"/>
      <c r="J703" s="38"/>
    </row>
    <row r="704">
      <c r="E704" s="81"/>
      <c r="F704" s="38"/>
      <c r="G704" s="39"/>
      <c r="I704" s="38"/>
      <c r="J704" s="38"/>
    </row>
    <row r="705">
      <c r="E705" s="81"/>
      <c r="F705" s="38"/>
      <c r="G705" s="39"/>
      <c r="I705" s="38"/>
      <c r="J705" s="38"/>
    </row>
    <row r="706">
      <c r="E706" s="81"/>
      <c r="F706" s="38"/>
      <c r="G706" s="39"/>
      <c r="I706" s="38"/>
      <c r="J706" s="38"/>
    </row>
    <row r="707">
      <c r="E707" s="81"/>
      <c r="F707" s="38"/>
      <c r="G707" s="39"/>
      <c r="I707" s="38"/>
      <c r="J707" s="38"/>
    </row>
    <row r="708">
      <c r="E708" s="81"/>
      <c r="F708" s="38"/>
      <c r="G708" s="39"/>
      <c r="I708" s="38"/>
      <c r="J708" s="38"/>
    </row>
    <row r="709">
      <c r="E709" s="81"/>
      <c r="F709" s="38"/>
      <c r="G709" s="39"/>
      <c r="I709" s="38"/>
      <c r="J709" s="38"/>
    </row>
    <row r="710">
      <c r="E710" s="81"/>
      <c r="F710" s="38"/>
      <c r="G710" s="39"/>
      <c r="I710" s="38"/>
      <c r="J710" s="38"/>
    </row>
    <row r="711">
      <c r="E711" s="81"/>
      <c r="F711" s="38"/>
      <c r="G711" s="39"/>
      <c r="I711" s="38"/>
      <c r="J711" s="38"/>
    </row>
    <row r="712">
      <c r="E712" s="81"/>
      <c r="F712" s="38"/>
      <c r="G712" s="39"/>
      <c r="I712" s="38"/>
      <c r="J712" s="38"/>
    </row>
    <row r="713">
      <c r="E713" s="81"/>
      <c r="F713" s="38"/>
      <c r="G713" s="39"/>
      <c r="I713" s="38"/>
      <c r="J713" s="38"/>
    </row>
    <row r="714">
      <c r="E714" s="81"/>
      <c r="F714" s="38"/>
      <c r="G714" s="39"/>
      <c r="I714" s="38"/>
      <c r="J714" s="38"/>
    </row>
    <row r="715">
      <c r="E715" s="81"/>
      <c r="F715" s="38"/>
      <c r="G715" s="39"/>
      <c r="I715" s="38"/>
      <c r="J715" s="38"/>
    </row>
    <row r="716">
      <c r="E716" s="81"/>
      <c r="F716" s="38"/>
      <c r="G716" s="39"/>
      <c r="I716" s="38"/>
      <c r="J716" s="38"/>
    </row>
    <row r="717">
      <c r="E717" s="81"/>
      <c r="F717" s="38"/>
      <c r="G717" s="39"/>
      <c r="I717" s="38"/>
      <c r="J717" s="38"/>
    </row>
    <row r="718">
      <c r="E718" s="81"/>
      <c r="F718" s="38"/>
      <c r="G718" s="39"/>
      <c r="I718" s="38"/>
      <c r="J718" s="38"/>
    </row>
    <row r="719">
      <c r="E719" s="81"/>
      <c r="F719" s="38"/>
      <c r="G719" s="39"/>
      <c r="I719" s="38"/>
      <c r="J719" s="38"/>
    </row>
    <row r="720">
      <c r="E720" s="81"/>
      <c r="F720" s="38"/>
      <c r="G720" s="39"/>
      <c r="I720" s="38"/>
      <c r="J720" s="38"/>
    </row>
    <row r="721">
      <c r="E721" s="81"/>
      <c r="F721" s="38"/>
      <c r="G721" s="39"/>
      <c r="I721" s="38"/>
      <c r="J721" s="38"/>
    </row>
    <row r="722">
      <c r="E722" s="81"/>
      <c r="F722" s="38"/>
      <c r="G722" s="39"/>
      <c r="I722" s="38"/>
      <c r="J722" s="38"/>
    </row>
    <row r="723">
      <c r="E723" s="81"/>
      <c r="F723" s="38"/>
      <c r="G723" s="39"/>
      <c r="I723" s="38"/>
      <c r="J723" s="38"/>
    </row>
    <row r="724">
      <c r="E724" s="81"/>
      <c r="F724" s="38"/>
      <c r="G724" s="39"/>
      <c r="I724" s="38"/>
      <c r="J724" s="38"/>
    </row>
    <row r="725">
      <c r="E725" s="81"/>
      <c r="F725" s="38"/>
      <c r="G725" s="39"/>
      <c r="I725" s="38"/>
      <c r="J725" s="38"/>
    </row>
    <row r="726">
      <c r="E726" s="81"/>
      <c r="F726" s="38"/>
      <c r="G726" s="39"/>
      <c r="I726" s="38"/>
      <c r="J726" s="38"/>
    </row>
    <row r="727">
      <c r="E727" s="81"/>
      <c r="F727" s="38"/>
      <c r="G727" s="39"/>
      <c r="I727" s="38"/>
      <c r="J727" s="38"/>
    </row>
    <row r="728">
      <c r="E728" s="81"/>
      <c r="F728" s="38"/>
      <c r="G728" s="39"/>
      <c r="I728" s="38"/>
      <c r="J728" s="38"/>
    </row>
    <row r="729">
      <c r="E729" s="81"/>
      <c r="F729" s="38"/>
      <c r="G729" s="39"/>
      <c r="I729" s="38"/>
      <c r="J729" s="38"/>
    </row>
    <row r="730">
      <c r="E730" s="81"/>
      <c r="F730" s="38"/>
      <c r="G730" s="39"/>
      <c r="I730" s="38"/>
      <c r="J730" s="38"/>
    </row>
    <row r="731">
      <c r="E731" s="81"/>
      <c r="F731" s="38"/>
      <c r="G731" s="39"/>
      <c r="I731" s="38"/>
      <c r="J731" s="38"/>
    </row>
    <row r="732">
      <c r="E732" s="81"/>
      <c r="F732" s="38"/>
      <c r="G732" s="39"/>
      <c r="I732" s="38"/>
      <c r="J732" s="38"/>
    </row>
    <row r="733">
      <c r="E733" s="81"/>
      <c r="F733" s="38"/>
      <c r="G733" s="39"/>
      <c r="I733" s="38"/>
      <c r="J733" s="38"/>
    </row>
    <row r="734">
      <c r="E734" s="81"/>
      <c r="F734" s="38"/>
      <c r="G734" s="39"/>
      <c r="I734" s="38"/>
      <c r="J734" s="38"/>
    </row>
    <row r="735">
      <c r="E735" s="81"/>
      <c r="F735" s="38"/>
      <c r="G735" s="39"/>
      <c r="I735" s="38"/>
      <c r="J735" s="38"/>
    </row>
    <row r="736">
      <c r="E736" s="81"/>
      <c r="F736" s="38"/>
      <c r="G736" s="39"/>
      <c r="I736" s="38"/>
      <c r="J736" s="38"/>
    </row>
    <row r="737">
      <c r="E737" s="81"/>
      <c r="F737" s="38"/>
      <c r="G737" s="39"/>
      <c r="I737" s="38"/>
      <c r="J737" s="38"/>
    </row>
    <row r="738">
      <c r="E738" s="81"/>
      <c r="F738" s="38"/>
      <c r="G738" s="39"/>
      <c r="I738" s="38"/>
      <c r="J738" s="38"/>
    </row>
    <row r="739">
      <c r="E739" s="81"/>
      <c r="F739" s="38"/>
      <c r="G739" s="39"/>
      <c r="I739" s="38"/>
      <c r="J739" s="38"/>
    </row>
    <row r="740">
      <c r="E740" s="81"/>
      <c r="F740" s="38"/>
      <c r="G740" s="39"/>
      <c r="I740" s="38"/>
      <c r="J740" s="38"/>
    </row>
    <row r="741">
      <c r="E741" s="81"/>
      <c r="F741" s="38"/>
      <c r="G741" s="39"/>
      <c r="I741" s="38"/>
      <c r="J741" s="38"/>
    </row>
    <row r="742">
      <c r="E742" s="81"/>
      <c r="F742" s="38"/>
      <c r="G742" s="39"/>
      <c r="I742" s="38"/>
      <c r="J742" s="38"/>
    </row>
    <row r="743">
      <c r="E743" s="81"/>
      <c r="F743" s="38"/>
      <c r="G743" s="39"/>
      <c r="I743" s="38"/>
      <c r="J743" s="38"/>
    </row>
    <row r="744">
      <c r="E744" s="81"/>
      <c r="F744" s="38"/>
      <c r="G744" s="39"/>
      <c r="I744" s="38"/>
      <c r="J744" s="38"/>
    </row>
    <row r="745">
      <c r="E745" s="81"/>
      <c r="F745" s="38"/>
      <c r="G745" s="39"/>
      <c r="I745" s="38"/>
      <c r="J745" s="38"/>
    </row>
    <row r="746">
      <c r="E746" s="81"/>
      <c r="F746" s="38"/>
      <c r="G746" s="39"/>
      <c r="I746" s="38"/>
      <c r="J746" s="38"/>
    </row>
    <row r="747">
      <c r="E747" s="81"/>
      <c r="F747" s="38"/>
      <c r="G747" s="39"/>
      <c r="I747" s="38"/>
      <c r="J747" s="38"/>
    </row>
    <row r="748">
      <c r="E748" s="81"/>
      <c r="F748" s="38"/>
      <c r="G748" s="39"/>
      <c r="I748" s="38"/>
      <c r="J748" s="38"/>
    </row>
    <row r="749">
      <c r="E749" s="81"/>
      <c r="F749" s="38"/>
      <c r="G749" s="39"/>
      <c r="I749" s="38"/>
      <c r="J749" s="38"/>
    </row>
    <row r="750">
      <c r="E750" s="81"/>
      <c r="F750" s="38"/>
      <c r="G750" s="39"/>
      <c r="I750" s="38"/>
      <c r="J750" s="38"/>
    </row>
    <row r="751">
      <c r="E751" s="81"/>
      <c r="F751" s="38"/>
      <c r="G751" s="39"/>
      <c r="I751" s="38"/>
      <c r="J751" s="38"/>
    </row>
    <row r="752">
      <c r="E752" s="81"/>
      <c r="F752" s="38"/>
      <c r="G752" s="39"/>
      <c r="I752" s="38"/>
      <c r="J752" s="38"/>
    </row>
    <row r="753">
      <c r="E753" s="81"/>
      <c r="F753" s="38"/>
      <c r="G753" s="39"/>
      <c r="I753" s="38"/>
      <c r="J753" s="38"/>
    </row>
    <row r="754">
      <c r="E754" s="81"/>
      <c r="F754" s="38"/>
      <c r="G754" s="39"/>
      <c r="I754" s="38"/>
      <c r="J754" s="38"/>
    </row>
    <row r="755">
      <c r="E755" s="81"/>
      <c r="F755" s="38"/>
      <c r="G755" s="39"/>
      <c r="I755" s="38"/>
      <c r="J755" s="38"/>
    </row>
    <row r="756">
      <c r="E756" s="81"/>
      <c r="F756" s="38"/>
      <c r="G756" s="39"/>
      <c r="I756" s="38"/>
      <c r="J756" s="38"/>
    </row>
    <row r="757">
      <c r="E757" s="81"/>
      <c r="F757" s="38"/>
      <c r="G757" s="39"/>
      <c r="I757" s="38"/>
      <c r="J757" s="38"/>
    </row>
    <row r="758">
      <c r="E758" s="81"/>
      <c r="F758" s="38"/>
      <c r="G758" s="39"/>
      <c r="I758" s="38"/>
      <c r="J758" s="38"/>
    </row>
    <row r="759">
      <c r="E759" s="81"/>
      <c r="F759" s="38"/>
      <c r="G759" s="39"/>
      <c r="I759" s="38"/>
      <c r="J759" s="38"/>
    </row>
    <row r="760">
      <c r="E760" s="81"/>
      <c r="F760" s="38"/>
      <c r="G760" s="39"/>
      <c r="I760" s="38"/>
      <c r="J760" s="38"/>
    </row>
    <row r="761">
      <c r="E761" s="81"/>
      <c r="F761" s="38"/>
      <c r="G761" s="39"/>
      <c r="I761" s="38"/>
      <c r="J761" s="38"/>
    </row>
    <row r="762">
      <c r="E762" s="81"/>
      <c r="F762" s="38"/>
      <c r="G762" s="39"/>
      <c r="I762" s="38"/>
      <c r="J762" s="38"/>
    </row>
    <row r="763">
      <c r="E763" s="81"/>
      <c r="F763" s="38"/>
      <c r="G763" s="39"/>
      <c r="I763" s="38"/>
      <c r="J763" s="38"/>
    </row>
    <row r="764">
      <c r="E764" s="81"/>
      <c r="F764" s="38"/>
      <c r="G764" s="39"/>
      <c r="I764" s="38"/>
      <c r="J764" s="38"/>
    </row>
    <row r="765">
      <c r="E765" s="81"/>
      <c r="F765" s="38"/>
      <c r="G765" s="39"/>
      <c r="I765" s="38"/>
      <c r="J765" s="38"/>
    </row>
    <row r="766">
      <c r="E766" s="81"/>
      <c r="F766" s="38"/>
      <c r="G766" s="39"/>
      <c r="I766" s="38"/>
      <c r="J766" s="38"/>
    </row>
    <row r="767">
      <c r="E767" s="81"/>
      <c r="F767" s="38"/>
      <c r="G767" s="39"/>
      <c r="I767" s="38"/>
      <c r="J767" s="38"/>
    </row>
    <row r="768">
      <c r="E768" s="81"/>
      <c r="F768" s="38"/>
      <c r="G768" s="39"/>
      <c r="I768" s="38"/>
      <c r="J768" s="38"/>
    </row>
    <row r="769">
      <c r="E769" s="81"/>
      <c r="F769" s="38"/>
      <c r="G769" s="39"/>
      <c r="I769" s="38"/>
      <c r="J769" s="38"/>
    </row>
    <row r="770">
      <c r="E770" s="81"/>
      <c r="F770" s="38"/>
      <c r="G770" s="39"/>
      <c r="I770" s="38"/>
      <c r="J770" s="38"/>
    </row>
    <row r="771">
      <c r="E771" s="81"/>
      <c r="F771" s="38"/>
      <c r="G771" s="39"/>
      <c r="I771" s="38"/>
      <c r="J771" s="38"/>
    </row>
    <row r="772">
      <c r="E772" s="81"/>
      <c r="F772" s="38"/>
      <c r="G772" s="39"/>
      <c r="I772" s="38"/>
      <c r="J772" s="38"/>
    </row>
    <row r="773">
      <c r="E773" s="81"/>
      <c r="F773" s="38"/>
      <c r="G773" s="39"/>
      <c r="I773" s="38"/>
      <c r="J773" s="38"/>
    </row>
    <row r="774">
      <c r="E774" s="81"/>
      <c r="F774" s="38"/>
      <c r="G774" s="39"/>
      <c r="I774" s="38"/>
      <c r="J774" s="38"/>
    </row>
    <row r="775">
      <c r="E775" s="81"/>
      <c r="F775" s="38"/>
      <c r="G775" s="39"/>
      <c r="I775" s="38"/>
      <c r="J775" s="38"/>
    </row>
    <row r="776">
      <c r="E776" s="81"/>
      <c r="F776" s="38"/>
      <c r="G776" s="39"/>
      <c r="I776" s="38"/>
      <c r="J776" s="38"/>
    </row>
    <row r="777">
      <c r="E777" s="81"/>
      <c r="F777" s="38"/>
      <c r="G777" s="39"/>
      <c r="I777" s="38"/>
      <c r="J777" s="38"/>
    </row>
    <row r="778">
      <c r="E778" s="81"/>
      <c r="F778" s="38"/>
      <c r="G778" s="39"/>
      <c r="I778" s="38"/>
      <c r="J778" s="38"/>
    </row>
    <row r="779">
      <c r="E779" s="81"/>
      <c r="F779" s="38"/>
      <c r="G779" s="39"/>
      <c r="I779" s="38"/>
      <c r="J779" s="38"/>
    </row>
    <row r="780">
      <c r="E780" s="81"/>
      <c r="F780" s="38"/>
      <c r="G780" s="39"/>
      <c r="I780" s="38"/>
      <c r="J780" s="38"/>
    </row>
    <row r="781">
      <c r="E781" s="81"/>
      <c r="F781" s="38"/>
      <c r="G781" s="39"/>
      <c r="I781" s="38"/>
      <c r="J781" s="38"/>
    </row>
    <row r="782">
      <c r="E782" s="81"/>
      <c r="F782" s="38"/>
      <c r="G782" s="39"/>
      <c r="I782" s="38"/>
      <c r="J782" s="38"/>
    </row>
    <row r="783">
      <c r="E783" s="81"/>
      <c r="F783" s="38"/>
      <c r="G783" s="39"/>
      <c r="I783" s="38"/>
      <c r="J783" s="38"/>
    </row>
    <row r="784">
      <c r="E784" s="81"/>
      <c r="F784" s="38"/>
      <c r="G784" s="39"/>
      <c r="I784" s="38"/>
      <c r="J784" s="38"/>
    </row>
    <row r="785">
      <c r="E785" s="81"/>
      <c r="F785" s="38"/>
      <c r="G785" s="39"/>
      <c r="I785" s="38"/>
      <c r="J785" s="38"/>
    </row>
    <row r="786">
      <c r="E786" s="81"/>
      <c r="F786" s="38"/>
      <c r="G786" s="39"/>
      <c r="I786" s="38"/>
      <c r="J786" s="38"/>
    </row>
    <row r="787">
      <c r="E787" s="81"/>
      <c r="F787" s="38"/>
      <c r="G787" s="39"/>
      <c r="I787" s="38"/>
      <c r="J787" s="38"/>
    </row>
    <row r="788">
      <c r="E788" s="81"/>
      <c r="F788" s="38"/>
      <c r="G788" s="39"/>
      <c r="I788" s="38"/>
      <c r="J788" s="38"/>
    </row>
    <row r="789">
      <c r="E789" s="81"/>
      <c r="F789" s="38"/>
      <c r="G789" s="39"/>
      <c r="I789" s="38"/>
      <c r="J789" s="38"/>
    </row>
    <row r="790">
      <c r="E790" s="81"/>
      <c r="F790" s="38"/>
      <c r="G790" s="39"/>
      <c r="I790" s="38"/>
      <c r="J790" s="38"/>
    </row>
    <row r="791">
      <c r="E791" s="81"/>
      <c r="F791" s="38"/>
      <c r="G791" s="39"/>
      <c r="I791" s="38"/>
      <c r="J791" s="38"/>
    </row>
    <row r="792">
      <c r="E792" s="81"/>
      <c r="F792" s="38"/>
      <c r="G792" s="39"/>
      <c r="I792" s="38"/>
      <c r="J792" s="38"/>
    </row>
    <row r="793">
      <c r="E793" s="81"/>
      <c r="F793" s="38"/>
      <c r="G793" s="39"/>
      <c r="I793" s="38"/>
      <c r="J793" s="38"/>
    </row>
    <row r="794">
      <c r="E794" s="81"/>
      <c r="F794" s="38"/>
      <c r="G794" s="39"/>
      <c r="I794" s="38"/>
      <c r="J794" s="38"/>
    </row>
    <row r="795">
      <c r="E795" s="81"/>
      <c r="F795" s="38"/>
      <c r="G795" s="39"/>
      <c r="I795" s="38"/>
      <c r="J795" s="38"/>
    </row>
    <row r="796">
      <c r="E796" s="81"/>
      <c r="F796" s="38"/>
      <c r="G796" s="39"/>
      <c r="I796" s="38"/>
      <c r="J796" s="38"/>
    </row>
    <row r="797">
      <c r="E797" s="81"/>
      <c r="F797" s="38"/>
      <c r="G797" s="39"/>
      <c r="I797" s="38"/>
      <c r="J797" s="38"/>
    </row>
    <row r="798">
      <c r="E798" s="81"/>
      <c r="F798" s="38"/>
      <c r="G798" s="39"/>
      <c r="I798" s="38"/>
      <c r="J798" s="38"/>
    </row>
    <row r="799">
      <c r="E799" s="81"/>
      <c r="F799" s="38"/>
      <c r="G799" s="39"/>
      <c r="I799" s="38"/>
      <c r="J799" s="38"/>
    </row>
    <row r="800">
      <c r="E800" s="81"/>
      <c r="F800" s="38"/>
      <c r="G800" s="39"/>
      <c r="I800" s="38"/>
      <c r="J800" s="38"/>
    </row>
    <row r="801">
      <c r="E801" s="81"/>
      <c r="F801" s="38"/>
      <c r="G801" s="39"/>
      <c r="I801" s="38"/>
      <c r="J801" s="38"/>
    </row>
    <row r="802">
      <c r="E802" s="81"/>
      <c r="F802" s="38"/>
      <c r="G802" s="39"/>
      <c r="I802" s="38"/>
      <c r="J802" s="38"/>
    </row>
    <row r="803">
      <c r="E803" s="81"/>
      <c r="F803" s="38"/>
      <c r="G803" s="39"/>
      <c r="I803" s="38"/>
      <c r="J803" s="38"/>
    </row>
    <row r="804">
      <c r="E804" s="81"/>
      <c r="F804" s="38"/>
      <c r="G804" s="39"/>
      <c r="I804" s="38"/>
      <c r="J804" s="38"/>
    </row>
    <row r="805">
      <c r="E805" s="81"/>
      <c r="F805" s="38"/>
      <c r="G805" s="39"/>
      <c r="I805" s="38"/>
      <c r="J805" s="38"/>
    </row>
    <row r="806">
      <c r="E806" s="81"/>
      <c r="F806" s="38"/>
      <c r="G806" s="39"/>
      <c r="I806" s="38"/>
      <c r="J806" s="38"/>
    </row>
    <row r="807">
      <c r="E807" s="81"/>
      <c r="F807" s="38"/>
      <c r="G807" s="39"/>
      <c r="I807" s="38"/>
      <c r="J807" s="38"/>
    </row>
    <row r="808">
      <c r="E808" s="81"/>
      <c r="F808" s="38"/>
      <c r="G808" s="39"/>
      <c r="I808" s="38"/>
      <c r="J808" s="38"/>
    </row>
    <row r="809">
      <c r="E809" s="81"/>
      <c r="F809" s="38"/>
      <c r="G809" s="39"/>
      <c r="I809" s="38"/>
      <c r="J809" s="38"/>
    </row>
    <row r="810">
      <c r="E810" s="81"/>
      <c r="F810" s="38"/>
      <c r="G810" s="39"/>
      <c r="I810" s="38"/>
      <c r="J810" s="38"/>
    </row>
    <row r="811">
      <c r="E811" s="81"/>
      <c r="F811" s="38"/>
      <c r="G811" s="39"/>
      <c r="I811" s="38"/>
      <c r="J811" s="38"/>
    </row>
    <row r="812">
      <c r="E812" s="81"/>
      <c r="F812" s="38"/>
      <c r="G812" s="39"/>
      <c r="I812" s="38"/>
      <c r="J812" s="38"/>
    </row>
    <row r="813">
      <c r="E813" s="81"/>
      <c r="F813" s="38"/>
      <c r="G813" s="39"/>
      <c r="I813" s="38"/>
      <c r="J813" s="38"/>
    </row>
    <row r="814">
      <c r="E814" s="81"/>
      <c r="F814" s="38"/>
      <c r="G814" s="39"/>
      <c r="I814" s="38"/>
      <c r="J814" s="38"/>
    </row>
    <row r="815">
      <c r="E815" s="81"/>
      <c r="F815" s="38"/>
      <c r="G815" s="39"/>
      <c r="I815" s="38"/>
      <c r="J815" s="38"/>
    </row>
    <row r="816">
      <c r="E816" s="81"/>
      <c r="F816" s="38"/>
      <c r="G816" s="39"/>
      <c r="I816" s="38"/>
      <c r="J816" s="38"/>
    </row>
    <row r="817">
      <c r="E817" s="81"/>
      <c r="F817" s="38"/>
      <c r="G817" s="39"/>
      <c r="I817" s="38"/>
      <c r="J817" s="38"/>
    </row>
    <row r="818">
      <c r="E818" s="81"/>
      <c r="F818" s="38"/>
      <c r="G818" s="39"/>
      <c r="I818" s="38"/>
      <c r="J818" s="38"/>
    </row>
    <row r="819">
      <c r="E819" s="81"/>
      <c r="F819" s="38"/>
      <c r="G819" s="39"/>
      <c r="I819" s="38"/>
      <c r="J819" s="38"/>
    </row>
    <row r="820">
      <c r="E820" s="81"/>
      <c r="F820" s="38"/>
      <c r="G820" s="39"/>
      <c r="I820" s="38"/>
      <c r="J820" s="38"/>
    </row>
    <row r="821">
      <c r="E821" s="81"/>
      <c r="F821" s="38"/>
      <c r="G821" s="39"/>
      <c r="I821" s="38"/>
      <c r="J821" s="38"/>
    </row>
    <row r="822">
      <c r="E822" s="81"/>
      <c r="F822" s="38"/>
      <c r="G822" s="39"/>
      <c r="I822" s="38"/>
      <c r="J822" s="38"/>
    </row>
    <row r="823">
      <c r="E823" s="81"/>
      <c r="F823" s="38"/>
      <c r="G823" s="39"/>
      <c r="I823" s="38"/>
      <c r="J823" s="38"/>
    </row>
    <row r="824">
      <c r="E824" s="81"/>
      <c r="F824" s="38"/>
      <c r="G824" s="39"/>
      <c r="I824" s="38"/>
      <c r="J824" s="38"/>
    </row>
    <row r="825">
      <c r="E825" s="81"/>
      <c r="F825" s="38"/>
      <c r="G825" s="39"/>
      <c r="I825" s="38"/>
      <c r="J825" s="38"/>
    </row>
    <row r="826">
      <c r="E826" s="81"/>
      <c r="F826" s="38"/>
      <c r="G826" s="39"/>
      <c r="I826" s="38"/>
      <c r="J826" s="38"/>
    </row>
    <row r="827">
      <c r="E827" s="81"/>
      <c r="F827" s="38"/>
      <c r="G827" s="39"/>
      <c r="I827" s="38"/>
      <c r="J827" s="38"/>
    </row>
    <row r="828">
      <c r="E828" s="81"/>
      <c r="F828" s="38"/>
      <c r="G828" s="39"/>
      <c r="I828" s="38"/>
      <c r="J828" s="38"/>
    </row>
    <row r="829">
      <c r="E829" s="81"/>
      <c r="F829" s="38"/>
      <c r="G829" s="39"/>
      <c r="I829" s="38"/>
      <c r="J829" s="38"/>
    </row>
    <row r="830">
      <c r="E830" s="81"/>
      <c r="F830" s="38"/>
      <c r="G830" s="39"/>
      <c r="I830" s="38"/>
      <c r="J830" s="38"/>
    </row>
    <row r="831">
      <c r="E831" s="81"/>
      <c r="F831" s="38"/>
      <c r="G831" s="39"/>
      <c r="I831" s="38"/>
      <c r="J831" s="38"/>
    </row>
    <row r="832">
      <c r="E832" s="81"/>
      <c r="F832" s="38"/>
      <c r="G832" s="39"/>
      <c r="I832" s="38"/>
      <c r="J832" s="38"/>
    </row>
    <row r="833">
      <c r="E833" s="81"/>
      <c r="F833" s="38"/>
      <c r="G833" s="39"/>
      <c r="I833" s="38"/>
      <c r="J833" s="38"/>
    </row>
    <row r="834">
      <c r="E834" s="81"/>
      <c r="F834" s="38"/>
      <c r="G834" s="39"/>
      <c r="I834" s="38"/>
      <c r="J834" s="38"/>
    </row>
    <row r="835">
      <c r="E835" s="81"/>
      <c r="F835" s="38"/>
      <c r="G835" s="39"/>
      <c r="I835" s="38"/>
      <c r="J835" s="38"/>
    </row>
    <row r="836">
      <c r="E836" s="81"/>
      <c r="F836" s="38"/>
      <c r="G836" s="39"/>
      <c r="I836" s="38"/>
      <c r="J836" s="38"/>
    </row>
    <row r="837">
      <c r="E837" s="81"/>
      <c r="F837" s="38"/>
      <c r="G837" s="39"/>
      <c r="I837" s="38"/>
      <c r="J837" s="38"/>
    </row>
    <row r="838">
      <c r="E838" s="81"/>
      <c r="F838" s="38"/>
      <c r="G838" s="39"/>
      <c r="I838" s="38"/>
      <c r="J838" s="38"/>
    </row>
    <row r="839">
      <c r="E839" s="81"/>
      <c r="F839" s="38"/>
      <c r="G839" s="39"/>
      <c r="I839" s="38"/>
      <c r="J839" s="38"/>
    </row>
    <row r="840">
      <c r="E840" s="81"/>
      <c r="F840" s="38"/>
      <c r="G840" s="39"/>
      <c r="I840" s="38"/>
      <c r="J840" s="38"/>
    </row>
    <row r="841">
      <c r="E841" s="81"/>
      <c r="F841" s="38"/>
      <c r="G841" s="39"/>
      <c r="I841" s="38"/>
      <c r="J841" s="38"/>
    </row>
    <row r="842">
      <c r="E842" s="81"/>
      <c r="F842" s="38"/>
      <c r="G842" s="39"/>
      <c r="I842" s="38"/>
      <c r="J842" s="38"/>
    </row>
    <row r="843">
      <c r="E843" s="81"/>
      <c r="F843" s="38"/>
      <c r="G843" s="39"/>
      <c r="I843" s="38"/>
      <c r="J843" s="38"/>
    </row>
    <row r="844">
      <c r="E844" s="81"/>
      <c r="F844" s="38"/>
      <c r="G844" s="39"/>
      <c r="I844" s="38"/>
      <c r="J844" s="38"/>
    </row>
    <row r="845">
      <c r="E845" s="81"/>
      <c r="F845" s="38"/>
      <c r="G845" s="39"/>
      <c r="I845" s="38"/>
      <c r="J845" s="38"/>
    </row>
    <row r="846">
      <c r="E846" s="81"/>
      <c r="F846" s="38"/>
      <c r="G846" s="39"/>
      <c r="I846" s="38"/>
      <c r="J846" s="38"/>
    </row>
    <row r="847">
      <c r="E847" s="81"/>
      <c r="F847" s="38"/>
      <c r="G847" s="39"/>
      <c r="I847" s="38"/>
      <c r="J847" s="38"/>
    </row>
    <row r="848">
      <c r="E848" s="81"/>
      <c r="F848" s="38"/>
      <c r="G848" s="39"/>
      <c r="I848" s="38"/>
      <c r="J848" s="38"/>
    </row>
    <row r="849">
      <c r="E849" s="81"/>
      <c r="F849" s="38"/>
      <c r="G849" s="39"/>
      <c r="I849" s="38"/>
      <c r="J849" s="38"/>
    </row>
    <row r="850">
      <c r="E850" s="81"/>
      <c r="F850" s="38"/>
      <c r="G850" s="39"/>
      <c r="I850" s="38"/>
      <c r="J850" s="38"/>
    </row>
    <row r="851">
      <c r="E851" s="81"/>
      <c r="F851" s="38"/>
      <c r="G851" s="39"/>
      <c r="I851" s="38"/>
      <c r="J851" s="38"/>
    </row>
    <row r="852">
      <c r="E852" s="81"/>
      <c r="F852" s="38"/>
      <c r="G852" s="39"/>
      <c r="I852" s="38"/>
      <c r="J852" s="38"/>
    </row>
    <row r="853">
      <c r="E853" s="81"/>
      <c r="F853" s="38"/>
      <c r="G853" s="39"/>
      <c r="I853" s="38"/>
      <c r="J853" s="38"/>
    </row>
    <row r="854">
      <c r="E854" s="81"/>
      <c r="F854" s="38"/>
      <c r="G854" s="39"/>
      <c r="I854" s="38"/>
      <c r="J854" s="38"/>
    </row>
    <row r="855">
      <c r="E855" s="81"/>
      <c r="F855" s="38"/>
      <c r="G855" s="39"/>
      <c r="I855" s="38"/>
      <c r="J855" s="38"/>
    </row>
    <row r="856">
      <c r="E856" s="81"/>
      <c r="F856" s="38"/>
      <c r="G856" s="39"/>
      <c r="I856" s="38"/>
      <c r="J856" s="38"/>
    </row>
    <row r="857">
      <c r="E857" s="81"/>
      <c r="F857" s="38"/>
      <c r="G857" s="39"/>
      <c r="I857" s="38"/>
      <c r="J857" s="38"/>
    </row>
    <row r="858">
      <c r="E858" s="81"/>
      <c r="F858" s="38"/>
      <c r="G858" s="39"/>
      <c r="I858" s="38"/>
      <c r="J858" s="38"/>
    </row>
    <row r="859">
      <c r="E859" s="81"/>
      <c r="F859" s="38"/>
      <c r="G859" s="39"/>
      <c r="I859" s="38"/>
      <c r="J859" s="38"/>
    </row>
    <row r="860">
      <c r="E860" s="81"/>
      <c r="F860" s="38"/>
      <c r="G860" s="39"/>
      <c r="I860" s="38"/>
      <c r="J860" s="38"/>
    </row>
    <row r="861">
      <c r="E861" s="81"/>
      <c r="F861" s="38"/>
      <c r="G861" s="39"/>
      <c r="I861" s="38"/>
      <c r="J861" s="38"/>
    </row>
    <row r="862">
      <c r="E862" s="81"/>
      <c r="F862" s="38"/>
      <c r="G862" s="39"/>
      <c r="I862" s="38"/>
      <c r="J862" s="38"/>
    </row>
    <row r="863">
      <c r="E863" s="81"/>
      <c r="F863" s="38"/>
      <c r="G863" s="39"/>
      <c r="I863" s="38"/>
      <c r="J863" s="38"/>
    </row>
    <row r="864">
      <c r="E864" s="81"/>
      <c r="F864" s="38"/>
      <c r="G864" s="39"/>
      <c r="I864" s="38"/>
      <c r="J864" s="38"/>
    </row>
    <row r="865">
      <c r="E865" s="81"/>
      <c r="F865" s="38"/>
      <c r="G865" s="39"/>
      <c r="I865" s="38"/>
      <c r="J865" s="38"/>
    </row>
    <row r="866">
      <c r="E866" s="81"/>
      <c r="F866" s="38"/>
      <c r="G866" s="39"/>
      <c r="I866" s="38"/>
      <c r="J866" s="38"/>
    </row>
    <row r="867">
      <c r="E867" s="81"/>
      <c r="F867" s="38"/>
      <c r="G867" s="39"/>
      <c r="I867" s="38"/>
      <c r="J867" s="38"/>
    </row>
    <row r="868">
      <c r="E868" s="81"/>
      <c r="F868" s="38"/>
      <c r="G868" s="39"/>
      <c r="I868" s="38"/>
      <c r="J868" s="38"/>
    </row>
    <row r="869">
      <c r="E869" s="81"/>
      <c r="F869" s="38"/>
      <c r="G869" s="39"/>
      <c r="I869" s="38"/>
      <c r="J869" s="38"/>
    </row>
    <row r="870">
      <c r="E870" s="81"/>
      <c r="F870" s="38"/>
      <c r="G870" s="39"/>
      <c r="I870" s="38"/>
      <c r="J870" s="38"/>
    </row>
    <row r="871">
      <c r="E871" s="81"/>
      <c r="F871" s="38"/>
      <c r="G871" s="39"/>
      <c r="I871" s="38"/>
      <c r="J871" s="38"/>
    </row>
    <row r="872">
      <c r="E872" s="81"/>
      <c r="F872" s="38"/>
      <c r="G872" s="39"/>
      <c r="I872" s="38"/>
      <c r="J872" s="38"/>
    </row>
    <row r="873">
      <c r="E873" s="81"/>
      <c r="F873" s="38"/>
      <c r="G873" s="39"/>
      <c r="I873" s="38"/>
      <c r="J873" s="38"/>
    </row>
    <row r="874">
      <c r="E874" s="81"/>
      <c r="F874" s="38"/>
      <c r="G874" s="39"/>
      <c r="I874" s="38"/>
      <c r="J874" s="38"/>
    </row>
    <row r="875">
      <c r="E875" s="81"/>
      <c r="F875" s="38"/>
      <c r="G875" s="39"/>
      <c r="I875" s="38"/>
      <c r="J875" s="38"/>
    </row>
    <row r="876">
      <c r="E876" s="81"/>
      <c r="F876" s="38"/>
      <c r="G876" s="39"/>
      <c r="I876" s="38"/>
      <c r="J876" s="38"/>
    </row>
    <row r="877">
      <c r="E877" s="81"/>
      <c r="F877" s="38"/>
      <c r="G877" s="39"/>
      <c r="I877" s="38"/>
      <c r="J877" s="38"/>
    </row>
    <row r="878">
      <c r="E878" s="81"/>
      <c r="F878" s="38"/>
      <c r="G878" s="39"/>
      <c r="I878" s="38"/>
      <c r="J878" s="38"/>
    </row>
    <row r="879">
      <c r="E879" s="81"/>
      <c r="F879" s="38"/>
      <c r="G879" s="39"/>
      <c r="I879" s="38"/>
      <c r="J879" s="38"/>
    </row>
    <row r="880">
      <c r="E880" s="81"/>
      <c r="F880" s="38"/>
      <c r="G880" s="39"/>
      <c r="I880" s="38"/>
      <c r="J880" s="38"/>
    </row>
    <row r="881">
      <c r="E881" s="81"/>
      <c r="F881" s="38"/>
      <c r="G881" s="39"/>
      <c r="I881" s="38"/>
      <c r="J881" s="38"/>
    </row>
    <row r="882">
      <c r="E882" s="81"/>
      <c r="F882" s="38"/>
      <c r="G882" s="39"/>
      <c r="I882" s="38"/>
      <c r="J882" s="38"/>
    </row>
    <row r="883">
      <c r="E883" s="81"/>
      <c r="F883" s="38"/>
      <c r="G883" s="39"/>
      <c r="I883" s="38"/>
      <c r="J883" s="38"/>
    </row>
    <row r="884">
      <c r="E884" s="81"/>
      <c r="F884" s="38"/>
      <c r="G884" s="39"/>
      <c r="I884" s="38"/>
      <c r="J884" s="38"/>
    </row>
    <row r="885">
      <c r="E885" s="81"/>
      <c r="F885" s="38"/>
      <c r="G885" s="39"/>
      <c r="I885" s="38"/>
      <c r="J885" s="38"/>
    </row>
    <row r="886">
      <c r="E886" s="81"/>
      <c r="F886" s="38"/>
      <c r="G886" s="39"/>
      <c r="I886" s="38"/>
      <c r="J886" s="38"/>
    </row>
    <row r="887">
      <c r="E887" s="81"/>
      <c r="F887" s="38"/>
      <c r="G887" s="39"/>
      <c r="I887" s="38"/>
      <c r="J887" s="38"/>
    </row>
    <row r="888">
      <c r="E888" s="81"/>
      <c r="F888" s="38"/>
      <c r="G888" s="39"/>
      <c r="I888" s="38"/>
      <c r="J888" s="38"/>
    </row>
    <row r="889">
      <c r="E889" s="81"/>
      <c r="F889" s="38"/>
      <c r="G889" s="39"/>
      <c r="I889" s="38"/>
      <c r="J889" s="38"/>
    </row>
    <row r="890">
      <c r="E890" s="81"/>
      <c r="F890" s="38"/>
      <c r="G890" s="39"/>
      <c r="I890" s="38"/>
      <c r="J890" s="38"/>
    </row>
    <row r="891">
      <c r="E891" s="81"/>
      <c r="F891" s="38"/>
      <c r="G891" s="39"/>
      <c r="I891" s="38"/>
      <c r="J891" s="38"/>
    </row>
    <row r="892">
      <c r="E892" s="81"/>
      <c r="F892" s="38"/>
      <c r="G892" s="39"/>
      <c r="I892" s="38"/>
      <c r="J892" s="38"/>
    </row>
    <row r="893">
      <c r="E893" s="81"/>
      <c r="F893" s="38"/>
      <c r="G893" s="39"/>
      <c r="I893" s="38"/>
      <c r="J893" s="38"/>
    </row>
    <row r="894">
      <c r="E894" s="81"/>
      <c r="F894" s="38"/>
      <c r="G894" s="39"/>
      <c r="I894" s="38"/>
      <c r="J894" s="38"/>
    </row>
    <row r="895">
      <c r="E895" s="81"/>
      <c r="F895" s="38"/>
      <c r="G895" s="39"/>
      <c r="I895" s="38"/>
      <c r="J895" s="38"/>
    </row>
    <row r="896">
      <c r="E896" s="81"/>
      <c r="F896" s="38"/>
      <c r="G896" s="39"/>
      <c r="I896" s="38"/>
      <c r="J896" s="38"/>
    </row>
    <row r="897">
      <c r="E897" s="81"/>
      <c r="F897" s="38"/>
      <c r="G897" s="39"/>
      <c r="I897" s="38"/>
      <c r="J897" s="38"/>
    </row>
    <row r="898">
      <c r="E898" s="81"/>
      <c r="F898" s="38"/>
      <c r="G898" s="39"/>
      <c r="I898" s="38"/>
      <c r="J898" s="38"/>
    </row>
    <row r="899">
      <c r="E899" s="81"/>
      <c r="F899" s="38"/>
      <c r="G899" s="39"/>
      <c r="I899" s="38"/>
      <c r="J899" s="38"/>
    </row>
    <row r="900">
      <c r="E900" s="81"/>
      <c r="F900" s="38"/>
      <c r="G900" s="39"/>
      <c r="I900" s="38"/>
      <c r="J900" s="38"/>
    </row>
    <row r="901">
      <c r="E901" s="81"/>
      <c r="F901" s="38"/>
      <c r="G901" s="39"/>
      <c r="I901" s="38"/>
      <c r="J901" s="38"/>
    </row>
    <row r="902">
      <c r="E902" s="81"/>
      <c r="F902" s="38"/>
      <c r="G902" s="39"/>
      <c r="I902" s="38"/>
      <c r="J902" s="38"/>
    </row>
    <row r="903">
      <c r="E903" s="81"/>
      <c r="F903" s="38"/>
      <c r="G903" s="39"/>
      <c r="I903" s="38"/>
      <c r="J903" s="38"/>
    </row>
    <row r="904">
      <c r="E904" s="81"/>
      <c r="F904" s="38"/>
      <c r="G904" s="39"/>
      <c r="I904" s="38"/>
      <c r="J904" s="38"/>
    </row>
    <row r="905">
      <c r="E905" s="81"/>
      <c r="F905" s="38"/>
      <c r="G905" s="39"/>
      <c r="I905" s="38"/>
      <c r="J905" s="38"/>
    </row>
    <row r="906">
      <c r="E906" s="81"/>
      <c r="F906" s="38"/>
      <c r="G906" s="39"/>
      <c r="I906" s="38"/>
      <c r="J906" s="38"/>
    </row>
    <row r="907">
      <c r="E907" s="81"/>
      <c r="F907" s="38"/>
      <c r="G907" s="39"/>
      <c r="I907" s="38"/>
      <c r="J907" s="38"/>
    </row>
    <row r="908">
      <c r="E908" s="81"/>
      <c r="F908" s="38"/>
      <c r="G908" s="39"/>
      <c r="I908" s="38"/>
      <c r="J908" s="38"/>
    </row>
    <row r="909">
      <c r="E909" s="81"/>
      <c r="F909" s="38"/>
      <c r="G909" s="39"/>
      <c r="I909" s="38"/>
      <c r="J909" s="38"/>
    </row>
    <row r="910">
      <c r="E910" s="81"/>
      <c r="F910" s="38"/>
      <c r="G910" s="39"/>
      <c r="I910" s="38"/>
      <c r="J910" s="38"/>
    </row>
    <row r="911">
      <c r="E911" s="81"/>
      <c r="F911" s="38"/>
      <c r="G911" s="39"/>
      <c r="I911" s="38"/>
      <c r="J911" s="38"/>
    </row>
    <row r="912">
      <c r="E912" s="81"/>
      <c r="F912" s="38"/>
      <c r="G912" s="39"/>
      <c r="I912" s="38"/>
      <c r="J912" s="38"/>
    </row>
    <row r="913">
      <c r="E913" s="81"/>
      <c r="F913" s="38"/>
      <c r="G913" s="39"/>
      <c r="I913" s="38"/>
      <c r="J913" s="38"/>
    </row>
    <row r="914">
      <c r="E914" s="81"/>
      <c r="F914" s="38"/>
      <c r="G914" s="39"/>
      <c r="I914" s="38"/>
      <c r="J914" s="38"/>
    </row>
    <row r="915">
      <c r="E915" s="81"/>
      <c r="F915" s="38"/>
      <c r="G915" s="39"/>
      <c r="I915" s="38"/>
      <c r="J915" s="38"/>
    </row>
    <row r="916">
      <c r="E916" s="81"/>
      <c r="F916" s="38"/>
      <c r="G916" s="39"/>
      <c r="I916" s="38"/>
      <c r="J916" s="38"/>
    </row>
    <row r="917">
      <c r="E917" s="81"/>
      <c r="F917" s="38"/>
      <c r="G917" s="39"/>
      <c r="I917" s="38"/>
      <c r="J917" s="38"/>
    </row>
    <row r="918">
      <c r="E918" s="81"/>
      <c r="F918" s="38"/>
      <c r="G918" s="39"/>
      <c r="I918" s="38"/>
      <c r="J918" s="38"/>
    </row>
    <row r="919">
      <c r="E919" s="81"/>
      <c r="F919" s="38"/>
      <c r="G919" s="39"/>
      <c r="I919" s="38"/>
      <c r="J919" s="38"/>
    </row>
    <row r="920">
      <c r="E920" s="81"/>
      <c r="F920" s="38"/>
      <c r="G920" s="39"/>
      <c r="I920" s="38"/>
      <c r="J920" s="38"/>
    </row>
    <row r="921">
      <c r="E921" s="81"/>
      <c r="F921" s="38"/>
      <c r="G921" s="39"/>
      <c r="I921" s="38"/>
      <c r="J921" s="38"/>
    </row>
    <row r="922">
      <c r="E922" s="81"/>
      <c r="F922" s="38"/>
      <c r="G922" s="39"/>
      <c r="I922" s="38"/>
      <c r="J922" s="38"/>
    </row>
    <row r="923">
      <c r="E923" s="81"/>
      <c r="F923" s="38"/>
      <c r="G923" s="39"/>
      <c r="I923" s="38"/>
      <c r="J923" s="38"/>
    </row>
    <row r="924">
      <c r="E924" s="81"/>
      <c r="F924" s="38"/>
      <c r="G924" s="39"/>
      <c r="I924" s="38"/>
      <c r="J924" s="38"/>
    </row>
    <row r="925">
      <c r="E925" s="81"/>
      <c r="F925" s="38"/>
      <c r="G925" s="39"/>
      <c r="I925" s="38"/>
      <c r="J925" s="38"/>
    </row>
    <row r="926">
      <c r="E926" s="81"/>
      <c r="F926" s="38"/>
      <c r="G926" s="39"/>
      <c r="I926" s="38"/>
      <c r="J926" s="38"/>
    </row>
    <row r="927">
      <c r="E927" s="81"/>
      <c r="F927" s="38"/>
      <c r="G927" s="39"/>
      <c r="I927" s="38"/>
      <c r="J927" s="38"/>
    </row>
    <row r="928">
      <c r="E928" s="81"/>
      <c r="F928" s="38"/>
      <c r="G928" s="39"/>
      <c r="I928" s="38"/>
      <c r="J928" s="38"/>
    </row>
    <row r="929">
      <c r="E929" s="81"/>
      <c r="F929" s="38"/>
      <c r="G929" s="39"/>
      <c r="I929" s="38"/>
      <c r="J929" s="38"/>
    </row>
    <row r="930">
      <c r="E930" s="81"/>
      <c r="F930" s="38"/>
      <c r="G930" s="39"/>
      <c r="I930" s="38"/>
      <c r="J930" s="38"/>
    </row>
    <row r="931">
      <c r="E931" s="81"/>
      <c r="F931" s="38"/>
      <c r="G931" s="39"/>
      <c r="I931" s="38"/>
      <c r="J931" s="38"/>
    </row>
    <row r="932">
      <c r="E932" s="81"/>
      <c r="F932" s="38"/>
      <c r="G932" s="39"/>
      <c r="I932" s="38"/>
      <c r="J932" s="38"/>
    </row>
    <row r="933">
      <c r="E933" s="81"/>
      <c r="F933" s="38"/>
      <c r="G933" s="39"/>
      <c r="I933" s="38"/>
      <c r="J933" s="38"/>
    </row>
    <row r="934">
      <c r="E934" s="81"/>
      <c r="F934" s="38"/>
      <c r="G934" s="39"/>
      <c r="I934" s="38"/>
      <c r="J934" s="38"/>
    </row>
    <row r="935">
      <c r="E935" s="81"/>
      <c r="F935" s="38"/>
      <c r="G935" s="39"/>
      <c r="I935" s="38"/>
      <c r="J935" s="38"/>
    </row>
    <row r="936">
      <c r="E936" s="81"/>
      <c r="F936" s="38"/>
      <c r="G936" s="39"/>
      <c r="I936" s="38"/>
      <c r="J936" s="38"/>
    </row>
    <row r="937">
      <c r="E937" s="81"/>
      <c r="F937" s="38"/>
      <c r="G937" s="39"/>
      <c r="I937" s="38"/>
      <c r="J937" s="38"/>
    </row>
    <row r="938">
      <c r="E938" s="81"/>
      <c r="F938" s="38"/>
      <c r="G938" s="39"/>
      <c r="I938" s="38"/>
      <c r="J938" s="38"/>
    </row>
    <row r="939">
      <c r="E939" s="81"/>
      <c r="F939" s="38"/>
      <c r="G939" s="39"/>
      <c r="I939" s="38"/>
      <c r="J939" s="38"/>
    </row>
    <row r="940">
      <c r="E940" s="81"/>
      <c r="F940" s="38"/>
      <c r="G940" s="39"/>
      <c r="I940" s="38"/>
      <c r="J940" s="38"/>
    </row>
    <row r="941">
      <c r="E941" s="81"/>
      <c r="F941" s="38"/>
      <c r="G941" s="39"/>
      <c r="I941" s="38"/>
      <c r="J941" s="38"/>
    </row>
    <row r="942">
      <c r="E942" s="81"/>
      <c r="F942" s="38"/>
      <c r="G942" s="39"/>
      <c r="I942" s="38"/>
      <c r="J942" s="38"/>
    </row>
    <row r="943">
      <c r="E943" s="81"/>
      <c r="F943" s="38"/>
      <c r="G943" s="39"/>
      <c r="I943" s="38"/>
      <c r="J943" s="38"/>
    </row>
    <row r="944">
      <c r="E944" s="81"/>
      <c r="F944" s="38"/>
      <c r="G944" s="39"/>
      <c r="I944" s="38"/>
      <c r="J944" s="38"/>
    </row>
    <row r="945">
      <c r="E945" s="81"/>
      <c r="F945" s="38"/>
      <c r="G945" s="39"/>
      <c r="I945" s="38"/>
      <c r="J945" s="38"/>
    </row>
    <row r="946">
      <c r="E946" s="81"/>
      <c r="F946" s="38"/>
      <c r="G946" s="39"/>
      <c r="I946" s="38"/>
      <c r="J946" s="38"/>
    </row>
    <row r="947">
      <c r="E947" s="81"/>
      <c r="F947" s="38"/>
      <c r="G947" s="39"/>
      <c r="I947" s="38"/>
      <c r="J947" s="38"/>
    </row>
    <row r="948">
      <c r="E948" s="81"/>
      <c r="F948" s="38"/>
      <c r="G948" s="39"/>
      <c r="I948" s="38"/>
      <c r="J948" s="38"/>
    </row>
    <row r="949">
      <c r="E949" s="81"/>
      <c r="F949" s="38"/>
      <c r="G949" s="39"/>
      <c r="I949" s="38"/>
      <c r="J949" s="38"/>
    </row>
    <row r="950">
      <c r="E950" s="81"/>
      <c r="F950" s="38"/>
      <c r="G950" s="39"/>
      <c r="I950" s="38"/>
      <c r="J950" s="38"/>
    </row>
    <row r="951">
      <c r="E951" s="81"/>
      <c r="F951" s="38"/>
      <c r="G951" s="39"/>
      <c r="I951" s="38"/>
      <c r="J951" s="38"/>
    </row>
    <row r="952">
      <c r="E952" s="81"/>
      <c r="F952" s="38"/>
      <c r="G952" s="39"/>
      <c r="I952" s="38"/>
      <c r="J952" s="38"/>
    </row>
    <row r="953">
      <c r="E953" s="81"/>
      <c r="F953" s="38"/>
      <c r="G953" s="39"/>
      <c r="I953" s="38"/>
      <c r="J953" s="38"/>
    </row>
    <row r="954">
      <c r="E954" s="81"/>
      <c r="F954" s="38"/>
      <c r="G954" s="39"/>
      <c r="I954" s="38"/>
      <c r="J954" s="38"/>
    </row>
    <row r="955">
      <c r="E955" s="81"/>
      <c r="F955" s="38"/>
      <c r="G955" s="39"/>
      <c r="I955" s="38"/>
      <c r="J955" s="38"/>
    </row>
    <row r="956">
      <c r="E956" s="81"/>
      <c r="F956" s="38"/>
      <c r="G956" s="39"/>
      <c r="I956" s="38"/>
      <c r="J956" s="38"/>
    </row>
    <row r="957">
      <c r="E957" s="81"/>
      <c r="F957" s="38"/>
      <c r="G957" s="39"/>
      <c r="I957" s="38"/>
      <c r="J957" s="38"/>
    </row>
    <row r="958">
      <c r="E958" s="81"/>
      <c r="F958" s="38"/>
      <c r="G958" s="39"/>
      <c r="I958" s="38"/>
      <c r="J958" s="38"/>
    </row>
    <row r="959">
      <c r="E959" s="81"/>
      <c r="F959" s="38"/>
      <c r="G959" s="39"/>
      <c r="I959" s="38"/>
      <c r="J959" s="38"/>
    </row>
    <row r="960">
      <c r="E960" s="81"/>
      <c r="F960" s="38"/>
      <c r="G960" s="39"/>
      <c r="I960" s="38"/>
      <c r="J960" s="38"/>
    </row>
    <row r="961">
      <c r="E961" s="81"/>
      <c r="F961" s="38"/>
      <c r="G961" s="39"/>
      <c r="I961" s="38"/>
      <c r="J961" s="38"/>
    </row>
    <row r="962">
      <c r="E962" s="81"/>
      <c r="F962" s="38"/>
      <c r="G962" s="39"/>
      <c r="I962" s="38"/>
      <c r="J962" s="38"/>
    </row>
    <row r="963">
      <c r="E963" s="81"/>
      <c r="F963" s="38"/>
      <c r="G963" s="39"/>
      <c r="I963" s="38"/>
      <c r="J963" s="38"/>
    </row>
    <row r="964">
      <c r="E964" s="81"/>
      <c r="F964" s="38"/>
      <c r="G964" s="39"/>
      <c r="I964" s="38"/>
      <c r="J964" s="38"/>
    </row>
    <row r="965">
      <c r="E965" s="81"/>
      <c r="F965" s="38"/>
      <c r="G965" s="39"/>
      <c r="I965" s="38"/>
      <c r="J965" s="38"/>
    </row>
    <row r="966">
      <c r="E966" s="81"/>
      <c r="F966" s="38"/>
      <c r="G966" s="39"/>
      <c r="I966" s="38"/>
      <c r="J966" s="38"/>
    </row>
    <row r="967">
      <c r="E967" s="81"/>
      <c r="F967" s="38"/>
      <c r="G967" s="39"/>
      <c r="I967" s="38"/>
      <c r="J967" s="38"/>
    </row>
    <row r="968">
      <c r="E968" s="81"/>
      <c r="F968" s="38"/>
      <c r="G968" s="39"/>
      <c r="I968" s="38"/>
      <c r="J968" s="38"/>
    </row>
    <row r="969">
      <c r="E969" s="81"/>
      <c r="F969" s="38"/>
      <c r="G969" s="39"/>
      <c r="I969" s="38"/>
      <c r="J969" s="38"/>
    </row>
    <row r="970">
      <c r="E970" s="81"/>
      <c r="F970" s="38"/>
      <c r="G970" s="39"/>
      <c r="I970" s="38"/>
      <c r="J970" s="38"/>
    </row>
    <row r="971">
      <c r="E971" s="81"/>
      <c r="F971" s="38"/>
      <c r="G971" s="39"/>
      <c r="I971" s="38"/>
      <c r="J971" s="38"/>
    </row>
    <row r="972">
      <c r="E972" s="81"/>
      <c r="F972" s="38"/>
      <c r="G972" s="39"/>
      <c r="I972" s="38"/>
      <c r="J972" s="38"/>
    </row>
    <row r="973">
      <c r="E973" s="81"/>
      <c r="F973" s="38"/>
      <c r="G973" s="39"/>
      <c r="I973" s="38"/>
      <c r="J973" s="38"/>
    </row>
    <row r="974">
      <c r="E974" s="81"/>
      <c r="F974" s="38"/>
      <c r="G974" s="39"/>
      <c r="I974" s="38"/>
      <c r="J974" s="38"/>
    </row>
    <row r="975">
      <c r="E975" s="81"/>
      <c r="F975" s="38"/>
      <c r="G975" s="39"/>
      <c r="I975" s="38"/>
      <c r="J975" s="38"/>
    </row>
    <row r="976">
      <c r="E976" s="81"/>
      <c r="F976" s="38"/>
      <c r="G976" s="39"/>
      <c r="I976" s="38"/>
      <c r="J976" s="38"/>
    </row>
    <row r="977">
      <c r="E977" s="81"/>
      <c r="F977" s="38"/>
      <c r="G977" s="39"/>
      <c r="I977" s="38"/>
      <c r="J977" s="38"/>
    </row>
    <row r="978">
      <c r="E978" s="81"/>
      <c r="F978" s="38"/>
      <c r="G978" s="39"/>
      <c r="I978" s="38"/>
      <c r="J978" s="38"/>
    </row>
    <row r="979">
      <c r="E979" s="81"/>
      <c r="F979" s="38"/>
      <c r="G979" s="39"/>
      <c r="I979" s="38"/>
      <c r="J979" s="38"/>
    </row>
    <row r="980">
      <c r="E980" s="81"/>
      <c r="F980" s="38"/>
      <c r="G980" s="39"/>
      <c r="I980" s="38"/>
      <c r="J980" s="38"/>
    </row>
    <row r="981">
      <c r="E981" s="81"/>
      <c r="F981" s="38"/>
      <c r="G981" s="39"/>
      <c r="I981" s="38"/>
      <c r="J981" s="38"/>
    </row>
    <row r="982">
      <c r="E982" s="81"/>
      <c r="F982" s="38"/>
      <c r="G982" s="39"/>
      <c r="I982" s="38"/>
      <c r="J982" s="38"/>
    </row>
    <row r="983">
      <c r="E983" s="81"/>
      <c r="F983" s="38"/>
      <c r="G983" s="39"/>
      <c r="I983" s="38"/>
      <c r="J983" s="38"/>
    </row>
    <row r="984">
      <c r="E984" s="81"/>
      <c r="F984" s="38"/>
      <c r="G984" s="39"/>
      <c r="I984" s="38"/>
      <c r="J984" s="38"/>
    </row>
    <row r="985">
      <c r="E985" s="81"/>
      <c r="F985" s="38"/>
      <c r="G985" s="39"/>
      <c r="I985" s="38"/>
      <c r="J985" s="38"/>
    </row>
    <row r="986">
      <c r="E986" s="81"/>
      <c r="F986" s="38"/>
      <c r="G986" s="39"/>
      <c r="I986" s="38"/>
      <c r="J986" s="38"/>
    </row>
    <row r="987">
      <c r="E987" s="81"/>
      <c r="F987" s="38"/>
      <c r="G987" s="39"/>
      <c r="I987" s="38"/>
      <c r="J987" s="38"/>
    </row>
    <row r="988">
      <c r="E988" s="81"/>
      <c r="F988" s="38"/>
      <c r="G988" s="39"/>
      <c r="I988" s="38"/>
      <c r="J988" s="38"/>
    </row>
    <row r="989">
      <c r="E989" s="81"/>
      <c r="F989" s="38"/>
      <c r="G989" s="39"/>
      <c r="I989" s="38"/>
      <c r="J989" s="38"/>
    </row>
    <row r="990">
      <c r="E990" s="81"/>
      <c r="F990" s="38"/>
      <c r="G990" s="39"/>
      <c r="I990" s="38"/>
      <c r="J990" s="38"/>
    </row>
    <row r="991">
      <c r="E991" s="81"/>
      <c r="F991" s="38"/>
      <c r="G991" s="39"/>
      <c r="I991" s="38"/>
      <c r="J991" s="38"/>
    </row>
    <row r="992">
      <c r="E992" s="81"/>
      <c r="F992" s="38"/>
      <c r="G992" s="39"/>
      <c r="I992" s="38"/>
      <c r="J992" s="38"/>
    </row>
    <row r="993">
      <c r="E993" s="81"/>
      <c r="F993" s="38"/>
      <c r="G993" s="39"/>
      <c r="I993" s="38"/>
      <c r="J993" s="38"/>
    </row>
    <row r="994">
      <c r="E994" s="81"/>
      <c r="F994" s="38"/>
      <c r="G994" s="39"/>
      <c r="I994" s="38"/>
      <c r="J994" s="38"/>
    </row>
    <row r="995">
      <c r="E995" s="81"/>
      <c r="F995" s="38"/>
      <c r="G995" s="39"/>
      <c r="I995" s="38"/>
      <c r="J995" s="38"/>
    </row>
    <row r="996">
      <c r="E996" s="81"/>
      <c r="F996" s="38"/>
      <c r="G996" s="39"/>
      <c r="I996" s="38"/>
      <c r="J996" s="38"/>
    </row>
    <row r="997">
      <c r="E997" s="81"/>
      <c r="F997" s="38"/>
      <c r="G997" s="39"/>
      <c r="I997" s="38"/>
      <c r="J997" s="38"/>
    </row>
    <row r="998">
      <c r="E998" s="81"/>
      <c r="F998" s="38"/>
      <c r="G998" s="39"/>
      <c r="I998" s="38"/>
      <c r="J998" s="38"/>
    </row>
    <row r="999">
      <c r="E999" s="81"/>
      <c r="F999" s="38"/>
      <c r="G999" s="39"/>
      <c r="I999" s="38"/>
      <c r="J999" s="38"/>
    </row>
    <row r="1000">
      <c r="E1000" s="81"/>
      <c r="F1000" s="38"/>
      <c r="G1000" s="39"/>
      <c r="I1000" s="38"/>
      <c r="J1000" s="3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5.25"/>
    <col customWidth="1" min="3" max="3" width="14.75"/>
    <col customWidth="1" min="4" max="4" width="8.25"/>
    <col customWidth="1" min="5" max="5" width="7.25"/>
    <col customWidth="1" min="6" max="6" width="12.25"/>
    <col customWidth="1" min="7" max="7" width="7.25"/>
    <col customWidth="1" min="8" max="8" width="10.5"/>
    <col customWidth="1" min="9" max="9" width="15.25"/>
    <col customWidth="1" min="10" max="10" width="19.75"/>
    <col customWidth="1" min="11" max="11" width="20.13"/>
    <col customWidth="1" min="12" max="12" width="26.13"/>
  </cols>
  <sheetData>
    <row r="1">
      <c r="A1" s="198" t="str">
        <f>Coins!A1</f>
        <v>Coin</v>
      </c>
      <c r="B1" s="199" t="str">
        <f>Coins!B1</f>
        <v>number of coins</v>
      </c>
      <c r="C1" s="200" t="str">
        <f>Coins!C1</f>
        <v>USD amount</v>
      </c>
      <c r="D1" s="201" t="str">
        <f>Coins!D1</f>
        <v>% of AUM</v>
      </c>
      <c r="E1" s="198" t="str">
        <f>Coins!E1</f>
        <v>APY %</v>
      </c>
      <c r="F1" s="198" t="str">
        <f>Coins!F1</f>
        <v>weighted CoF</v>
      </c>
      <c r="G1" s="198" t="str">
        <f>Coins!G1</f>
        <v>Nim</v>
      </c>
      <c r="H1" s="198" t="str">
        <f>Coins!H1</f>
        <v>coin CoF %</v>
      </c>
      <c r="I1" s="202" t="str">
        <f>Coins!I1</f>
        <v>undeployed coins</v>
      </c>
      <c r="J1" s="200" t="str">
        <f>Coins!J1</f>
        <v>undeployed USD value</v>
      </c>
      <c r="K1" s="201" t="str">
        <f>Coins!K1</f>
        <v>undeployed percentege</v>
      </c>
      <c r="L1" s="198" t="str">
        <f>Coins!L1</f>
        <v>precentege of total undeployed</v>
      </c>
      <c r="M1" s="203" t="s">
        <v>528</v>
      </c>
      <c r="N1" s="203" t="s">
        <v>298</v>
      </c>
      <c r="O1" s="58" t="s">
        <v>529</v>
      </c>
      <c r="P1" s="58" t="s">
        <v>530</v>
      </c>
    </row>
    <row r="2">
      <c r="A2" s="198" t="str">
        <f>Coins!A2</f>
        <v>BTC</v>
      </c>
      <c r="B2" s="199">
        <f>Coins!B2</f>
        <v>119491.6335</v>
      </c>
      <c r="C2" s="200">
        <f>Coins!C2</f>
        <v>5534210826</v>
      </c>
      <c r="D2" s="201">
        <f>Coins!D2</f>
        <v>0.2592743159</v>
      </c>
      <c r="E2" s="201">
        <f>Coins!E2</f>
        <v>0.01013263943</v>
      </c>
      <c r="F2" s="201">
        <f>Coins!F2</f>
        <v>0.02121936192</v>
      </c>
      <c r="G2" s="201">
        <f>Coins!G2</f>
        <v>-0.01108672248</v>
      </c>
      <c r="H2" s="201">
        <f>if(Coins!H2="N/A",0,Coins!H2)</f>
        <v>0.0298</v>
      </c>
      <c r="I2" s="202">
        <f>Coins!I2</f>
        <v>22607.6205</v>
      </c>
      <c r="J2" s="200">
        <f>Coins!J2</f>
        <v>1047063585</v>
      </c>
      <c r="K2" s="201">
        <f>Coins!K2</f>
        <v>0.1891983551</v>
      </c>
      <c r="L2" s="204">
        <f>Coins!L2</f>
        <v>0.4161795164</v>
      </c>
      <c r="M2" s="200">
        <f t="shared" ref="M2:M66" si="1">C2*E2</f>
        <v>56076162.85</v>
      </c>
      <c r="N2" s="200">
        <f t="shared" ref="N2:N66" si="2">C2*H2</f>
        <v>164919482.6</v>
      </c>
      <c r="O2" s="38">
        <f t="shared" ref="O2:O66" si="3">M2-N2</f>
        <v>-108843319.8</v>
      </c>
      <c r="P2" s="39">
        <f t="shared" ref="P2:P1000" si="4">if(H2&lt;E2,H2,E2)</f>
        <v>0.01013263943</v>
      </c>
    </row>
    <row r="3">
      <c r="A3" s="198" t="str">
        <f>Coins!A3</f>
        <v>ETH</v>
      </c>
      <c r="B3" s="199">
        <f>Coins!B3</f>
        <v>1628325.81</v>
      </c>
      <c r="C3" s="200">
        <f>Coins!C3</f>
        <v>6219676256</v>
      </c>
      <c r="D3" s="201">
        <f>Coins!D3</f>
        <v>0.2913879425</v>
      </c>
      <c r="E3" s="201">
        <f>Coins!E3</f>
        <v>0.02928207375</v>
      </c>
      <c r="F3" s="201">
        <f>Coins!F3</f>
        <v>0.03056534071</v>
      </c>
      <c r="G3" s="201">
        <f>Coins!G3</f>
        <v>-0.001283266964</v>
      </c>
      <c r="H3" s="201">
        <f>if(Coins!H3="N/A",0,Coins!H3)</f>
        <v>0.0384</v>
      </c>
      <c r="I3" s="202">
        <f>Coins!I3</f>
        <v>115211.2693</v>
      </c>
      <c r="J3" s="200">
        <f>Coins!J3</f>
        <v>440069666.5</v>
      </c>
      <c r="K3" s="201">
        <f>Coins!K3</f>
        <v>0.07075443294</v>
      </c>
      <c r="L3" s="204">
        <f>Coins!L3</f>
        <v>0.1749158156</v>
      </c>
      <c r="M3" s="200">
        <f t="shared" si="1"/>
        <v>182125018.8</v>
      </c>
      <c r="N3" s="200">
        <f t="shared" si="2"/>
        <v>238835568.2</v>
      </c>
      <c r="O3" s="38">
        <f t="shared" si="3"/>
        <v>-56710549.4</v>
      </c>
      <c r="P3" s="39">
        <f t="shared" si="4"/>
        <v>0.02928207375</v>
      </c>
    </row>
    <row r="4">
      <c r="A4" s="198" t="str">
        <f>Coins!A4</f>
        <v>Stable Coins</v>
      </c>
      <c r="B4" s="199">
        <f>Coins!B4</f>
        <v>3034465294</v>
      </c>
      <c r="C4" s="200">
        <f>Coins!C4</f>
        <v>3034465294</v>
      </c>
      <c r="D4" s="201">
        <f>Coins!D4</f>
        <v>0.1421628011</v>
      </c>
      <c r="E4" s="201">
        <f>Coins!E4</f>
        <v>0.08799987823</v>
      </c>
      <c r="F4" s="201">
        <f>Coins!F4</f>
        <v>0.09586835307</v>
      </c>
      <c r="G4" s="201">
        <f>Coins!G4</f>
        <v>-0.007868474834</v>
      </c>
      <c r="H4" s="201">
        <f>if(Coins!H4="N/A",0,Coins!H4)</f>
        <v>0.0959</v>
      </c>
      <c r="I4" s="202">
        <f>Coins!I4</f>
        <v>340113506.2</v>
      </c>
      <c r="J4" s="200">
        <f>Coins!J4</f>
        <v>340113506.2</v>
      </c>
      <c r="K4" s="201">
        <f>Coins!K4</f>
        <v>0.1120835051</v>
      </c>
      <c r="L4" s="204">
        <f>Coins!L4</f>
        <v>0.1351859396</v>
      </c>
      <c r="M4" s="200">
        <f t="shared" si="1"/>
        <v>267032576.3</v>
      </c>
      <c r="N4" s="200">
        <f t="shared" si="2"/>
        <v>291005221.7</v>
      </c>
      <c r="O4" s="38">
        <f t="shared" si="3"/>
        <v>-23972645.32</v>
      </c>
      <c r="P4" s="39">
        <f t="shared" si="4"/>
        <v>0.08799987823</v>
      </c>
    </row>
    <row r="5">
      <c r="A5" s="198" t="str">
        <f>Coins!A5</f>
        <v>CEL</v>
      </c>
      <c r="B5" s="199">
        <f>Coins!B5</f>
        <v>657294226.9</v>
      </c>
      <c r="C5" s="200">
        <f>Coins!C5</f>
        <v>2574373250</v>
      </c>
      <c r="D5" s="201">
        <f>Coins!D5</f>
        <v>0.1206077767</v>
      </c>
      <c r="E5" s="201">
        <f>Coins!E5</f>
        <v>0.002227326753</v>
      </c>
      <c r="F5" s="201">
        <f>Coins!F5</f>
        <v>0.02354575295</v>
      </c>
      <c r="G5" s="201">
        <f>Coins!G5</f>
        <v>-0.02131842619</v>
      </c>
      <c r="H5" s="201">
        <f>if(Coins!H5="N/A",0,Coins!H5)</f>
        <v>0.0415</v>
      </c>
      <c r="I5" s="202">
        <f>Coins!I5</f>
        <v>57931977.42</v>
      </c>
      <c r="J5" s="200">
        <f>Coins!J5</f>
        <v>226897676.7</v>
      </c>
      <c r="K5" s="201">
        <f>Coins!K5</f>
        <v>0.08813705499</v>
      </c>
      <c r="L5" s="204">
        <f>Coins!L5</f>
        <v>0.09018570289</v>
      </c>
      <c r="M5" s="200">
        <f t="shared" si="1"/>
        <v>5733970.413</v>
      </c>
      <c r="N5" s="200">
        <f t="shared" si="2"/>
        <v>106836489.9</v>
      </c>
      <c r="O5" s="38">
        <f t="shared" si="3"/>
        <v>-101102519.5</v>
      </c>
      <c r="P5" s="39">
        <f t="shared" si="4"/>
        <v>0.002227326753</v>
      </c>
    </row>
    <row r="6">
      <c r="A6" s="198" t="str">
        <f>Coins!A6</f>
        <v>MATIC</v>
      </c>
      <c r="B6" s="199">
        <f>Coins!B6</f>
        <v>544624406</v>
      </c>
      <c r="C6" s="200">
        <f>Coins!C6</f>
        <v>1142408290</v>
      </c>
      <c r="D6" s="201">
        <f>Coins!D6</f>
        <v>0.05352111387</v>
      </c>
      <c r="E6" s="201">
        <f>Coins!E6</f>
        <v>0.08060448646</v>
      </c>
      <c r="F6" s="201">
        <f>Coins!F6</f>
        <v>0.0818</v>
      </c>
      <c r="G6" s="201">
        <f>Coins!G6</f>
        <v>-0.001195513543</v>
      </c>
      <c r="H6" s="201">
        <f>if(Coins!H6="N/A",0,Coins!H6)</f>
        <v>0.0818</v>
      </c>
      <c r="I6" s="202">
        <f>Coins!I6</f>
        <v>31547183.85</v>
      </c>
      <c r="J6" s="200">
        <f>Coins!J6</f>
        <v>66173612.41</v>
      </c>
      <c r="K6" s="201">
        <f>Coins!K6</f>
        <v>0.05792466056</v>
      </c>
      <c r="L6" s="204">
        <f>Coins!L6</f>
        <v>0.02630222501</v>
      </c>
      <c r="M6" s="200">
        <f t="shared" si="1"/>
        <v>92083233.53</v>
      </c>
      <c r="N6" s="200">
        <f t="shared" si="2"/>
        <v>93448998.11</v>
      </c>
      <c r="O6" s="38">
        <f t="shared" si="3"/>
        <v>-1365764.582</v>
      </c>
      <c r="P6" s="39">
        <f t="shared" si="4"/>
        <v>0.08060448646</v>
      </c>
    </row>
    <row r="7">
      <c r="A7" s="198" t="str">
        <f>Coins!A7</f>
        <v>SRM</v>
      </c>
      <c r="B7" s="199">
        <f>Coins!B7</f>
        <v>180412345.6</v>
      </c>
      <c r="C7" s="200">
        <f>Coins!C7</f>
        <v>599928725.6</v>
      </c>
      <c r="D7" s="201">
        <f>Coins!D7</f>
        <v>0.02810628557</v>
      </c>
      <c r="E7" s="201">
        <f>Coins!E7</f>
        <v>0.02667290737</v>
      </c>
      <c r="F7" s="201">
        <f>Coins!F7</f>
        <v>0</v>
      </c>
      <c r="G7" s="201">
        <f>Coins!G7</f>
        <v>0.02667290737</v>
      </c>
      <c r="H7" s="201">
        <f>if(Coins!H7="N/A",0,Coins!H7)</f>
        <v>0</v>
      </c>
      <c r="I7" s="202">
        <f>Coins!I7</f>
        <v>20006134.92</v>
      </c>
      <c r="J7" s="200">
        <f>Coins!J7</f>
        <v>66526794.41</v>
      </c>
      <c r="K7" s="201">
        <f>Coins!K7</f>
        <v>0.1108911635</v>
      </c>
      <c r="L7" s="204">
        <f>Coins!L7</f>
        <v>0.02644260532</v>
      </c>
      <c r="M7" s="200">
        <f t="shared" si="1"/>
        <v>16001843.32</v>
      </c>
      <c r="N7" s="200">
        <f t="shared" si="2"/>
        <v>0</v>
      </c>
      <c r="O7" s="38">
        <f t="shared" si="3"/>
        <v>16001843.32</v>
      </c>
      <c r="P7" s="39">
        <f t="shared" si="4"/>
        <v>0</v>
      </c>
    </row>
    <row r="8">
      <c r="A8" s="198" t="str">
        <f>Coins!A8</f>
        <v>FTT</v>
      </c>
      <c r="B8" s="199">
        <f>Coins!B8</f>
        <v>16767659.26</v>
      </c>
      <c r="C8" s="200">
        <f>Coins!C8</f>
        <v>662634692.2</v>
      </c>
      <c r="D8" s="201">
        <f>Coins!D8</f>
        <v>0.03104402089</v>
      </c>
      <c r="E8" s="201">
        <f>Coins!E8</f>
        <v>0.022283985</v>
      </c>
      <c r="F8" s="201">
        <f>Coins!F8</f>
        <v>0</v>
      </c>
      <c r="G8" s="201">
        <f>Coins!G8</f>
        <v>0.022283985</v>
      </c>
      <c r="H8" s="201">
        <f>if(Coins!H8="N/A",0,Coins!H8)</f>
        <v>0</v>
      </c>
      <c r="I8" s="202">
        <f>Coins!I8</f>
        <v>2619746.47</v>
      </c>
      <c r="J8" s="200">
        <f>Coins!J8</f>
        <v>103528755.5</v>
      </c>
      <c r="K8" s="201">
        <f>Coins!K8</f>
        <v>0.156238055</v>
      </c>
      <c r="L8" s="204">
        <f>Coins!L8</f>
        <v>0.04114988622</v>
      </c>
      <c r="M8" s="200">
        <f t="shared" si="1"/>
        <v>14766141.54</v>
      </c>
      <c r="N8" s="200">
        <f t="shared" si="2"/>
        <v>0</v>
      </c>
      <c r="O8" s="38">
        <f t="shared" si="3"/>
        <v>14766141.54</v>
      </c>
      <c r="P8" s="39">
        <f t="shared" si="4"/>
        <v>0</v>
      </c>
    </row>
    <row r="9">
      <c r="A9" s="198" t="str">
        <f>Coins!A9</f>
        <v>ADA</v>
      </c>
      <c r="B9" s="199">
        <f>Coins!B9</f>
        <v>258993004.4</v>
      </c>
      <c r="C9" s="200">
        <f>Coins!C9</f>
        <v>317247536</v>
      </c>
      <c r="D9" s="201">
        <f>Coins!D9</f>
        <v>0.01486284864</v>
      </c>
      <c r="E9" s="201">
        <f>Coins!E9</f>
        <v>0.04833197332</v>
      </c>
      <c r="F9" s="201">
        <f>Coins!F9</f>
        <v>0.0205</v>
      </c>
      <c r="G9" s="201">
        <f>Coins!G9</f>
        <v>0.02783197332</v>
      </c>
      <c r="H9" s="201">
        <f>if(Coins!H9="N/A",0,Coins!H9)</f>
        <v>0.0205</v>
      </c>
      <c r="I9" s="202">
        <f>Coins!I9</f>
        <v>22641789.36</v>
      </c>
      <c r="J9" s="200">
        <f>Coins!J9</f>
        <v>27734540.18</v>
      </c>
      <c r="K9" s="201">
        <f>Coins!K9</f>
        <v>0.08742239742</v>
      </c>
      <c r="L9" s="204">
        <f>Coins!L9</f>
        <v>0.01102373121</v>
      </c>
      <c r="M9" s="200">
        <f t="shared" si="1"/>
        <v>15333199.45</v>
      </c>
      <c r="N9" s="200">
        <f t="shared" si="2"/>
        <v>6503574.488</v>
      </c>
      <c r="O9" s="38">
        <f t="shared" si="3"/>
        <v>8829624.959</v>
      </c>
      <c r="P9" s="39">
        <f t="shared" si="4"/>
        <v>0.0205</v>
      </c>
    </row>
    <row r="10">
      <c r="A10" s="198" t="str">
        <f>Coins!A10</f>
        <v>LINK</v>
      </c>
      <c r="B10" s="199">
        <f>Coins!B10</f>
        <v>12923285.7</v>
      </c>
      <c r="C10" s="200">
        <f>Coins!C10</f>
        <v>239249911.5</v>
      </c>
      <c r="D10" s="201">
        <f>Coins!D10</f>
        <v>0.01120870872</v>
      </c>
      <c r="E10" s="201">
        <f>Coins!E10</f>
        <v>0.01234602303</v>
      </c>
      <c r="F10" s="201">
        <f>Coins!F10</f>
        <v>0.01137173394</v>
      </c>
      <c r="G10" s="201">
        <f>Coins!G10</f>
        <v>0.0009742890894</v>
      </c>
      <c r="H10" s="201">
        <f>if(Coins!H10="N/A",0,Coins!H10)</f>
        <v>0.0251</v>
      </c>
      <c r="I10" s="202">
        <f>Coins!I10</f>
        <v>953610.9186</v>
      </c>
      <c r="J10" s="200">
        <f>Coins!J10</f>
        <v>17654281.82</v>
      </c>
      <c r="K10" s="201">
        <f>Coins!K10</f>
        <v>0.07379012895</v>
      </c>
      <c r="L10" s="204">
        <f>Coins!L10</f>
        <v>0.007017100563</v>
      </c>
      <c r="M10" s="200">
        <f t="shared" si="1"/>
        <v>2953784.918</v>
      </c>
      <c r="N10" s="200">
        <f t="shared" si="2"/>
        <v>6005172.779</v>
      </c>
      <c r="O10" s="38">
        <f t="shared" si="3"/>
        <v>-3051387.862</v>
      </c>
      <c r="P10" s="39">
        <f t="shared" si="4"/>
        <v>0.01234602303</v>
      </c>
    </row>
    <row r="11">
      <c r="A11" s="198" t="str">
        <f>Coins!A11</f>
        <v>XRP</v>
      </c>
      <c r="B11" s="199">
        <f>Coins!B11</f>
        <v>233927383.8</v>
      </c>
      <c r="C11" s="200">
        <f>Coins!C11</f>
        <v>202705900</v>
      </c>
      <c r="D11" s="201">
        <f>Coins!D11</f>
        <v>0.009496644633</v>
      </c>
      <c r="E11" s="201">
        <f>Coins!E11</f>
        <v>0.03803995521</v>
      </c>
      <c r="F11" s="201">
        <f>Coins!F11</f>
        <v>0.01217362651</v>
      </c>
      <c r="G11" s="201">
        <f>Coins!G11</f>
        <v>0.0258663287</v>
      </c>
      <c r="H11" s="201">
        <f>if(Coins!H11="N/A",0,Coins!H11)</f>
        <v>0.0127</v>
      </c>
      <c r="I11" s="202">
        <f>Coins!I11</f>
        <v>31617022.4</v>
      </c>
      <c r="J11" s="200">
        <f>Coins!J11</f>
        <v>27397207.1</v>
      </c>
      <c r="K11" s="201">
        <f>Coins!K11</f>
        <v>0.1351574231</v>
      </c>
      <c r="L11" s="204">
        <f>Coins!L11</f>
        <v>0.01088965041</v>
      </c>
      <c r="M11" s="200">
        <f t="shared" si="1"/>
        <v>7710923.356</v>
      </c>
      <c r="N11" s="200">
        <f t="shared" si="2"/>
        <v>2574364.93</v>
      </c>
      <c r="O11" s="38">
        <f t="shared" si="3"/>
        <v>5136558.427</v>
      </c>
      <c r="P11" s="39">
        <f t="shared" si="4"/>
        <v>0.0127</v>
      </c>
    </row>
    <row r="12">
      <c r="A12" s="198" t="str">
        <f>Coins!A12</f>
        <v>LUNA</v>
      </c>
      <c r="B12" s="199">
        <f>Coins!B12</f>
        <v>2835090.677</v>
      </c>
      <c r="C12" s="200">
        <f>Coins!C12</f>
        <v>214148291.7</v>
      </c>
      <c r="D12" s="201">
        <f>Coins!D12</f>
        <v>0.01003271353</v>
      </c>
      <c r="E12" s="201">
        <f>Coins!E12</f>
        <v>0.09758849374</v>
      </c>
      <c r="F12" s="201">
        <f>Coins!F12</f>
        <v>0.0488</v>
      </c>
      <c r="G12" s="201">
        <f>Coins!G12</f>
        <v>0.04878849374</v>
      </c>
      <c r="H12" s="201">
        <f>if(Coins!H12="N/A",0,Coins!H12)</f>
        <v>0.0488</v>
      </c>
      <c r="I12" s="202">
        <f>Coins!I12</f>
        <v>516792.0401</v>
      </c>
      <c r="J12" s="200">
        <f>Coins!J12</f>
        <v>39035835.24</v>
      </c>
      <c r="K12" s="201">
        <f>Coins!K12</f>
        <v>0.1822841309</v>
      </c>
      <c r="L12" s="204">
        <f>Coins!L12</f>
        <v>0.01551569099</v>
      </c>
      <c r="M12" s="200">
        <f t="shared" si="1"/>
        <v>20898409.22</v>
      </c>
      <c r="N12" s="200">
        <f t="shared" si="2"/>
        <v>10450436.63</v>
      </c>
      <c r="O12" s="38">
        <f t="shared" si="3"/>
        <v>10447972.59</v>
      </c>
      <c r="P12" s="39">
        <f t="shared" si="4"/>
        <v>0.0488</v>
      </c>
    </row>
    <row r="13">
      <c r="A13" s="198" t="str">
        <f>Coins!A13</f>
        <v>LTC</v>
      </c>
      <c r="B13" s="199">
        <f>Coins!B13</f>
        <v>541734.265</v>
      </c>
      <c r="C13" s="200">
        <f>Coins!C13</f>
        <v>81378471.48</v>
      </c>
      <c r="D13" s="201">
        <f>Coins!D13</f>
        <v>0.003812530491</v>
      </c>
      <c r="E13" s="201">
        <f>Coins!E13</f>
        <v>0.03842747111</v>
      </c>
      <c r="F13" s="201">
        <f>Coins!F13</f>
        <v>0.0285</v>
      </c>
      <c r="G13" s="201">
        <f>Coins!G13</f>
        <v>0.009927471112</v>
      </c>
      <c r="H13" s="201">
        <f>if(Coins!H13="N/A",0,Coins!H13)</f>
        <v>0.0285</v>
      </c>
      <c r="I13" s="202">
        <f>Coins!I13</f>
        <v>87434.00567</v>
      </c>
      <c r="J13" s="200">
        <f>Coins!J13</f>
        <v>13134199.17</v>
      </c>
      <c r="K13" s="201">
        <f>Coins!K13</f>
        <v>0.1613964841</v>
      </c>
      <c r="L13" s="204">
        <f>Coins!L13</f>
        <v>0.0052204897</v>
      </c>
      <c r="M13" s="200">
        <f t="shared" si="1"/>
        <v>3127168.862</v>
      </c>
      <c r="N13" s="200">
        <f t="shared" si="2"/>
        <v>2319286.437</v>
      </c>
      <c r="O13" s="38">
        <f t="shared" si="3"/>
        <v>807882.4247</v>
      </c>
      <c r="P13" s="39">
        <f t="shared" si="4"/>
        <v>0.0285</v>
      </c>
    </row>
    <row r="14">
      <c r="A14" s="198" t="str">
        <f>Coins!A14</f>
        <v>BNB</v>
      </c>
      <c r="B14" s="199">
        <f>Coins!B14</f>
        <v>72108.49626</v>
      </c>
      <c r="C14" s="200">
        <f>Coins!C14</f>
        <v>37503796.6</v>
      </c>
      <c r="D14" s="201">
        <f>Coins!D14</f>
        <v>0.001757029414</v>
      </c>
      <c r="E14" s="201">
        <f>Coins!E14</f>
        <v>0.05889874592</v>
      </c>
      <c r="F14" s="201">
        <f>Coins!F14</f>
        <v>0.0581</v>
      </c>
      <c r="G14" s="201">
        <f>Coins!G14</f>
        <v>0.0007987459214</v>
      </c>
      <c r="H14" s="201">
        <f>if(Coins!H14="N/A",0,Coins!H14)</f>
        <v>0.0581</v>
      </c>
      <c r="I14" s="202">
        <f>Coins!I14</f>
        <v>8473.624113</v>
      </c>
      <c r="J14" s="200">
        <f>Coins!J14</f>
        <v>4407151.607</v>
      </c>
      <c r="K14" s="201">
        <f>Coins!K14</f>
        <v>0.1175121456</v>
      </c>
      <c r="L14" s="204">
        <f>Coins!L14</f>
        <v>0.001751723822</v>
      </c>
      <c r="M14" s="200">
        <f t="shared" si="1"/>
        <v>2208926.587</v>
      </c>
      <c r="N14" s="200">
        <f t="shared" si="2"/>
        <v>2178970.582</v>
      </c>
      <c r="O14" s="38">
        <f t="shared" si="3"/>
        <v>29956.00457</v>
      </c>
      <c r="P14" s="39">
        <f t="shared" si="4"/>
        <v>0.0581</v>
      </c>
    </row>
    <row r="15">
      <c r="A15" s="198" t="str">
        <f>Coins!A15</f>
        <v>BCH</v>
      </c>
      <c r="B15" s="199">
        <f>Coins!B15</f>
        <v>91609.60096</v>
      </c>
      <c r="C15" s="200">
        <f>Coins!C15</f>
        <v>39197613.59</v>
      </c>
      <c r="D15" s="201">
        <f>Coins!D15</f>
        <v>0.001836383681</v>
      </c>
      <c r="E15" s="201">
        <f>Coins!E15</f>
        <v>0.03221452641</v>
      </c>
      <c r="F15" s="201">
        <f>Coins!F15</f>
        <v>0.01829986709</v>
      </c>
      <c r="G15" s="201">
        <f>Coins!G15</f>
        <v>0.01391465932</v>
      </c>
      <c r="H15" s="201">
        <f>if(Coins!H15="N/A",0,Coins!H15)</f>
        <v>0.0225</v>
      </c>
      <c r="I15" s="202">
        <f>Coins!I15</f>
        <v>2287.240112</v>
      </c>
      <c r="J15" s="200">
        <f>Coins!J15</f>
        <v>978656.7472</v>
      </c>
      <c r="K15" s="201">
        <f>Coins!K15</f>
        <v>0.0249672533</v>
      </c>
      <c r="L15" s="204">
        <f>Coins!L15</f>
        <v>0.0003889896446</v>
      </c>
      <c r="M15" s="200">
        <f t="shared" si="1"/>
        <v>1262732.558</v>
      </c>
      <c r="N15" s="200">
        <f t="shared" si="2"/>
        <v>881946.3058</v>
      </c>
      <c r="O15" s="38">
        <f t="shared" si="3"/>
        <v>380786.2526</v>
      </c>
      <c r="P15" s="39">
        <f t="shared" si="4"/>
        <v>0.0225</v>
      </c>
    </row>
    <row r="16">
      <c r="A16" s="198" t="str">
        <f>Coins!A16</f>
        <v>SNX</v>
      </c>
      <c r="B16" s="199">
        <f>Coins!B16</f>
        <v>7056778.989</v>
      </c>
      <c r="C16" s="200">
        <f>Coins!C16</f>
        <v>35002871.3</v>
      </c>
      <c r="D16" s="201">
        <f>Coins!D16</f>
        <v>0.001639862628</v>
      </c>
      <c r="E16" s="201">
        <f>Coins!E16</f>
        <v>0.3048636653</v>
      </c>
      <c r="F16" s="201">
        <f>Coins!F16</f>
        <v>0.1339</v>
      </c>
      <c r="G16" s="201">
        <f>Coins!G16</f>
        <v>0.1709636653</v>
      </c>
      <c r="H16" s="201">
        <f>if(Coins!H16="N/A",0,Coins!H16)</f>
        <v>0.1339</v>
      </c>
      <c r="I16" s="202">
        <f>Coins!I16</f>
        <v>458813.6326</v>
      </c>
      <c r="J16" s="200">
        <f>Coins!J16</f>
        <v>2275796.728</v>
      </c>
      <c r="K16" s="201">
        <f>Coins!K16</f>
        <v>0.06501742982</v>
      </c>
      <c r="L16" s="204">
        <f>Coins!L16</f>
        <v>0.0009045677791</v>
      </c>
      <c r="M16" s="200">
        <f t="shared" si="1"/>
        <v>10671103.64</v>
      </c>
      <c r="N16" s="200">
        <f t="shared" si="2"/>
        <v>4686884.467</v>
      </c>
      <c r="O16" s="38">
        <f t="shared" si="3"/>
        <v>5984219.173</v>
      </c>
      <c r="P16" s="39">
        <f t="shared" si="4"/>
        <v>0.1339</v>
      </c>
    </row>
    <row r="17">
      <c r="A17" s="198" t="str">
        <f>Coins!A17</f>
        <v>XLM</v>
      </c>
      <c r="B17" s="199">
        <f>Coins!B17</f>
        <v>131670958.4</v>
      </c>
      <c r="C17" s="200">
        <f>Coins!C17</f>
        <v>35567880.98</v>
      </c>
      <c r="D17" s="201">
        <f>Coins!D17</f>
        <v>0.001666332978</v>
      </c>
      <c r="E17" s="201">
        <f>Coins!E17</f>
        <v>0.02717899233</v>
      </c>
      <c r="F17" s="201">
        <f>Coins!F17</f>
        <v>0.0091</v>
      </c>
      <c r="G17" s="201">
        <f>Coins!G17</f>
        <v>0.01807899233</v>
      </c>
      <c r="H17" s="201">
        <f>if(Coins!H17="N/A",0,Coins!H17)</f>
        <v>0.0091</v>
      </c>
      <c r="I17" s="202">
        <f>Coins!I17</f>
        <v>55153186.76</v>
      </c>
      <c r="J17" s="200">
        <f>Coins!J17</f>
        <v>14898364.88</v>
      </c>
      <c r="K17" s="201">
        <f>Coins!K17</f>
        <v>0.4188713094</v>
      </c>
      <c r="L17" s="204">
        <f>Coins!L17</f>
        <v>0.005921697956</v>
      </c>
      <c r="M17" s="200">
        <f t="shared" si="1"/>
        <v>966699.1644</v>
      </c>
      <c r="N17" s="200">
        <f t="shared" si="2"/>
        <v>323667.7169</v>
      </c>
      <c r="O17" s="38">
        <f t="shared" si="3"/>
        <v>643031.4475</v>
      </c>
      <c r="P17" s="39">
        <f t="shared" si="4"/>
        <v>0.0091</v>
      </c>
    </row>
    <row r="18">
      <c r="A18" s="198" t="str">
        <f>Coins!A18</f>
        <v>UNI</v>
      </c>
      <c r="B18" s="199">
        <f>Coins!B18</f>
        <v>2310356.807</v>
      </c>
      <c r="C18" s="200">
        <f>Coins!C18</f>
        <v>33362068.94</v>
      </c>
      <c r="D18" s="201">
        <f>Coins!D18</f>
        <v>0.001562992064</v>
      </c>
      <c r="E18" s="201">
        <f>Coins!E18</f>
        <v>0.03139011778</v>
      </c>
      <c r="F18" s="201">
        <f>Coins!F18</f>
        <v>0.0134756484</v>
      </c>
      <c r="G18" s="201">
        <f>Coins!G18</f>
        <v>0.01791446938</v>
      </c>
      <c r="H18" s="201">
        <f>if(Coins!H18="N/A",0,Coins!H18)</f>
        <v>0.0228</v>
      </c>
      <c r="I18" s="202">
        <f>Coins!I18</f>
        <v>152722.1539</v>
      </c>
      <c r="J18" s="200">
        <f>Coins!J18</f>
        <v>2205342.055</v>
      </c>
      <c r="K18" s="201">
        <f>Coins!K18</f>
        <v>0.06610327612</v>
      </c>
      <c r="L18" s="204">
        <f>Coins!L18</f>
        <v>0.000876563948</v>
      </c>
      <c r="M18" s="200">
        <f t="shared" si="1"/>
        <v>1047239.273</v>
      </c>
      <c r="N18" s="200">
        <f t="shared" si="2"/>
        <v>760655.1718</v>
      </c>
      <c r="O18" s="38">
        <f t="shared" si="3"/>
        <v>286584.1017</v>
      </c>
      <c r="P18" s="39">
        <f t="shared" si="4"/>
        <v>0.0228</v>
      </c>
    </row>
    <row r="19">
      <c r="A19" s="198" t="str">
        <f>Coins!A19</f>
        <v>AAVE</v>
      </c>
      <c r="B19" s="199">
        <f>Coins!B19</f>
        <v>206066.4409</v>
      </c>
      <c r="C19" s="200">
        <f>Coins!C19</f>
        <v>35683255.3</v>
      </c>
      <c r="D19" s="201">
        <f>Coins!D19</f>
        <v>0.001671738193</v>
      </c>
      <c r="E19" s="201">
        <f>Coins!E19</f>
        <v>0.05567672778</v>
      </c>
      <c r="F19" s="201">
        <f>Coins!F19</f>
        <v>0.03512355642</v>
      </c>
      <c r="G19" s="201">
        <f>Coins!G19</f>
        <v>0.02055317137</v>
      </c>
      <c r="H19" s="201">
        <f>if(Coins!H19="N/A",0,Coins!H19)</f>
        <v>0.0385</v>
      </c>
      <c r="I19" s="202">
        <f>Coins!I19</f>
        <v>10344.61488</v>
      </c>
      <c r="J19" s="200">
        <f>Coins!J19</f>
        <v>1791313.19</v>
      </c>
      <c r="K19" s="201">
        <f>Coins!K19</f>
        <v>0.05020038602</v>
      </c>
      <c r="L19" s="204">
        <f>Coins!L19</f>
        <v>0.0007119986484</v>
      </c>
      <c r="M19" s="200">
        <f t="shared" si="1"/>
        <v>1986726.892</v>
      </c>
      <c r="N19" s="200">
        <f t="shared" si="2"/>
        <v>1373805.329</v>
      </c>
      <c r="O19" s="38">
        <f t="shared" si="3"/>
        <v>612921.5628</v>
      </c>
      <c r="P19" s="39">
        <f t="shared" si="4"/>
        <v>0.0385</v>
      </c>
    </row>
    <row r="20">
      <c r="A20" s="198" t="str">
        <f>Coins!A20</f>
        <v>MANA</v>
      </c>
      <c r="B20" s="199">
        <f>Coins!B20</f>
        <v>9414686.256</v>
      </c>
      <c r="C20" s="200">
        <f>Coins!C20</f>
        <v>29776280.29</v>
      </c>
      <c r="D20" s="201">
        <f>Coins!D20</f>
        <v>0.001395000108</v>
      </c>
      <c r="E20" s="201">
        <f>Coins!E20</f>
        <v>0.002346268784</v>
      </c>
      <c r="F20" s="201">
        <f>Coins!F20</f>
        <v>0.001376370173</v>
      </c>
      <c r="G20" s="201">
        <f>Coins!G20</f>
        <v>0.000969898611</v>
      </c>
      <c r="H20" s="201">
        <f>if(Coins!H20="N/A",0,Coins!H20)</f>
        <v>0.0042</v>
      </c>
      <c r="I20" s="202">
        <f>Coins!I20</f>
        <v>585213.4697</v>
      </c>
      <c r="J20" s="200">
        <f>Coins!J20</f>
        <v>1850882.741</v>
      </c>
      <c r="K20" s="201">
        <f>Coins!K20</f>
        <v>0.06215963589</v>
      </c>
      <c r="L20" s="204">
        <f>Coins!L20</f>
        <v>0.000735675937</v>
      </c>
      <c r="M20" s="200">
        <f t="shared" si="1"/>
        <v>69863.15695</v>
      </c>
      <c r="N20" s="200">
        <f t="shared" si="2"/>
        <v>125060.3772</v>
      </c>
      <c r="O20" s="38">
        <f t="shared" si="3"/>
        <v>-55197.22026</v>
      </c>
      <c r="P20" s="39">
        <f t="shared" si="4"/>
        <v>0.002346268784</v>
      </c>
    </row>
    <row r="21">
      <c r="A21" s="198" t="str">
        <f>Coins!A21</f>
        <v>DOT</v>
      </c>
      <c r="B21" s="199">
        <f>Coins!B21</f>
        <v>2973378.989</v>
      </c>
      <c r="C21" s="200">
        <f>Coins!C21</f>
        <v>72111645.11</v>
      </c>
      <c r="D21" s="201">
        <f>Coins!D21</f>
        <v>0.003378385472</v>
      </c>
      <c r="E21" s="201">
        <f>Coins!E21</f>
        <v>0.1157594758</v>
      </c>
      <c r="F21" s="201">
        <f>Coins!F21</f>
        <v>0.0668</v>
      </c>
      <c r="G21" s="201">
        <f>Coins!G21</f>
        <v>0.04895947584</v>
      </c>
      <c r="H21" s="201">
        <f>if(Coins!H21="N/A",0,Coins!H21)</f>
        <v>0.0668</v>
      </c>
      <c r="I21" s="202">
        <f>Coins!I21</f>
        <v>190105.0993</v>
      </c>
      <c r="J21" s="200">
        <f>Coins!J21</f>
        <v>4610509.291</v>
      </c>
      <c r="K21" s="201">
        <f>Coins!K21</f>
        <v>0.06393571085</v>
      </c>
      <c r="L21" s="204">
        <f>Coins!L21</f>
        <v>0.001832553013</v>
      </c>
      <c r="M21" s="200">
        <f t="shared" si="1"/>
        <v>8347606.24</v>
      </c>
      <c r="N21" s="200">
        <f t="shared" si="2"/>
        <v>4817057.893</v>
      </c>
      <c r="O21" s="38">
        <f t="shared" si="3"/>
        <v>3530548.346</v>
      </c>
      <c r="P21" s="39">
        <f t="shared" si="4"/>
        <v>0.0668</v>
      </c>
    </row>
    <row r="22">
      <c r="A22" s="198" t="str">
        <f>Coins!A22</f>
        <v>EOS</v>
      </c>
      <c r="B22" s="199">
        <f>Coins!B22</f>
        <v>6455538.375</v>
      </c>
      <c r="C22" s="200">
        <f>Coins!C22</f>
        <v>20817783.86</v>
      </c>
      <c r="D22" s="201">
        <f>Coins!D22</f>
        <v>0.0009753001534</v>
      </c>
      <c r="E22" s="201">
        <f>Coins!E22</f>
        <v>0.05626118422</v>
      </c>
      <c r="F22" s="201">
        <f>Coins!F22</f>
        <v>0.0288</v>
      </c>
      <c r="G22" s="201">
        <f>Coins!G22</f>
        <v>0.02746118422</v>
      </c>
      <c r="H22" s="201">
        <f>if(Coins!H22="N/A",0,Coins!H22)</f>
        <v>0.0288</v>
      </c>
      <c r="I22" s="202">
        <f>Coins!I22</f>
        <v>837822.8287</v>
      </c>
      <c r="J22" s="200">
        <f>Coins!J22</f>
        <v>2701806.348</v>
      </c>
      <c r="K22" s="201">
        <f>Coins!K22</f>
        <v>0.1297835719</v>
      </c>
      <c r="L22" s="204">
        <f>Coins!L22</f>
        <v>0.001073895106</v>
      </c>
      <c r="M22" s="200">
        <f t="shared" si="1"/>
        <v>1171233.173</v>
      </c>
      <c r="N22" s="200">
        <f t="shared" si="2"/>
        <v>599552.1751</v>
      </c>
      <c r="O22" s="38">
        <f t="shared" si="3"/>
        <v>571680.9976</v>
      </c>
      <c r="P22" s="39">
        <f t="shared" si="4"/>
        <v>0.0288</v>
      </c>
    </row>
    <row r="23">
      <c r="A23" s="198" t="str">
        <f>Coins!A23</f>
        <v>BAT</v>
      </c>
      <c r="B23" s="199">
        <f>Coins!B23</f>
        <v>18305500.84</v>
      </c>
      <c r="C23" s="200">
        <f>Coins!C23</f>
        <v>19744366.28</v>
      </c>
      <c r="D23" s="201">
        <f>Coins!D23</f>
        <v>0.0009250112112</v>
      </c>
      <c r="E23" s="201">
        <f>Coins!E23</f>
        <v>0.02281519143</v>
      </c>
      <c r="F23" s="201">
        <f>Coins!F23</f>
        <v>0.008375261595</v>
      </c>
      <c r="G23" s="201">
        <f>Coins!G23</f>
        <v>0.01443992983</v>
      </c>
      <c r="H23" s="201">
        <f>if(Coins!H23="N/A",0,Coins!H23)</f>
        <v>0.0097</v>
      </c>
      <c r="I23" s="202">
        <f>Coins!I23</f>
        <v>4061153.844</v>
      </c>
      <c r="J23" s="200">
        <f>Coins!J23</f>
        <v>4380372.31</v>
      </c>
      <c r="K23" s="201">
        <f>Coins!K23</f>
        <v>0.2218542873</v>
      </c>
      <c r="L23" s="204">
        <f>Coins!L23</f>
        <v>0.001741079774</v>
      </c>
      <c r="M23" s="200">
        <f t="shared" si="1"/>
        <v>450471.4962</v>
      </c>
      <c r="N23" s="200">
        <f t="shared" si="2"/>
        <v>191520.3529</v>
      </c>
      <c r="O23" s="38">
        <f t="shared" si="3"/>
        <v>258951.1433</v>
      </c>
      <c r="P23" s="39">
        <f t="shared" si="4"/>
        <v>0.0097</v>
      </c>
    </row>
    <row r="24">
      <c r="A24" s="198" t="str">
        <f>Coins!A24</f>
        <v>ZEC</v>
      </c>
      <c r="B24" s="199">
        <f>Coins!B24</f>
        <v>122594.1295</v>
      </c>
      <c r="C24" s="200">
        <f>Coins!C24</f>
        <v>19554382.34</v>
      </c>
      <c r="D24" s="201">
        <f>Coins!D24</f>
        <v>0.0009161105826</v>
      </c>
      <c r="E24" s="201">
        <f>Coins!E24</f>
        <v>0.007556642423</v>
      </c>
      <c r="F24" s="201">
        <f>Coins!F24</f>
        <v>0.0155</v>
      </c>
      <c r="G24" s="201">
        <f>Coins!G24</f>
        <v>-0.007943357577</v>
      </c>
      <c r="H24" s="201">
        <f>if(Coins!H24="N/A",0,Coins!H24)</f>
        <v>0.0155</v>
      </c>
      <c r="I24" s="202">
        <f>Coins!I24</f>
        <v>93963.51496</v>
      </c>
      <c r="J24" s="200">
        <f>Coins!J24</f>
        <v>14987654.83</v>
      </c>
      <c r="K24" s="201">
        <f>Coins!K24</f>
        <v>0.7664601505</v>
      </c>
      <c r="L24" s="204">
        <f>Coins!L24</f>
        <v>0.005957188302</v>
      </c>
      <c r="M24" s="200">
        <f t="shared" si="1"/>
        <v>147765.4752</v>
      </c>
      <c r="N24" s="200">
        <f t="shared" si="2"/>
        <v>303092.9263</v>
      </c>
      <c r="O24" s="38">
        <f t="shared" si="3"/>
        <v>-155327.4511</v>
      </c>
      <c r="P24" s="39">
        <f t="shared" si="4"/>
        <v>0.007556642423</v>
      </c>
    </row>
    <row r="25">
      <c r="A25" s="198" t="str">
        <f>Coins!A25</f>
        <v>DASH</v>
      </c>
      <c r="B25" s="199">
        <f>Coins!B25</f>
        <v>136839.8827</v>
      </c>
      <c r="C25" s="200">
        <f>Coins!C25</f>
        <v>17433202.25</v>
      </c>
      <c r="D25" s="201">
        <f>Coins!D25</f>
        <v>0.0008167346222</v>
      </c>
      <c r="E25" s="201">
        <f>Coins!E25</f>
        <v>0.028964386</v>
      </c>
      <c r="F25" s="201">
        <f>Coins!F25</f>
        <v>0.041</v>
      </c>
      <c r="G25" s="201">
        <f>Coins!G25</f>
        <v>-0.012035614</v>
      </c>
      <c r="H25" s="201">
        <f>if(Coins!H25="N/A",0,Coins!H25)</f>
        <v>0.041</v>
      </c>
      <c r="I25" s="202">
        <f>Coins!I25</f>
        <v>19670.23826</v>
      </c>
      <c r="J25" s="200">
        <f>Coins!J25</f>
        <v>2505959.777</v>
      </c>
      <c r="K25" s="201">
        <f>Coins!K25</f>
        <v>0.1437463835</v>
      </c>
      <c r="L25" s="204">
        <f>Coins!L25</f>
        <v>0.0009960513796</v>
      </c>
      <c r="M25" s="200">
        <f t="shared" si="1"/>
        <v>504941.9992</v>
      </c>
      <c r="N25" s="200">
        <f t="shared" si="2"/>
        <v>714761.2924</v>
      </c>
      <c r="O25" s="38">
        <f t="shared" si="3"/>
        <v>-209819.2932</v>
      </c>
      <c r="P25" s="39">
        <f t="shared" si="4"/>
        <v>0.028964386</v>
      </c>
    </row>
    <row r="26">
      <c r="A26" s="198" t="str">
        <f>Coins!A26</f>
        <v>1INCH</v>
      </c>
      <c r="B26" s="199">
        <f>Coins!B26</f>
        <v>6885080.064</v>
      </c>
      <c r="C26" s="200">
        <f>Coins!C26</f>
        <v>16239253.88</v>
      </c>
      <c r="D26" s="201">
        <f>Coins!D26</f>
        <v>0.0007607988875</v>
      </c>
      <c r="E26" s="201">
        <f>Coins!E26</f>
        <v>0</v>
      </c>
      <c r="F26" s="201">
        <f>Coins!F26</f>
        <v>0.04</v>
      </c>
      <c r="G26" s="201">
        <f>Coins!G26</f>
        <v>-0.04</v>
      </c>
      <c r="H26" s="201">
        <f>if(Coins!H26="N/A",0,Coins!H26)</f>
        <v>0.04</v>
      </c>
      <c r="I26" s="202">
        <f>Coins!I26</f>
        <v>218413.4035</v>
      </c>
      <c r="J26" s="200">
        <f>Coins!J26</f>
        <v>515153.1539</v>
      </c>
      <c r="K26" s="201">
        <f>Coins!K26</f>
        <v>0.03172271077</v>
      </c>
      <c r="L26" s="204">
        <f>Coins!L26</f>
        <v>0.0002047594755</v>
      </c>
      <c r="M26" s="200">
        <f t="shared" si="1"/>
        <v>0</v>
      </c>
      <c r="N26" s="200">
        <f t="shared" si="2"/>
        <v>649570.1551</v>
      </c>
      <c r="O26" s="38">
        <f t="shared" si="3"/>
        <v>-649570.1551</v>
      </c>
      <c r="P26" s="39">
        <f t="shared" si="4"/>
        <v>0</v>
      </c>
    </row>
    <row r="27">
      <c r="A27" s="198" t="str">
        <f>Coins!A27</f>
        <v>PAXG</v>
      </c>
      <c r="B27" s="199">
        <f>Coins!B27</f>
        <v>8126.966009</v>
      </c>
      <c r="C27" s="200">
        <f>Coins!C27</f>
        <v>14678432.31</v>
      </c>
      <c r="D27" s="201">
        <f>Coins!D27</f>
        <v>0.0006876753731</v>
      </c>
      <c r="E27" s="201">
        <f>Coins!E27</f>
        <v>0.0003045416946</v>
      </c>
      <c r="F27" s="201">
        <f>Coins!F27</f>
        <v>0.0526</v>
      </c>
      <c r="G27" s="201">
        <f>Coins!G27</f>
        <v>-0.05229545831</v>
      </c>
      <c r="H27" s="201">
        <f>if(Coins!H27="N/A",0,Coins!H27)</f>
        <v>0.0526</v>
      </c>
      <c r="I27" s="202">
        <f>Coins!I27</f>
        <v>8071.966009</v>
      </c>
      <c r="J27" s="200">
        <f>Coins!J27</f>
        <v>14579094.65</v>
      </c>
      <c r="K27" s="201">
        <f>Coins!K27</f>
        <v>0.9932324068</v>
      </c>
      <c r="L27" s="204">
        <f>Coins!L27</f>
        <v>0.005794796656</v>
      </c>
      <c r="M27" s="200">
        <f t="shared" si="1"/>
        <v>4470.194649</v>
      </c>
      <c r="N27" s="200">
        <f t="shared" si="2"/>
        <v>772085.5394</v>
      </c>
      <c r="O27" s="38">
        <f t="shared" si="3"/>
        <v>-767615.3447</v>
      </c>
      <c r="P27" s="39">
        <f t="shared" si="4"/>
        <v>0.0003045416946</v>
      </c>
    </row>
    <row r="28">
      <c r="A28" s="198" t="str">
        <f>Coins!A28</f>
        <v>BNT</v>
      </c>
      <c r="B28" s="199">
        <f>Coins!B28</f>
        <v>3966888.508</v>
      </c>
      <c r="C28" s="200">
        <f>Coins!C28</f>
        <v>12559048.05</v>
      </c>
      <c r="D28" s="201">
        <f>Coins!D28</f>
        <v>0.000588383546</v>
      </c>
      <c r="E28" s="201">
        <f>Coins!E28</f>
        <v>0.1526044794</v>
      </c>
      <c r="F28" s="201">
        <f>Coins!F28</f>
        <v>0.0595</v>
      </c>
      <c r="G28" s="201">
        <f>Coins!G28</f>
        <v>0.09310447937</v>
      </c>
      <c r="H28" s="201">
        <f>if(Coins!H28="N/A",0,Coins!H28)</f>
        <v>0.0595</v>
      </c>
      <c r="I28" s="202">
        <f>Coins!I28</f>
        <v>292840.4527</v>
      </c>
      <c r="J28" s="200">
        <f>Coins!J28</f>
        <v>927123.9432</v>
      </c>
      <c r="K28" s="201">
        <f>Coins!K28</f>
        <v>0.07382119566</v>
      </c>
      <c r="L28" s="204">
        <f>Coins!L28</f>
        <v>0.0003685067458</v>
      </c>
      <c r="M28" s="200">
        <f t="shared" si="1"/>
        <v>1916566.989</v>
      </c>
      <c r="N28" s="200">
        <f t="shared" si="2"/>
        <v>747263.3588</v>
      </c>
      <c r="O28" s="38">
        <f t="shared" si="3"/>
        <v>1169303.63</v>
      </c>
      <c r="P28" s="39">
        <f t="shared" si="4"/>
        <v>0.0595</v>
      </c>
    </row>
    <row r="29">
      <c r="A29" s="198" t="str">
        <f>Coins!A29</f>
        <v>ZRX</v>
      </c>
      <c r="B29" s="199">
        <f>Coins!B29</f>
        <v>14817768.8</v>
      </c>
      <c r="C29" s="200">
        <f>Coins!C29</f>
        <v>11087689.1</v>
      </c>
      <c r="D29" s="201">
        <f>Coins!D29</f>
        <v>0.0005194512996</v>
      </c>
      <c r="E29" s="201">
        <f>Coins!E29</f>
        <v>0.02045466018</v>
      </c>
      <c r="F29" s="201">
        <f>Coins!F29</f>
        <v>0.01320698275</v>
      </c>
      <c r="G29" s="201">
        <f>Coins!G29</f>
        <v>0.007247677434</v>
      </c>
      <c r="H29" s="201">
        <f>if(Coins!H29="N/A",0,Coins!H29)</f>
        <v>0.0169</v>
      </c>
      <c r="I29" s="202">
        <f>Coins!I29</f>
        <v>1430995.087</v>
      </c>
      <c r="J29" s="200">
        <f>Coins!J29</f>
        <v>1070770.428</v>
      </c>
      <c r="K29" s="201">
        <f>Coins!K29</f>
        <v>0.09657291236</v>
      </c>
      <c r="L29" s="204">
        <f>Coins!L29</f>
        <v>0.0004256023465</v>
      </c>
      <c r="M29" s="200">
        <f t="shared" si="1"/>
        <v>226794.9127</v>
      </c>
      <c r="N29" s="200">
        <f t="shared" si="2"/>
        <v>187381.9458</v>
      </c>
      <c r="O29" s="38">
        <f t="shared" si="3"/>
        <v>39412.96697</v>
      </c>
      <c r="P29" s="39">
        <f t="shared" si="4"/>
        <v>0.0169</v>
      </c>
    </row>
    <row r="30">
      <c r="A30" s="198" t="str">
        <f>Coins!A30</f>
        <v>COMP</v>
      </c>
      <c r="B30" s="199">
        <f>Coins!B30</f>
        <v>43105.10981</v>
      </c>
      <c r="C30" s="200">
        <f>Coins!C30</f>
        <v>8085656.498</v>
      </c>
      <c r="D30" s="201">
        <f>Coins!D30</f>
        <v>0.0003788079498</v>
      </c>
      <c r="E30" s="201">
        <f>Coins!E30</f>
        <v>0.04910638001</v>
      </c>
      <c r="F30" s="201">
        <f>Coins!F30</f>
        <v>0.03712880966</v>
      </c>
      <c r="G30" s="201">
        <f>Coins!G30</f>
        <v>0.01197757035</v>
      </c>
      <c r="H30" s="201">
        <f>if(Coins!H30="N/A",0,Coins!H30)</f>
        <v>0.0453</v>
      </c>
      <c r="I30" s="202">
        <f>Coins!I30</f>
        <v>20904.70143</v>
      </c>
      <c r="J30" s="200">
        <f>Coins!J30</f>
        <v>3921303.895</v>
      </c>
      <c r="K30" s="201">
        <f>Coins!K30</f>
        <v>0.4849703788</v>
      </c>
      <c r="L30" s="204">
        <f>Coins!L30</f>
        <v>0.001558612468</v>
      </c>
      <c r="M30" s="200">
        <f t="shared" si="1"/>
        <v>397057.3206</v>
      </c>
      <c r="N30" s="200">
        <f t="shared" si="2"/>
        <v>366280.2394</v>
      </c>
      <c r="O30" s="38">
        <f t="shared" si="3"/>
        <v>30777.08126</v>
      </c>
      <c r="P30" s="39">
        <f t="shared" si="4"/>
        <v>0.0453</v>
      </c>
    </row>
    <row r="31">
      <c r="A31" s="198" t="str">
        <f>Coins!A31</f>
        <v>ETC</v>
      </c>
      <c r="B31" s="199">
        <f>Coins!B31</f>
        <v>214644.2002</v>
      </c>
      <c r="C31" s="200">
        <f>Coins!C31</f>
        <v>7361136.331</v>
      </c>
      <c r="D31" s="201">
        <f>Coins!D31</f>
        <v>0.0003448646332</v>
      </c>
      <c r="E31" s="201">
        <f>Coins!E31</f>
        <v>0.01368426225</v>
      </c>
      <c r="F31" s="201">
        <f>Coins!F31</f>
        <v>0.0298</v>
      </c>
      <c r="G31" s="201">
        <f>Coins!G31</f>
        <v>-0.01611573775</v>
      </c>
      <c r="H31" s="201">
        <f>if(Coins!H31="N/A",0,Coins!H31)</f>
        <v>0.0298</v>
      </c>
      <c r="I31" s="202">
        <f>Coins!I31</f>
        <v>32197.82291</v>
      </c>
      <c r="J31" s="200">
        <f>Coins!J31</f>
        <v>1104211.359</v>
      </c>
      <c r="K31" s="201">
        <f>Coins!K31</f>
        <v>0.1500055575</v>
      </c>
      <c r="L31" s="204">
        <f>Coins!L31</f>
        <v>0.0004388942142</v>
      </c>
      <c r="M31" s="200">
        <f t="shared" si="1"/>
        <v>100731.72</v>
      </c>
      <c r="N31" s="200">
        <f t="shared" si="2"/>
        <v>219361.8627</v>
      </c>
      <c r="O31" s="38">
        <f t="shared" si="3"/>
        <v>-118630.1427</v>
      </c>
      <c r="P31" s="39">
        <f t="shared" si="4"/>
        <v>0.01368426225</v>
      </c>
    </row>
    <row r="32">
      <c r="A32" s="198" t="str">
        <f>Coins!A32</f>
        <v>CVX</v>
      </c>
      <c r="B32" s="199">
        <f>Coins!B32</f>
        <v>283060.5414</v>
      </c>
      <c r="C32" s="200">
        <f>Coins!C32</f>
        <v>8579565.009</v>
      </c>
      <c r="D32" s="201">
        <f>Coins!D32</f>
        <v>0.0004019472546</v>
      </c>
      <c r="E32" s="201">
        <f>Coins!E32</f>
        <v>0</v>
      </c>
      <c r="F32" s="201">
        <f>Coins!F32</f>
        <v>0</v>
      </c>
      <c r="G32" s="201">
        <f>Coins!G32</f>
        <v>0</v>
      </c>
      <c r="H32" s="201">
        <f>if(Coins!H32="N/A",0,Coins!H32)</f>
        <v>0</v>
      </c>
      <c r="I32" s="202">
        <f>Coins!I32</f>
        <v>0</v>
      </c>
      <c r="J32" s="200">
        <f>Coins!J32</f>
        <v>0</v>
      </c>
      <c r="K32" s="201">
        <f>Coins!K32</f>
        <v>0</v>
      </c>
      <c r="L32" s="204">
        <f>Coins!L32</f>
        <v>0</v>
      </c>
      <c r="M32" s="200">
        <f t="shared" si="1"/>
        <v>0</v>
      </c>
      <c r="N32" s="200">
        <f t="shared" si="2"/>
        <v>0</v>
      </c>
      <c r="O32" s="38">
        <f t="shared" si="3"/>
        <v>0</v>
      </c>
      <c r="P32" s="39">
        <f t="shared" si="4"/>
        <v>0</v>
      </c>
    </row>
    <row r="33">
      <c r="A33" s="198" t="str">
        <f>Coins!A33</f>
        <v>TGBP</v>
      </c>
      <c r="B33" s="199">
        <f>Coins!B33</f>
        <v>4352768.658</v>
      </c>
      <c r="C33" s="200">
        <f>Coins!C33</f>
        <v>5748701.567</v>
      </c>
      <c r="D33" s="201">
        <f>Coins!D33</f>
        <v>0.0002693230729</v>
      </c>
      <c r="E33" s="201">
        <f>Coins!E33</f>
        <v>0</v>
      </c>
      <c r="F33" s="201">
        <f>Coins!F33</f>
        <v>0</v>
      </c>
      <c r="G33" s="201">
        <f>Coins!G33</f>
        <v>0</v>
      </c>
      <c r="H33" s="201">
        <f>if(Coins!H33="N/A",0,Coins!H33)</f>
        <v>0</v>
      </c>
      <c r="I33" s="202">
        <f>Coins!I33</f>
        <v>4352768.658</v>
      </c>
      <c r="J33" s="200">
        <f>Coins!J33</f>
        <v>5748701.567</v>
      </c>
      <c r="K33" s="201">
        <f>Coins!K33</f>
        <v>1</v>
      </c>
      <c r="L33" s="204">
        <f>Coins!L33</f>
        <v>0.002284953724</v>
      </c>
      <c r="M33" s="200">
        <f t="shared" si="1"/>
        <v>0</v>
      </c>
      <c r="N33" s="200">
        <f t="shared" si="2"/>
        <v>0</v>
      </c>
      <c r="O33" s="38">
        <f t="shared" si="3"/>
        <v>0</v>
      </c>
      <c r="P33" s="39">
        <f t="shared" si="4"/>
        <v>0</v>
      </c>
    </row>
    <row r="34">
      <c r="A34" s="198" t="str">
        <f>Coins!A34</f>
        <v>TAUD</v>
      </c>
      <c r="B34" s="199">
        <f>Coins!B34</f>
        <v>7208907.6</v>
      </c>
      <c r="C34" s="200">
        <f>Coins!C34</f>
        <v>5116882.614</v>
      </c>
      <c r="D34" s="201">
        <f>Coins!D34</f>
        <v>0.0002397227502</v>
      </c>
      <c r="E34" s="201">
        <f>Coins!E34</f>
        <v>0</v>
      </c>
      <c r="F34" s="201">
        <f>Coins!F34</f>
        <v>0</v>
      </c>
      <c r="G34" s="201">
        <f>Coins!G34</f>
        <v>0</v>
      </c>
      <c r="H34" s="201">
        <f>if(Coins!H34="N/A",0,Coins!H34)</f>
        <v>0</v>
      </c>
      <c r="I34" s="202">
        <f>Coins!I34</f>
        <v>7208907.6</v>
      </c>
      <c r="J34" s="200">
        <f>Coins!J34</f>
        <v>5116882.614</v>
      </c>
      <c r="K34" s="201">
        <f>Coins!K34</f>
        <v>1</v>
      </c>
      <c r="L34" s="204">
        <f>Coins!L34</f>
        <v>0.002033822743</v>
      </c>
      <c r="M34" s="200">
        <f t="shared" si="1"/>
        <v>0</v>
      </c>
      <c r="N34" s="200">
        <f t="shared" si="2"/>
        <v>0</v>
      </c>
      <c r="O34" s="38">
        <f t="shared" si="3"/>
        <v>0</v>
      </c>
      <c r="P34" s="39">
        <f t="shared" si="4"/>
        <v>0</v>
      </c>
    </row>
    <row r="35">
      <c r="A35" s="198" t="str">
        <f>Coins!A35</f>
        <v>OMG</v>
      </c>
      <c r="B35" s="199">
        <f>Coins!B35</f>
        <v>755814.8303</v>
      </c>
      <c r="C35" s="200">
        <f>Coins!C35</f>
        <v>4355141.2</v>
      </c>
      <c r="D35" s="201">
        <f>Coins!D35</f>
        <v>0.0002040356413</v>
      </c>
      <c r="E35" s="201">
        <f>Coins!E35</f>
        <v>0.04671077325</v>
      </c>
      <c r="F35" s="201">
        <f>Coins!F35</f>
        <v>0.0042</v>
      </c>
      <c r="G35" s="201">
        <f>Coins!G35</f>
        <v>0.04251077325</v>
      </c>
      <c r="H35" s="201">
        <f>if(Coins!H35="N/A",0,Coins!H35)</f>
        <v>0.0042</v>
      </c>
      <c r="I35" s="202">
        <f>Coins!I35</f>
        <v>262785.4504</v>
      </c>
      <c r="J35" s="200">
        <f>Coins!J35</f>
        <v>1514217.102</v>
      </c>
      <c r="K35" s="201">
        <f>Coins!K35</f>
        <v>0.3476849618</v>
      </c>
      <c r="L35" s="204">
        <f>Coins!L35</f>
        <v>0.0006018604316</v>
      </c>
      <c r="M35" s="200">
        <f t="shared" si="1"/>
        <v>203432.0131</v>
      </c>
      <c r="N35" s="200">
        <f t="shared" si="2"/>
        <v>18291.59304</v>
      </c>
      <c r="O35" s="38">
        <f t="shared" si="3"/>
        <v>185140.42</v>
      </c>
      <c r="P35" s="39">
        <f t="shared" si="4"/>
        <v>0.0042</v>
      </c>
    </row>
    <row r="36">
      <c r="A36" s="198" t="str">
        <f>Coins!A36</f>
        <v>SUSHI</v>
      </c>
      <c r="B36" s="199">
        <f>Coins!B36</f>
        <v>764865.399</v>
      </c>
      <c r="C36" s="200">
        <f>Coins!C36</f>
        <v>4005142.407</v>
      </c>
      <c r="D36" s="201">
        <f>Coins!D36</f>
        <v>0.0001876384168</v>
      </c>
      <c r="E36" s="201">
        <f>Coins!E36</f>
        <v>0.0882728595</v>
      </c>
      <c r="F36" s="201">
        <f>Coins!F36</f>
        <v>0.0396</v>
      </c>
      <c r="G36" s="201">
        <f>Coins!G36</f>
        <v>0.0486728595</v>
      </c>
      <c r="H36" s="201">
        <f>if(Coins!H36="N/A",0,Coins!H36)</f>
        <v>0.0396</v>
      </c>
      <c r="I36" s="202">
        <f>Coins!I36</f>
        <v>80697.68221</v>
      </c>
      <c r="J36" s="200">
        <f>Coins!J36</f>
        <v>422565.473</v>
      </c>
      <c r="K36" s="201">
        <f>Coins!K36</f>
        <v>0.1055057299</v>
      </c>
      <c r="L36" s="204">
        <f>Coins!L36</f>
        <v>0.0001679583712</v>
      </c>
      <c r="M36" s="200">
        <f t="shared" si="1"/>
        <v>353545.3729</v>
      </c>
      <c r="N36" s="200">
        <f t="shared" si="2"/>
        <v>158603.6393</v>
      </c>
      <c r="O36" s="38">
        <f t="shared" si="3"/>
        <v>194941.7336</v>
      </c>
      <c r="P36" s="39">
        <f t="shared" si="4"/>
        <v>0.0396</v>
      </c>
    </row>
    <row r="37">
      <c r="A37" s="198" t="str">
        <f>Coins!A37</f>
        <v>CRV</v>
      </c>
      <c r="B37" s="199">
        <f>Coins!B37</f>
        <v>1284979.282</v>
      </c>
      <c r="C37" s="200">
        <f>Coins!C37</f>
        <v>5129296.031</v>
      </c>
      <c r="D37" s="201">
        <f>Coins!D37</f>
        <v>0.000240304311</v>
      </c>
      <c r="E37" s="201">
        <f>Coins!E37</f>
        <v>0.09368638909</v>
      </c>
      <c r="F37" s="201">
        <f>Coins!F37</f>
        <v>0</v>
      </c>
      <c r="G37" s="201">
        <f>Coins!G37</f>
        <v>0.09368638909</v>
      </c>
      <c r="H37" s="201">
        <f>if(Coins!H37="N/A",0,Coins!H37)</f>
        <v>0</v>
      </c>
      <c r="I37" s="202">
        <f>Coins!I37</f>
        <v>122348.0943</v>
      </c>
      <c r="J37" s="200">
        <f>Coins!J37</f>
        <v>488381.0992</v>
      </c>
      <c r="K37" s="201">
        <f>Coins!K37</f>
        <v>0.09521405983</v>
      </c>
      <c r="L37" s="204">
        <f>Coins!L37</f>
        <v>0.0001941183063</v>
      </c>
      <c r="M37" s="200">
        <f t="shared" si="1"/>
        <v>480545.2237</v>
      </c>
      <c r="N37" s="200">
        <f t="shared" si="2"/>
        <v>0</v>
      </c>
      <c r="O37" s="38">
        <f t="shared" si="3"/>
        <v>480545.2237</v>
      </c>
      <c r="P37" s="39">
        <f t="shared" si="4"/>
        <v>0</v>
      </c>
    </row>
    <row r="38">
      <c r="A38" s="198" t="str">
        <f>Coins!A38</f>
        <v>BSV</v>
      </c>
      <c r="B38" s="199">
        <f>Coins!B38</f>
        <v>30222.32106</v>
      </c>
      <c r="C38" s="200">
        <f>Coins!C38</f>
        <v>3677452.027</v>
      </c>
      <c r="D38" s="201">
        <f>Coins!D38</f>
        <v>0.0001722863274</v>
      </c>
      <c r="E38" s="201">
        <f>Coins!E38</f>
        <v>0.04035661971</v>
      </c>
      <c r="F38" s="201">
        <f>Coins!F38</f>
        <v>0.0183</v>
      </c>
      <c r="G38" s="201">
        <f>Coins!G38</f>
        <v>0.02205661971</v>
      </c>
      <c r="H38" s="201">
        <f>if(Coins!H38="N/A",0,Coins!H38)</f>
        <v>0.0183</v>
      </c>
      <c r="I38" s="202">
        <f>Coins!I38</f>
        <v>5280.179593</v>
      </c>
      <c r="J38" s="200">
        <f>Coins!J38</f>
        <v>642492.2529</v>
      </c>
      <c r="K38" s="201">
        <f>Coins!K38</f>
        <v>0.1747112534</v>
      </c>
      <c r="L38" s="204">
        <f>Coins!L38</f>
        <v>0.0002553733307</v>
      </c>
      <c r="M38" s="200">
        <f t="shared" si="1"/>
        <v>148409.533</v>
      </c>
      <c r="N38" s="200">
        <f t="shared" si="2"/>
        <v>67297.37209</v>
      </c>
      <c r="O38" s="38">
        <f t="shared" si="3"/>
        <v>81112.16086</v>
      </c>
      <c r="P38" s="39">
        <f t="shared" si="4"/>
        <v>0.0183</v>
      </c>
    </row>
    <row r="39">
      <c r="A39" s="198" t="str">
        <f>Coins!A39</f>
        <v>BADGER</v>
      </c>
      <c r="B39" s="199">
        <f>Coins!B39</f>
        <v>231511.6258</v>
      </c>
      <c r="C39" s="200">
        <f>Coins!C39</f>
        <v>3343469.686</v>
      </c>
      <c r="D39" s="201">
        <f>Coins!D39</f>
        <v>0.0001566394636</v>
      </c>
      <c r="E39" s="201">
        <f>Coins!E39</f>
        <v>0.04848309437</v>
      </c>
      <c r="F39" s="201">
        <f>Coins!F39</f>
        <v>0</v>
      </c>
      <c r="G39" s="201">
        <f>Coins!G39</f>
        <v>0.04848309437</v>
      </c>
      <c r="H39" s="201">
        <f>if(Coins!H39="N/A",0,Coins!H39)</f>
        <v>0</v>
      </c>
      <c r="I39" s="202">
        <f>Coins!I39</f>
        <v>961.3360518</v>
      </c>
      <c r="J39" s="200">
        <f>Coins!J39</f>
        <v>13883.52717</v>
      </c>
      <c r="K39" s="201">
        <f>Coins!K39</f>
        <v>0.004152431</v>
      </c>
      <c r="L39" s="204">
        <f>Coins!L39</f>
        <v>0.000005518327356</v>
      </c>
      <c r="M39" s="200">
        <f t="shared" si="1"/>
        <v>162101.7563</v>
      </c>
      <c r="N39" s="200">
        <f t="shared" si="2"/>
        <v>0</v>
      </c>
      <c r="O39" s="38">
        <f t="shared" si="3"/>
        <v>162101.7563</v>
      </c>
      <c r="P39" s="39">
        <f t="shared" si="4"/>
        <v>0</v>
      </c>
    </row>
    <row r="40">
      <c r="A40" s="198" t="str">
        <f>Coins!A40</f>
        <v>TCAD</v>
      </c>
      <c r="B40" s="199">
        <f>Coins!B40</f>
        <v>3348120.317</v>
      </c>
      <c r="C40" s="200">
        <f>Coins!C40</f>
        <v>2590775.501</v>
      </c>
      <c r="D40" s="201">
        <f>Coins!D40</f>
        <v>0.0001213762119</v>
      </c>
      <c r="E40" s="201">
        <f>Coins!E40</f>
        <v>0</v>
      </c>
      <c r="F40" s="201">
        <f>Coins!F40</f>
        <v>0</v>
      </c>
      <c r="G40" s="201">
        <f>Coins!G40</f>
        <v>0</v>
      </c>
      <c r="H40" s="201">
        <f>if(Coins!H40="N/A",0,Coins!H40)</f>
        <v>0</v>
      </c>
      <c r="I40" s="202">
        <f>Coins!I40</f>
        <v>3348120.317</v>
      </c>
      <c r="J40" s="200">
        <f>Coins!J40</f>
        <v>2590775.501</v>
      </c>
      <c r="K40" s="201">
        <f>Coins!K40</f>
        <v>1</v>
      </c>
      <c r="L40" s="204">
        <f>Coins!L40</f>
        <v>0.001029763341</v>
      </c>
      <c r="M40" s="200">
        <f t="shared" si="1"/>
        <v>0</v>
      </c>
      <c r="N40" s="200">
        <f t="shared" si="2"/>
        <v>0</v>
      </c>
      <c r="O40" s="38">
        <f t="shared" si="3"/>
        <v>0</v>
      </c>
      <c r="P40" s="39">
        <f t="shared" si="4"/>
        <v>0</v>
      </c>
    </row>
    <row r="41">
      <c r="A41" s="198" t="str">
        <f>Coins!A41</f>
        <v>THKD</v>
      </c>
      <c r="B41" s="199">
        <f>Coins!B41</f>
        <v>18969302.24</v>
      </c>
      <c r="C41" s="200">
        <f>Coins!C41</f>
        <v>2431864.547</v>
      </c>
      <c r="D41" s="201">
        <f>Coins!D41</f>
        <v>0.000113931333</v>
      </c>
      <c r="E41" s="201">
        <f>Coins!E41</f>
        <v>0</v>
      </c>
      <c r="F41" s="201">
        <f>Coins!F41</f>
        <v>0</v>
      </c>
      <c r="G41" s="201">
        <f>Coins!G41</f>
        <v>0</v>
      </c>
      <c r="H41" s="201">
        <f>if(Coins!H41="N/A",0,Coins!H41)</f>
        <v>0</v>
      </c>
      <c r="I41" s="202">
        <f>Coins!I41</f>
        <v>18969302.24</v>
      </c>
      <c r="J41" s="200">
        <f>Coins!J41</f>
        <v>2431864.547</v>
      </c>
      <c r="K41" s="201">
        <f>Coins!K41</f>
        <v>1</v>
      </c>
      <c r="L41" s="204">
        <f>Coins!L41</f>
        <v>0.0009666005252</v>
      </c>
      <c r="M41" s="200">
        <f t="shared" si="1"/>
        <v>0</v>
      </c>
      <c r="N41" s="200">
        <f t="shared" si="2"/>
        <v>0</v>
      </c>
      <c r="O41" s="38">
        <f t="shared" si="3"/>
        <v>0</v>
      </c>
      <c r="P41" s="39">
        <f t="shared" si="4"/>
        <v>0</v>
      </c>
    </row>
    <row r="42">
      <c r="A42" s="198" t="str">
        <f>Coins!A42</f>
        <v>KNC</v>
      </c>
      <c r="B42" s="199">
        <f>Coins!B42</f>
        <v>1873281.23</v>
      </c>
      <c r="C42" s="200">
        <f>Coins!C42</f>
        <v>2314598.251</v>
      </c>
      <c r="D42" s="201">
        <f>Coins!D42</f>
        <v>0.0001084374804</v>
      </c>
      <c r="E42" s="201">
        <f>Coins!E42</f>
        <v>0.01465575152</v>
      </c>
      <c r="F42" s="201">
        <f>Coins!F42</f>
        <v>0.0048</v>
      </c>
      <c r="G42" s="201">
        <f>Coins!G42</f>
        <v>0.009855751523</v>
      </c>
      <c r="H42" s="201">
        <f>if(Coins!H42="N/A",0,Coins!H42)</f>
        <v>0.0048</v>
      </c>
      <c r="I42" s="202">
        <f>Coins!I42</f>
        <v>277784.6084</v>
      </c>
      <c r="J42" s="200">
        <f>Coins!J42</f>
        <v>343226.5045</v>
      </c>
      <c r="K42" s="201">
        <f>Coins!K42</f>
        <v>0.1482877231</v>
      </c>
      <c r="L42" s="204">
        <f>Coins!L42</f>
        <v>0.0001364232724</v>
      </c>
      <c r="M42" s="200">
        <f t="shared" si="1"/>
        <v>33922.17684</v>
      </c>
      <c r="N42" s="200">
        <f t="shared" si="2"/>
        <v>11110.0716</v>
      </c>
      <c r="O42" s="38">
        <f t="shared" si="3"/>
        <v>22812.10524</v>
      </c>
      <c r="P42" s="39">
        <f t="shared" si="4"/>
        <v>0.0048</v>
      </c>
    </row>
    <row r="43">
      <c r="A43" s="198" t="str">
        <f>Coins!A43</f>
        <v>LDO</v>
      </c>
      <c r="B43" s="199">
        <f>Coins!B43</f>
        <v>904018.6009</v>
      </c>
      <c r="C43" s="200">
        <f>Coins!C43</f>
        <v>2323327.804</v>
      </c>
      <c r="D43" s="201">
        <f>Coins!D43</f>
        <v>0.0001088464545</v>
      </c>
      <c r="E43" s="201">
        <f>Coins!E43</f>
        <v>0</v>
      </c>
      <c r="F43" s="201">
        <f>Coins!F43</f>
        <v>0</v>
      </c>
      <c r="G43" s="201">
        <f>Coins!G43</f>
        <v>0</v>
      </c>
      <c r="H43" s="201">
        <f>if(Coins!H43="N/A",0,Coins!H43)</f>
        <v>0</v>
      </c>
      <c r="I43" s="202">
        <f>Coins!I43</f>
        <v>0</v>
      </c>
      <c r="J43" s="200">
        <f>Coins!J43</f>
        <v>0</v>
      </c>
      <c r="K43" s="201">
        <f>Coins!K43</f>
        <v>0</v>
      </c>
      <c r="L43" s="204">
        <f>Coins!L43</f>
        <v>0</v>
      </c>
      <c r="M43" s="200">
        <f t="shared" si="1"/>
        <v>0</v>
      </c>
      <c r="N43" s="200">
        <f t="shared" si="2"/>
        <v>0</v>
      </c>
      <c r="O43" s="38">
        <f t="shared" si="3"/>
        <v>0</v>
      </c>
      <c r="P43" s="39">
        <f t="shared" si="4"/>
        <v>0</v>
      </c>
    </row>
    <row r="44">
      <c r="A44" s="198" t="str">
        <f>Coins!A44</f>
        <v>DIGG</v>
      </c>
      <c r="B44" s="199">
        <f>Coins!B44</f>
        <v>37.53214397</v>
      </c>
      <c r="C44" s="200">
        <f>Coins!C44</f>
        <v>1320848.183</v>
      </c>
      <c r="D44" s="201">
        <f>Coins!D44</f>
        <v>0.00006188091127</v>
      </c>
      <c r="E44" s="201">
        <f>Coins!E44</f>
        <v>0.0499957584</v>
      </c>
      <c r="F44" s="201">
        <f>Coins!F44</f>
        <v>0</v>
      </c>
      <c r="G44" s="201">
        <f>Coins!G44</f>
        <v>0.0499957584</v>
      </c>
      <c r="H44" s="201">
        <f>if(Coins!H44="N/A",0,Coins!H44)</f>
        <v>0</v>
      </c>
      <c r="I44" s="202">
        <f>Coins!I44</f>
        <v>0</v>
      </c>
      <c r="J44" s="200">
        <f>Coins!J44</f>
        <v>0</v>
      </c>
      <c r="K44" s="201">
        <f>Coins!K44</f>
        <v>0</v>
      </c>
      <c r="L44" s="204">
        <f>Coins!L44</f>
        <v>0</v>
      </c>
      <c r="M44" s="200">
        <f t="shared" si="1"/>
        <v>66036.80665</v>
      </c>
      <c r="N44" s="200">
        <f t="shared" si="2"/>
        <v>0</v>
      </c>
      <c r="O44" s="38">
        <f t="shared" si="3"/>
        <v>66036.80665</v>
      </c>
      <c r="P44" s="39">
        <f t="shared" si="4"/>
        <v>0</v>
      </c>
    </row>
    <row r="45">
      <c r="A45" s="198" t="str">
        <f>Coins!A45</f>
        <v>YFI</v>
      </c>
      <c r="B45" s="199">
        <f>Coins!B45</f>
        <v>52.50547601</v>
      </c>
      <c r="C45" s="200">
        <f>Coins!C45</f>
        <v>1856455.342</v>
      </c>
      <c r="D45" s="201">
        <f>Coins!D45</f>
        <v>0.00008697377169</v>
      </c>
      <c r="E45" s="201">
        <f>Coins!E45</f>
        <v>0.08049571818</v>
      </c>
      <c r="F45" s="201">
        <f>Coins!F45</f>
        <v>0</v>
      </c>
      <c r="G45" s="201">
        <f>Coins!G45</f>
        <v>0.08049571818</v>
      </c>
      <c r="H45" s="201">
        <f>if(Coins!H45="N/A",0,Coins!H45)</f>
        <v>0</v>
      </c>
      <c r="I45" s="202">
        <f>Coins!I45</f>
        <v>0.30885492</v>
      </c>
      <c r="J45" s="200">
        <f>Coins!J45</f>
        <v>10920.29651</v>
      </c>
      <c r="K45" s="201">
        <f>Coins!K45</f>
        <v>0.0058823373</v>
      </c>
      <c r="L45" s="204">
        <f>Coins!L45</f>
        <v>0.000004340523139</v>
      </c>
      <c r="M45" s="200">
        <f t="shared" si="1"/>
        <v>149436.7061</v>
      </c>
      <c r="N45" s="200">
        <f t="shared" si="2"/>
        <v>0</v>
      </c>
      <c r="O45" s="38">
        <f t="shared" si="3"/>
        <v>149436.7061</v>
      </c>
      <c r="P45" s="39">
        <f t="shared" si="4"/>
        <v>0</v>
      </c>
    </row>
    <row r="46">
      <c r="A46" s="198" t="str">
        <f>Coins!A46</f>
        <v>UMA</v>
      </c>
      <c r="B46" s="199">
        <f>Coins!B46</f>
        <v>126716.3715</v>
      </c>
      <c r="C46" s="200">
        <f>Coins!C46</f>
        <v>1085889.701</v>
      </c>
      <c r="D46" s="201">
        <f>Coins!D46</f>
        <v>0.00005087325335</v>
      </c>
      <c r="E46" s="201">
        <f>Coins!E46</f>
        <v>0.05588255859</v>
      </c>
      <c r="F46" s="201">
        <f>Coins!F46</f>
        <v>0.0093</v>
      </c>
      <c r="G46" s="201">
        <f>Coins!G46</f>
        <v>0.04658255859</v>
      </c>
      <c r="H46" s="201">
        <f>if(Coins!H46="N/A",0,Coins!H46)</f>
        <v>0.0093</v>
      </c>
      <c r="I46" s="202">
        <f>Coins!I46</f>
        <v>31920.7215</v>
      </c>
      <c r="J46" s="200">
        <f>Coins!J46</f>
        <v>273543.05</v>
      </c>
      <c r="K46" s="201">
        <f>Coins!K46</f>
        <v>0.2519068461</v>
      </c>
      <c r="L46" s="204">
        <f>Coins!L46</f>
        <v>0.0001087259799</v>
      </c>
      <c r="M46" s="200">
        <f t="shared" si="1"/>
        <v>60682.29487</v>
      </c>
      <c r="N46" s="200">
        <f t="shared" si="2"/>
        <v>10098.77422</v>
      </c>
      <c r="O46" s="38">
        <f t="shared" si="3"/>
        <v>50583.52064</v>
      </c>
      <c r="P46" s="39">
        <f t="shared" si="4"/>
        <v>0.0093</v>
      </c>
    </row>
    <row r="47">
      <c r="A47" s="198" t="str">
        <f>Coins!A47</f>
        <v>XAUT</v>
      </c>
      <c r="B47" s="199">
        <f>Coins!B47</f>
        <v>338.4017606</v>
      </c>
      <c r="C47" s="200">
        <f>Coins!C47</f>
        <v>609588.2204</v>
      </c>
      <c r="D47" s="201">
        <f>Coins!D47</f>
        <v>0.00002855882686</v>
      </c>
      <c r="E47" s="201">
        <f>Coins!E47</f>
        <v>0</v>
      </c>
      <c r="F47" s="201">
        <f>Coins!F47</f>
        <v>0.0554</v>
      </c>
      <c r="G47" s="201">
        <f>Coins!G47</f>
        <v>-0.0554</v>
      </c>
      <c r="H47" s="201">
        <f>if(Coins!H47="N/A",0,Coins!H47)</f>
        <v>0.0554</v>
      </c>
      <c r="I47" s="202">
        <f>Coins!I47</f>
        <v>237.396921</v>
      </c>
      <c r="J47" s="200">
        <f>Coins!J47</f>
        <v>427640.7024</v>
      </c>
      <c r="K47" s="201">
        <f>Coins!K47</f>
        <v>0.7015238945</v>
      </c>
      <c r="L47" s="204">
        <f>Coins!L47</f>
        <v>0.0001699756379</v>
      </c>
      <c r="M47" s="200">
        <f t="shared" si="1"/>
        <v>0</v>
      </c>
      <c r="N47" s="200">
        <f t="shared" si="2"/>
        <v>33771.18741</v>
      </c>
      <c r="O47" s="38">
        <f t="shared" si="3"/>
        <v>-33771.18741</v>
      </c>
      <c r="P47" s="39">
        <f t="shared" si="4"/>
        <v>0</v>
      </c>
    </row>
    <row r="48">
      <c r="A48" s="198" t="str">
        <f>Coins!A48</f>
        <v>REN</v>
      </c>
      <c r="B48" s="199">
        <f>Coins!B48</f>
        <v>933182.1711</v>
      </c>
      <c r="C48" s="200">
        <f>Coins!C48</f>
        <v>448472.397</v>
      </c>
      <c r="D48" s="201">
        <f>Coins!D48</f>
        <v>0.00002101065131</v>
      </c>
      <c r="E48" s="201">
        <f>Coins!E48</f>
        <v>0.08121111091</v>
      </c>
      <c r="F48" s="201">
        <f>Coins!F48</f>
        <v>0</v>
      </c>
      <c r="G48" s="201">
        <f>Coins!G48</f>
        <v>0.08121111091</v>
      </c>
      <c r="H48" s="201">
        <f>if(Coins!H48="N/A",0,Coins!H48)</f>
        <v>0</v>
      </c>
      <c r="I48" s="202">
        <f>Coins!I48</f>
        <v>129526.1711</v>
      </c>
      <c r="J48" s="200">
        <f>Coins!J48</f>
        <v>62248.20215</v>
      </c>
      <c r="K48" s="201">
        <f>Coins!K48</f>
        <v>0.1388005205</v>
      </c>
      <c r="L48" s="204">
        <f>Coins!L48</f>
        <v>0.00002474198037</v>
      </c>
      <c r="M48" s="200">
        <f t="shared" si="1"/>
        <v>36420.94157</v>
      </c>
      <c r="N48" s="200">
        <f t="shared" si="2"/>
        <v>0</v>
      </c>
      <c r="O48" s="38">
        <f t="shared" si="3"/>
        <v>36420.94157</v>
      </c>
      <c r="P48" s="39">
        <f t="shared" si="4"/>
        <v>0</v>
      </c>
    </row>
    <row r="49">
      <c r="A49" s="198" t="str">
        <f>Coins!A49</f>
        <v>LPT</v>
      </c>
      <c r="B49" s="199">
        <f>Coins!B49</f>
        <v>12253.99809</v>
      </c>
      <c r="C49" s="200">
        <f>Coins!C49</f>
        <v>410137.7426</v>
      </c>
      <c r="D49" s="201">
        <f>Coins!D49</f>
        <v>0.00001921469672</v>
      </c>
      <c r="E49" s="201">
        <f>Coins!E49</f>
        <v>0</v>
      </c>
      <c r="F49" s="201">
        <f>Coins!F49</f>
        <v>0</v>
      </c>
      <c r="G49" s="201">
        <f>Coins!G49</f>
        <v>0</v>
      </c>
      <c r="H49" s="201">
        <f>if(Coins!H49="N/A",0,Coins!H49)</f>
        <v>0</v>
      </c>
      <c r="I49" s="202">
        <f>Coins!I49</f>
        <v>12253.99809</v>
      </c>
      <c r="J49" s="200">
        <f>Coins!J49</f>
        <v>410137.7426</v>
      </c>
      <c r="K49" s="201">
        <f>Coins!K49</f>
        <v>1</v>
      </c>
      <c r="L49" s="204">
        <f>Coins!L49</f>
        <v>0.0001630186837</v>
      </c>
      <c r="M49" s="200">
        <f t="shared" si="1"/>
        <v>0</v>
      </c>
      <c r="N49" s="200">
        <f t="shared" si="2"/>
        <v>0</v>
      </c>
      <c r="O49" s="38">
        <f t="shared" si="3"/>
        <v>0</v>
      </c>
      <c r="P49" s="39">
        <f t="shared" si="4"/>
        <v>0</v>
      </c>
    </row>
    <row r="50">
      <c r="A50" s="198" t="str">
        <f>Coins!A50</f>
        <v>ALPHA</v>
      </c>
      <c r="B50" s="199">
        <f>Coins!B50</f>
        <v>552645.0163</v>
      </c>
      <c r="C50" s="200">
        <f>Coins!C50</f>
        <v>369078.9737</v>
      </c>
      <c r="D50" s="201">
        <f>Coins!D50</f>
        <v>0.00001729111908</v>
      </c>
      <c r="E50" s="201">
        <f>Coins!E50</f>
        <v>0.3087254239</v>
      </c>
      <c r="F50" s="201">
        <f>Coins!F50</f>
        <v>0</v>
      </c>
      <c r="G50" s="201">
        <f>Coins!G50</f>
        <v>0.3087254239</v>
      </c>
      <c r="H50" s="201">
        <f>if(Coins!H50="N/A",0,Coins!H50)</f>
        <v>0</v>
      </c>
      <c r="I50" s="202">
        <f>Coins!I50</f>
        <v>0.75136751</v>
      </c>
      <c r="J50" s="200">
        <f>Coins!J50</f>
        <v>0.501793993</v>
      </c>
      <c r="K50" s="201">
        <f>Coins!K50</f>
        <v>0.00000135958434</v>
      </c>
      <c r="L50" s="204">
        <f>Coins!L50</f>
        <v>0.0000000001994495696</v>
      </c>
      <c r="M50" s="200">
        <f t="shared" si="1"/>
        <v>113944.0626</v>
      </c>
      <c r="N50" s="200">
        <f t="shared" si="2"/>
        <v>0</v>
      </c>
      <c r="O50" s="38">
        <f t="shared" si="3"/>
        <v>113944.0626</v>
      </c>
      <c r="P50" s="39">
        <f t="shared" si="4"/>
        <v>0</v>
      </c>
    </row>
    <row r="51">
      <c r="A51" s="198" t="str">
        <f>Coins!A51</f>
        <v>WDGLD</v>
      </c>
      <c r="B51" s="199">
        <f>Coins!B51</f>
        <v>1666.471496</v>
      </c>
      <c r="C51" s="200">
        <f>Coins!C51</f>
        <v>293232.3244</v>
      </c>
      <c r="D51" s="201">
        <f>Coins!D51</f>
        <v>0.000013737751</v>
      </c>
      <c r="E51" s="201">
        <f>Coins!E51</f>
        <v>0</v>
      </c>
      <c r="F51" s="201">
        <f>Coins!F51</f>
        <v>0</v>
      </c>
      <c r="G51" s="201">
        <f>Coins!G51</f>
        <v>0</v>
      </c>
      <c r="H51" s="201">
        <f>if(Coins!H51="N/A",0,Coins!H51)</f>
        <v>0</v>
      </c>
      <c r="I51" s="202">
        <f>Coins!I51</f>
        <v>1666.471496</v>
      </c>
      <c r="J51" s="200">
        <f>Coins!J51</f>
        <v>293232.3244</v>
      </c>
      <c r="K51" s="201">
        <f>Coins!K51</f>
        <v>1</v>
      </c>
      <c r="L51" s="204">
        <f>Coins!L51</f>
        <v>0.0001165519351</v>
      </c>
      <c r="M51" s="200">
        <f t="shared" si="1"/>
        <v>0</v>
      </c>
      <c r="N51" s="200">
        <f t="shared" si="2"/>
        <v>0</v>
      </c>
      <c r="O51" s="38">
        <f t="shared" si="3"/>
        <v>0</v>
      </c>
      <c r="P51" s="39">
        <f t="shared" si="4"/>
        <v>0</v>
      </c>
    </row>
    <row r="52">
      <c r="A52" s="198" t="str">
        <f>Coins!A52</f>
        <v>BAL</v>
      </c>
      <c r="B52" s="199">
        <f>Coins!B52</f>
        <v>12376.25604</v>
      </c>
      <c r="C52" s="200">
        <f>Coins!C52</f>
        <v>218553.7038</v>
      </c>
      <c r="D52" s="201">
        <f>Coins!D52</f>
        <v>0.00001023910433</v>
      </c>
      <c r="E52" s="201">
        <f>Coins!E52</f>
        <v>0.1532506757</v>
      </c>
      <c r="F52" s="201">
        <f>Coins!F52</f>
        <v>0</v>
      </c>
      <c r="G52" s="201">
        <f>Coins!G52</f>
        <v>0.1532506757</v>
      </c>
      <c r="H52" s="201">
        <f>if(Coins!H52="N/A",0,Coins!H52)</f>
        <v>0</v>
      </c>
      <c r="I52" s="202">
        <f>Coins!I52</f>
        <v>697.0794665</v>
      </c>
      <c r="J52" s="200">
        <f>Coins!J52</f>
        <v>12309.80506</v>
      </c>
      <c r="K52" s="201">
        <f>Coins!K52</f>
        <v>0.05632393709</v>
      </c>
      <c r="L52" s="204">
        <f>Coins!L52</f>
        <v>0.00000489281529</v>
      </c>
      <c r="M52" s="200">
        <f t="shared" si="1"/>
        <v>33493.50277</v>
      </c>
      <c r="N52" s="200">
        <f t="shared" si="2"/>
        <v>0</v>
      </c>
      <c r="O52" s="38">
        <f t="shared" si="3"/>
        <v>33493.50277</v>
      </c>
      <c r="P52" s="39">
        <f t="shared" si="4"/>
        <v>0</v>
      </c>
    </row>
    <row r="53">
      <c r="A53" s="198" t="str">
        <f>Coins!A53</f>
        <v>BTG</v>
      </c>
      <c r="B53" s="199">
        <f>Coins!B53</f>
        <v>3867.471676</v>
      </c>
      <c r="C53" s="200">
        <f>Coins!C53</f>
        <v>155308.0237</v>
      </c>
      <c r="D53" s="201">
        <f>Coins!D53</f>
        <v>0.000007276083774</v>
      </c>
      <c r="E53" s="201">
        <f>Coins!E53</f>
        <v>0.071</v>
      </c>
      <c r="F53" s="201">
        <f>Coins!F53</f>
        <v>0</v>
      </c>
      <c r="G53" s="201">
        <f>Coins!G53</f>
        <v>0.071</v>
      </c>
      <c r="H53" s="201">
        <f>if(Coins!H53="N/A",0,Coins!H53)</f>
        <v>0</v>
      </c>
      <c r="I53" s="202">
        <f>Coins!I53</f>
        <v>0</v>
      </c>
      <c r="J53" s="200">
        <f>Coins!J53</f>
        <v>0</v>
      </c>
      <c r="K53" s="201">
        <f>Coins!K53</f>
        <v>0</v>
      </c>
      <c r="L53" s="204">
        <f>Coins!L53</f>
        <v>0</v>
      </c>
      <c r="M53" s="200">
        <f t="shared" si="1"/>
        <v>11026.86968</v>
      </c>
      <c r="N53" s="200">
        <f t="shared" si="2"/>
        <v>0</v>
      </c>
      <c r="O53" s="38">
        <f t="shared" si="3"/>
        <v>11026.86968</v>
      </c>
      <c r="P53" s="39">
        <f t="shared" si="4"/>
        <v>0</v>
      </c>
    </row>
    <row r="54">
      <c r="A54" s="198" t="str">
        <f>Coins!A54</f>
        <v>VSP</v>
      </c>
      <c r="B54" s="199">
        <f>Coins!B54</f>
        <v>42468.49501</v>
      </c>
      <c r="C54" s="200">
        <f>Coins!C54</f>
        <v>147365.6777</v>
      </c>
      <c r="D54" s="201">
        <f>Coins!D54</f>
        <v>0.00000690398983</v>
      </c>
      <c r="E54" s="201">
        <f>Coins!E54</f>
        <v>0</v>
      </c>
      <c r="F54" s="201">
        <f>Coins!F54</f>
        <v>0</v>
      </c>
      <c r="G54" s="201">
        <f>Coins!G54</f>
        <v>0</v>
      </c>
      <c r="H54" s="201">
        <f>if(Coins!H54="N/A",0,Coins!H54)</f>
        <v>0</v>
      </c>
      <c r="I54" s="202">
        <f>Coins!I54</f>
        <v>0</v>
      </c>
      <c r="J54" s="200">
        <f>Coins!J54</f>
        <v>0</v>
      </c>
      <c r="K54" s="201">
        <f>Coins!K54</f>
        <v>0</v>
      </c>
      <c r="L54" s="204">
        <f>Coins!L54</f>
        <v>0</v>
      </c>
      <c r="M54" s="200">
        <f t="shared" si="1"/>
        <v>0</v>
      </c>
      <c r="N54" s="200">
        <f t="shared" si="2"/>
        <v>0</v>
      </c>
      <c r="O54" s="38">
        <f t="shared" si="3"/>
        <v>0</v>
      </c>
      <c r="P54" s="39">
        <f t="shared" si="4"/>
        <v>0</v>
      </c>
    </row>
    <row r="55">
      <c r="A55" s="198" t="str">
        <f>Coins!A55</f>
        <v>PNT</v>
      </c>
      <c r="B55" s="199">
        <f>Coins!B55</f>
        <v>159147.4688</v>
      </c>
      <c r="C55" s="200">
        <f>Coins!C55</f>
        <v>146809.3767</v>
      </c>
      <c r="D55" s="201">
        <f>Coins!D55</f>
        <v>0.000006877927479</v>
      </c>
      <c r="E55" s="201">
        <f>Coins!E55</f>
        <v>0</v>
      </c>
      <c r="F55" s="201">
        <f>Coins!F55</f>
        <v>0</v>
      </c>
      <c r="G55" s="201">
        <f>Coins!G55</f>
        <v>0</v>
      </c>
      <c r="H55" s="201">
        <f>if(Coins!H55="N/A",0,Coins!H55)</f>
        <v>0</v>
      </c>
      <c r="I55" s="202">
        <f>Coins!I55</f>
        <v>0</v>
      </c>
      <c r="J55" s="200">
        <f>Coins!J55</f>
        <v>0</v>
      </c>
      <c r="K55" s="201">
        <f>Coins!K55</f>
        <v>0</v>
      </c>
      <c r="L55" s="204">
        <f>Coins!L55</f>
        <v>0</v>
      </c>
      <c r="M55" s="200">
        <f t="shared" si="1"/>
        <v>0</v>
      </c>
      <c r="N55" s="200">
        <f t="shared" si="2"/>
        <v>0</v>
      </c>
      <c r="O55" s="38">
        <f t="shared" si="3"/>
        <v>0</v>
      </c>
      <c r="P55" s="39">
        <f t="shared" si="4"/>
        <v>0</v>
      </c>
    </row>
    <row r="56">
      <c r="A56" s="198" t="str">
        <f>Coins!A56</f>
        <v>FARM</v>
      </c>
      <c r="B56" s="199">
        <f>Coins!B56</f>
        <v>474.2709744</v>
      </c>
      <c r="C56" s="200">
        <f>Coins!C56</f>
        <v>42090.35112</v>
      </c>
      <c r="D56" s="201">
        <f>Coins!D56</f>
        <v>0.000001971906625</v>
      </c>
      <c r="E56" s="201">
        <f>Coins!E56</f>
        <v>0</v>
      </c>
      <c r="F56" s="201">
        <f>Coins!F56</f>
        <v>0</v>
      </c>
      <c r="G56" s="201">
        <f>Coins!G56</f>
        <v>0</v>
      </c>
      <c r="H56" s="201">
        <f>if(Coins!H56="N/A",0,Coins!H56)</f>
        <v>0</v>
      </c>
      <c r="I56" s="202">
        <f>Coins!I56</f>
        <v>0</v>
      </c>
      <c r="J56" s="200">
        <f>Coins!J56</f>
        <v>0</v>
      </c>
      <c r="K56" s="201">
        <f>Coins!K56</f>
        <v>0</v>
      </c>
      <c r="L56" s="204">
        <f>Coins!L56</f>
        <v>0</v>
      </c>
      <c r="M56" s="200">
        <f t="shared" si="1"/>
        <v>0</v>
      </c>
      <c r="N56" s="200">
        <f t="shared" si="2"/>
        <v>0</v>
      </c>
      <c r="O56" s="38">
        <f t="shared" si="3"/>
        <v>0</v>
      </c>
      <c r="P56" s="39">
        <f t="shared" si="4"/>
        <v>0</v>
      </c>
    </row>
    <row r="57">
      <c r="A57" s="198" t="str">
        <f>Coins!A57</f>
        <v>FIS</v>
      </c>
      <c r="B57" s="199">
        <f>Coins!B57</f>
        <v>28064.87165</v>
      </c>
      <c r="C57" s="200">
        <f>Coins!C57</f>
        <v>31432.65625</v>
      </c>
      <c r="D57" s="201">
        <f>Coins!D57</f>
        <v>0.000001472600286</v>
      </c>
      <c r="E57" s="201">
        <f>Coins!E57</f>
        <v>0</v>
      </c>
      <c r="F57" s="201">
        <f>Coins!F57</f>
        <v>0</v>
      </c>
      <c r="G57" s="201">
        <f>Coins!G57</f>
        <v>0</v>
      </c>
      <c r="H57" s="201">
        <f>if(Coins!H57="N/A",0,Coins!H57)</f>
        <v>0</v>
      </c>
      <c r="I57" s="202">
        <f>Coins!I57</f>
        <v>0</v>
      </c>
      <c r="J57" s="200">
        <f>Coins!J57</f>
        <v>0</v>
      </c>
      <c r="K57" s="201">
        <f>Coins!K57</f>
        <v>0</v>
      </c>
      <c r="L57" s="204">
        <f>Coins!L57</f>
        <v>0</v>
      </c>
      <c r="M57" s="200">
        <f t="shared" si="1"/>
        <v>0</v>
      </c>
      <c r="N57" s="200">
        <f t="shared" si="2"/>
        <v>0</v>
      </c>
      <c r="O57" s="38">
        <f t="shared" si="3"/>
        <v>0</v>
      </c>
      <c r="P57" s="39">
        <f t="shared" si="4"/>
        <v>0</v>
      </c>
    </row>
    <row r="58">
      <c r="A58" s="198" t="str">
        <f>Coins!A58</f>
        <v>MKR</v>
      </c>
      <c r="B58" s="199">
        <f>Coins!B58</f>
        <v>11.87823651</v>
      </c>
      <c r="C58" s="200">
        <f>Coins!C58</f>
        <v>27254.37747</v>
      </c>
      <c r="D58" s="201">
        <f>Coins!D58</f>
        <v>0.000001276850539</v>
      </c>
      <c r="E58" s="201">
        <f>Coins!E58</f>
        <v>0</v>
      </c>
      <c r="F58" s="201">
        <f>Coins!F58</f>
        <v>0</v>
      </c>
      <c r="G58" s="201">
        <f>Coins!G58</f>
        <v>0</v>
      </c>
      <c r="H58" s="201">
        <f>if(Coins!H58="N/A",0,Coins!H58)</f>
        <v>0</v>
      </c>
      <c r="I58" s="202">
        <f>Coins!I58</f>
        <v>11.87371194</v>
      </c>
      <c r="J58" s="200">
        <f>Coins!J58</f>
        <v>27243.99593</v>
      </c>
      <c r="K58" s="201">
        <f>Coins!K58</f>
        <v>0.9996190872</v>
      </c>
      <c r="L58" s="204">
        <f>Coins!L58</f>
        <v>0.00001082875311</v>
      </c>
      <c r="M58" s="200">
        <f t="shared" si="1"/>
        <v>0</v>
      </c>
      <c r="N58" s="200">
        <f t="shared" si="2"/>
        <v>0</v>
      </c>
      <c r="O58" s="38">
        <f t="shared" si="3"/>
        <v>0</v>
      </c>
      <c r="P58" s="39">
        <f t="shared" si="4"/>
        <v>0</v>
      </c>
    </row>
    <row r="59">
      <c r="A59" s="198" t="str">
        <f>Coins!A59</f>
        <v>ORBS</v>
      </c>
      <c r="B59" s="199">
        <f>Coins!B59</f>
        <v>186214.4927</v>
      </c>
      <c r="C59" s="200">
        <f>Coins!C59</f>
        <v>15917.73237</v>
      </c>
      <c r="D59" s="201">
        <f>Coins!D59</f>
        <v>0.000000745735806</v>
      </c>
      <c r="E59" s="201">
        <f>Coins!E59</f>
        <v>0</v>
      </c>
      <c r="F59" s="201">
        <f>Coins!F59</f>
        <v>0</v>
      </c>
      <c r="G59" s="201">
        <f>Coins!G59</f>
        <v>0</v>
      </c>
      <c r="H59" s="201">
        <f>if(Coins!H59="N/A",0,Coins!H59)</f>
        <v>0</v>
      </c>
      <c r="I59" s="202">
        <f>Coins!I59</f>
        <v>186214.4927</v>
      </c>
      <c r="J59" s="200">
        <f>Coins!J59</f>
        <v>15917.73237</v>
      </c>
      <c r="K59" s="201">
        <f>Coins!K59</f>
        <v>1</v>
      </c>
      <c r="L59" s="204">
        <f>Coins!L59</f>
        <v>0.000006326869023</v>
      </c>
      <c r="M59" s="200">
        <f t="shared" si="1"/>
        <v>0</v>
      </c>
      <c r="N59" s="200">
        <f t="shared" si="2"/>
        <v>0</v>
      </c>
      <c r="O59" s="38">
        <f t="shared" si="3"/>
        <v>0</v>
      </c>
      <c r="P59" s="39">
        <f t="shared" si="4"/>
        <v>0</v>
      </c>
    </row>
    <row r="60">
      <c r="A60" s="198" t="str">
        <f>Coins!A60</f>
        <v>ANKR</v>
      </c>
      <c r="B60" s="199">
        <f>Coins!B60</f>
        <v>48602.39536</v>
      </c>
      <c r="C60" s="200">
        <f>Coins!C60</f>
        <v>4707.176766</v>
      </c>
      <c r="D60" s="201">
        <f>Coins!D60</f>
        <v>0.0000002205282874</v>
      </c>
      <c r="E60" s="201">
        <f>Coins!E60</f>
        <v>0</v>
      </c>
      <c r="F60" s="201">
        <f>Coins!F60</f>
        <v>0</v>
      </c>
      <c r="G60" s="201">
        <f>Coins!G60</f>
        <v>0</v>
      </c>
      <c r="H60" s="201">
        <f>if(Coins!H60="N/A",0,Coins!H60)</f>
        <v>0</v>
      </c>
      <c r="I60" s="202">
        <f>Coins!I60</f>
        <v>24004.58859</v>
      </c>
      <c r="J60" s="200">
        <f>Coins!J60</f>
        <v>2324.86158</v>
      </c>
      <c r="K60" s="201">
        <f>Coins!K60</f>
        <v>0.4938972331</v>
      </c>
      <c r="L60" s="204">
        <f>Coins!L60</f>
        <v>0.0000009240697337</v>
      </c>
      <c r="M60" s="200">
        <f t="shared" si="1"/>
        <v>0</v>
      </c>
      <c r="N60" s="200">
        <f t="shared" si="2"/>
        <v>0</v>
      </c>
      <c r="O60" s="38">
        <f t="shared" si="3"/>
        <v>0</v>
      </c>
      <c r="P60" s="39">
        <f t="shared" si="4"/>
        <v>0</v>
      </c>
    </row>
    <row r="61">
      <c r="A61" s="198" t="str">
        <f>Coins!A61</f>
        <v>AMPL</v>
      </c>
      <c r="B61" s="199">
        <f>Coins!B61</f>
        <v>4689.634053</v>
      </c>
      <c r="C61" s="200">
        <f>Coins!C61</f>
        <v>4261.359989</v>
      </c>
      <c r="D61" s="201">
        <f>Coins!D61</f>
        <v>0.0000001996420503</v>
      </c>
      <c r="E61" s="201">
        <f>Coins!E61</f>
        <v>0</v>
      </c>
      <c r="F61" s="201">
        <f>Coins!F61</f>
        <v>0</v>
      </c>
      <c r="G61" s="201">
        <f>Coins!G61</f>
        <v>0</v>
      </c>
      <c r="H61" s="201">
        <f>if(Coins!H61="N/A",0,Coins!H61)</f>
        <v>0</v>
      </c>
      <c r="I61" s="202">
        <f>Coins!I61</f>
        <v>4659.03711</v>
      </c>
      <c r="J61" s="200">
        <f>Coins!J61</f>
        <v>4233.557268</v>
      </c>
      <c r="K61" s="201">
        <f>Coins!K61</f>
        <v>0.9934756225</v>
      </c>
      <c r="L61" s="204">
        <f>Coins!L61</f>
        <v>0.000001682724757</v>
      </c>
      <c r="M61" s="200">
        <f t="shared" si="1"/>
        <v>0</v>
      </c>
      <c r="N61" s="200">
        <f t="shared" si="2"/>
        <v>0</v>
      </c>
      <c r="O61" s="38">
        <f t="shared" si="3"/>
        <v>0</v>
      </c>
      <c r="P61" s="39">
        <f t="shared" si="4"/>
        <v>0</v>
      </c>
    </row>
    <row r="62">
      <c r="A62" s="198" t="str">
        <f>Coins!A62</f>
        <v>BOND</v>
      </c>
      <c r="B62" s="199">
        <f>Coins!B62</f>
        <v>273.8501463</v>
      </c>
      <c r="C62" s="200">
        <f>Coins!C62</f>
        <v>4124.183204</v>
      </c>
      <c r="D62" s="201">
        <f>Coins!D62</f>
        <v>0.0000001932154037</v>
      </c>
      <c r="E62" s="201">
        <f>Coins!E62</f>
        <v>0</v>
      </c>
      <c r="F62" s="201">
        <f>Coins!F62</f>
        <v>0</v>
      </c>
      <c r="G62" s="201">
        <f>Coins!G62</f>
        <v>0</v>
      </c>
      <c r="H62" s="201">
        <f>if(Coins!H62="N/A",0,Coins!H62)</f>
        <v>0</v>
      </c>
      <c r="I62" s="202">
        <f>Coins!I62</f>
        <v>0.24452292</v>
      </c>
      <c r="J62" s="200">
        <f>Coins!J62</f>
        <v>3.682515175</v>
      </c>
      <c r="K62" s="201">
        <f>Coins!K62</f>
        <v>0.0008929077573</v>
      </c>
      <c r="L62" s="204">
        <f>Coins!L62</f>
        <v>0.000000001463700397</v>
      </c>
      <c r="M62" s="200">
        <f t="shared" si="1"/>
        <v>0</v>
      </c>
      <c r="N62" s="200">
        <f t="shared" si="2"/>
        <v>0</v>
      </c>
      <c r="O62" s="38">
        <f t="shared" si="3"/>
        <v>0</v>
      </c>
      <c r="P62" s="39">
        <f t="shared" si="4"/>
        <v>0</v>
      </c>
    </row>
    <row r="63">
      <c r="A63" s="198" t="str">
        <f>Coins!A63</f>
        <v>ONX</v>
      </c>
      <c r="B63" s="199">
        <f>Coins!B63</f>
        <v>740.7702448</v>
      </c>
      <c r="C63" s="200">
        <f>Coins!C63</f>
        <v>302.59893</v>
      </c>
      <c r="D63" s="201">
        <f>Coins!D63</f>
        <v>0.00000001417657061</v>
      </c>
      <c r="E63" s="201">
        <f>Coins!E63</f>
        <v>0</v>
      </c>
      <c r="F63" s="201">
        <f>Coins!F63</f>
        <v>0</v>
      </c>
      <c r="G63" s="201">
        <f>Coins!G63</f>
        <v>0</v>
      </c>
      <c r="H63" s="201">
        <f>if(Coins!H63="N/A",0,Coins!H63)</f>
        <v>0</v>
      </c>
      <c r="I63" s="202">
        <f>Coins!I63</f>
        <v>0</v>
      </c>
      <c r="J63" s="200">
        <f>Coins!J63</f>
        <v>0</v>
      </c>
      <c r="K63" s="201">
        <f>Coins!K63</f>
        <v>0</v>
      </c>
      <c r="L63" s="204">
        <f>Coins!L63</f>
        <v>0</v>
      </c>
      <c r="M63" s="200">
        <f t="shared" si="1"/>
        <v>0</v>
      </c>
      <c r="N63" s="200">
        <f t="shared" si="2"/>
        <v>0</v>
      </c>
      <c r="O63" s="38">
        <f t="shared" si="3"/>
        <v>0</v>
      </c>
      <c r="P63" s="39">
        <f t="shared" si="4"/>
        <v>0</v>
      </c>
    </row>
    <row r="64">
      <c r="A64" s="198" t="str">
        <f>Coins!A64</f>
        <v>SGR</v>
      </c>
      <c r="B64" s="199">
        <f>Coins!B64</f>
        <v>92.04084298</v>
      </c>
      <c r="C64" s="200">
        <f>Coins!C64</f>
        <v>111.7968254</v>
      </c>
      <c r="D64" s="201">
        <f>Coins!D64</f>
        <v>0.000000005237611346</v>
      </c>
      <c r="E64" s="201">
        <f>Coins!E64</f>
        <v>0</v>
      </c>
      <c r="F64" s="201">
        <f>Coins!F64</f>
        <v>0</v>
      </c>
      <c r="G64" s="201">
        <f>Coins!G64</f>
        <v>0</v>
      </c>
      <c r="H64" s="201">
        <f>if(Coins!H64="N/A",0,Coins!H64)</f>
        <v>0</v>
      </c>
      <c r="I64" s="202">
        <f>Coins!I64</f>
        <v>92.04084298</v>
      </c>
      <c r="J64" s="200">
        <f>Coins!J64</f>
        <v>111.7968254</v>
      </c>
      <c r="K64" s="201">
        <f>Coins!K64</f>
        <v>1</v>
      </c>
      <c r="L64" s="204">
        <f>Coins!L64</f>
        <v>0.00000004443622086</v>
      </c>
      <c r="M64" s="200">
        <f t="shared" si="1"/>
        <v>0</v>
      </c>
      <c r="N64" s="200">
        <f t="shared" si="2"/>
        <v>0</v>
      </c>
      <c r="O64" s="38">
        <f t="shared" si="3"/>
        <v>0</v>
      </c>
      <c r="P64" s="39">
        <f t="shared" si="4"/>
        <v>0</v>
      </c>
    </row>
    <row r="65">
      <c r="A65" s="198" t="str">
        <f>Coins!A65</f>
        <v>ROOK</v>
      </c>
      <c r="B65" s="199">
        <f>Coins!B65</f>
        <v>0.70342021</v>
      </c>
      <c r="C65" s="200">
        <f>Coins!C65</f>
        <v>101.5339148</v>
      </c>
      <c r="D65" s="201">
        <f>Coins!D65</f>
        <v>0.000000004756800403</v>
      </c>
      <c r="E65" s="201">
        <f>Coins!E65</f>
        <v>0</v>
      </c>
      <c r="F65" s="201">
        <f>Coins!F65</f>
        <v>0</v>
      </c>
      <c r="G65" s="201">
        <f>Coins!G65</f>
        <v>0</v>
      </c>
      <c r="H65" s="201">
        <f>if(Coins!H65="N/A",0,Coins!H65)</f>
        <v>0</v>
      </c>
      <c r="I65" s="202">
        <f>Coins!I65</f>
        <v>0.70342021</v>
      </c>
      <c r="J65" s="200">
        <f>Coins!J65</f>
        <v>101.5339148</v>
      </c>
      <c r="K65" s="201">
        <f>Coins!K65</f>
        <v>1</v>
      </c>
      <c r="L65" s="204">
        <f>Coins!L65</f>
        <v>0.00000004035699088</v>
      </c>
      <c r="M65" s="200">
        <f t="shared" si="1"/>
        <v>0</v>
      </c>
      <c r="N65" s="200">
        <f t="shared" si="2"/>
        <v>0</v>
      </c>
      <c r="O65" s="38">
        <f t="shared" si="3"/>
        <v>0</v>
      </c>
      <c r="P65" s="39">
        <f t="shared" si="4"/>
        <v>0</v>
      </c>
    </row>
    <row r="66">
      <c r="A66" s="198" t="str">
        <f>Coins!A66</f>
        <v>LQTY</v>
      </c>
      <c r="B66" s="199">
        <f>Coins!B66</f>
        <v>12.86675658</v>
      </c>
      <c r="C66" s="200">
        <f>Coins!C66</f>
        <v>69.09448283</v>
      </c>
      <c r="D66" s="201">
        <f>Coins!D66</f>
        <v>0.000000003237033306</v>
      </c>
      <c r="E66" s="201">
        <f>Coins!E66</f>
        <v>0</v>
      </c>
      <c r="F66" s="201">
        <f>Coins!F66</f>
        <v>0</v>
      </c>
      <c r="G66" s="201">
        <f>Coins!G66</f>
        <v>0</v>
      </c>
      <c r="H66" s="201">
        <f>if(Coins!H66="N/A",0,Coins!H66)</f>
        <v>0</v>
      </c>
      <c r="I66" s="202">
        <f>Coins!I66</f>
        <v>0</v>
      </c>
      <c r="J66" s="200">
        <f>Coins!J66</f>
        <v>0</v>
      </c>
      <c r="K66" s="201">
        <f>Coins!K66</f>
        <v>0</v>
      </c>
      <c r="L66" s="204">
        <f>Coins!L66</f>
        <v>0</v>
      </c>
      <c r="M66" s="200">
        <f t="shared" si="1"/>
        <v>0</v>
      </c>
      <c r="N66" s="200">
        <f t="shared" si="2"/>
        <v>0</v>
      </c>
      <c r="O66" s="38">
        <f t="shared" si="3"/>
        <v>0</v>
      </c>
      <c r="P66" s="39">
        <f t="shared" si="4"/>
        <v>0</v>
      </c>
    </row>
    <row r="67">
      <c r="A67" s="198" t="str">
        <f>Coins!A67</f>
        <v/>
      </c>
      <c r="B67" s="199" t="str">
        <f>Coins!B67</f>
        <v/>
      </c>
      <c r="C67" s="198" t="str">
        <f>Coins!C67</f>
        <v/>
      </c>
      <c r="D67" s="198" t="str">
        <f>Coins!D67</f>
        <v/>
      </c>
      <c r="E67" s="198" t="str">
        <f>Coins!E67</f>
        <v/>
      </c>
      <c r="F67" s="198" t="str">
        <f>Coins!F67</f>
        <v/>
      </c>
      <c r="G67" s="198" t="str">
        <f>Coins!G67</f>
        <v/>
      </c>
      <c r="H67" s="201" t="str">
        <f>if(Coins!H67="N/A",0,Coins!H67)</f>
        <v/>
      </c>
      <c r="I67" s="202" t="str">
        <f>Coins!I67</f>
        <v/>
      </c>
      <c r="J67" s="198" t="str">
        <f>Coins!J67</f>
        <v/>
      </c>
      <c r="K67" s="201" t="str">
        <f>Coins!K67</f>
        <v/>
      </c>
      <c r="L67" s="198" t="str">
        <f>Coins!L67</f>
        <v/>
      </c>
      <c r="M67" s="198"/>
      <c r="N67" s="203" t="s">
        <v>531</v>
      </c>
      <c r="O67" s="38">
        <f>sum(O2:O66)/52.14</f>
        <v>-4332955.992</v>
      </c>
      <c r="P67" s="66" t="str">
        <f t="shared" si="4"/>
        <v/>
      </c>
    </row>
    <row r="68">
      <c r="A68" s="198" t="str">
        <f>Coins!A68</f>
        <v/>
      </c>
      <c r="B68" s="199" t="str">
        <f>Coins!B68</f>
        <v/>
      </c>
      <c r="C68" s="198" t="str">
        <f>Coins!C68</f>
        <v/>
      </c>
      <c r="D68" s="198" t="str">
        <f>Coins!D68</f>
        <v/>
      </c>
      <c r="E68" s="198" t="str">
        <f>Coins!E68</f>
        <v/>
      </c>
      <c r="F68" s="198" t="str">
        <f>Coins!F68</f>
        <v/>
      </c>
      <c r="G68" s="198" t="str">
        <f>Coins!G68</f>
        <v/>
      </c>
      <c r="H68" s="201" t="str">
        <f>if(Coins!H68="N/A",0,Coins!H68)</f>
        <v/>
      </c>
      <c r="I68" s="202" t="str">
        <f>Coins!I68</f>
        <v/>
      </c>
      <c r="J68" s="198" t="str">
        <f>Coins!J68</f>
        <v/>
      </c>
      <c r="K68" s="201" t="str">
        <f>Coins!K68</f>
        <v/>
      </c>
      <c r="L68" s="198" t="str">
        <f>Coins!L68</f>
        <v/>
      </c>
      <c r="M68" s="198"/>
      <c r="N68" s="198"/>
      <c r="P68" s="66" t="str">
        <f t="shared" si="4"/>
        <v/>
      </c>
    </row>
    <row r="69">
      <c r="A69" s="198" t="str">
        <f>Coins!A69</f>
        <v>SUM</v>
      </c>
      <c r="B69" s="199" t="str">
        <f>Coins!B69</f>
        <v/>
      </c>
      <c r="C69" s="200">
        <f>Coins!C69</f>
        <v>21345002136</v>
      </c>
      <c r="D69" s="201">
        <f>Coins!D69</f>
        <v>1</v>
      </c>
      <c r="E69" s="201">
        <f>Coins!E69</f>
        <v>0.03359926394</v>
      </c>
      <c r="F69" s="201" t="str">
        <f>Coins!F69</f>
        <v/>
      </c>
      <c r="G69" s="201" t="str">
        <f>Coins!G69</f>
        <v/>
      </c>
      <c r="H69" s="201">
        <f>if(Coins!H69="N/A",0,Coins!H69)</f>
        <v>0.04418348989</v>
      </c>
      <c r="I69" s="202" t="str">
        <f>Coins!I69</f>
        <v/>
      </c>
      <c r="J69" s="201">
        <f>Coins!J69</f>
        <v>-0.01058422595</v>
      </c>
      <c r="K69" s="201" t="str">
        <f>Coins!K69</f>
        <v/>
      </c>
      <c r="L69" s="198" t="str">
        <f>Coins!L69</f>
        <v/>
      </c>
      <c r="M69" s="198"/>
      <c r="N69" s="198"/>
      <c r="P69" s="39">
        <f t="shared" si="4"/>
        <v>0.03359926394</v>
      </c>
    </row>
    <row r="70">
      <c r="A70" s="198" t="str">
        <f>Coins!A70</f>
        <v/>
      </c>
      <c r="B70" s="199" t="str">
        <f>Coins!B70</f>
        <v/>
      </c>
      <c r="C70" s="198" t="str">
        <f>Coins!C70</f>
        <v/>
      </c>
      <c r="D70" s="198" t="str">
        <f>Coins!D70</f>
        <v/>
      </c>
      <c r="E70" s="198" t="str">
        <f>Coins!E70</f>
        <v/>
      </c>
      <c r="F70" s="198" t="str">
        <f>Coins!F70</f>
        <v/>
      </c>
      <c r="G70" s="198" t="str">
        <f>Coins!G70</f>
        <v/>
      </c>
      <c r="H70" s="201" t="str">
        <f>if(Coins!H70="N/A",0,Coins!H70)</f>
        <v/>
      </c>
      <c r="I70" s="202" t="str">
        <f>Coins!I70</f>
        <v/>
      </c>
      <c r="J70" s="198" t="str">
        <f>Coins!J70</f>
        <v/>
      </c>
      <c r="K70" s="201" t="str">
        <f>Coins!K70</f>
        <v/>
      </c>
      <c r="L70" s="198" t="str">
        <f>Coins!L70</f>
        <v/>
      </c>
      <c r="M70" s="198"/>
      <c r="N70" s="198"/>
      <c r="P70" s="66" t="str">
        <f t="shared" si="4"/>
        <v/>
      </c>
    </row>
    <row r="71">
      <c r="A71" s="198" t="str">
        <f>Coins!A71</f>
        <v/>
      </c>
      <c r="B71" s="199" t="str">
        <f>Coins!B71</f>
        <v/>
      </c>
      <c r="C71" s="198" t="str">
        <f>Coins!C71</f>
        <v/>
      </c>
      <c r="D71" s="198" t="str">
        <f>Coins!D71</f>
        <v/>
      </c>
      <c r="E71" s="198" t="str">
        <f>Coins!E71</f>
        <v/>
      </c>
      <c r="F71" s="198" t="str">
        <f>Coins!F71</f>
        <v/>
      </c>
      <c r="G71" s="198" t="str">
        <f>Coins!G71</f>
        <v/>
      </c>
      <c r="H71" s="201" t="str">
        <f>if(Coins!H71="N/A",0,Coins!H71)</f>
        <v/>
      </c>
      <c r="I71" s="202" t="str">
        <f>Coins!I71</f>
        <v/>
      </c>
      <c r="J71" s="198" t="str">
        <f>Coins!J71</f>
        <v/>
      </c>
      <c r="K71" s="201" t="str">
        <f>Coins!K71</f>
        <v/>
      </c>
      <c r="L71" s="198" t="str">
        <f>Coins!L71</f>
        <v/>
      </c>
      <c r="M71" s="198"/>
      <c r="N71" s="198"/>
      <c r="P71" s="66" t="str">
        <f t="shared" si="4"/>
        <v/>
      </c>
    </row>
    <row r="72">
      <c r="A72" s="198" t="str">
        <f>Coins!A72</f>
        <v/>
      </c>
      <c r="B72" s="199" t="str">
        <f>Coins!B72</f>
        <v/>
      </c>
      <c r="C72" s="198" t="str">
        <f>Coins!C72</f>
        <v/>
      </c>
      <c r="D72" s="198" t="str">
        <f>Coins!D72</f>
        <v/>
      </c>
      <c r="E72" s="198" t="str">
        <f>Coins!E72</f>
        <v/>
      </c>
      <c r="F72" s="198" t="str">
        <f>Coins!F72</f>
        <v/>
      </c>
      <c r="G72" s="198" t="str">
        <f>Coins!G72</f>
        <v/>
      </c>
      <c r="H72" s="201" t="str">
        <f>if(Coins!H72="N/A",0,Coins!H72)</f>
        <v/>
      </c>
      <c r="I72" s="202" t="str">
        <f>Coins!I72</f>
        <v/>
      </c>
      <c r="J72" s="198" t="str">
        <f>Coins!J72</f>
        <v/>
      </c>
      <c r="K72" s="201" t="str">
        <f>Coins!K72</f>
        <v/>
      </c>
      <c r="L72" s="198" t="str">
        <f>Coins!L72</f>
        <v/>
      </c>
      <c r="M72" s="198"/>
      <c r="N72" s="198"/>
      <c r="P72" s="66" t="str">
        <f t="shared" si="4"/>
        <v/>
      </c>
    </row>
    <row r="73">
      <c r="A73" s="198" t="str">
        <f>Coins!A73</f>
        <v/>
      </c>
      <c r="B73" s="199" t="str">
        <f>Coins!B73</f>
        <v/>
      </c>
      <c r="C73" s="198" t="str">
        <f>Coins!C73</f>
        <v/>
      </c>
      <c r="D73" s="198" t="str">
        <f>Coins!D73</f>
        <v/>
      </c>
      <c r="E73" s="198" t="str">
        <f>Coins!E73</f>
        <v/>
      </c>
      <c r="F73" s="198" t="str">
        <f>Coins!F73</f>
        <v/>
      </c>
      <c r="G73" s="198" t="str">
        <f>Coins!G73</f>
        <v/>
      </c>
      <c r="H73" s="201" t="str">
        <f>if(Coins!H73="N/A",0,Coins!H73)</f>
        <v/>
      </c>
      <c r="I73" s="202" t="str">
        <f>Coins!I73</f>
        <v/>
      </c>
      <c r="J73" s="198" t="str">
        <f>Coins!J73</f>
        <v/>
      </c>
      <c r="K73" s="201" t="str">
        <f>Coins!K73</f>
        <v/>
      </c>
      <c r="L73" s="198" t="str">
        <f>Coins!L73</f>
        <v/>
      </c>
      <c r="M73" s="198"/>
      <c r="N73" s="198"/>
      <c r="P73" s="66" t="str">
        <f t="shared" si="4"/>
        <v/>
      </c>
    </row>
    <row r="74">
      <c r="A74" s="198" t="str">
        <f>Coins!A74</f>
        <v/>
      </c>
      <c r="B74" s="199" t="str">
        <f>Coins!B74</f>
        <v/>
      </c>
      <c r="C74" s="198" t="str">
        <f>Coins!C74</f>
        <v/>
      </c>
      <c r="D74" s="198" t="str">
        <f>Coins!D74</f>
        <v/>
      </c>
      <c r="E74" s="198" t="str">
        <f>Coins!E74</f>
        <v/>
      </c>
      <c r="F74" s="198" t="str">
        <f>Coins!F74</f>
        <v/>
      </c>
      <c r="G74" s="198" t="str">
        <f>Coins!G74</f>
        <v/>
      </c>
      <c r="H74" s="201" t="str">
        <f>if(Coins!H74="N/A",0,Coins!H74)</f>
        <v/>
      </c>
      <c r="I74" s="202" t="str">
        <f>Coins!I74</f>
        <v/>
      </c>
      <c r="J74" s="198" t="str">
        <f>Coins!J74</f>
        <v/>
      </c>
      <c r="K74" s="201" t="str">
        <f>Coins!K74</f>
        <v/>
      </c>
      <c r="L74" s="198" t="str">
        <f>Coins!L74</f>
        <v/>
      </c>
      <c r="M74" s="198"/>
      <c r="N74" s="198"/>
      <c r="P74" s="66" t="str">
        <f t="shared" si="4"/>
        <v/>
      </c>
    </row>
    <row r="75">
      <c r="A75" s="198" t="str">
        <f>Coins!A75</f>
        <v/>
      </c>
      <c r="B75" s="199" t="str">
        <f>Coins!B75</f>
        <v/>
      </c>
      <c r="C75" s="198" t="str">
        <f>Coins!C75</f>
        <v/>
      </c>
      <c r="D75" s="198" t="str">
        <f>Coins!D75</f>
        <v/>
      </c>
      <c r="E75" s="198" t="str">
        <f>Coins!E75</f>
        <v/>
      </c>
      <c r="F75" s="198" t="str">
        <f>Coins!F75</f>
        <v/>
      </c>
      <c r="G75" s="198" t="str">
        <f>Coins!G75</f>
        <v/>
      </c>
      <c r="H75" s="201" t="str">
        <f>if(Coins!H75="N/A",0,Coins!H75)</f>
        <v/>
      </c>
      <c r="I75" s="202" t="str">
        <f>Coins!I75</f>
        <v/>
      </c>
      <c r="J75" s="198" t="str">
        <f>Coins!J75</f>
        <v/>
      </c>
      <c r="K75" s="201" t="str">
        <f>Coins!K75</f>
        <v/>
      </c>
      <c r="L75" s="198" t="str">
        <f>Coins!L75</f>
        <v/>
      </c>
      <c r="M75" s="198"/>
      <c r="N75" s="198"/>
      <c r="P75" s="66" t="str">
        <f t="shared" si="4"/>
        <v/>
      </c>
    </row>
    <row r="76">
      <c r="A76" s="198" t="str">
        <f>Coins!A76</f>
        <v/>
      </c>
      <c r="B76" s="199" t="str">
        <f>Coins!B76</f>
        <v/>
      </c>
      <c r="C76" s="198" t="str">
        <f>Coins!C76</f>
        <v/>
      </c>
      <c r="D76" s="198" t="str">
        <f>Coins!D76</f>
        <v/>
      </c>
      <c r="E76" s="198" t="str">
        <f>Coins!E76</f>
        <v/>
      </c>
      <c r="F76" s="198" t="str">
        <f>Coins!F76</f>
        <v/>
      </c>
      <c r="G76" s="198" t="str">
        <f>Coins!G76</f>
        <v/>
      </c>
      <c r="H76" s="201" t="str">
        <f>if(Coins!H76="N/A",0,Coins!H76)</f>
        <v/>
      </c>
      <c r="I76" s="202" t="str">
        <f>Coins!I76</f>
        <v/>
      </c>
      <c r="J76" s="198" t="str">
        <f>Coins!J76</f>
        <v/>
      </c>
      <c r="K76" s="201" t="str">
        <f>Coins!K76</f>
        <v/>
      </c>
      <c r="L76" s="198" t="str">
        <f>Coins!L76</f>
        <v/>
      </c>
      <c r="M76" s="198"/>
      <c r="N76" s="198"/>
      <c r="P76" s="66" t="str">
        <f t="shared" si="4"/>
        <v/>
      </c>
    </row>
    <row r="77">
      <c r="A77" s="198" t="str">
        <f>Coins!A77</f>
        <v/>
      </c>
      <c r="B77" s="199" t="str">
        <f>Coins!B77</f>
        <v/>
      </c>
      <c r="C77" s="198" t="str">
        <f>Coins!C77</f>
        <v/>
      </c>
      <c r="D77" s="198" t="str">
        <f>Coins!D77</f>
        <v/>
      </c>
      <c r="E77" s="198" t="str">
        <f>Coins!E77</f>
        <v/>
      </c>
      <c r="F77" s="198" t="str">
        <f>Coins!F77</f>
        <v/>
      </c>
      <c r="G77" s="198" t="str">
        <f>Coins!G77</f>
        <v/>
      </c>
      <c r="H77" s="201" t="str">
        <f>if(Coins!H77="N/A",0,Coins!H77)</f>
        <v/>
      </c>
      <c r="I77" s="202" t="str">
        <f>Coins!I77</f>
        <v/>
      </c>
      <c r="J77" s="198" t="str">
        <f>Coins!J77</f>
        <v/>
      </c>
      <c r="K77" s="201" t="str">
        <f>Coins!K77</f>
        <v/>
      </c>
      <c r="L77" s="198" t="str">
        <f>Coins!L77</f>
        <v/>
      </c>
      <c r="M77" s="198"/>
      <c r="N77" s="198"/>
      <c r="P77" s="66" t="str">
        <f t="shared" si="4"/>
        <v/>
      </c>
    </row>
    <row r="78">
      <c r="A78" s="198" t="str">
        <f>Coins!A78</f>
        <v/>
      </c>
      <c r="B78" s="199" t="str">
        <f>Coins!B78</f>
        <v/>
      </c>
      <c r="C78" s="198" t="str">
        <f>Coins!C78</f>
        <v/>
      </c>
      <c r="D78" s="198" t="str">
        <f>Coins!D78</f>
        <v/>
      </c>
      <c r="E78" s="198" t="str">
        <f>Coins!E78</f>
        <v/>
      </c>
      <c r="F78" s="198" t="str">
        <f>Coins!F78</f>
        <v/>
      </c>
      <c r="G78" s="198" t="str">
        <f>Coins!G78</f>
        <v/>
      </c>
      <c r="H78" s="201" t="str">
        <f>if(Coins!H78="N/A",0,Coins!H78)</f>
        <v/>
      </c>
      <c r="I78" s="202" t="str">
        <f>Coins!I78</f>
        <v/>
      </c>
      <c r="J78" s="198" t="str">
        <f>Coins!J78</f>
        <v/>
      </c>
      <c r="K78" s="201" t="str">
        <f>Coins!K78</f>
        <v/>
      </c>
      <c r="L78" s="198" t="str">
        <f>Coins!L78</f>
        <v/>
      </c>
      <c r="M78" s="198"/>
      <c r="N78" s="198"/>
      <c r="P78" s="66" t="str">
        <f t="shared" si="4"/>
        <v/>
      </c>
    </row>
    <row r="79">
      <c r="A79" s="198" t="str">
        <f>Coins!A79</f>
        <v/>
      </c>
      <c r="B79" s="199" t="str">
        <f>Coins!B79</f>
        <v/>
      </c>
      <c r="C79" s="198" t="str">
        <f>Coins!C79</f>
        <v/>
      </c>
      <c r="D79" s="198" t="str">
        <f>Coins!D79</f>
        <v/>
      </c>
      <c r="E79" s="198" t="str">
        <f>Coins!E79</f>
        <v/>
      </c>
      <c r="F79" s="198" t="str">
        <f>Coins!F79</f>
        <v/>
      </c>
      <c r="G79" s="198" t="str">
        <f>Coins!G79</f>
        <v/>
      </c>
      <c r="H79" s="201" t="str">
        <f>if(Coins!H79="N/A",0,Coins!H79)</f>
        <v/>
      </c>
      <c r="I79" s="202" t="str">
        <f>Coins!I79</f>
        <v/>
      </c>
      <c r="J79" s="198" t="str">
        <f>Coins!J79</f>
        <v/>
      </c>
      <c r="K79" s="201" t="str">
        <f>Coins!K79</f>
        <v/>
      </c>
      <c r="L79" s="198" t="str">
        <f>Coins!L79</f>
        <v/>
      </c>
      <c r="M79" s="198"/>
      <c r="N79" s="198"/>
      <c r="P79" s="66" t="str">
        <f t="shared" si="4"/>
        <v/>
      </c>
    </row>
    <row r="80">
      <c r="A80" s="198" t="str">
        <f>Coins!A80</f>
        <v/>
      </c>
      <c r="B80" s="199" t="str">
        <f>Coins!B80</f>
        <v/>
      </c>
      <c r="C80" s="198" t="str">
        <f>Coins!C80</f>
        <v/>
      </c>
      <c r="D80" s="198" t="str">
        <f>Coins!D80</f>
        <v/>
      </c>
      <c r="E80" s="198" t="str">
        <f>Coins!E80</f>
        <v/>
      </c>
      <c r="F80" s="198" t="str">
        <f>Coins!F80</f>
        <v/>
      </c>
      <c r="G80" s="198" t="str">
        <f>Coins!G80</f>
        <v/>
      </c>
      <c r="H80" s="201" t="str">
        <f>if(Coins!H80="N/A",0,Coins!H80)</f>
        <v/>
      </c>
      <c r="I80" s="202" t="str">
        <f>Coins!I80</f>
        <v/>
      </c>
      <c r="J80" s="198" t="str">
        <f>Coins!J80</f>
        <v/>
      </c>
      <c r="K80" s="201" t="str">
        <f>Coins!K80</f>
        <v/>
      </c>
      <c r="L80" s="198" t="str">
        <f>Coins!L80</f>
        <v/>
      </c>
      <c r="M80" s="198"/>
      <c r="N80" s="198"/>
      <c r="P80" s="66" t="str">
        <f t="shared" si="4"/>
        <v/>
      </c>
    </row>
    <row r="81">
      <c r="A81" s="198" t="str">
        <f>Coins!A81</f>
        <v/>
      </c>
      <c r="B81" s="199" t="str">
        <f>Coins!B81</f>
        <v/>
      </c>
      <c r="C81" s="198" t="str">
        <f>Coins!C81</f>
        <v/>
      </c>
      <c r="D81" s="198" t="str">
        <f>Coins!D81</f>
        <v/>
      </c>
      <c r="E81" s="198" t="str">
        <f>Coins!E81</f>
        <v/>
      </c>
      <c r="F81" s="198" t="str">
        <f>Coins!F81</f>
        <v/>
      </c>
      <c r="G81" s="198" t="str">
        <f>Coins!G81</f>
        <v/>
      </c>
      <c r="H81" s="201" t="str">
        <f>if(Coins!H81="N/A",0,Coins!H81)</f>
        <v/>
      </c>
      <c r="I81" s="202" t="str">
        <f>Coins!I81</f>
        <v/>
      </c>
      <c r="J81" s="198" t="str">
        <f>Coins!J81</f>
        <v/>
      </c>
      <c r="K81" s="201" t="str">
        <f>Coins!K81</f>
        <v/>
      </c>
      <c r="L81" s="198" t="str">
        <f>Coins!L81</f>
        <v/>
      </c>
      <c r="M81" s="198"/>
      <c r="N81" s="198"/>
      <c r="P81" s="66" t="str">
        <f t="shared" si="4"/>
        <v/>
      </c>
    </row>
    <row r="82">
      <c r="A82" s="198" t="str">
        <f>Coins!A82</f>
        <v/>
      </c>
      <c r="B82" s="199" t="str">
        <f>Coins!B82</f>
        <v/>
      </c>
      <c r="C82" s="198" t="str">
        <f>Coins!C82</f>
        <v/>
      </c>
      <c r="D82" s="198" t="str">
        <f>Coins!D82</f>
        <v/>
      </c>
      <c r="E82" s="198" t="str">
        <f>Coins!E82</f>
        <v/>
      </c>
      <c r="F82" s="198" t="str">
        <f>Coins!F82</f>
        <v/>
      </c>
      <c r="G82" s="198" t="str">
        <f>Coins!G82</f>
        <v/>
      </c>
      <c r="H82" s="201" t="str">
        <f>if(Coins!H82="N/A",0,Coins!H82)</f>
        <v/>
      </c>
      <c r="I82" s="202" t="str">
        <f>Coins!I82</f>
        <v/>
      </c>
      <c r="J82" s="198" t="str">
        <f>Coins!J82</f>
        <v/>
      </c>
      <c r="K82" s="201" t="str">
        <f>Coins!K82</f>
        <v/>
      </c>
      <c r="L82" s="198" t="str">
        <f>Coins!L82</f>
        <v/>
      </c>
      <c r="M82" s="198"/>
      <c r="N82" s="198"/>
      <c r="P82" s="66" t="str">
        <f t="shared" si="4"/>
        <v/>
      </c>
    </row>
    <row r="83">
      <c r="A83" s="198" t="str">
        <f>Coins!A83</f>
        <v/>
      </c>
      <c r="B83" s="199" t="str">
        <f>Coins!B83</f>
        <v/>
      </c>
      <c r="C83" s="198" t="str">
        <f>Coins!C83</f>
        <v/>
      </c>
      <c r="D83" s="198" t="str">
        <f>Coins!D83</f>
        <v/>
      </c>
      <c r="E83" s="198" t="str">
        <f>Coins!E83</f>
        <v/>
      </c>
      <c r="F83" s="198" t="str">
        <f>Coins!F83</f>
        <v/>
      </c>
      <c r="G83" s="198" t="str">
        <f>Coins!G83</f>
        <v/>
      </c>
      <c r="H83" s="201" t="str">
        <f>if(Coins!H83="N/A",0,Coins!H83)</f>
        <v/>
      </c>
      <c r="I83" s="202" t="str">
        <f>Coins!I83</f>
        <v/>
      </c>
      <c r="J83" s="198" t="str">
        <f>Coins!J83</f>
        <v/>
      </c>
      <c r="K83" s="201" t="str">
        <f>Coins!K83</f>
        <v/>
      </c>
      <c r="L83" s="198" t="str">
        <f>Coins!L83</f>
        <v/>
      </c>
      <c r="M83" s="198"/>
      <c r="N83" s="198"/>
      <c r="P83" s="66" t="str">
        <f t="shared" si="4"/>
        <v/>
      </c>
    </row>
    <row r="84">
      <c r="A84" s="198" t="str">
        <f>Coins!A84</f>
        <v/>
      </c>
      <c r="B84" s="199" t="str">
        <f>Coins!B84</f>
        <v/>
      </c>
      <c r="C84" s="198" t="str">
        <f>Coins!C84</f>
        <v/>
      </c>
      <c r="D84" s="198" t="str">
        <f>Coins!D84</f>
        <v/>
      </c>
      <c r="E84" s="198" t="str">
        <f>Coins!E84</f>
        <v/>
      </c>
      <c r="F84" s="198" t="str">
        <f>Coins!F84</f>
        <v/>
      </c>
      <c r="G84" s="198" t="str">
        <f>Coins!G84</f>
        <v/>
      </c>
      <c r="H84" s="201" t="str">
        <f>if(Coins!H84="N/A",0,Coins!H84)</f>
        <v/>
      </c>
      <c r="I84" s="202" t="str">
        <f>Coins!I84</f>
        <v/>
      </c>
      <c r="J84" s="198" t="str">
        <f>Coins!J84</f>
        <v/>
      </c>
      <c r="K84" s="201" t="str">
        <f>Coins!K84</f>
        <v/>
      </c>
      <c r="L84" s="198" t="str">
        <f>Coins!L84</f>
        <v/>
      </c>
      <c r="M84" s="198"/>
      <c r="N84" s="198"/>
      <c r="P84" s="66" t="str">
        <f t="shared" si="4"/>
        <v/>
      </c>
    </row>
    <row r="85">
      <c r="A85" s="198" t="str">
        <f>Coins!A85</f>
        <v/>
      </c>
      <c r="B85" s="199" t="str">
        <f>Coins!B85</f>
        <v/>
      </c>
      <c r="C85" s="198" t="str">
        <f>Coins!C85</f>
        <v/>
      </c>
      <c r="D85" s="198" t="str">
        <f>Coins!D85</f>
        <v/>
      </c>
      <c r="E85" s="198" t="str">
        <f>Coins!E85</f>
        <v/>
      </c>
      <c r="F85" s="198" t="str">
        <f>Coins!F85</f>
        <v/>
      </c>
      <c r="G85" s="198" t="str">
        <f>Coins!G85</f>
        <v/>
      </c>
      <c r="H85" s="201" t="str">
        <f>if(Coins!H85="N/A",0,Coins!H85)</f>
        <v/>
      </c>
      <c r="I85" s="202" t="str">
        <f>Coins!I85</f>
        <v/>
      </c>
      <c r="J85" s="198" t="str">
        <f>Coins!J85</f>
        <v/>
      </c>
      <c r="K85" s="201" t="str">
        <f>Coins!K85</f>
        <v/>
      </c>
      <c r="L85" s="198" t="str">
        <f>Coins!L85</f>
        <v/>
      </c>
      <c r="M85" s="198"/>
      <c r="N85" s="198"/>
      <c r="P85" s="66" t="str">
        <f t="shared" si="4"/>
        <v/>
      </c>
    </row>
    <row r="86">
      <c r="A86" s="198" t="str">
        <f>Coins!A86</f>
        <v/>
      </c>
      <c r="B86" s="199" t="str">
        <f>Coins!B86</f>
        <v/>
      </c>
      <c r="C86" s="198" t="str">
        <f>Coins!C86</f>
        <v/>
      </c>
      <c r="D86" s="198" t="str">
        <f>Coins!D86</f>
        <v/>
      </c>
      <c r="E86" s="198" t="str">
        <f>Coins!E86</f>
        <v/>
      </c>
      <c r="F86" s="198" t="str">
        <f>Coins!F86</f>
        <v/>
      </c>
      <c r="G86" s="198" t="str">
        <f>Coins!G86</f>
        <v/>
      </c>
      <c r="H86" s="201" t="str">
        <f>if(Coins!H86="N/A",0,Coins!H86)</f>
        <v/>
      </c>
      <c r="I86" s="202" t="str">
        <f>Coins!I86</f>
        <v/>
      </c>
      <c r="J86" s="198" t="str">
        <f>Coins!J86</f>
        <v/>
      </c>
      <c r="K86" s="201" t="str">
        <f>Coins!K86</f>
        <v/>
      </c>
      <c r="L86" s="198" t="str">
        <f>Coins!L86</f>
        <v/>
      </c>
      <c r="M86" s="198"/>
      <c r="N86" s="198"/>
      <c r="P86" s="66" t="str">
        <f t="shared" si="4"/>
        <v/>
      </c>
    </row>
    <row r="87">
      <c r="A87" s="198" t="str">
        <f>Coins!A87</f>
        <v/>
      </c>
      <c r="B87" s="199" t="str">
        <f>Coins!B87</f>
        <v/>
      </c>
      <c r="C87" s="198" t="str">
        <f>Coins!C87</f>
        <v/>
      </c>
      <c r="D87" s="198" t="str">
        <f>Coins!D87</f>
        <v/>
      </c>
      <c r="E87" s="198" t="str">
        <f>Coins!E87</f>
        <v/>
      </c>
      <c r="F87" s="198" t="str">
        <f>Coins!F87</f>
        <v/>
      </c>
      <c r="G87" s="198" t="str">
        <f>Coins!G87</f>
        <v/>
      </c>
      <c r="H87" s="201" t="str">
        <f>if(Coins!H87="N/A",0,Coins!H87)</f>
        <v/>
      </c>
      <c r="I87" s="202" t="str">
        <f>Coins!I87</f>
        <v/>
      </c>
      <c r="J87" s="198" t="str">
        <f>Coins!J87</f>
        <v/>
      </c>
      <c r="K87" s="201" t="str">
        <f>Coins!K87</f>
        <v/>
      </c>
      <c r="L87" s="198" t="str">
        <f>Coins!L87</f>
        <v/>
      </c>
      <c r="M87" s="198"/>
      <c r="N87" s="198"/>
      <c r="P87" s="66" t="str">
        <f t="shared" si="4"/>
        <v/>
      </c>
    </row>
    <row r="88">
      <c r="A88" s="198" t="str">
        <f>Coins!A88</f>
        <v/>
      </c>
      <c r="B88" s="199" t="str">
        <f>Coins!B88</f>
        <v/>
      </c>
      <c r="C88" s="198" t="str">
        <f>Coins!C88</f>
        <v/>
      </c>
      <c r="D88" s="198" t="str">
        <f>Coins!D88</f>
        <v/>
      </c>
      <c r="E88" s="198" t="str">
        <f>Coins!E88</f>
        <v/>
      </c>
      <c r="F88" s="198" t="str">
        <f>Coins!F88</f>
        <v/>
      </c>
      <c r="G88" s="198" t="str">
        <f>Coins!G88</f>
        <v/>
      </c>
      <c r="H88" s="201" t="str">
        <f>if(Coins!H88="N/A",0,Coins!H88)</f>
        <v/>
      </c>
      <c r="I88" s="202" t="str">
        <f>Coins!I88</f>
        <v/>
      </c>
      <c r="J88" s="198" t="str">
        <f>Coins!J88</f>
        <v/>
      </c>
      <c r="K88" s="201" t="str">
        <f>Coins!K88</f>
        <v/>
      </c>
      <c r="L88" s="198" t="str">
        <f>Coins!L88</f>
        <v/>
      </c>
      <c r="M88" s="198"/>
      <c r="N88" s="198"/>
      <c r="P88" s="66" t="str">
        <f t="shared" si="4"/>
        <v/>
      </c>
    </row>
    <row r="89">
      <c r="A89" s="198" t="str">
        <f>Coins!A89</f>
        <v/>
      </c>
      <c r="B89" s="199" t="str">
        <f>Coins!B89</f>
        <v/>
      </c>
      <c r="C89" s="198" t="str">
        <f>Coins!C89</f>
        <v/>
      </c>
      <c r="D89" s="198" t="str">
        <f>Coins!D89</f>
        <v/>
      </c>
      <c r="E89" s="198" t="str">
        <f>Coins!E89</f>
        <v/>
      </c>
      <c r="F89" s="198" t="str">
        <f>Coins!F89</f>
        <v/>
      </c>
      <c r="G89" s="198" t="str">
        <f>Coins!G89</f>
        <v/>
      </c>
      <c r="H89" s="201" t="str">
        <f>if(Coins!H89="N/A",0,Coins!H89)</f>
        <v/>
      </c>
      <c r="I89" s="202" t="str">
        <f>Coins!I89</f>
        <v/>
      </c>
      <c r="J89" s="198" t="str">
        <f>Coins!J89</f>
        <v/>
      </c>
      <c r="K89" s="201" t="str">
        <f>Coins!K89</f>
        <v/>
      </c>
      <c r="L89" s="198" t="str">
        <f>Coins!L89</f>
        <v/>
      </c>
      <c r="M89" s="198"/>
      <c r="N89" s="198"/>
      <c r="P89" s="66" t="str">
        <f t="shared" si="4"/>
        <v/>
      </c>
    </row>
    <row r="90">
      <c r="A90" s="198" t="str">
        <f>Coins!A90</f>
        <v/>
      </c>
      <c r="B90" s="199" t="str">
        <f>Coins!B90</f>
        <v/>
      </c>
      <c r="C90" s="198" t="str">
        <f>Coins!C90</f>
        <v/>
      </c>
      <c r="D90" s="198" t="str">
        <f>Coins!D90</f>
        <v/>
      </c>
      <c r="E90" s="198" t="str">
        <f>Coins!E90</f>
        <v/>
      </c>
      <c r="F90" s="198" t="str">
        <f>Coins!F90</f>
        <v/>
      </c>
      <c r="G90" s="198" t="str">
        <f>Coins!G90</f>
        <v/>
      </c>
      <c r="H90" s="201" t="str">
        <f>if(Coins!H90="N/A",0,Coins!H90)</f>
        <v/>
      </c>
      <c r="I90" s="202" t="str">
        <f>Coins!I90</f>
        <v/>
      </c>
      <c r="J90" s="198" t="str">
        <f>Coins!J90</f>
        <v/>
      </c>
      <c r="K90" s="201" t="str">
        <f>Coins!K90</f>
        <v/>
      </c>
      <c r="L90" s="198" t="str">
        <f>Coins!L90</f>
        <v/>
      </c>
      <c r="M90" s="198"/>
      <c r="N90" s="198"/>
      <c r="P90" s="66" t="str">
        <f t="shared" si="4"/>
        <v/>
      </c>
    </row>
    <row r="91">
      <c r="A91" s="198" t="str">
        <f>Coins!A91</f>
        <v/>
      </c>
      <c r="B91" s="199" t="str">
        <f>Coins!B91</f>
        <v/>
      </c>
      <c r="C91" s="198" t="str">
        <f>Coins!C91</f>
        <v/>
      </c>
      <c r="D91" s="198" t="str">
        <f>Coins!D91</f>
        <v/>
      </c>
      <c r="E91" s="198" t="str">
        <f>Coins!E91</f>
        <v/>
      </c>
      <c r="F91" s="198" t="str">
        <f>Coins!F91</f>
        <v/>
      </c>
      <c r="G91" s="198" t="str">
        <f>Coins!G91</f>
        <v/>
      </c>
      <c r="H91" s="201" t="str">
        <f>if(Coins!H91="N/A",0,Coins!H91)</f>
        <v/>
      </c>
      <c r="I91" s="202" t="str">
        <f>Coins!I91</f>
        <v/>
      </c>
      <c r="J91" s="198" t="str">
        <f>Coins!J91</f>
        <v/>
      </c>
      <c r="K91" s="201" t="str">
        <f>Coins!K91</f>
        <v/>
      </c>
      <c r="L91" s="198" t="str">
        <f>Coins!L91</f>
        <v/>
      </c>
      <c r="M91" s="198"/>
      <c r="N91" s="198"/>
      <c r="P91" s="66" t="str">
        <f t="shared" si="4"/>
        <v/>
      </c>
    </row>
    <row r="92">
      <c r="A92" s="198" t="str">
        <f>Coins!A92</f>
        <v/>
      </c>
      <c r="B92" s="199" t="str">
        <f>Coins!B92</f>
        <v/>
      </c>
      <c r="C92" s="198" t="str">
        <f>Coins!C92</f>
        <v/>
      </c>
      <c r="D92" s="198" t="str">
        <f>Coins!D92</f>
        <v/>
      </c>
      <c r="E92" s="198" t="str">
        <f>Coins!E92</f>
        <v/>
      </c>
      <c r="F92" s="198" t="str">
        <f>Coins!F92</f>
        <v/>
      </c>
      <c r="G92" s="198" t="str">
        <f>Coins!G92</f>
        <v/>
      </c>
      <c r="H92" s="201" t="str">
        <f>if(Coins!H92="N/A",0,Coins!H92)</f>
        <v/>
      </c>
      <c r="I92" s="202" t="str">
        <f>Coins!I92</f>
        <v/>
      </c>
      <c r="J92" s="198" t="str">
        <f>Coins!J92</f>
        <v/>
      </c>
      <c r="K92" s="201" t="str">
        <f>Coins!K92</f>
        <v/>
      </c>
      <c r="L92" s="198" t="str">
        <f>Coins!L92</f>
        <v/>
      </c>
      <c r="M92" s="198"/>
      <c r="N92" s="198"/>
      <c r="P92" s="66" t="str">
        <f t="shared" si="4"/>
        <v/>
      </c>
    </row>
    <row r="93">
      <c r="A93" s="198" t="str">
        <f>Coins!A93</f>
        <v/>
      </c>
      <c r="B93" s="199" t="str">
        <f>Coins!B93</f>
        <v/>
      </c>
      <c r="C93" s="198" t="str">
        <f>Coins!C93</f>
        <v/>
      </c>
      <c r="D93" s="198" t="str">
        <f>Coins!D93</f>
        <v/>
      </c>
      <c r="E93" s="198" t="str">
        <f>Coins!E93</f>
        <v/>
      </c>
      <c r="F93" s="198" t="str">
        <f>Coins!F93</f>
        <v/>
      </c>
      <c r="G93" s="198" t="str">
        <f>Coins!G93</f>
        <v/>
      </c>
      <c r="H93" s="201" t="str">
        <f>if(Coins!H93="N/A",0,Coins!H93)</f>
        <v/>
      </c>
      <c r="I93" s="202" t="str">
        <f>Coins!I93</f>
        <v/>
      </c>
      <c r="J93" s="198" t="str">
        <f>Coins!J93</f>
        <v/>
      </c>
      <c r="K93" s="201" t="str">
        <f>Coins!K93</f>
        <v/>
      </c>
      <c r="L93" s="198" t="str">
        <f>Coins!L93</f>
        <v/>
      </c>
      <c r="M93" s="198"/>
      <c r="N93" s="198"/>
      <c r="P93" s="66" t="str">
        <f t="shared" si="4"/>
        <v/>
      </c>
    </row>
    <row r="94">
      <c r="A94" s="198" t="str">
        <f>Coins!A94</f>
        <v/>
      </c>
      <c r="B94" s="199" t="str">
        <f>Coins!B94</f>
        <v/>
      </c>
      <c r="C94" s="198" t="str">
        <f>Coins!C94</f>
        <v/>
      </c>
      <c r="D94" s="198" t="str">
        <f>Coins!D94</f>
        <v/>
      </c>
      <c r="E94" s="198" t="str">
        <f>Coins!E94</f>
        <v/>
      </c>
      <c r="F94" s="198" t="str">
        <f>Coins!F94</f>
        <v/>
      </c>
      <c r="G94" s="198" t="str">
        <f>Coins!G94</f>
        <v/>
      </c>
      <c r="H94" s="201" t="str">
        <f>if(Coins!H94="N/A",0,Coins!H94)</f>
        <v/>
      </c>
      <c r="I94" s="202" t="str">
        <f>Coins!I94</f>
        <v/>
      </c>
      <c r="J94" s="198" t="str">
        <f>Coins!J94</f>
        <v/>
      </c>
      <c r="K94" s="201" t="str">
        <f>Coins!K94</f>
        <v/>
      </c>
      <c r="L94" s="198" t="str">
        <f>Coins!L94</f>
        <v/>
      </c>
      <c r="M94" s="198"/>
      <c r="N94" s="198"/>
      <c r="P94" s="66" t="str">
        <f t="shared" si="4"/>
        <v/>
      </c>
    </row>
    <row r="95">
      <c r="A95" s="198" t="str">
        <f>Coins!A95</f>
        <v/>
      </c>
      <c r="B95" s="199" t="str">
        <f>Coins!B95</f>
        <v/>
      </c>
      <c r="C95" s="198" t="str">
        <f>Coins!C95</f>
        <v/>
      </c>
      <c r="D95" s="198" t="str">
        <f>Coins!D95</f>
        <v/>
      </c>
      <c r="E95" s="198" t="str">
        <f>Coins!E95</f>
        <v/>
      </c>
      <c r="F95" s="198" t="str">
        <f>Coins!F95</f>
        <v/>
      </c>
      <c r="G95" s="198" t="str">
        <f>Coins!G95</f>
        <v/>
      </c>
      <c r="H95" s="201" t="str">
        <f>if(Coins!H95="N/A",0,Coins!H95)</f>
        <v/>
      </c>
      <c r="I95" s="202" t="str">
        <f>Coins!I95</f>
        <v/>
      </c>
      <c r="J95" s="198" t="str">
        <f>Coins!J95</f>
        <v/>
      </c>
      <c r="K95" s="201" t="str">
        <f>Coins!K95</f>
        <v/>
      </c>
      <c r="L95" s="198" t="str">
        <f>Coins!L95</f>
        <v/>
      </c>
      <c r="M95" s="198"/>
      <c r="N95" s="198"/>
      <c r="P95" s="66" t="str">
        <f t="shared" si="4"/>
        <v/>
      </c>
    </row>
    <row r="96">
      <c r="A96" s="198" t="str">
        <f>Coins!A96</f>
        <v/>
      </c>
      <c r="B96" s="199" t="str">
        <f>Coins!B96</f>
        <v/>
      </c>
      <c r="C96" s="198" t="str">
        <f>Coins!C96</f>
        <v/>
      </c>
      <c r="D96" s="198" t="str">
        <f>Coins!D96</f>
        <v/>
      </c>
      <c r="E96" s="198" t="str">
        <f>Coins!E96</f>
        <v/>
      </c>
      <c r="F96" s="198" t="str">
        <f>Coins!F96</f>
        <v/>
      </c>
      <c r="G96" s="198" t="str">
        <f>Coins!G96</f>
        <v/>
      </c>
      <c r="H96" s="201" t="str">
        <f>if(Coins!H96="N/A",0,Coins!H96)</f>
        <v/>
      </c>
      <c r="I96" s="202" t="str">
        <f>Coins!I96</f>
        <v/>
      </c>
      <c r="J96" s="198" t="str">
        <f>Coins!J96</f>
        <v/>
      </c>
      <c r="K96" s="201" t="str">
        <f>Coins!K96</f>
        <v/>
      </c>
      <c r="L96" s="198" t="str">
        <f>Coins!L96</f>
        <v/>
      </c>
      <c r="M96" s="198"/>
      <c r="N96" s="198"/>
      <c r="P96" s="66" t="str">
        <f t="shared" si="4"/>
        <v/>
      </c>
    </row>
    <row r="97">
      <c r="A97" s="198" t="str">
        <f>Coins!A97</f>
        <v/>
      </c>
      <c r="B97" s="199" t="str">
        <f>Coins!B97</f>
        <v/>
      </c>
      <c r="C97" s="198" t="str">
        <f>Coins!C97</f>
        <v/>
      </c>
      <c r="D97" s="198" t="str">
        <f>Coins!D97</f>
        <v/>
      </c>
      <c r="E97" s="198" t="str">
        <f>Coins!E97</f>
        <v/>
      </c>
      <c r="F97" s="198" t="str">
        <f>Coins!F97</f>
        <v/>
      </c>
      <c r="G97" s="198" t="str">
        <f>Coins!G97</f>
        <v/>
      </c>
      <c r="H97" s="201" t="str">
        <f>if(Coins!H97="N/A",0,Coins!H97)</f>
        <v/>
      </c>
      <c r="I97" s="202" t="str">
        <f>Coins!I97</f>
        <v/>
      </c>
      <c r="J97" s="198" t="str">
        <f>Coins!J97</f>
        <v/>
      </c>
      <c r="K97" s="201" t="str">
        <f>Coins!K97</f>
        <v/>
      </c>
      <c r="L97" s="198" t="str">
        <f>Coins!L97</f>
        <v/>
      </c>
      <c r="M97" s="198"/>
      <c r="N97" s="198"/>
      <c r="P97" s="66" t="str">
        <f t="shared" si="4"/>
        <v/>
      </c>
    </row>
    <row r="98">
      <c r="A98" s="198" t="str">
        <f>Coins!A98</f>
        <v/>
      </c>
      <c r="B98" s="199" t="str">
        <f>Coins!B98</f>
        <v/>
      </c>
      <c r="C98" s="198" t="str">
        <f>Coins!C98</f>
        <v/>
      </c>
      <c r="D98" s="198" t="str">
        <f>Coins!D98</f>
        <v/>
      </c>
      <c r="E98" s="198" t="str">
        <f>Coins!E98</f>
        <v/>
      </c>
      <c r="F98" s="198" t="str">
        <f>Coins!F98</f>
        <v/>
      </c>
      <c r="G98" s="198" t="str">
        <f>Coins!G98</f>
        <v/>
      </c>
      <c r="H98" s="201" t="str">
        <f>if(Coins!H98="N/A",0,Coins!H98)</f>
        <v/>
      </c>
      <c r="I98" s="202" t="str">
        <f>Coins!I98</f>
        <v/>
      </c>
      <c r="J98" s="198" t="str">
        <f>Coins!J98</f>
        <v/>
      </c>
      <c r="K98" s="201" t="str">
        <f>Coins!K98</f>
        <v/>
      </c>
      <c r="L98" s="198" t="str">
        <f>Coins!L98</f>
        <v/>
      </c>
      <c r="M98" s="198"/>
      <c r="N98" s="198"/>
      <c r="P98" s="66" t="str">
        <f t="shared" si="4"/>
        <v/>
      </c>
    </row>
    <row r="99">
      <c r="A99" s="198" t="str">
        <f>Coins!A99</f>
        <v/>
      </c>
      <c r="B99" s="199" t="str">
        <f>Coins!B99</f>
        <v/>
      </c>
      <c r="C99" s="198" t="str">
        <f>Coins!C99</f>
        <v/>
      </c>
      <c r="D99" s="198" t="str">
        <f>Coins!D99</f>
        <v/>
      </c>
      <c r="E99" s="198" t="str">
        <f>Coins!E99</f>
        <v/>
      </c>
      <c r="F99" s="198" t="str">
        <f>Coins!F99</f>
        <v/>
      </c>
      <c r="G99" s="198" t="str">
        <f>Coins!G99</f>
        <v/>
      </c>
      <c r="H99" s="201" t="str">
        <f>if(Coins!H99="N/A",0,Coins!H99)</f>
        <v/>
      </c>
      <c r="I99" s="202" t="str">
        <f>Coins!I99</f>
        <v/>
      </c>
      <c r="J99" s="198" t="str">
        <f>Coins!J99</f>
        <v/>
      </c>
      <c r="K99" s="201" t="str">
        <f>Coins!K99</f>
        <v/>
      </c>
      <c r="L99" s="198" t="str">
        <f>Coins!L99</f>
        <v/>
      </c>
      <c r="M99" s="198"/>
      <c r="N99" s="198"/>
      <c r="P99" s="66" t="str">
        <f t="shared" si="4"/>
        <v/>
      </c>
    </row>
    <row r="100">
      <c r="A100" s="198" t="str">
        <f>Coins!A100</f>
        <v/>
      </c>
      <c r="B100" s="199" t="str">
        <f>Coins!B100</f>
        <v/>
      </c>
      <c r="C100" s="198" t="str">
        <f>Coins!C100</f>
        <v/>
      </c>
      <c r="D100" s="198" t="str">
        <f>Coins!D100</f>
        <v/>
      </c>
      <c r="E100" s="198" t="str">
        <f>Coins!E100</f>
        <v/>
      </c>
      <c r="F100" s="198" t="str">
        <f>Coins!F100</f>
        <v/>
      </c>
      <c r="G100" s="198" t="str">
        <f>Coins!G100</f>
        <v/>
      </c>
      <c r="H100" s="201" t="str">
        <f>if(Coins!H100="N/A",0,Coins!H100)</f>
        <v/>
      </c>
      <c r="I100" s="202" t="str">
        <f>Coins!I100</f>
        <v/>
      </c>
      <c r="J100" s="198" t="str">
        <f>Coins!J100</f>
        <v/>
      </c>
      <c r="K100" s="201" t="str">
        <f>Coins!K100</f>
        <v/>
      </c>
      <c r="L100" s="198" t="str">
        <f>Coins!L100</f>
        <v/>
      </c>
      <c r="M100" s="198"/>
      <c r="N100" s="198"/>
      <c r="P100" s="66" t="str">
        <f t="shared" si="4"/>
        <v/>
      </c>
    </row>
    <row r="101">
      <c r="A101" s="198" t="str">
        <f>Coins!A101</f>
        <v/>
      </c>
      <c r="B101" s="199" t="str">
        <f>Coins!B101</f>
        <v/>
      </c>
      <c r="C101" s="198" t="str">
        <f>Coins!C101</f>
        <v/>
      </c>
      <c r="D101" s="198" t="str">
        <f>Coins!D101</f>
        <v/>
      </c>
      <c r="E101" s="198" t="str">
        <f>Coins!E101</f>
        <v/>
      </c>
      <c r="F101" s="198" t="str">
        <f>Coins!F101</f>
        <v/>
      </c>
      <c r="G101" s="198" t="str">
        <f>Coins!G101</f>
        <v/>
      </c>
      <c r="H101" s="201" t="str">
        <f>if(Coins!H101="N/A",0,Coins!H101)</f>
        <v/>
      </c>
      <c r="I101" s="202" t="str">
        <f>Coins!I101</f>
        <v/>
      </c>
      <c r="J101" s="198" t="str">
        <f>Coins!J101</f>
        <v/>
      </c>
      <c r="K101" s="201" t="str">
        <f>Coins!K101</f>
        <v/>
      </c>
      <c r="L101" s="198" t="str">
        <f>Coins!L101</f>
        <v/>
      </c>
      <c r="M101" s="198"/>
      <c r="N101" s="198"/>
      <c r="P101" s="66" t="str">
        <f t="shared" si="4"/>
        <v/>
      </c>
    </row>
    <row r="102">
      <c r="A102" s="198" t="str">
        <f>Coins!A102</f>
        <v/>
      </c>
      <c r="B102" s="199" t="str">
        <f>Coins!B102</f>
        <v/>
      </c>
      <c r="C102" s="198" t="str">
        <f>Coins!C102</f>
        <v/>
      </c>
      <c r="D102" s="198" t="str">
        <f>Coins!D102</f>
        <v/>
      </c>
      <c r="E102" s="198" t="str">
        <f>Coins!E102</f>
        <v/>
      </c>
      <c r="F102" s="198" t="str">
        <f>Coins!F102</f>
        <v/>
      </c>
      <c r="G102" s="198" t="str">
        <f>Coins!G102</f>
        <v/>
      </c>
      <c r="H102" s="201" t="str">
        <f>if(Coins!H102="N/A",0,Coins!H102)</f>
        <v/>
      </c>
      <c r="I102" s="202" t="str">
        <f>Coins!I102</f>
        <v/>
      </c>
      <c r="J102" s="198" t="str">
        <f>Coins!J102</f>
        <v/>
      </c>
      <c r="K102" s="201" t="str">
        <f>Coins!K102</f>
        <v/>
      </c>
      <c r="L102" s="198" t="str">
        <f>Coins!L102</f>
        <v/>
      </c>
      <c r="M102" s="198"/>
      <c r="N102" s="198"/>
      <c r="P102" s="66" t="str">
        <f t="shared" si="4"/>
        <v/>
      </c>
    </row>
    <row r="103">
      <c r="A103" s="198" t="str">
        <f>Coins!A103</f>
        <v/>
      </c>
      <c r="B103" s="199" t="str">
        <f>Coins!B103</f>
        <v/>
      </c>
      <c r="C103" s="198" t="str">
        <f>Coins!C103</f>
        <v/>
      </c>
      <c r="D103" s="198" t="str">
        <f>Coins!D103</f>
        <v/>
      </c>
      <c r="E103" s="198" t="str">
        <f>Coins!E103</f>
        <v/>
      </c>
      <c r="F103" s="198" t="str">
        <f>Coins!F103</f>
        <v/>
      </c>
      <c r="G103" s="198" t="str">
        <f>Coins!G103</f>
        <v/>
      </c>
      <c r="H103" s="201" t="str">
        <f>if(Coins!H103="N/A",0,Coins!H103)</f>
        <v/>
      </c>
      <c r="I103" s="202" t="str">
        <f>Coins!I103</f>
        <v/>
      </c>
      <c r="J103" s="198" t="str">
        <f>Coins!J103</f>
        <v/>
      </c>
      <c r="K103" s="201" t="str">
        <f>Coins!K103</f>
        <v/>
      </c>
      <c r="L103" s="198" t="str">
        <f>Coins!L103</f>
        <v/>
      </c>
      <c r="M103" s="198"/>
      <c r="N103" s="198"/>
      <c r="P103" s="66" t="str">
        <f t="shared" si="4"/>
        <v/>
      </c>
    </row>
    <row r="104">
      <c r="A104" s="198" t="str">
        <f>Coins!A104</f>
        <v/>
      </c>
      <c r="B104" s="199" t="str">
        <f>Coins!B104</f>
        <v/>
      </c>
      <c r="C104" s="198" t="str">
        <f>Coins!C104</f>
        <v/>
      </c>
      <c r="D104" s="198" t="str">
        <f>Coins!D104</f>
        <v/>
      </c>
      <c r="E104" s="198" t="str">
        <f>Coins!E104</f>
        <v/>
      </c>
      <c r="F104" s="198" t="str">
        <f>Coins!F104</f>
        <v/>
      </c>
      <c r="G104" s="198" t="str">
        <f>Coins!G104</f>
        <v/>
      </c>
      <c r="H104" s="201" t="str">
        <f>if(Coins!H104="N/A",0,Coins!H104)</f>
        <v/>
      </c>
      <c r="I104" s="202" t="str">
        <f>Coins!I104</f>
        <v/>
      </c>
      <c r="J104" s="198" t="str">
        <f>Coins!J104</f>
        <v/>
      </c>
      <c r="K104" s="201" t="str">
        <f>Coins!K104</f>
        <v/>
      </c>
      <c r="L104" s="198" t="str">
        <f>Coins!L104</f>
        <v/>
      </c>
      <c r="M104" s="198"/>
      <c r="N104" s="198"/>
      <c r="P104" s="66" t="str">
        <f t="shared" si="4"/>
        <v/>
      </c>
    </row>
    <row r="105">
      <c r="A105" s="198" t="str">
        <f>Coins!A105</f>
        <v/>
      </c>
      <c r="B105" s="199" t="str">
        <f>Coins!B105</f>
        <v/>
      </c>
      <c r="C105" s="198" t="str">
        <f>Coins!C105</f>
        <v/>
      </c>
      <c r="D105" s="198" t="str">
        <f>Coins!D105</f>
        <v/>
      </c>
      <c r="E105" s="198" t="str">
        <f>Coins!E105</f>
        <v/>
      </c>
      <c r="F105" s="198" t="str">
        <f>Coins!F105</f>
        <v/>
      </c>
      <c r="G105" s="198" t="str">
        <f>Coins!G105</f>
        <v/>
      </c>
      <c r="H105" s="201" t="str">
        <f>if(Coins!H105="N/A",0,Coins!H105)</f>
        <v/>
      </c>
      <c r="I105" s="202" t="str">
        <f>Coins!I105</f>
        <v/>
      </c>
      <c r="J105" s="198" t="str">
        <f>Coins!J105</f>
        <v/>
      </c>
      <c r="K105" s="201" t="str">
        <f>Coins!K105</f>
        <v/>
      </c>
      <c r="L105" s="198" t="str">
        <f>Coins!L105</f>
        <v/>
      </c>
      <c r="M105" s="198"/>
      <c r="N105" s="198"/>
      <c r="P105" s="66" t="str">
        <f t="shared" si="4"/>
        <v/>
      </c>
    </row>
    <row r="106">
      <c r="A106" s="198" t="str">
        <f>Coins!A106</f>
        <v/>
      </c>
      <c r="B106" s="199" t="str">
        <f>Coins!B106</f>
        <v/>
      </c>
      <c r="C106" s="198" t="str">
        <f>Coins!C106</f>
        <v/>
      </c>
      <c r="D106" s="198" t="str">
        <f>Coins!D106</f>
        <v/>
      </c>
      <c r="E106" s="198" t="str">
        <f>Coins!E106</f>
        <v/>
      </c>
      <c r="F106" s="198" t="str">
        <f>Coins!F106</f>
        <v/>
      </c>
      <c r="G106" s="198" t="str">
        <f>Coins!G106</f>
        <v/>
      </c>
      <c r="H106" s="201" t="str">
        <f>if(Coins!H106="N/A",0,Coins!H106)</f>
        <v/>
      </c>
      <c r="I106" s="202" t="str">
        <f>Coins!I106</f>
        <v/>
      </c>
      <c r="J106" s="198" t="str">
        <f>Coins!J106</f>
        <v/>
      </c>
      <c r="K106" s="201" t="str">
        <f>Coins!K106</f>
        <v/>
      </c>
      <c r="L106" s="198" t="str">
        <f>Coins!L106</f>
        <v/>
      </c>
      <c r="M106" s="198"/>
      <c r="N106" s="198"/>
      <c r="P106" s="66" t="str">
        <f t="shared" si="4"/>
        <v/>
      </c>
    </row>
    <row r="107">
      <c r="A107" s="198" t="str">
        <f>Coins!A107</f>
        <v/>
      </c>
      <c r="B107" s="199" t="str">
        <f>Coins!B107</f>
        <v/>
      </c>
      <c r="C107" s="198" t="str">
        <f>Coins!C107</f>
        <v/>
      </c>
      <c r="D107" s="198" t="str">
        <f>Coins!D107</f>
        <v/>
      </c>
      <c r="E107" s="198" t="str">
        <f>Coins!E107</f>
        <v/>
      </c>
      <c r="F107" s="198" t="str">
        <f>Coins!F107</f>
        <v/>
      </c>
      <c r="G107" s="198" t="str">
        <f>Coins!G107</f>
        <v/>
      </c>
      <c r="H107" s="201" t="str">
        <f>if(Coins!H107="N/A",0,Coins!H107)</f>
        <v/>
      </c>
      <c r="I107" s="202" t="str">
        <f>Coins!I107</f>
        <v/>
      </c>
      <c r="J107" s="198" t="str">
        <f>Coins!J107</f>
        <v/>
      </c>
      <c r="K107" s="201" t="str">
        <f>Coins!K107</f>
        <v/>
      </c>
      <c r="L107" s="198" t="str">
        <f>Coins!L107</f>
        <v/>
      </c>
      <c r="M107" s="198"/>
      <c r="N107" s="198"/>
      <c r="P107" s="66" t="str">
        <f t="shared" si="4"/>
        <v/>
      </c>
    </row>
    <row r="108">
      <c r="A108" s="198" t="str">
        <f>Coins!A108</f>
        <v/>
      </c>
      <c r="B108" s="199" t="str">
        <f>Coins!B108</f>
        <v/>
      </c>
      <c r="C108" s="198" t="str">
        <f>Coins!C108</f>
        <v/>
      </c>
      <c r="D108" s="198" t="str">
        <f>Coins!D108</f>
        <v/>
      </c>
      <c r="E108" s="198" t="str">
        <f>Coins!E108</f>
        <v/>
      </c>
      <c r="F108" s="198" t="str">
        <f>Coins!F108</f>
        <v/>
      </c>
      <c r="G108" s="198" t="str">
        <f>Coins!G108</f>
        <v/>
      </c>
      <c r="H108" s="201" t="str">
        <f>if(Coins!H108="N/A",0,Coins!H108)</f>
        <v/>
      </c>
      <c r="I108" s="202" t="str">
        <f>Coins!I108</f>
        <v/>
      </c>
      <c r="J108" s="198" t="str">
        <f>Coins!J108</f>
        <v/>
      </c>
      <c r="K108" s="201" t="str">
        <f>Coins!K108</f>
        <v/>
      </c>
      <c r="L108" s="198" t="str">
        <f>Coins!L108</f>
        <v/>
      </c>
      <c r="M108" s="198"/>
      <c r="N108" s="198"/>
      <c r="P108" s="66" t="str">
        <f t="shared" si="4"/>
        <v/>
      </c>
    </row>
    <row r="109">
      <c r="A109" s="198" t="str">
        <f>Coins!A109</f>
        <v/>
      </c>
      <c r="B109" s="199" t="str">
        <f>Coins!B109</f>
        <v/>
      </c>
      <c r="C109" s="198" t="str">
        <f>Coins!C109</f>
        <v/>
      </c>
      <c r="D109" s="198" t="str">
        <f>Coins!D109</f>
        <v/>
      </c>
      <c r="E109" s="198" t="str">
        <f>Coins!E109</f>
        <v/>
      </c>
      <c r="F109" s="198" t="str">
        <f>Coins!F109</f>
        <v/>
      </c>
      <c r="G109" s="198" t="str">
        <f>Coins!G109</f>
        <v/>
      </c>
      <c r="H109" s="201" t="str">
        <f>if(Coins!H109="N/A",0,Coins!H109)</f>
        <v/>
      </c>
      <c r="I109" s="202" t="str">
        <f>Coins!I109</f>
        <v/>
      </c>
      <c r="J109" s="198" t="str">
        <f>Coins!J109</f>
        <v/>
      </c>
      <c r="K109" s="201" t="str">
        <f>Coins!K109</f>
        <v/>
      </c>
      <c r="L109" s="198" t="str">
        <f>Coins!L109</f>
        <v/>
      </c>
      <c r="M109" s="198"/>
      <c r="N109" s="198"/>
      <c r="P109" s="66" t="str">
        <f t="shared" si="4"/>
        <v/>
      </c>
    </row>
    <row r="110">
      <c r="A110" s="198" t="str">
        <f>Coins!A110</f>
        <v/>
      </c>
      <c r="B110" s="199" t="str">
        <f>Coins!B110</f>
        <v/>
      </c>
      <c r="C110" s="198" t="str">
        <f>Coins!C110</f>
        <v/>
      </c>
      <c r="D110" s="198" t="str">
        <f>Coins!D110</f>
        <v/>
      </c>
      <c r="E110" s="198" t="str">
        <f>Coins!E110</f>
        <v/>
      </c>
      <c r="F110" s="198" t="str">
        <f>Coins!F110</f>
        <v/>
      </c>
      <c r="G110" s="198" t="str">
        <f>Coins!G110</f>
        <v/>
      </c>
      <c r="H110" s="201" t="str">
        <f>if(Coins!H110="N/A",0,Coins!H110)</f>
        <v/>
      </c>
      <c r="I110" s="202" t="str">
        <f>Coins!I110</f>
        <v/>
      </c>
      <c r="J110" s="198" t="str">
        <f>Coins!J110</f>
        <v/>
      </c>
      <c r="K110" s="201" t="str">
        <f>Coins!K110</f>
        <v/>
      </c>
      <c r="L110" s="198" t="str">
        <f>Coins!L110</f>
        <v/>
      </c>
      <c r="M110" s="198"/>
      <c r="N110" s="198"/>
      <c r="P110" s="66" t="str">
        <f t="shared" si="4"/>
        <v/>
      </c>
    </row>
    <row r="111">
      <c r="A111" s="198" t="str">
        <f>Coins!A111</f>
        <v/>
      </c>
      <c r="B111" s="199" t="str">
        <f>Coins!B111</f>
        <v/>
      </c>
      <c r="C111" s="198" t="str">
        <f>Coins!C111</f>
        <v/>
      </c>
      <c r="D111" s="198" t="str">
        <f>Coins!D111</f>
        <v/>
      </c>
      <c r="E111" s="198" t="str">
        <f>Coins!E111</f>
        <v/>
      </c>
      <c r="F111" s="198" t="str">
        <f>Coins!F111</f>
        <v/>
      </c>
      <c r="G111" s="198" t="str">
        <f>Coins!G111</f>
        <v/>
      </c>
      <c r="H111" s="201" t="str">
        <f>if(Coins!H111="N/A",0,Coins!H111)</f>
        <v/>
      </c>
      <c r="I111" s="202" t="str">
        <f>Coins!I111</f>
        <v/>
      </c>
      <c r="J111" s="198" t="str">
        <f>Coins!J111</f>
        <v/>
      </c>
      <c r="K111" s="201" t="str">
        <f>Coins!K111</f>
        <v/>
      </c>
      <c r="L111" s="198" t="str">
        <f>Coins!L111</f>
        <v/>
      </c>
      <c r="M111" s="198"/>
      <c r="N111" s="198"/>
      <c r="P111" s="66" t="str">
        <f t="shared" si="4"/>
        <v/>
      </c>
    </row>
    <row r="112">
      <c r="A112" s="198" t="str">
        <f>Coins!A112</f>
        <v/>
      </c>
      <c r="B112" s="199" t="str">
        <f>Coins!B112</f>
        <v/>
      </c>
      <c r="C112" s="198" t="str">
        <f>Coins!C112</f>
        <v/>
      </c>
      <c r="D112" s="198" t="str">
        <f>Coins!D112</f>
        <v/>
      </c>
      <c r="E112" s="198" t="str">
        <f>Coins!E112</f>
        <v/>
      </c>
      <c r="F112" s="198" t="str">
        <f>Coins!F112</f>
        <v/>
      </c>
      <c r="G112" s="198" t="str">
        <f>Coins!G112</f>
        <v/>
      </c>
      <c r="H112" s="201" t="str">
        <f>if(Coins!H112="N/A",0,Coins!H112)</f>
        <v/>
      </c>
      <c r="I112" s="202" t="str">
        <f>Coins!I112</f>
        <v/>
      </c>
      <c r="J112" s="198" t="str">
        <f>Coins!J112</f>
        <v/>
      </c>
      <c r="K112" s="201" t="str">
        <f>Coins!K112</f>
        <v/>
      </c>
      <c r="L112" s="198" t="str">
        <f>Coins!L112</f>
        <v/>
      </c>
      <c r="M112" s="198"/>
      <c r="N112" s="198"/>
      <c r="P112" s="66" t="str">
        <f t="shared" si="4"/>
        <v/>
      </c>
    </row>
    <row r="113">
      <c r="A113" s="198" t="str">
        <f>Coins!A113</f>
        <v/>
      </c>
      <c r="B113" s="199" t="str">
        <f>Coins!B113</f>
        <v/>
      </c>
      <c r="C113" s="198" t="str">
        <f>Coins!C113</f>
        <v/>
      </c>
      <c r="D113" s="198" t="str">
        <f>Coins!D113</f>
        <v/>
      </c>
      <c r="E113" s="198" t="str">
        <f>Coins!E113</f>
        <v/>
      </c>
      <c r="F113" s="198" t="str">
        <f>Coins!F113</f>
        <v/>
      </c>
      <c r="G113" s="198" t="str">
        <f>Coins!G113</f>
        <v/>
      </c>
      <c r="H113" s="201" t="str">
        <f>if(Coins!H113="N/A",0,Coins!H113)</f>
        <v/>
      </c>
      <c r="I113" s="202" t="str">
        <f>Coins!I113</f>
        <v/>
      </c>
      <c r="J113" s="198" t="str">
        <f>Coins!J113</f>
        <v/>
      </c>
      <c r="K113" s="201" t="str">
        <f>Coins!K113</f>
        <v/>
      </c>
      <c r="L113" s="198" t="str">
        <f>Coins!L113</f>
        <v/>
      </c>
      <c r="M113" s="198"/>
      <c r="N113" s="198"/>
      <c r="P113" s="66" t="str">
        <f t="shared" si="4"/>
        <v/>
      </c>
    </row>
    <row r="114">
      <c r="A114" s="198" t="str">
        <f>Coins!A114</f>
        <v/>
      </c>
      <c r="B114" s="199" t="str">
        <f>Coins!B114</f>
        <v/>
      </c>
      <c r="C114" s="198" t="str">
        <f>Coins!C114</f>
        <v/>
      </c>
      <c r="D114" s="198" t="str">
        <f>Coins!D114</f>
        <v/>
      </c>
      <c r="E114" s="198" t="str">
        <f>Coins!E114</f>
        <v/>
      </c>
      <c r="F114" s="198" t="str">
        <f>Coins!F114</f>
        <v/>
      </c>
      <c r="G114" s="198" t="str">
        <f>Coins!G114</f>
        <v/>
      </c>
      <c r="H114" s="201" t="str">
        <f>if(Coins!H114="N/A",0,Coins!H114)</f>
        <v/>
      </c>
      <c r="I114" s="202" t="str">
        <f>Coins!I114</f>
        <v/>
      </c>
      <c r="J114" s="198" t="str">
        <f>Coins!J114</f>
        <v/>
      </c>
      <c r="K114" s="201" t="str">
        <f>Coins!K114</f>
        <v/>
      </c>
      <c r="L114" s="198" t="str">
        <f>Coins!L114</f>
        <v/>
      </c>
      <c r="M114" s="198"/>
      <c r="N114" s="198"/>
      <c r="P114" s="66" t="str">
        <f t="shared" si="4"/>
        <v/>
      </c>
    </row>
    <row r="115">
      <c r="A115" s="198" t="str">
        <f>Coins!A115</f>
        <v/>
      </c>
      <c r="B115" s="199" t="str">
        <f>Coins!B115</f>
        <v/>
      </c>
      <c r="C115" s="198" t="str">
        <f>Coins!C115</f>
        <v/>
      </c>
      <c r="D115" s="198" t="str">
        <f>Coins!D115</f>
        <v/>
      </c>
      <c r="E115" s="198" t="str">
        <f>Coins!E115</f>
        <v/>
      </c>
      <c r="F115" s="198" t="str">
        <f>Coins!F115</f>
        <v/>
      </c>
      <c r="G115" s="198" t="str">
        <f>Coins!G115</f>
        <v/>
      </c>
      <c r="H115" s="201" t="str">
        <f>if(Coins!H115="N/A",0,Coins!H115)</f>
        <v/>
      </c>
      <c r="I115" s="202" t="str">
        <f>Coins!I115</f>
        <v/>
      </c>
      <c r="J115" s="198" t="str">
        <f>Coins!J115</f>
        <v/>
      </c>
      <c r="K115" s="201" t="str">
        <f>Coins!K115</f>
        <v/>
      </c>
      <c r="L115" s="198" t="str">
        <f>Coins!L115</f>
        <v/>
      </c>
      <c r="M115" s="198"/>
      <c r="N115" s="198"/>
      <c r="P115" s="66" t="str">
        <f t="shared" si="4"/>
        <v/>
      </c>
    </row>
    <row r="116">
      <c r="A116" s="198" t="str">
        <f>Coins!A116</f>
        <v/>
      </c>
      <c r="B116" s="199" t="str">
        <f>Coins!B116</f>
        <v/>
      </c>
      <c r="C116" s="198" t="str">
        <f>Coins!C116</f>
        <v/>
      </c>
      <c r="D116" s="198" t="str">
        <f>Coins!D116</f>
        <v/>
      </c>
      <c r="E116" s="198" t="str">
        <f>Coins!E116</f>
        <v/>
      </c>
      <c r="F116" s="198" t="str">
        <f>Coins!F116</f>
        <v/>
      </c>
      <c r="G116" s="198" t="str">
        <f>Coins!G116</f>
        <v/>
      </c>
      <c r="H116" s="201" t="str">
        <f>if(Coins!H116="N/A",0,Coins!H116)</f>
        <v/>
      </c>
      <c r="I116" s="202" t="str">
        <f>Coins!I116</f>
        <v/>
      </c>
      <c r="J116" s="198" t="str">
        <f>Coins!J116</f>
        <v/>
      </c>
      <c r="K116" s="201" t="str">
        <f>Coins!K116</f>
        <v/>
      </c>
      <c r="L116" s="198" t="str">
        <f>Coins!L116</f>
        <v/>
      </c>
      <c r="M116" s="198"/>
      <c r="N116" s="198"/>
      <c r="P116" s="66" t="str">
        <f t="shared" si="4"/>
        <v/>
      </c>
    </row>
    <row r="117">
      <c r="A117" s="198" t="str">
        <f>Coins!A117</f>
        <v/>
      </c>
      <c r="B117" s="199" t="str">
        <f>Coins!B117</f>
        <v/>
      </c>
      <c r="C117" s="198" t="str">
        <f>Coins!C117</f>
        <v/>
      </c>
      <c r="D117" s="198" t="str">
        <f>Coins!D117</f>
        <v/>
      </c>
      <c r="E117" s="198" t="str">
        <f>Coins!E117</f>
        <v/>
      </c>
      <c r="F117" s="198" t="str">
        <f>Coins!F117</f>
        <v/>
      </c>
      <c r="G117" s="198" t="str">
        <f>Coins!G117</f>
        <v/>
      </c>
      <c r="H117" s="201" t="str">
        <f>if(Coins!H117="N/A",0,Coins!H117)</f>
        <v/>
      </c>
      <c r="I117" s="202" t="str">
        <f>Coins!I117</f>
        <v/>
      </c>
      <c r="J117" s="198" t="str">
        <f>Coins!J117</f>
        <v/>
      </c>
      <c r="K117" s="201" t="str">
        <f>Coins!K117</f>
        <v/>
      </c>
      <c r="L117" s="198" t="str">
        <f>Coins!L117</f>
        <v/>
      </c>
      <c r="M117" s="198"/>
      <c r="N117" s="198"/>
      <c r="P117" s="66" t="str">
        <f t="shared" si="4"/>
        <v/>
      </c>
    </row>
    <row r="118">
      <c r="A118" s="198" t="str">
        <f>Coins!A118</f>
        <v/>
      </c>
      <c r="B118" s="199" t="str">
        <f>Coins!B118</f>
        <v/>
      </c>
      <c r="C118" s="198" t="str">
        <f>Coins!C118</f>
        <v/>
      </c>
      <c r="D118" s="198" t="str">
        <f>Coins!D118</f>
        <v/>
      </c>
      <c r="E118" s="198" t="str">
        <f>Coins!E118</f>
        <v/>
      </c>
      <c r="F118" s="198" t="str">
        <f>Coins!F118</f>
        <v/>
      </c>
      <c r="G118" s="198" t="str">
        <f>Coins!G118</f>
        <v/>
      </c>
      <c r="H118" s="201" t="str">
        <f>if(Coins!H118="N/A",0,Coins!H118)</f>
        <v/>
      </c>
      <c r="I118" s="202" t="str">
        <f>Coins!I118</f>
        <v/>
      </c>
      <c r="J118" s="198" t="str">
        <f>Coins!J118</f>
        <v/>
      </c>
      <c r="K118" s="201" t="str">
        <f>Coins!K118</f>
        <v/>
      </c>
      <c r="L118" s="198" t="str">
        <f>Coins!L118</f>
        <v/>
      </c>
      <c r="M118" s="198"/>
      <c r="N118" s="198"/>
      <c r="P118" s="66" t="str">
        <f t="shared" si="4"/>
        <v/>
      </c>
    </row>
    <row r="119">
      <c r="A119" s="198" t="str">
        <f>Coins!A119</f>
        <v/>
      </c>
      <c r="B119" s="199" t="str">
        <f>Coins!B119</f>
        <v/>
      </c>
      <c r="C119" s="198" t="str">
        <f>Coins!C119</f>
        <v/>
      </c>
      <c r="D119" s="198" t="str">
        <f>Coins!D119</f>
        <v/>
      </c>
      <c r="E119" s="198" t="str">
        <f>Coins!E119</f>
        <v/>
      </c>
      <c r="F119" s="198" t="str">
        <f>Coins!F119</f>
        <v/>
      </c>
      <c r="G119" s="198" t="str">
        <f>Coins!G119</f>
        <v/>
      </c>
      <c r="H119" s="201" t="str">
        <f>if(Coins!H119="N/A",0,Coins!H119)</f>
        <v/>
      </c>
      <c r="I119" s="202" t="str">
        <f>Coins!I119</f>
        <v/>
      </c>
      <c r="J119" s="198" t="str">
        <f>Coins!J119</f>
        <v/>
      </c>
      <c r="K119" s="201" t="str">
        <f>Coins!K119</f>
        <v/>
      </c>
      <c r="L119" s="198" t="str">
        <f>Coins!L119</f>
        <v/>
      </c>
      <c r="M119" s="198"/>
      <c r="N119" s="198"/>
      <c r="P119" s="66" t="str">
        <f t="shared" si="4"/>
        <v/>
      </c>
    </row>
    <row r="120">
      <c r="A120" s="198" t="str">
        <f>Coins!A120</f>
        <v/>
      </c>
      <c r="B120" s="199" t="str">
        <f>Coins!B120</f>
        <v/>
      </c>
      <c r="C120" s="198" t="str">
        <f>Coins!C120</f>
        <v/>
      </c>
      <c r="D120" s="198" t="str">
        <f>Coins!D120</f>
        <v/>
      </c>
      <c r="E120" s="198" t="str">
        <f>Coins!E120</f>
        <v/>
      </c>
      <c r="F120" s="198" t="str">
        <f>Coins!F120</f>
        <v/>
      </c>
      <c r="G120" s="198" t="str">
        <f>Coins!G120</f>
        <v/>
      </c>
      <c r="H120" s="201" t="str">
        <f>if(Coins!H120="N/A",0,Coins!H120)</f>
        <v/>
      </c>
      <c r="I120" s="202" t="str">
        <f>Coins!I120</f>
        <v/>
      </c>
      <c r="J120" s="198" t="str">
        <f>Coins!J120</f>
        <v/>
      </c>
      <c r="K120" s="201" t="str">
        <f>Coins!K120</f>
        <v/>
      </c>
      <c r="L120" s="198" t="str">
        <f>Coins!L120</f>
        <v/>
      </c>
      <c r="M120" s="198"/>
      <c r="N120" s="198"/>
      <c r="P120" s="66" t="str">
        <f t="shared" si="4"/>
        <v/>
      </c>
    </row>
    <row r="121">
      <c r="A121" s="198" t="str">
        <f>Coins!A121</f>
        <v/>
      </c>
      <c r="B121" s="199" t="str">
        <f>Coins!B121</f>
        <v/>
      </c>
      <c r="C121" s="198" t="str">
        <f>Coins!C121</f>
        <v/>
      </c>
      <c r="D121" s="198" t="str">
        <f>Coins!D121</f>
        <v/>
      </c>
      <c r="E121" s="198" t="str">
        <f>Coins!E121</f>
        <v/>
      </c>
      <c r="F121" s="198" t="str">
        <f>Coins!F121</f>
        <v/>
      </c>
      <c r="G121" s="198" t="str">
        <f>Coins!G121</f>
        <v/>
      </c>
      <c r="H121" s="201" t="str">
        <f>if(Coins!H121="N/A",0,Coins!H121)</f>
        <v/>
      </c>
      <c r="I121" s="202" t="str">
        <f>Coins!I121</f>
        <v/>
      </c>
      <c r="J121" s="198" t="str">
        <f>Coins!J121</f>
        <v/>
      </c>
      <c r="K121" s="201" t="str">
        <f>Coins!K121</f>
        <v/>
      </c>
      <c r="L121" s="198" t="str">
        <f>Coins!L121</f>
        <v/>
      </c>
      <c r="M121" s="198"/>
      <c r="N121" s="198"/>
      <c r="P121" s="66" t="str">
        <f t="shared" si="4"/>
        <v/>
      </c>
    </row>
    <row r="122">
      <c r="A122" s="198" t="str">
        <f>Coins!A122</f>
        <v/>
      </c>
      <c r="B122" s="199" t="str">
        <f>Coins!B122</f>
        <v/>
      </c>
      <c r="C122" s="198" t="str">
        <f>Coins!C122</f>
        <v/>
      </c>
      <c r="D122" s="198" t="str">
        <f>Coins!D122</f>
        <v/>
      </c>
      <c r="E122" s="198" t="str">
        <f>Coins!E122</f>
        <v/>
      </c>
      <c r="F122" s="198" t="str">
        <f>Coins!F122</f>
        <v/>
      </c>
      <c r="G122" s="198" t="str">
        <f>Coins!G122</f>
        <v/>
      </c>
      <c r="H122" s="201" t="str">
        <f>if(Coins!H122="N/A",0,Coins!H122)</f>
        <v/>
      </c>
      <c r="I122" s="202" t="str">
        <f>Coins!I122</f>
        <v/>
      </c>
      <c r="J122" s="198" t="str">
        <f>Coins!J122</f>
        <v/>
      </c>
      <c r="K122" s="201" t="str">
        <f>Coins!K122</f>
        <v/>
      </c>
      <c r="L122" s="198" t="str">
        <f>Coins!L122</f>
        <v/>
      </c>
      <c r="M122" s="198"/>
      <c r="N122" s="198"/>
      <c r="P122" s="66" t="str">
        <f t="shared" si="4"/>
        <v/>
      </c>
    </row>
    <row r="123">
      <c r="A123" s="198" t="str">
        <f>Coins!A123</f>
        <v/>
      </c>
      <c r="B123" s="199" t="str">
        <f>Coins!B123</f>
        <v/>
      </c>
      <c r="C123" s="198" t="str">
        <f>Coins!C123</f>
        <v/>
      </c>
      <c r="D123" s="198" t="str">
        <f>Coins!D123</f>
        <v/>
      </c>
      <c r="E123" s="198" t="str">
        <f>Coins!E123</f>
        <v/>
      </c>
      <c r="F123" s="198" t="str">
        <f>Coins!F123</f>
        <v/>
      </c>
      <c r="G123" s="198" t="str">
        <f>Coins!G123</f>
        <v/>
      </c>
      <c r="H123" s="201" t="str">
        <f>if(Coins!H123="N/A",0,Coins!H123)</f>
        <v/>
      </c>
      <c r="I123" s="202" t="str">
        <f>Coins!I123</f>
        <v/>
      </c>
      <c r="J123" s="198" t="str">
        <f>Coins!J123</f>
        <v/>
      </c>
      <c r="K123" s="201" t="str">
        <f>Coins!K123</f>
        <v/>
      </c>
      <c r="L123" s="198" t="str">
        <f>Coins!L123</f>
        <v/>
      </c>
      <c r="M123" s="198"/>
      <c r="N123" s="198"/>
      <c r="P123" s="66" t="str">
        <f t="shared" si="4"/>
        <v/>
      </c>
    </row>
    <row r="124">
      <c r="A124" s="198" t="str">
        <f>Coins!A124</f>
        <v/>
      </c>
      <c r="B124" s="199" t="str">
        <f>Coins!B124</f>
        <v/>
      </c>
      <c r="C124" s="198" t="str">
        <f>Coins!C124</f>
        <v/>
      </c>
      <c r="D124" s="198" t="str">
        <f>Coins!D124</f>
        <v/>
      </c>
      <c r="E124" s="198" t="str">
        <f>Coins!E124</f>
        <v/>
      </c>
      <c r="F124" s="198" t="str">
        <f>Coins!F124</f>
        <v/>
      </c>
      <c r="G124" s="198" t="str">
        <f>Coins!G124</f>
        <v/>
      </c>
      <c r="H124" s="201" t="str">
        <f>if(Coins!H124="N/A",0,Coins!H124)</f>
        <v/>
      </c>
      <c r="I124" s="202" t="str">
        <f>Coins!I124</f>
        <v/>
      </c>
      <c r="J124" s="198" t="str">
        <f>Coins!J124</f>
        <v/>
      </c>
      <c r="K124" s="201" t="str">
        <f>Coins!K124</f>
        <v/>
      </c>
      <c r="L124" s="198" t="str">
        <f>Coins!L124</f>
        <v/>
      </c>
      <c r="M124" s="198"/>
      <c r="N124" s="198"/>
      <c r="P124" s="66" t="str">
        <f t="shared" si="4"/>
        <v/>
      </c>
    </row>
    <row r="125">
      <c r="A125" s="198" t="str">
        <f>Coins!A125</f>
        <v/>
      </c>
      <c r="B125" s="199" t="str">
        <f>Coins!B125</f>
        <v/>
      </c>
      <c r="C125" s="198" t="str">
        <f>Coins!C125</f>
        <v/>
      </c>
      <c r="D125" s="198" t="str">
        <f>Coins!D125</f>
        <v/>
      </c>
      <c r="E125" s="198" t="str">
        <f>Coins!E125</f>
        <v/>
      </c>
      <c r="F125" s="198" t="str">
        <f>Coins!F125</f>
        <v/>
      </c>
      <c r="G125" s="198" t="str">
        <f>Coins!G125</f>
        <v/>
      </c>
      <c r="H125" s="201" t="str">
        <f>if(Coins!H125="N/A",0,Coins!H125)</f>
        <v/>
      </c>
      <c r="I125" s="202" t="str">
        <f>Coins!I125</f>
        <v/>
      </c>
      <c r="J125" s="198" t="str">
        <f>Coins!J125</f>
        <v/>
      </c>
      <c r="K125" s="201" t="str">
        <f>Coins!K125</f>
        <v/>
      </c>
      <c r="L125" s="198" t="str">
        <f>Coins!L125</f>
        <v/>
      </c>
      <c r="M125" s="198"/>
      <c r="N125" s="198"/>
      <c r="P125" s="66" t="str">
        <f t="shared" si="4"/>
        <v/>
      </c>
    </row>
    <row r="126">
      <c r="A126" s="198" t="str">
        <f>Coins!A126</f>
        <v/>
      </c>
      <c r="B126" s="199" t="str">
        <f>Coins!B126</f>
        <v/>
      </c>
      <c r="C126" s="198" t="str">
        <f>Coins!C126</f>
        <v/>
      </c>
      <c r="D126" s="198" t="str">
        <f>Coins!D126</f>
        <v/>
      </c>
      <c r="E126" s="198" t="str">
        <f>Coins!E126</f>
        <v/>
      </c>
      <c r="F126" s="198" t="str">
        <f>Coins!F126</f>
        <v/>
      </c>
      <c r="G126" s="198" t="str">
        <f>Coins!G126</f>
        <v/>
      </c>
      <c r="H126" s="201" t="str">
        <f>if(Coins!H126="N/A",0,Coins!H126)</f>
        <v/>
      </c>
      <c r="I126" s="202" t="str">
        <f>Coins!I126</f>
        <v/>
      </c>
      <c r="J126" s="198" t="str">
        <f>Coins!J126</f>
        <v/>
      </c>
      <c r="K126" s="201" t="str">
        <f>Coins!K126</f>
        <v/>
      </c>
      <c r="L126" s="198" t="str">
        <f>Coins!L126</f>
        <v/>
      </c>
      <c r="M126" s="198"/>
      <c r="N126" s="198"/>
      <c r="P126" s="66" t="str">
        <f t="shared" si="4"/>
        <v/>
      </c>
    </row>
    <row r="127">
      <c r="A127" s="198" t="str">
        <f>Coins!A127</f>
        <v/>
      </c>
      <c r="B127" s="199" t="str">
        <f>Coins!B127</f>
        <v/>
      </c>
      <c r="C127" s="198" t="str">
        <f>Coins!C127</f>
        <v/>
      </c>
      <c r="D127" s="198" t="str">
        <f>Coins!D127</f>
        <v/>
      </c>
      <c r="E127" s="198" t="str">
        <f>Coins!E127</f>
        <v/>
      </c>
      <c r="F127" s="198" t="str">
        <f>Coins!F127</f>
        <v/>
      </c>
      <c r="G127" s="198" t="str">
        <f>Coins!G127</f>
        <v/>
      </c>
      <c r="H127" s="201" t="str">
        <f>if(Coins!H127="N/A",0,Coins!H127)</f>
        <v/>
      </c>
      <c r="I127" s="202" t="str">
        <f>Coins!I127</f>
        <v/>
      </c>
      <c r="J127" s="198" t="str">
        <f>Coins!J127</f>
        <v/>
      </c>
      <c r="K127" s="201" t="str">
        <f>Coins!K127</f>
        <v/>
      </c>
      <c r="L127" s="198" t="str">
        <f>Coins!L127</f>
        <v/>
      </c>
      <c r="M127" s="198"/>
      <c r="N127" s="198"/>
      <c r="P127" s="66" t="str">
        <f t="shared" si="4"/>
        <v/>
      </c>
    </row>
    <row r="128">
      <c r="A128" s="198" t="str">
        <f>Coins!A128</f>
        <v/>
      </c>
      <c r="B128" s="199" t="str">
        <f>Coins!B128</f>
        <v/>
      </c>
      <c r="C128" s="198" t="str">
        <f>Coins!C128</f>
        <v/>
      </c>
      <c r="D128" s="198" t="str">
        <f>Coins!D128</f>
        <v/>
      </c>
      <c r="E128" s="198" t="str">
        <f>Coins!E128</f>
        <v/>
      </c>
      <c r="F128" s="198" t="str">
        <f>Coins!F128</f>
        <v/>
      </c>
      <c r="G128" s="198" t="str">
        <f>Coins!G128</f>
        <v/>
      </c>
      <c r="H128" s="201" t="str">
        <f>if(Coins!H128="N/A",0,Coins!H128)</f>
        <v/>
      </c>
      <c r="I128" s="202" t="str">
        <f>Coins!I128</f>
        <v/>
      </c>
      <c r="J128" s="198" t="str">
        <f>Coins!J128</f>
        <v/>
      </c>
      <c r="K128" s="201" t="str">
        <f>Coins!K128</f>
        <v/>
      </c>
      <c r="L128" s="198" t="str">
        <f>Coins!L128</f>
        <v/>
      </c>
      <c r="M128" s="198"/>
      <c r="N128" s="198"/>
      <c r="P128" s="66" t="str">
        <f t="shared" si="4"/>
        <v/>
      </c>
    </row>
    <row r="129">
      <c r="A129" s="198" t="str">
        <f>Coins!A129</f>
        <v/>
      </c>
      <c r="B129" s="199" t="str">
        <f>Coins!B129</f>
        <v/>
      </c>
      <c r="C129" s="198" t="str">
        <f>Coins!C129</f>
        <v/>
      </c>
      <c r="D129" s="198" t="str">
        <f>Coins!D129</f>
        <v/>
      </c>
      <c r="E129" s="198" t="str">
        <f>Coins!E129</f>
        <v/>
      </c>
      <c r="F129" s="198" t="str">
        <f>Coins!F129</f>
        <v/>
      </c>
      <c r="G129" s="198" t="str">
        <f>Coins!G129</f>
        <v/>
      </c>
      <c r="H129" s="201" t="str">
        <f>if(Coins!H129="N/A",0,Coins!H129)</f>
        <v/>
      </c>
      <c r="I129" s="202" t="str">
        <f>Coins!I129</f>
        <v/>
      </c>
      <c r="J129" s="198" t="str">
        <f>Coins!J129</f>
        <v/>
      </c>
      <c r="K129" s="201" t="str">
        <f>Coins!K129</f>
        <v/>
      </c>
      <c r="L129" s="198" t="str">
        <f>Coins!L129</f>
        <v/>
      </c>
      <c r="M129" s="198"/>
      <c r="N129" s="198"/>
      <c r="P129" s="66" t="str">
        <f t="shared" si="4"/>
        <v/>
      </c>
    </row>
    <row r="130">
      <c r="A130" s="198" t="str">
        <f>Coins!A130</f>
        <v/>
      </c>
      <c r="B130" s="199" t="str">
        <f>Coins!B130</f>
        <v/>
      </c>
      <c r="C130" s="198" t="str">
        <f>Coins!C130</f>
        <v/>
      </c>
      <c r="D130" s="198" t="str">
        <f>Coins!D130</f>
        <v/>
      </c>
      <c r="E130" s="198" t="str">
        <f>Coins!E130</f>
        <v/>
      </c>
      <c r="F130" s="198" t="str">
        <f>Coins!F130</f>
        <v/>
      </c>
      <c r="G130" s="198" t="str">
        <f>Coins!G130</f>
        <v/>
      </c>
      <c r="H130" s="201" t="str">
        <f>if(Coins!H130="N/A",0,Coins!H130)</f>
        <v/>
      </c>
      <c r="I130" s="202" t="str">
        <f>Coins!I130</f>
        <v/>
      </c>
      <c r="J130" s="198" t="str">
        <f>Coins!J130</f>
        <v/>
      </c>
      <c r="K130" s="201" t="str">
        <f>Coins!K130</f>
        <v/>
      </c>
      <c r="L130" s="198" t="str">
        <f>Coins!L130</f>
        <v/>
      </c>
      <c r="M130" s="198"/>
      <c r="N130" s="198"/>
      <c r="P130" s="66" t="str">
        <f t="shared" si="4"/>
        <v/>
      </c>
    </row>
    <row r="131">
      <c r="A131" s="198" t="str">
        <f>Coins!A131</f>
        <v/>
      </c>
      <c r="B131" s="199" t="str">
        <f>Coins!B131</f>
        <v/>
      </c>
      <c r="C131" s="198" t="str">
        <f>Coins!C131</f>
        <v/>
      </c>
      <c r="D131" s="198" t="str">
        <f>Coins!D131</f>
        <v/>
      </c>
      <c r="E131" s="198" t="str">
        <f>Coins!E131</f>
        <v/>
      </c>
      <c r="F131" s="198" t="str">
        <f>Coins!F131</f>
        <v/>
      </c>
      <c r="G131" s="198" t="str">
        <f>Coins!G131</f>
        <v/>
      </c>
      <c r="H131" s="201" t="str">
        <f>if(Coins!H131="N/A",0,Coins!H131)</f>
        <v/>
      </c>
      <c r="I131" s="202" t="str">
        <f>Coins!I131</f>
        <v/>
      </c>
      <c r="J131" s="198" t="str">
        <f>Coins!J131</f>
        <v/>
      </c>
      <c r="K131" s="201" t="str">
        <f>Coins!K131</f>
        <v/>
      </c>
      <c r="L131" s="198" t="str">
        <f>Coins!L131</f>
        <v/>
      </c>
      <c r="M131" s="198"/>
      <c r="N131" s="198"/>
      <c r="P131" s="66" t="str">
        <f t="shared" si="4"/>
        <v/>
      </c>
    </row>
    <row r="132">
      <c r="A132" s="198" t="str">
        <f>Coins!A132</f>
        <v/>
      </c>
      <c r="B132" s="199" t="str">
        <f>Coins!B132</f>
        <v/>
      </c>
      <c r="C132" s="198" t="str">
        <f>Coins!C132</f>
        <v/>
      </c>
      <c r="D132" s="198" t="str">
        <f>Coins!D132</f>
        <v/>
      </c>
      <c r="E132" s="198" t="str">
        <f>Coins!E132</f>
        <v/>
      </c>
      <c r="F132" s="198" t="str">
        <f>Coins!F132</f>
        <v/>
      </c>
      <c r="G132" s="198" t="str">
        <f>Coins!G132</f>
        <v/>
      </c>
      <c r="H132" s="201" t="str">
        <f>if(Coins!H132="N/A",0,Coins!H132)</f>
        <v/>
      </c>
      <c r="I132" s="202" t="str">
        <f>Coins!I132</f>
        <v/>
      </c>
      <c r="J132" s="198" t="str">
        <f>Coins!J132</f>
        <v/>
      </c>
      <c r="K132" s="201" t="str">
        <f>Coins!K132</f>
        <v/>
      </c>
      <c r="L132" s="198" t="str">
        <f>Coins!L132</f>
        <v/>
      </c>
      <c r="M132" s="198"/>
      <c r="N132" s="198"/>
      <c r="P132" s="66" t="str">
        <f t="shared" si="4"/>
        <v/>
      </c>
    </row>
    <row r="133">
      <c r="A133" s="198" t="str">
        <f>Coins!A133</f>
        <v/>
      </c>
      <c r="B133" s="199" t="str">
        <f>Coins!B133</f>
        <v/>
      </c>
      <c r="C133" s="198" t="str">
        <f>Coins!C133</f>
        <v/>
      </c>
      <c r="D133" s="198" t="str">
        <f>Coins!D133</f>
        <v/>
      </c>
      <c r="E133" s="198" t="str">
        <f>Coins!E133</f>
        <v/>
      </c>
      <c r="F133" s="198" t="str">
        <f>Coins!F133</f>
        <v/>
      </c>
      <c r="G133" s="198" t="str">
        <f>Coins!G133</f>
        <v/>
      </c>
      <c r="H133" s="201" t="str">
        <f>if(Coins!H133="N/A",0,Coins!H133)</f>
        <v/>
      </c>
      <c r="I133" s="202" t="str">
        <f>Coins!I133</f>
        <v/>
      </c>
      <c r="J133" s="198" t="str">
        <f>Coins!J133</f>
        <v/>
      </c>
      <c r="K133" s="201" t="str">
        <f>Coins!K133</f>
        <v/>
      </c>
      <c r="L133" s="198" t="str">
        <f>Coins!L133</f>
        <v/>
      </c>
      <c r="M133" s="198"/>
      <c r="N133" s="198"/>
      <c r="P133" s="66" t="str">
        <f t="shared" si="4"/>
        <v/>
      </c>
    </row>
    <row r="134">
      <c r="A134" s="198" t="str">
        <f>Coins!A134</f>
        <v/>
      </c>
      <c r="B134" s="199" t="str">
        <f>Coins!B134</f>
        <v/>
      </c>
      <c r="C134" s="198" t="str">
        <f>Coins!C134</f>
        <v/>
      </c>
      <c r="D134" s="198" t="str">
        <f>Coins!D134</f>
        <v/>
      </c>
      <c r="E134" s="198" t="str">
        <f>Coins!E134</f>
        <v/>
      </c>
      <c r="F134" s="198" t="str">
        <f>Coins!F134</f>
        <v/>
      </c>
      <c r="G134" s="198" t="str">
        <f>Coins!G134</f>
        <v/>
      </c>
      <c r="H134" s="201" t="str">
        <f>if(Coins!H134="N/A",0,Coins!H134)</f>
        <v/>
      </c>
      <c r="I134" s="202" t="str">
        <f>Coins!I134</f>
        <v/>
      </c>
      <c r="J134" s="198" t="str">
        <f>Coins!J134</f>
        <v/>
      </c>
      <c r="K134" s="201" t="str">
        <f>Coins!K134</f>
        <v/>
      </c>
      <c r="L134" s="198" t="str">
        <f>Coins!L134</f>
        <v/>
      </c>
      <c r="M134" s="198"/>
      <c r="N134" s="198"/>
      <c r="P134" s="66" t="str">
        <f t="shared" si="4"/>
        <v/>
      </c>
    </row>
    <row r="135">
      <c r="A135" s="198" t="str">
        <f>Coins!A135</f>
        <v/>
      </c>
      <c r="B135" s="199" t="str">
        <f>Coins!B135</f>
        <v/>
      </c>
      <c r="C135" s="198" t="str">
        <f>Coins!C135</f>
        <v/>
      </c>
      <c r="D135" s="198" t="str">
        <f>Coins!D135</f>
        <v/>
      </c>
      <c r="E135" s="198" t="str">
        <f>Coins!E135</f>
        <v/>
      </c>
      <c r="F135" s="198" t="str">
        <f>Coins!F135</f>
        <v/>
      </c>
      <c r="G135" s="198" t="str">
        <f>Coins!G135</f>
        <v/>
      </c>
      <c r="H135" s="201" t="str">
        <f>if(Coins!H135="N/A",0,Coins!H135)</f>
        <v/>
      </c>
      <c r="I135" s="202" t="str">
        <f>Coins!I135</f>
        <v/>
      </c>
      <c r="J135" s="198" t="str">
        <f>Coins!J135</f>
        <v/>
      </c>
      <c r="K135" s="201" t="str">
        <f>Coins!K135</f>
        <v/>
      </c>
      <c r="L135" s="198" t="str">
        <f>Coins!L135</f>
        <v/>
      </c>
      <c r="M135" s="198"/>
      <c r="N135" s="198"/>
      <c r="P135" s="66" t="str">
        <f t="shared" si="4"/>
        <v/>
      </c>
    </row>
    <row r="136">
      <c r="A136" s="198" t="str">
        <f>Coins!A136</f>
        <v/>
      </c>
      <c r="B136" s="199" t="str">
        <f>Coins!B136</f>
        <v/>
      </c>
      <c r="C136" s="198" t="str">
        <f>Coins!C136</f>
        <v/>
      </c>
      <c r="D136" s="198" t="str">
        <f>Coins!D136</f>
        <v/>
      </c>
      <c r="E136" s="198" t="str">
        <f>Coins!E136</f>
        <v/>
      </c>
      <c r="F136" s="198" t="str">
        <f>Coins!F136</f>
        <v/>
      </c>
      <c r="G136" s="198" t="str">
        <f>Coins!G136</f>
        <v/>
      </c>
      <c r="H136" s="201" t="str">
        <f>if(Coins!H136="N/A",0,Coins!H136)</f>
        <v/>
      </c>
      <c r="I136" s="202" t="str">
        <f>Coins!I136</f>
        <v/>
      </c>
      <c r="J136" s="198" t="str">
        <f>Coins!J136</f>
        <v/>
      </c>
      <c r="K136" s="201" t="str">
        <f>Coins!K136</f>
        <v/>
      </c>
      <c r="L136" s="198" t="str">
        <f>Coins!L136</f>
        <v/>
      </c>
      <c r="M136" s="198"/>
      <c r="N136" s="198"/>
      <c r="P136" s="66" t="str">
        <f t="shared" si="4"/>
        <v/>
      </c>
    </row>
    <row r="137">
      <c r="A137" s="198" t="str">
        <f>Coins!A137</f>
        <v/>
      </c>
      <c r="B137" s="199" t="str">
        <f>Coins!B137</f>
        <v/>
      </c>
      <c r="C137" s="198" t="str">
        <f>Coins!C137</f>
        <v/>
      </c>
      <c r="D137" s="198" t="str">
        <f>Coins!D137</f>
        <v/>
      </c>
      <c r="E137" s="198" t="str">
        <f>Coins!E137</f>
        <v/>
      </c>
      <c r="F137" s="198" t="str">
        <f>Coins!F137</f>
        <v/>
      </c>
      <c r="G137" s="198" t="str">
        <f>Coins!G137</f>
        <v/>
      </c>
      <c r="H137" s="201" t="str">
        <f>if(Coins!H137="N/A",0,Coins!H137)</f>
        <v/>
      </c>
      <c r="I137" s="202" t="str">
        <f>Coins!I137</f>
        <v/>
      </c>
      <c r="J137" s="198" t="str">
        <f>Coins!J137</f>
        <v/>
      </c>
      <c r="K137" s="201" t="str">
        <f>Coins!K137</f>
        <v/>
      </c>
      <c r="L137" s="198" t="str">
        <f>Coins!L137</f>
        <v/>
      </c>
      <c r="M137" s="198"/>
      <c r="N137" s="198"/>
      <c r="P137" s="66" t="str">
        <f t="shared" si="4"/>
        <v/>
      </c>
    </row>
    <row r="138">
      <c r="A138" s="198" t="str">
        <f>Coins!A138</f>
        <v/>
      </c>
      <c r="B138" s="199" t="str">
        <f>Coins!B138</f>
        <v/>
      </c>
      <c r="C138" s="198" t="str">
        <f>Coins!C138</f>
        <v/>
      </c>
      <c r="D138" s="198" t="str">
        <f>Coins!D138</f>
        <v/>
      </c>
      <c r="E138" s="198" t="str">
        <f>Coins!E138</f>
        <v/>
      </c>
      <c r="F138" s="198" t="str">
        <f>Coins!F138</f>
        <v/>
      </c>
      <c r="G138" s="198" t="str">
        <f>Coins!G138</f>
        <v/>
      </c>
      <c r="H138" s="201" t="str">
        <f>if(Coins!H138="N/A",0,Coins!H138)</f>
        <v/>
      </c>
      <c r="I138" s="202" t="str">
        <f>Coins!I138</f>
        <v/>
      </c>
      <c r="J138" s="198" t="str">
        <f>Coins!J138</f>
        <v/>
      </c>
      <c r="K138" s="201" t="str">
        <f>Coins!K138</f>
        <v/>
      </c>
      <c r="L138" s="198" t="str">
        <f>Coins!L138</f>
        <v/>
      </c>
      <c r="M138" s="198"/>
      <c r="N138" s="198"/>
      <c r="P138" s="66" t="str">
        <f t="shared" si="4"/>
        <v/>
      </c>
    </row>
    <row r="139">
      <c r="A139" s="198" t="str">
        <f>Coins!A139</f>
        <v/>
      </c>
      <c r="B139" s="199" t="str">
        <f>Coins!B139</f>
        <v/>
      </c>
      <c r="C139" s="198" t="str">
        <f>Coins!C139</f>
        <v/>
      </c>
      <c r="D139" s="198" t="str">
        <f>Coins!D139</f>
        <v/>
      </c>
      <c r="E139" s="198" t="str">
        <f>Coins!E139</f>
        <v/>
      </c>
      <c r="F139" s="198" t="str">
        <f>Coins!F139</f>
        <v/>
      </c>
      <c r="G139" s="198" t="str">
        <f>Coins!G139</f>
        <v/>
      </c>
      <c r="H139" s="201" t="str">
        <f>if(Coins!H139="N/A",0,Coins!H139)</f>
        <v/>
      </c>
      <c r="I139" s="202" t="str">
        <f>Coins!I139</f>
        <v/>
      </c>
      <c r="J139" s="198" t="str">
        <f>Coins!J139</f>
        <v/>
      </c>
      <c r="K139" s="201" t="str">
        <f>Coins!K139</f>
        <v/>
      </c>
      <c r="L139" s="198" t="str">
        <f>Coins!L139</f>
        <v/>
      </c>
      <c r="M139" s="198"/>
      <c r="N139" s="198"/>
      <c r="P139" s="66" t="str">
        <f t="shared" si="4"/>
        <v/>
      </c>
    </row>
    <row r="140">
      <c r="A140" s="198" t="str">
        <f>Coins!A140</f>
        <v/>
      </c>
      <c r="B140" s="199" t="str">
        <f>Coins!B140</f>
        <v/>
      </c>
      <c r="C140" s="198" t="str">
        <f>Coins!C140</f>
        <v/>
      </c>
      <c r="D140" s="198" t="str">
        <f>Coins!D140</f>
        <v/>
      </c>
      <c r="E140" s="198" t="str">
        <f>Coins!E140</f>
        <v/>
      </c>
      <c r="F140" s="198" t="str">
        <f>Coins!F140</f>
        <v/>
      </c>
      <c r="G140" s="198" t="str">
        <f>Coins!G140</f>
        <v/>
      </c>
      <c r="H140" s="201" t="str">
        <f>if(Coins!H140="N/A",0,Coins!H140)</f>
        <v/>
      </c>
      <c r="I140" s="202" t="str">
        <f>Coins!I140</f>
        <v/>
      </c>
      <c r="J140" s="198" t="str">
        <f>Coins!J140</f>
        <v/>
      </c>
      <c r="K140" s="201" t="str">
        <f>Coins!K140</f>
        <v/>
      </c>
      <c r="L140" s="198" t="str">
        <f>Coins!L140</f>
        <v/>
      </c>
      <c r="M140" s="198"/>
      <c r="N140" s="198"/>
      <c r="P140" s="66" t="str">
        <f t="shared" si="4"/>
        <v/>
      </c>
    </row>
    <row r="141">
      <c r="A141" s="198" t="str">
        <f>Coins!A141</f>
        <v/>
      </c>
      <c r="B141" s="199" t="str">
        <f>Coins!B141</f>
        <v/>
      </c>
      <c r="C141" s="198" t="str">
        <f>Coins!C141</f>
        <v/>
      </c>
      <c r="D141" s="198" t="str">
        <f>Coins!D141</f>
        <v/>
      </c>
      <c r="E141" s="198" t="str">
        <f>Coins!E141</f>
        <v/>
      </c>
      <c r="F141" s="198" t="str">
        <f>Coins!F141</f>
        <v/>
      </c>
      <c r="G141" s="198" t="str">
        <f>Coins!G141</f>
        <v/>
      </c>
      <c r="H141" s="201" t="str">
        <f>if(Coins!H141="N/A",0,Coins!H141)</f>
        <v/>
      </c>
      <c r="I141" s="202" t="str">
        <f>Coins!I141</f>
        <v/>
      </c>
      <c r="J141" s="198" t="str">
        <f>Coins!J141</f>
        <v/>
      </c>
      <c r="K141" s="201" t="str">
        <f>Coins!K141</f>
        <v/>
      </c>
      <c r="L141" s="198" t="str">
        <f>Coins!L141</f>
        <v/>
      </c>
      <c r="M141" s="198"/>
      <c r="N141" s="198"/>
      <c r="P141" s="66" t="str">
        <f t="shared" si="4"/>
        <v/>
      </c>
    </row>
    <row r="142">
      <c r="A142" s="198" t="str">
        <f>Coins!A142</f>
        <v/>
      </c>
      <c r="B142" s="199" t="str">
        <f>Coins!B142</f>
        <v/>
      </c>
      <c r="C142" s="198" t="str">
        <f>Coins!C142</f>
        <v/>
      </c>
      <c r="D142" s="198" t="str">
        <f>Coins!D142</f>
        <v/>
      </c>
      <c r="E142" s="198" t="str">
        <f>Coins!E142</f>
        <v/>
      </c>
      <c r="F142" s="198" t="str">
        <f>Coins!F142</f>
        <v/>
      </c>
      <c r="G142" s="198" t="str">
        <f>Coins!G142</f>
        <v/>
      </c>
      <c r="H142" s="201" t="str">
        <f>if(Coins!H142="N/A",0,Coins!H142)</f>
        <v/>
      </c>
      <c r="I142" s="202" t="str">
        <f>Coins!I142</f>
        <v/>
      </c>
      <c r="J142" s="198" t="str">
        <f>Coins!J142</f>
        <v/>
      </c>
      <c r="K142" s="201" t="str">
        <f>Coins!K142</f>
        <v/>
      </c>
      <c r="L142" s="198" t="str">
        <f>Coins!L142</f>
        <v/>
      </c>
      <c r="M142" s="198"/>
      <c r="N142" s="198"/>
      <c r="P142" s="66" t="str">
        <f t="shared" si="4"/>
        <v/>
      </c>
    </row>
    <row r="143">
      <c r="A143" s="198" t="str">
        <f>Coins!A143</f>
        <v/>
      </c>
      <c r="B143" s="199" t="str">
        <f>Coins!B143</f>
        <v/>
      </c>
      <c r="C143" s="198" t="str">
        <f>Coins!C143</f>
        <v/>
      </c>
      <c r="D143" s="198" t="str">
        <f>Coins!D143</f>
        <v/>
      </c>
      <c r="E143" s="198" t="str">
        <f>Coins!E143</f>
        <v/>
      </c>
      <c r="F143" s="198" t="str">
        <f>Coins!F143</f>
        <v/>
      </c>
      <c r="G143" s="198" t="str">
        <f>Coins!G143</f>
        <v/>
      </c>
      <c r="H143" s="201" t="str">
        <f>if(Coins!H143="N/A",0,Coins!H143)</f>
        <v/>
      </c>
      <c r="I143" s="202" t="str">
        <f>Coins!I143</f>
        <v/>
      </c>
      <c r="J143" s="198" t="str">
        <f>Coins!J143</f>
        <v/>
      </c>
      <c r="K143" s="201" t="str">
        <f>Coins!K143</f>
        <v/>
      </c>
      <c r="L143" s="198" t="str">
        <f>Coins!L143</f>
        <v/>
      </c>
      <c r="M143" s="198"/>
      <c r="N143" s="198"/>
      <c r="P143" s="66" t="str">
        <f t="shared" si="4"/>
        <v/>
      </c>
    </row>
    <row r="144">
      <c r="A144" s="198" t="str">
        <f>Coins!A144</f>
        <v/>
      </c>
      <c r="B144" s="199" t="str">
        <f>Coins!B144</f>
        <v/>
      </c>
      <c r="C144" s="198" t="str">
        <f>Coins!C144</f>
        <v/>
      </c>
      <c r="D144" s="198" t="str">
        <f>Coins!D144</f>
        <v/>
      </c>
      <c r="E144" s="198" t="str">
        <f>Coins!E144</f>
        <v/>
      </c>
      <c r="F144" s="198" t="str">
        <f>Coins!F144</f>
        <v/>
      </c>
      <c r="G144" s="198" t="str">
        <f>Coins!G144</f>
        <v/>
      </c>
      <c r="H144" s="201" t="str">
        <f>if(Coins!H144="N/A",0,Coins!H144)</f>
        <v/>
      </c>
      <c r="I144" s="202" t="str">
        <f>Coins!I144</f>
        <v/>
      </c>
      <c r="J144" s="198" t="str">
        <f>Coins!J144</f>
        <v/>
      </c>
      <c r="K144" s="201" t="str">
        <f>Coins!K144</f>
        <v/>
      </c>
      <c r="L144" s="198" t="str">
        <f>Coins!L144</f>
        <v/>
      </c>
      <c r="M144" s="198"/>
      <c r="N144" s="198"/>
      <c r="P144" s="66" t="str">
        <f t="shared" si="4"/>
        <v/>
      </c>
    </row>
    <row r="145">
      <c r="A145" s="198" t="str">
        <f>Coins!A145</f>
        <v/>
      </c>
      <c r="B145" s="199" t="str">
        <f>Coins!B145</f>
        <v/>
      </c>
      <c r="C145" s="198" t="str">
        <f>Coins!C145</f>
        <v/>
      </c>
      <c r="D145" s="198" t="str">
        <f>Coins!D145</f>
        <v/>
      </c>
      <c r="E145" s="198" t="str">
        <f>Coins!E145</f>
        <v/>
      </c>
      <c r="F145" s="198" t="str">
        <f>Coins!F145</f>
        <v/>
      </c>
      <c r="G145" s="198" t="str">
        <f>Coins!G145</f>
        <v/>
      </c>
      <c r="H145" s="201" t="str">
        <f>if(Coins!H145="N/A",0,Coins!H145)</f>
        <v/>
      </c>
      <c r="I145" s="202" t="str">
        <f>Coins!I145</f>
        <v/>
      </c>
      <c r="J145" s="198" t="str">
        <f>Coins!J145</f>
        <v/>
      </c>
      <c r="K145" s="201" t="str">
        <f>Coins!K145</f>
        <v/>
      </c>
      <c r="L145" s="198" t="str">
        <f>Coins!L145</f>
        <v/>
      </c>
      <c r="M145" s="198"/>
      <c r="N145" s="198"/>
      <c r="P145" s="66" t="str">
        <f t="shared" si="4"/>
        <v/>
      </c>
    </row>
    <row r="146">
      <c r="A146" s="198" t="str">
        <f>Coins!A146</f>
        <v/>
      </c>
      <c r="B146" s="199" t="str">
        <f>Coins!B146</f>
        <v/>
      </c>
      <c r="C146" s="198" t="str">
        <f>Coins!C146</f>
        <v/>
      </c>
      <c r="D146" s="198" t="str">
        <f>Coins!D146</f>
        <v/>
      </c>
      <c r="E146" s="198" t="str">
        <f>Coins!E146</f>
        <v/>
      </c>
      <c r="F146" s="198" t="str">
        <f>Coins!F146</f>
        <v/>
      </c>
      <c r="G146" s="198" t="str">
        <f>Coins!G146</f>
        <v/>
      </c>
      <c r="H146" s="201" t="str">
        <f>if(Coins!H146="N/A",0,Coins!H146)</f>
        <v/>
      </c>
      <c r="I146" s="202" t="str">
        <f>Coins!I146</f>
        <v/>
      </c>
      <c r="J146" s="198" t="str">
        <f>Coins!J146</f>
        <v/>
      </c>
      <c r="K146" s="201" t="str">
        <f>Coins!K146</f>
        <v/>
      </c>
      <c r="L146" s="198" t="str">
        <f>Coins!L146</f>
        <v/>
      </c>
      <c r="M146" s="198"/>
      <c r="N146" s="198"/>
      <c r="P146" s="66" t="str">
        <f t="shared" si="4"/>
        <v/>
      </c>
    </row>
    <row r="147">
      <c r="A147" s="198" t="str">
        <f>Coins!A147</f>
        <v/>
      </c>
      <c r="B147" s="199" t="str">
        <f>Coins!B147</f>
        <v/>
      </c>
      <c r="C147" s="198" t="str">
        <f>Coins!C147</f>
        <v/>
      </c>
      <c r="D147" s="198" t="str">
        <f>Coins!D147</f>
        <v/>
      </c>
      <c r="E147" s="198" t="str">
        <f>Coins!E147</f>
        <v/>
      </c>
      <c r="F147" s="198" t="str">
        <f>Coins!F147</f>
        <v/>
      </c>
      <c r="G147" s="198" t="str">
        <f>Coins!G147</f>
        <v/>
      </c>
      <c r="H147" s="201" t="str">
        <f>if(Coins!H147="N/A",0,Coins!H147)</f>
        <v/>
      </c>
      <c r="I147" s="202" t="str">
        <f>Coins!I147</f>
        <v/>
      </c>
      <c r="J147" s="198" t="str">
        <f>Coins!J147</f>
        <v/>
      </c>
      <c r="K147" s="201" t="str">
        <f>Coins!K147</f>
        <v/>
      </c>
      <c r="L147" s="198" t="str">
        <f>Coins!L147</f>
        <v/>
      </c>
      <c r="M147" s="198"/>
      <c r="N147" s="198"/>
      <c r="P147" s="66" t="str">
        <f t="shared" si="4"/>
        <v/>
      </c>
    </row>
    <row r="148">
      <c r="A148" s="198" t="str">
        <f>Coins!A148</f>
        <v/>
      </c>
      <c r="B148" s="199" t="str">
        <f>Coins!B148</f>
        <v/>
      </c>
      <c r="C148" s="198" t="str">
        <f>Coins!C148</f>
        <v/>
      </c>
      <c r="D148" s="198" t="str">
        <f>Coins!D148</f>
        <v/>
      </c>
      <c r="E148" s="198" t="str">
        <f>Coins!E148</f>
        <v/>
      </c>
      <c r="F148" s="198" t="str">
        <f>Coins!F148</f>
        <v/>
      </c>
      <c r="G148" s="198" t="str">
        <f>Coins!G148</f>
        <v/>
      </c>
      <c r="H148" s="201" t="str">
        <f>if(Coins!H148="N/A",0,Coins!H148)</f>
        <v/>
      </c>
      <c r="I148" s="202" t="str">
        <f>Coins!I148</f>
        <v/>
      </c>
      <c r="J148" s="198" t="str">
        <f>Coins!J148</f>
        <v/>
      </c>
      <c r="K148" s="201" t="str">
        <f>Coins!K148</f>
        <v/>
      </c>
      <c r="L148" s="198" t="str">
        <f>Coins!L148</f>
        <v/>
      </c>
      <c r="M148" s="198"/>
      <c r="N148" s="198"/>
      <c r="P148" s="66" t="str">
        <f t="shared" si="4"/>
        <v/>
      </c>
    </row>
    <row r="149">
      <c r="A149" s="198" t="str">
        <f>Coins!A149</f>
        <v/>
      </c>
      <c r="B149" s="199" t="str">
        <f>Coins!B149</f>
        <v/>
      </c>
      <c r="C149" s="198" t="str">
        <f>Coins!C149</f>
        <v/>
      </c>
      <c r="D149" s="198" t="str">
        <f>Coins!D149</f>
        <v/>
      </c>
      <c r="E149" s="198" t="str">
        <f>Coins!E149</f>
        <v/>
      </c>
      <c r="F149" s="198" t="str">
        <f>Coins!F149</f>
        <v/>
      </c>
      <c r="G149" s="198" t="str">
        <f>Coins!G149</f>
        <v/>
      </c>
      <c r="H149" s="201" t="str">
        <f>if(Coins!H149="N/A",0,Coins!H149)</f>
        <v/>
      </c>
      <c r="I149" s="202" t="str">
        <f>Coins!I149</f>
        <v/>
      </c>
      <c r="J149" s="198" t="str">
        <f>Coins!J149</f>
        <v/>
      </c>
      <c r="K149" s="201" t="str">
        <f>Coins!K149</f>
        <v/>
      </c>
      <c r="L149" s="198" t="str">
        <f>Coins!L149</f>
        <v/>
      </c>
      <c r="M149" s="198"/>
      <c r="N149" s="198"/>
      <c r="P149" s="66" t="str">
        <f t="shared" si="4"/>
        <v/>
      </c>
    </row>
    <row r="150">
      <c r="A150" s="198" t="str">
        <f>Coins!A150</f>
        <v/>
      </c>
      <c r="B150" s="199" t="str">
        <f>Coins!B150</f>
        <v/>
      </c>
      <c r="C150" s="198" t="str">
        <f>Coins!C150</f>
        <v/>
      </c>
      <c r="D150" s="198" t="str">
        <f>Coins!D150</f>
        <v/>
      </c>
      <c r="E150" s="198" t="str">
        <f>Coins!E150</f>
        <v/>
      </c>
      <c r="F150" s="198" t="str">
        <f>Coins!F150</f>
        <v/>
      </c>
      <c r="G150" s="198" t="str">
        <f>Coins!G150</f>
        <v/>
      </c>
      <c r="H150" s="201" t="str">
        <f>if(Coins!H150="N/A",0,Coins!H150)</f>
        <v/>
      </c>
      <c r="I150" s="202" t="str">
        <f>Coins!I150</f>
        <v/>
      </c>
      <c r="J150" s="198" t="str">
        <f>Coins!J150</f>
        <v/>
      </c>
      <c r="K150" s="201" t="str">
        <f>Coins!K150</f>
        <v/>
      </c>
      <c r="L150" s="198" t="str">
        <f>Coins!L150</f>
        <v/>
      </c>
      <c r="M150" s="198"/>
      <c r="N150" s="198"/>
      <c r="P150" s="66" t="str">
        <f t="shared" si="4"/>
        <v/>
      </c>
    </row>
    <row r="151">
      <c r="A151" s="198" t="str">
        <f>Coins!A151</f>
        <v/>
      </c>
      <c r="B151" s="199" t="str">
        <f>Coins!B151</f>
        <v/>
      </c>
      <c r="C151" s="198" t="str">
        <f>Coins!C151</f>
        <v/>
      </c>
      <c r="D151" s="198" t="str">
        <f>Coins!D151</f>
        <v/>
      </c>
      <c r="E151" s="198" t="str">
        <f>Coins!E151</f>
        <v/>
      </c>
      <c r="F151" s="198" t="str">
        <f>Coins!F151</f>
        <v/>
      </c>
      <c r="G151" s="198" t="str">
        <f>Coins!G151</f>
        <v/>
      </c>
      <c r="H151" s="201" t="str">
        <f>if(Coins!H151="N/A",0,Coins!H151)</f>
        <v/>
      </c>
      <c r="I151" s="202" t="str">
        <f>Coins!I151</f>
        <v/>
      </c>
      <c r="J151" s="198" t="str">
        <f>Coins!J151</f>
        <v/>
      </c>
      <c r="K151" s="201" t="str">
        <f>Coins!K151</f>
        <v/>
      </c>
      <c r="L151" s="198" t="str">
        <f>Coins!L151</f>
        <v/>
      </c>
      <c r="M151" s="198"/>
      <c r="N151" s="198"/>
      <c r="P151" s="66" t="str">
        <f t="shared" si="4"/>
        <v/>
      </c>
    </row>
    <row r="152">
      <c r="A152" s="198" t="str">
        <f>Coins!A152</f>
        <v/>
      </c>
      <c r="B152" s="199" t="str">
        <f>Coins!B152</f>
        <v/>
      </c>
      <c r="C152" s="198" t="str">
        <f>Coins!C152</f>
        <v/>
      </c>
      <c r="D152" s="198" t="str">
        <f>Coins!D152</f>
        <v/>
      </c>
      <c r="E152" s="198" t="str">
        <f>Coins!E152</f>
        <v/>
      </c>
      <c r="F152" s="198" t="str">
        <f>Coins!F152</f>
        <v/>
      </c>
      <c r="G152" s="198" t="str">
        <f>Coins!G152</f>
        <v/>
      </c>
      <c r="H152" s="201" t="str">
        <f>if(Coins!H152="N/A",0,Coins!H152)</f>
        <v/>
      </c>
      <c r="I152" s="202" t="str">
        <f>Coins!I152</f>
        <v/>
      </c>
      <c r="J152" s="198" t="str">
        <f>Coins!J152</f>
        <v/>
      </c>
      <c r="K152" s="201" t="str">
        <f>Coins!K152</f>
        <v/>
      </c>
      <c r="L152" s="198" t="str">
        <f>Coins!L152</f>
        <v/>
      </c>
      <c r="M152" s="198"/>
      <c r="N152" s="198"/>
      <c r="P152" s="66" t="str">
        <f t="shared" si="4"/>
        <v/>
      </c>
    </row>
    <row r="153">
      <c r="A153" s="198" t="str">
        <f>Coins!A153</f>
        <v/>
      </c>
      <c r="B153" s="199" t="str">
        <f>Coins!B153</f>
        <v/>
      </c>
      <c r="C153" s="198" t="str">
        <f>Coins!C153</f>
        <v/>
      </c>
      <c r="D153" s="198" t="str">
        <f>Coins!D153</f>
        <v/>
      </c>
      <c r="E153" s="198" t="str">
        <f>Coins!E153</f>
        <v/>
      </c>
      <c r="F153" s="198" t="str">
        <f>Coins!F153</f>
        <v/>
      </c>
      <c r="G153" s="198" t="str">
        <f>Coins!G153</f>
        <v/>
      </c>
      <c r="H153" s="201" t="str">
        <f>if(Coins!H153="N/A",0,Coins!H153)</f>
        <v/>
      </c>
      <c r="I153" s="202" t="str">
        <f>Coins!I153</f>
        <v/>
      </c>
      <c r="J153" s="198" t="str">
        <f>Coins!J153</f>
        <v/>
      </c>
      <c r="K153" s="201" t="str">
        <f>Coins!K153</f>
        <v/>
      </c>
      <c r="L153" s="198" t="str">
        <f>Coins!L153</f>
        <v/>
      </c>
      <c r="M153" s="198"/>
      <c r="N153" s="198"/>
      <c r="P153" s="66" t="str">
        <f t="shared" si="4"/>
        <v/>
      </c>
    </row>
    <row r="154">
      <c r="A154" s="198" t="str">
        <f>Coins!A154</f>
        <v/>
      </c>
      <c r="B154" s="199" t="str">
        <f>Coins!B154</f>
        <v/>
      </c>
      <c r="C154" s="198" t="str">
        <f>Coins!C154</f>
        <v/>
      </c>
      <c r="D154" s="198" t="str">
        <f>Coins!D154</f>
        <v/>
      </c>
      <c r="E154" s="198" t="str">
        <f>Coins!E154</f>
        <v/>
      </c>
      <c r="F154" s="198" t="str">
        <f>Coins!F154</f>
        <v/>
      </c>
      <c r="G154" s="198" t="str">
        <f>Coins!G154</f>
        <v/>
      </c>
      <c r="H154" s="201" t="str">
        <f>if(Coins!H154="N/A",0,Coins!H154)</f>
        <v/>
      </c>
      <c r="I154" s="202" t="str">
        <f>Coins!I154</f>
        <v/>
      </c>
      <c r="J154" s="198" t="str">
        <f>Coins!J154</f>
        <v/>
      </c>
      <c r="K154" s="201" t="str">
        <f>Coins!K154</f>
        <v/>
      </c>
      <c r="L154" s="198" t="str">
        <f>Coins!L154</f>
        <v/>
      </c>
      <c r="M154" s="198"/>
      <c r="N154" s="198"/>
      <c r="P154" s="66" t="str">
        <f t="shared" si="4"/>
        <v/>
      </c>
    </row>
    <row r="155">
      <c r="A155" s="198" t="str">
        <f>Coins!A155</f>
        <v/>
      </c>
      <c r="B155" s="199" t="str">
        <f>Coins!B155</f>
        <v/>
      </c>
      <c r="C155" s="198" t="str">
        <f>Coins!C155</f>
        <v/>
      </c>
      <c r="D155" s="198" t="str">
        <f>Coins!D155</f>
        <v/>
      </c>
      <c r="E155" s="198" t="str">
        <f>Coins!E155</f>
        <v/>
      </c>
      <c r="F155" s="198" t="str">
        <f>Coins!F155</f>
        <v/>
      </c>
      <c r="G155" s="198" t="str">
        <f>Coins!G155</f>
        <v/>
      </c>
      <c r="H155" s="201" t="str">
        <f>if(Coins!H155="N/A",0,Coins!H155)</f>
        <v/>
      </c>
      <c r="I155" s="202" t="str">
        <f>Coins!I155</f>
        <v/>
      </c>
      <c r="J155" s="198" t="str">
        <f>Coins!J155</f>
        <v/>
      </c>
      <c r="K155" s="201" t="str">
        <f>Coins!K155</f>
        <v/>
      </c>
      <c r="L155" s="198" t="str">
        <f>Coins!L155</f>
        <v/>
      </c>
      <c r="M155" s="198"/>
      <c r="N155" s="198"/>
      <c r="P155" s="66" t="str">
        <f t="shared" si="4"/>
        <v/>
      </c>
    </row>
    <row r="156">
      <c r="A156" s="198" t="str">
        <f>Coins!A156</f>
        <v/>
      </c>
      <c r="B156" s="199" t="str">
        <f>Coins!B156</f>
        <v/>
      </c>
      <c r="C156" s="198" t="str">
        <f>Coins!C156</f>
        <v/>
      </c>
      <c r="D156" s="198" t="str">
        <f>Coins!D156</f>
        <v/>
      </c>
      <c r="E156" s="198" t="str">
        <f>Coins!E156</f>
        <v/>
      </c>
      <c r="F156" s="198" t="str">
        <f>Coins!F156</f>
        <v/>
      </c>
      <c r="G156" s="198" t="str">
        <f>Coins!G156</f>
        <v/>
      </c>
      <c r="H156" s="201" t="str">
        <f>if(Coins!H156="N/A",0,Coins!H156)</f>
        <v/>
      </c>
      <c r="I156" s="202" t="str">
        <f>Coins!I156</f>
        <v/>
      </c>
      <c r="J156" s="198" t="str">
        <f>Coins!J156</f>
        <v/>
      </c>
      <c r="K156" s="201" t="str">
        <f>Coins!K156</f>
        <v/>
      </c>
      <c r="L156" s="198" t="str">
        <f>Coins!L156</f>
        <v/>
      </c>
      <c r="M156" s="198"/>
      <c r="N156" s="198"/>
      <c r="P156" s="66" t="str">
        <f t="shared" si="4"/>
        <v/>
      </c>
    </row>
    <row r="157">
      <c r="A157" s="198" t="str">
        <f>Coins!A157</f>
        <v/>
      </c>
      <c r="B157" s="199" t="str">
        <f>Coins!B157</f>
        <v/>
      </c>
      <c r="C157" s="198" t="str">
        <f>Coins!C157</f>
        <v/>
      </c>
      <c r="D157" s="198" t="str">
        <f>Coins!D157</f>
        <v/>
      </c>
      <c r="E157" s="198" t="str">
        <f>Coins!E157</f>
        <v/>
      </c>
      <c r="F157" s="198" t="str">
        <f>Coins!F157</f>
        <v/>
      </c>
      <c r="G157" s="198" t="str">
        <f>Coins!G157</f>
        <v/>
      </c>
      <c r="H157" s="201" t="str">
        <f>if(Coins!H157="N/A",0,Coins!H157)</f>
        <v/>
      </c>
      <c r="I157" s="202" t="str">
        <f>Coins!I157</f>
        <v/>
      </c>
      <c r="J157" s="198" t="str">
        <f>Coins!J157</f>
        <v/>
      </c>
      <c r="K157" s="201" t="str">
        <f>Coins!K157</f>
        <v/>
      </c>
      <c r="L157" s="198" t="str">
        <f>Coins!L157</f>
        <v/>
      </c>
      <c r="M157" s="198"/>
      <c r="N157" s="198"/>
      <c r="P157" s="66" t="str">
        <f t="shared" si="4"/>
        <v/>
      </c>
    </row>
    <row r="158">
      <c r="A158" s="198" t="str">
        <f>Coins!A158</f>
        <v/>
      </c>
      <c r="B158" s="199" t="str">
        <f>Coins!B158</f>
        <v/>
      </c>
      <c r="C158" s="198" t="str">
        <f>Coins!C158</f>
        <v/>
      </c>
      <c r="D158" s="198" t="str">
        <f>Coins!D158</f>
        <v/>
      </c>
      <c r="E158" s="198" t="str">
        <f>Coins!E158</f>
        <v/>
      </c>
      <c r="F158" s="198" t="str">
        <f>Coins!F158</f>
        <v/>
      </c>
      <c r="G158" s="198" t="str">
        <f>Coins!G158</f>
        <v/>
      </c>
      <c r="H158" s="201" t="str">
        <f>if(Coins!H158="N/A",0,Coins!H158)</f>
        <v/>
      </c>
      <c r="I158" s="202" t="str">
        <f>Coins!I158</f>
        <v/>
      </c>
      <c r="J158" s="198" t="str">
        <f>Coins!J158</f>
        <v/>
      </c>
      <c r="K158" s="201" t="str">
        <f>Coins!K158</f>
        <v/>
      </c>
      <c r="L158" s="198" t="str">
        <f>Coins!L158</f>
        <v/>
      </c>
      <c r="M158" s="198"/>
      <c r="N158" s="198"/>
      <c r="P158" s="66" t="str">
        <f t="shared" si="4"/>
        <v/>
      </c>
    </row>
    <row r="159">
      <c r="A159" s="198" t="str">
        <f>Coins!A159</f>
        <v/>
      </c>
      <c r="B159" s="199" t="str">
        <f>Coins!B159</f>
        <v/>
      </c>
      <c r="C159" s="198" t="str">
        <f>Coins!C159</f>
        <v/>
      </c>
      <c r="D159" s="198" t="str">
        <f>Coins!D159</f>
        <v/>
      </c>
      <c r="E159" s="198" t="str">
        <f>Coins!E159</f>
        <v/>
      </c>
      <c r="F159" s="198" t="str">
        <f>Coins!F159</f>
        <v/>
      </c>
      <c r="G159" s="198" t="str">
        <f>Coins!G159</f>
        <v/>
      </c>
      <c r="H159" s="201" t="str">
        <f>if(Coins!H159="N/A",0,Coins!H159)</f>
        <v/>
      </c>
      <c r="I159" s="202" t="str">
        <f>Coins!I159</f>
        <v/>
      </c>
      <c r="J159" s="198" t="str">
        <f>Coins!J159</f>
        <v/>
      </c>
      <c r="K159" s="201" t="str">
        <f>Coins!K159</f>
        <v/>
      </c>
      <c r="L159" s="198" t="str">
        <f>Coins!L159</f>
        <v/>
      </c>
      <c r="M159" s="198"/>
      <c r="N159" s="198"/>
      <c r="P159" s="66" t="str">
        <f t="shared" si="4"/>
        <v/>
      </c>
    </row>
    <row r="160">
      <c r="A160" s="198" t="str">
        <f>Coins!A160</f>
        <v/>
      </c>
      <c r="B160" s="199" t="str">
        <f>Coins!B160</f>
        <v/>
      </c>
      <c r="C160" s="198" t="str">
        <f>Coins!C160</f>
        <v/>
      </c>
      <c r="D160" s="198" t="str">
        <f>Coins!D160</f>
        <v/>
      </c>
      <c r="E160" s="198" t="str">
        <f>Coins!E160</f>
        <v/>
      </c>
      <c r="F160" s="198" t="str">
        <f>Coins!F160</f>
        <v/>
      </c>
      <c r="G160" s="198" t="str">
        <f>Coins!G160</f>
        <v/>
      </c>
      <c r="H160" s="201" t="str">
        <f>if(Coins!H160="N/A",0,Coins!H160)</f>
        <v/>
      </c>
      <c r="I160" s="202" t="str">
        <f>Coins!I160</f>
        <v/>
      </c>
      <c r="J160" s="198" t="str">
        <f>Coins!J160</f>
        <v/>
      </c>
      <c r="K160" s="201" t="str">
        <f>Coins!K160</f>
        <v/>
      </c>
      <c r="L160" s="198" t="str">
        <f>Coins!L160</f>
        <v/>
      </c>
      <c r="M160" s="198"/>
      <c r="N160" s="198"/>
      <c r="P160" s="66" t="str">
        <f t="shared" si="4"/>
        <v/>
      </c>
    </row>
    <row r="161">
      <c r="A161" s="198" t="str">
        <f>Coins!A161</f>
        <v/>
      </c>
      <c r="B161" s="199" t="str">
        <f>Coins!B161</f>
        <v/>
      </c>
      <c r="C161" s="198" t="str">
        <f>Coins!C161</f>
        <v/>
      </c>
      <c r="D161" s="198" t="str">
        <f>Coins!D161</f>
        <v/>
      </c>
      <c r="E161" s="198" t="str">
        <f>Coins!E161</f>
        <v/>
      </c>
      <c r="F161" s="198" t="str">
        <f>Coins!F161</f>
        <v/>
      </c>
      <c r="G161" s="198" t="str">
        <f>Coins!G161</f>
        <v/>
      </c>
      <c r="H161" s="201" t="str">
        <f>if(Coins!H161="N/A",0,Coins!H161)</f>
        <v/>
      </c>
      <c r="I161" s="202" t="str">
        <f>Coins!I161</f>
        <v/>
      </c>
      <c r="J161" s="198" t="str">
        <f>Coins!J161</f>
        <v/>
      </c>
      <c r="K161" s="201" t="str">
        <f>Coins!K161</f>
        <v/>
      </c>
      <c r="L161" s="198" t="str">
        <f>Coins!L161</f>
        <v/>
      </c>
      <c r="M161" s="198"/>
      <c r="N161" s="198"/>
      <c r="P161" s="66" t="str">
        <f t="shared" si="4"/>
        <v/>
      </c>
    </row>
    <row r="162">
      <c r="A162" s="198" t="str">
        <f>Coins!A162</f>
        <v/>
      </c>
      <c r="B162" s="199" t="str">
        <f>Coins!B162</f>
        <v/>
      </c>
      <c r="C162" s="198" t="str">
        <f>Coins!C162</f>
        <v/>
      </c>
      <c r="D162" s="198" t="str">
        <f>Coins!D162</f>
        <v/>
      </c>
      <c r="E162" s="198" t="str">
        <f>Coins!E162</f>
        <v/>
      </c>
      <c r="F162" s="198" t="str">
        <f>Coins!F162</f>
        <v/>
      </c>
      <c r="G162" s="198" t="str">
        <f>Coins!G162</f>
        <v/>
      </c>
      <c r="H162" s="201" t="str">
        <f>if(Coins!H162="N/A",0,Coins!H162)</f>
        <v/>
      </c>
      <c r="I162" s="202" t="str">
        <f>Coins!I162</f>
        <v/>
      </c>
      <c r="J162" s="198" t="str">
        <f>Coins!J162</f>
        <v/>
      </c>
      <c r="K162" s="201" t="str">
        <f>Coins!K162</f>
        <v/>
      </c>
      <c r="L162" s="198" t="str">
        <f>Coins!L162</f>
        <v/>
      </c>
      <c r="M162" s="198"/>
      <c r="N162" s="198"/>
      <c r="P162" s="66" t="str">
        <f t="shared" si="4"/>
        <v/>
      </c>
    </row>
    <row r="163">
      <c r="A163" s="198" t="str">
        <f>Coins!A163</f>
        <v/>
      </c>
      <c r="B163" s="199" t="str">
        <f>Coins!B163</f>
        <v/>
      </c>
      <c r="C163" s="198" t="str">
        <f>Coins!C163</f>
        <v/>
      </c>
      <c r="D163" s="198" t="str">
        <f>Coins!D163</f>
        <v/>
      </c>
      <c r="E163" s="198" t="str">
        <f>Coins!E163</f>
        <v/>
      </c>
      <c r="F163" s="198" t="str">
        <f>Coins!F163</f>
        <v/>
      </c>
      <c r="G163" s="198" t="str">
        <f>Coins!G163</f>
        <v/>
      </c>
      <c r="H163" s="201" t="str">
        <f>if(Coins!H163="N/A",0,Coins!H163)</f>
        <v/>
      </c>
      <c r="I163" s="202" t="str">
        <f>Coins!I163</f>
        <v/>
      </c>
      <c r="J163" s="198" t="str">
        <f>Coins!J163</f>
        <v/>
      </c>
      <c r="K163" s="201" t="str">
        <f>Coins!K163</f>
        <v/>
      </c>
      <c r="L163" s="198" t="str">
        <f>Coins!L163</f>
        <v/>
      </c>
      <c r="M163" s="198"/>
      <c r="N163" s="198"/>
      <c r="P163" s="66" t="str">
        <f t="shared" si="4"/>
        <v/>
      </c>
    </row>
    <row r="164">
      <c r="A164" s="198" t="str">
        <f>Coins!A164</f>
        <v/>
      </c>
      <c r="B164" s="199" t="str">
        <f>Coins!B164</f>
        <v/>
      </c>
      <c r="C164" s="198" t="str">
        <f>Coins!C164</f>
        <v/>
      </c>
      <c r="D164" s="198" t="str">
        <f>Coins!D164</f>
        <v/>
      </c>
      <c r="E164" s="198" t="str">
        <f>Coins!E164</f>
        <v/>
      </c>
      <c r="F164" s="198" t="str">
        <f>Coins!F164</f>
        <v/>
      </c>
      <c r="G164" s="198" t="str">
        <f>Coins!G164</f>
        <v/>
      </c>
      <c r="H164" s="201" t="str">
        <f>if(Coins!H164="N/A",0,Coins!H164)</f>
        <v/>
      </c>
      <c r="I164" s="202" t="str">
        <f>Coins!I164</f>
        <v/>
      </c>
      <c r="J164" s="198" t="str">
        <f>Coins!J164</f>
        <v/>
      </c>
      <c r="K164" s="201" t="str">
        <f>Coins!K164</f>
        <v/>
      </c>
      <c r="L164" s="198" t="str">
        <f>Coins!L164</f>
        <v/>
      </c>
      <c r="M164" s="198"/>
      <c r="N164" s="198"/>
      <c r="P164" s="66" t="str">
        <f t="shared" si="4"/>
        <v/>
      </c>
    </row>
    <row r="165">
      <c r="A165" s="198" t="str">
        <f>Coins!A165</f>
        <v/>
      </c>
      <c r="B165" s="199" t="str">
        <f>Coins!B165</f>
        <v/>
      </c>
      <c r="C165" s="198" t="str">
        <f>Coins!C165</f>
        <v/>
      </c>
      <c r="D165" s="198" t="str">
        <f>Coins!D165</f>
        <v/>
      </c>
      <c r="E165" s="198" t="str">
        <f>Coins!E165</f>
        <v/>
      </c>
      <c r="F165" s="198" t="str">
        <f>Coins!F165</f>
        <v/>
      </c>
      <c r="G165" s="198" t="str">
        <f>Coins!G165</f>
        <v/>
      </c>
      <c r="H165" s="201" t="str">
        <f>if(Coins!H165="N/A",0,Coins!H165)</f>
        <v/>
      </c>
      <c r="I165" s="202" t="str">
        <f>Coins!I165</f>
        <v/>
      </c>
      <c r="J165" s="198" t="str">
        <f>Coins!J165</f>
        <v/>
      </c>
      <c r="K165" s="201" t="str">
        <f>Coins!K165</f>
        <v/>
      </c>
      <c r="L165" s="198" t="str">
        <f>Coins!L165</f>
        <v/>
      </c>
      <c r="M165" s="198"/>
      <c r="N165" s="198"/>
      <c r="P165" s="66" t="str">
        <f t="shared" si="4"/>
        <v/>
      </c>
    </row>
    <row r="166">
      <c r="A166" s="198" t="str">
        <f>Coins!A166</f>
        <v/>
      </c>
      <c r="B166" s="199" t="str">
        <f>Coins!B166</f>
        <v/>
      </c>
      <c r="C166" s="198" t="str">
        <f>Coins!C166</f>
        <v/>
      </c>
      <c r="D166" s="198" t="str">
        <f>Coins!D166</f>
        <v/>
      </c>
      <c r="E166" s="198" t="str">
        <f>Coins!E166</f>
        <v/>
      </c>
      <c r="F166" s="198" t="str">
        <f>Coins!F166</f>
        <v/>
      </c>
      <c r="G166" s="198" t="str">
        <f>Coins!G166</f>
        <v/>
      </c>
      <c r="H166" s="201" t="str">
        <f>if(Coins!H166="N/A",0,Coins!H166)</f>
        <v/>
      </c>
      <c r="I166" s="202" t="str">
        <f>Coins!I166</f>
        <v/>
      </c>
      <c r="J166" s="198" t="str">
        <f>Coins!J166</f>
        <v/>
      </c>
      <c r="K166" s="201" t="str">
        <f>Coins!K166</f>
        <v/>
      </c>
      <c r="L166" s="198" t="str">
        <f>Coins!L166</f>
        <v/>
      </c>
      <c r="M166" s="198"/>
      <c r="N166" s="198"/>
      <c r="P166" s="66" t="str">
        <f t="shared" si="4"/>
        <v/>
      </c>
    </row>
    <row r="167">
      <c r="A167" s="198" t="str">
        <f>Coins!A167</f>
        <v/>
      </c>
      <c r="B167" s="199" t="str">
        <f>Coins!B167</f>
        <v/>
      </c>
      <c r="C167" s="198" t="str">
        <f>Coins!C167</f>
        <v/>
      </c>
      <c r="D167" s="198" t="str">
        <f>Coins!D167</f>
        <v/>
      </c>
      <c r="E167" s="198" t="str">
        <f>Coins!E167</f>
        <v/>
      </c>
      <c r="F167" s="198" t="str">
        <f>Coins!F167</f>
        <v/>
      </c>
      <c r="G167" s="198" t="str">
        <f>Coins!G167</f>
        <v/>
      </c>
      <c r="H167" s="201" t="str">
        <f>if(Coins!H167="N/A",0,Coins!H167)</f>
        <v/>
      </c>
      <c r="I167" s="202" t="str">
        <f>Coins!I167</f>
        <v/>
      </c>
      <c r="J167" s="198" t="str">
        <f>Coins!J167</f>
        <v/>
      </c>
      <c r="K167" s="201" t="str">
        <f>Coins!K167</f>
        <v/>
      </c>
      <c r="L167" s="198" t="str">
        <f>Coins!L167</f>
        <v/>
      </c>
      <c r="M167" s="198"/>
      <c r="N167" s="198"/>
      <c r="P167" s="66" t="str">
        <f t="shared" si="4"/>
        <v/>
      </c>
    </row>
    <row r="168">
      <c r="A168" s="198" t="str">
        <f>Coins!A168</f>
        <v/>
      </c>
      <c r="B168" s="199" t="str">
        <f>Coins!B168</f>
        <v/>
      </c>
      <c r="C168" s="198" t="str">
        <f>Coins!C168</f>
        <v/>
      </c>
      <c r="D168" s="198" t="str">
        <f>Coins!D168</f>
        <v/>
      </c>
      <c r="E168" s="198" t="str">
        <f>Coins!E168</f>
        <v/>
      </c>
      <c r="F168" s="198" t="str">
        <f>Coins!F168</f>
        <v/>
      </c>
      <c r="G168" s="198" t="str">
        <f>Coins!G168</f>
        <v/>
      </c>
      <c r="H168" s="201" t="str">
        <f>if(Coins!H168="N/A",0,Coins!H168)</f>
        <v/>
      </c>
      <c r="I168" s="202" t="str">
        <f>Coins!I168</f>
        <v/>
      </c>
      <c r="J168" s="198" t="str">
        <f>Coins!J168</f>
        <v/>
      </c>
      <c r="K168" s="201" t="str">
        <f>Coins!K168</f>
        <v/>
      </c>
      <c r="L168" s="198" t="str">
        <f>Coins!L168</f>
        <v/>
      </c>
      <c r="M168" s="198"/>
      <c r="N168" s="198"/>
      <c r="P168" s="66" t="str">
        <f t="shared" si="4"/>
        <v/>
      </c>
    </row>
    <row r="169">
      <c r="A169" s="198" t="str">
        <f>Coins!A169</f>
        <v/>
      </c>
      <c r="B169" s="199" t="str">
        <f>Coins!B169</f>
        <v/>
      </c>
      <c r="C169" s="198" t="str">
        <f>Coins!C169</f>
        <v/>
      </c>
      <c r="D169" s="198" t="str">
        <f>Coins!D169</f>
        <v/>
      </c>
      <c r="E169" s="198" t="str">
        <f>Coins!E169</f>
        <v/>
      </c>
      <c r="F169" s="198" t="str">
        <f>Coins!F169</f>
        <v/>
      </c>
      <c r="G169" s="198" t="str">
        <f>Coins!G169</f>
        <v/>
      </c>
      <c r="H169" s="201" t="str">
        <f>if(Coins!H169="N/A",0,Coins!H169)</f>
        <v/>
      </c>
      <c r="I169" s="202" t="str">
        <f>Coins!I169</f>
        <v/>
      </c>
      <c r="J169" s="198" t="str">
        <f>Coins!J169</f>
        <v/>
      </c>
      <c r="K169" s="201" t="str">
        <f>Coins!K169</f>
        <v/>
      </c>
      <c r="L169" s="198" t="str">
        <f>Coins!L169</f>
        <v/>
      </c>
      <c r="M169" s="198"/>
      <c r="N169" s="198"/>
      <c r="P169" s="66" t="str">
        <f t="shared" si="4"/>
        <v/>
      </c>
    </row>
    <row r="170">
      <c r="A170" s="198" t="str">
        <f>Coins!A170</f>
        <v/>
      </c>
      <c r="B170" s="199" t="str">
        <f>Coins!B170</f>
        <v/>
      </c>
      <c r="C170" s="198" t="str">
        <f>Coins!C170</f>
        <v/>
      </c>
      <c r="D170" s="198" t="str">
        <f>Coins!D170</f>
        <v/>
      </c>
      <c r="E170" s="198" t="str">
        <f>Coins!E170</f>
        <v/>
      </c>
      <c r="F170" s="198" t="str">
        <f>Coins!F170</f>
        <v/>
      </c>
      <c r="G170" s="198" t="str">
        <f>Coins!G170</f>
        <v/>
      </c>
      <c r="H170" s="201" t="str">
        <f>if(Coins!H170="N/A",0,Coins!H170)</f>
        <v/>
      </c>
      <c r="I170" s="202" t="str">
        <f>Coins!I170</f>
        <v/>
      </c>
      <c r="J170" s="198" t="str">
        <f>Coins!J170</f>
        <v/>
      </c>
      <c r="K170" s="201" t="str">
        <f>Coins!K170</f>
        <v/>
      </c>
      <c r="L170" s="198" t="str">
        <f>Coins!L170</f>
        <v/>
      </c>
      <c r="M170" s="198"/>
      <c r="N170" s="198"/>
      <c r="P170" s="66" t="str">
        <f t="shared" si="4"/>
        <v/>
      </c>
    </row>
    <row r="171">
      <c r="A171" s="198" t="str">
        <f>Coins!A171</f>
        <v/>
      </c>
      <c r="B171" s="199" t="str">
        <f>Coins!B171</f>
        <v/>
      </c>
      <c r="C171" s="198" t="str">
        <f>Coins!C171</f>
        <v/>
      </c>
      <c r="D171" s="198" t="str">
        <f>Coins!D171</f>
        <v/>
      </c>
      <c r="E171" s="198" t="str">
        <f>Coins!E171</f>
        <v/>
      </c>
      <c r="F171" s="198" t="str">
        <f>Coins!F171</f>
        <v/>
      </c>
      <c r="G171" s="198" t="str">
        <f>Coins!G171</f>
        <v/>
      </c>
      <c r="H171" s="201" t="str">
        <f>if(Coins!H171="N/A",0,Coins!H171)</f>
        <v/>
      </c>
      <c r="I171" s="202" t="str">
        <f>Coins!I171</f>
        <v/>
      </c>
      <c r="J171" s="198" t="str">
        <f>Coins!J171</f>
        <v/>
      </c>
      <c r="K171" s="201" t="str">
        <f>Coins!K171</f>
        <v/>
      </c>
      <c r="L171" s="198" t="str">
        <f>Coins!L171</f>
        <v/>
      </c>
      <c r="M171" s="198"/>
      <c r="N171" s="198"/>
      <c r="P171" s="66" t="str">
        <f t="shared" si="4"/>
        <v/>
      </c>
    </row>
    <row r="172">
      <c r="A172" s="198" t="str">
        <f>Coins!A172</f>
        <v/>
      </c>
      <c r="B172" s="199" t="str">
        <f>Coins!B172</f>
        <v/>
      </c>
      <c r="C172" s="198" t="str">
        <f>Coins!C172</f>
        <v/>
      </c>
      <c r="D172" s="198" t="str">
        <f>Coins!D172</f>
        <v/>
      </c>
      <c r="E172" s="198" t="str">
        <f>Coins!E172</f>
        <v/>
      </c>
      <c r="F172" s="198" t="str">
        <f>Coins!F172</f>
        <v/>
      </c>
      <c r="G172" s="198" t="str">
        <f>Coins!G172</f>
        <v/>
      </c>
      <c r="H172" s="201" t="str">
        <f>if(Coins!H172="N/A",0,Coins!H172)</f>
        <v/>
      </c>
      <c r="I172" s="202" t="str">
        <f>Coins!I172</f>
        <v/>
      </c>
      <c r="J172" s="198" t="str">
        <f>Coins!J172</f>
        <v/>
      </c>
      <c r="K172" s="201" t="str">
        <f>Coins!K172</f>
        <v/>
      </c>
      <c r="L172" s="198" t="str">
        <f>Coins!L172</f>
        <v/>
      </c>
      <c r="M172" s="198"/>
      <c r="N172" s="198"/>
      <c r="P172" s="66" t="str">
        <f t="shared" si="4"/>
        <v/>
      </c>
    </row>
    <row r="173">
      <c r="A173" s="198" t="str">
        <f>Coins!A173</f>
        <v/>
      </c>
      <c r="B173" s="199" t="str">
        <f>Coins!B173</f>
        <v/>
      </c>
      <c r="C173" s="198" t="str">
        <f>Coins!C173</f>
        <v/>
      </c>
      <c r="D173" s="198" t="str">
        <f>Coins!D173</f>
        <v/>
      </c>
      <c r="E173" s="198" t="str">
        <f>Coins!E173</f>
        <v/>
      </c>
      <c r="F173" s="198" t="str">
        <f>Coins!F173</f>
        <v/>
      </c>
      <c r="G173" s="198" t="str">
        <f>Coins!G173</f>
        <v/>
      </c>
      <c r="H173" s="201" t="str">
        <f>if(Coins!H173="N/A",0,Coins!H173)</f>
        <v/>
      </c>
      <c r="I173" s="202" t="str">
        <f>Coins!I173</f>
        <v/>
      </c>
      <c r="J173" s="198" t="str">
        <f>Coins!J173</f>
        <v/>
      </c>
      <c r="K173" s="201" t="str">
        <f>Coins!K173</f>
        <v/>
      </c>
      <c r="L173" s="198" t="str">
        <f>Coins!L173</f>
        <v/>
      </c>
      <c r="M173" s="198"/>
      <c r="N173" s="198"/>
      <c r="P173" s="66" t="str">
        <f t="shared" si="4"/>
        <v/>
      </c>
    </row>
    <row r="174">
      <c r="A174" s="198" t="str">
        <f>Coins!A174</f>
        <v/>
      </c>
      <c r="B174" s="199" t="str">
        <f>Coins!B174</f>
        <v/>
      </c>
      <c r="C174" s="198" t="str">
        <f>Coins!C174</f>
        <v/>
      </c>
      <c r="D174" s="198" t="str">
        <f>Coins!D174</f>
        <v/>
      </c>
      <c r="E174" s="198" t="str">
        <f>Coins!E174</f>
        <v/>
      </c>
      <c r="F174" s="198" t="str">
        <f>Coins!F174</f>
        <v/>
      </c>
      <c r="G174" s="198" t="str">
        <f>Coins!G174</f>
        <v/>
      </c>
      <c r="H174" s="201" t="str">
        <f>if(Coins!H174="N/A",0,Coins!H174)</f>
        <v/>
      </c>
      <c r="I174" s="202" t="str">
        <f>Coins!I174</f>
        <v/>
      </c>
      <c r="J174" s="198" t="str">
        <f>Coins!J174</f>
        <v/>
      </c>
      <c r="K174" s="201" t="str">
        <f>Coins!K174</f>
        <v/>
      </c>
      <c r="L174" s="198" t="str">
        <f>Coins!L174</f>
        <v/>
      </c>
      <c r="M174" s="198"/>
      <c r="N174" s="198"/>
      <c r="P174" s="66" t="str">
        <f t="shared" si="4"/>
        <v/>
      </c>
    </row>
    <row r="175">
      <c r="A175" s="198" t="str">
        <f>Coins!A175</f>
        <v/>
      </c>
      <c r="B175" s="199" t="str">
        <f>Coins!B175</f>
        <v/>
      </c>
      <c r="C175" s="198" t="str">
        <f>Coins!C175</f>
        <v/>
      </c>
      <c r="D175" s="198" t="str">
        <f>Coins!D175</f>
        <v/>
      </c>
      <c r="E175" s="198" t="str">
        <f>Coins!E175</f>
        <v/>
      </c>
      <c r="F175" s="198" t="str">
        <f>Coins!F175</f>
        <v/>
      </c>
      <c r="G175" s="198" t="str">
        <f>Coins!G175</f>
        <v/>
      </c>
      <c r="H175" s="201" t="str">
        <f>if(Coins!H175="N/A",0,Coins!H175)</f>
        <v/>
      </c>
      <c r="I175" s="202" t="str">
        <f>Coins!I175</f>
        <v/>
      </c>
      <c r="J175" s="198" t="str">
        <f>Coins!J175</f>
        <v/>
      </c>
      <c r="K175" s="201" t="str">
        <f>Coins!K175</f>
        <v/>
      </c>
      <c r="L175" s="198" t="str">
        <f>Coins!L175</f>
        <v/>
      </c>
      <c r="M175" s="198"/>
      <c r="N175" s="198"/>
      <c r="P175" s="66" t="str">
        <f t="shared" si="4"/>
        <v/>
      </c>
    </row>
    <row r="176">
      <c r="A176" s="198" t="str">
        <f>Coins!A176</f>
        <v/>
      </c>
      <c r="B176" s="199" t="str">
        <f>Coins!B176</f>
        <v/>
      </c>
      <c r="C176" s="198" t="str">
        <f>Coins!C176</f>
        <v/>
      </c>
      <c r="D176" s="198" t="str">
        <f>Coins!D176</f>
        <v/>
      </c>
      <c r="E176" s="198" t="str">
        <f>Coins!E176</f>
        <v/>
      </c>
      <c r="F176" s="198" t="str">
        <f>Coins!F176</f>
        <v/>
      </c>
      <c r="G176" s="198" t="str">
        <f>Coins!G176</f>
        <v/>
      </c>
      <c r="H176" s="201" t="str">
        <f>if(Coins!H176="N/A",0,Coins!H176)</f>
        <v/>
      </c>
      <c r="I176" s="202" t="str">
        <f>Coins!I176</f>
        <v/>
      </c>
      <c r="J176" s="198" t="str">
        <f>Coins!J176</f>
        <v/>
      </c>
      <c r="K176" s="201" t="str">
        <f>Coins!K176</f>
        <v/>
      </c>
      <c r="L176" s="198" t="str">
        <f>Coins!L176</f>
        <v/>
      </c>
      <c r="M176" s="198"/>
      <c r="N176" s="198"/>
      <c r="P176" s="66" t="str">
        <f t="shared" si="4"/>
        <v/>
      </c>
    </row>
    <row r="177">
      <c r="A177" s="198" t="str">
        <f>Coins!A177</f>
        <v/>
      </c>
      <c r="B177" s="199" t="str">
        <f>Coins!B177</f>
        <v/>
      </c>
      <c r="C177" s="198" t="str">
        <f>Coins!C177</f>
        <v/>
      </c>
      <c r="D177" s="198" t="str">
        <f>Coins!D177</f>
        <v/>
      </c>
      <c r="E177" s="198" t="str">
        <f>Coins!E177</f>
        <v/>
      </c>
      <c r="F177" s="198" t="str">
        <f>Coins!F177</f>
        <v/>
      </c>
      <c r="G177" s="198" t="str">
        <f>Coins!G177</f>
        <v/>
      </c>
      <c r="H177" s="201" t="str">
        <f>if(Coins!H177="N/A",0,Coins!H177)</f>
        <v/>
      </c>
      <c r="I177" s="202" t="str">
        <f>Coins!I177</f>
        <v/>
      </c>
      <c r="J177" s="198" t="str">
        <f>Coins!J177</f>
        <v/>
      </c>
      <c r="K177" s="201" t="str">
        <f>Coins!K177</f>
        <v/>
      </c>
      <c r="L177" s="198" t="str">
        <f>Coins!L177</f>
        <v/>
      </c>
      <c r="M177" s="198"/>
      <c r="N177" s="198"/>
      <c r="P177" s="66" t="str">
        <f t="shared" si="4"/>
        <v/>
      </c>
    </row>
    <row r="178">
      <c r="A178" s="198" t="str">
        <f>Coins!A178</f>
        <v/>
      </c>
      <c r="B178" s="199" t="str">
        <f>Coins!B178</f>
        <v/>
      </c>
      <c r="C178" s="198" t="str">
        <f>Coins!C178</f>
        <v/>
      </c>
      <c r="D178" s="198" t="str">
        <f>Coins!D178</f>
        <v/>
      </c>
      <c r="E178" s="198" t="str">
        <f>Coins!E178</f>
        <v/>
      </c>
      <c r="F178" s="198" t="str">
        <f>Coins!F178</f>
        <v/>
      </c>
      <c r="G178" s="198" t="str">
        <f>Coins!G178</f>
        <v/>
      </c>
      <c r="H178" s="201" t="str">
        <f>if(Coins!H178="N/A",0,Coins!H178)</f>
        <v/>
      </c>
      <c r="I178" s="202" t="str">
        <f>Coins!I178</f>
        <v/>
      </c>
      <c r="J178" s="198" t="str">
        <f>Coins!J178</f>
        <v/>
      </c>
      <c r="K178" s="201" t="str">
        <f>Coins!K178</f>
        <v/>
      </c>
      <c r="L178" s="198" t="str">
        <f>Coins!L178</f>
        <v/>
      </c>
      <c r="M178" s="198"/>
      <c r="N178" s="198"/>
      <c r="P178" s="66" t="str">
        <f t="shared" si="4"/>
        <v/>
      </c>
    </row>
    <row r="179">
      <c r="A179" s="198" t="str">
        <f>Coins!A179</f>
        <v/>
      </c>
      <c r="B179" s="199" t="str">
        <f>Coins!B179</f>
        <v/>
      </c>
      <c r="C179" s="198" t="str">
        <f>Coins!C179</f>
        <v/>
      </c>
      <c r="D179" s="198" t="str">
        <f>Coins!D179</f>
        <v/>
      </c>
      <c r="E179" s="198" t="str">
        <f>Coins!E179</f>
        <v/>
      </c>
      <c r="F179" s="198" t="str">
        <f>Coins!F179</f>
        <v/>
      </c>
      <c r="G179" s="198" t="str">
        <f>Coins!G179</f>
        <v/>
      </c>
      <c r="H179" s="201" t="str">
        <f>if(Coins!H179="N/A",0,Coins!H179)</f>
        <v/>
      </c>
      <c r="I179" s="202" t="str">
        <f>Coins!I179</f>
        <v/>
      </c>
      <c r="J179" s="198" t="str">
        <f>Coins!J179</f>
        <v/>
      </c>
      <c r="K179" s="201" t="str">
        <f>Coins!K179</f>
        <v/>
      </c>
      <c r="L179" s="198" t="str">
        <f>Coins!L179</f>
        <v/>
      </c>
      <c r="M179" s="198"/>
      <c r="N179" s="198"/>
      <c r="P179" s="66" t="str">
        <f t="shared" si="4"/>
        <v/>
      </c>
    </row>
    <row r="180">
      <c r="A180" s="198" t="str">
        <f>Coins!A180</f>
        <v/>
      </c>
      <c r="B180" s="199" t="str">
        <f>Coins!B180</f>
        <v/>
      </c>
      <c r="C180" s="198" t="str">
        <f>Coins!C180</f>
        <v/>
      </c>
      <c r="D180" s="198" t="str">
        <f>Coins!D180</f>
        <v/>
      </c>
      <c r="E180" s="198" t="str">
        <f>Coins!E180</f>
        <v/>
      </c>
      <c r="F180" s="198" t="str">
        <f>Coins!F180</f>
        <v/>
      </c>
      <c r="G180" s="198" t="str">
        <f>Coins!G180</f>
        <v/>
      </c>
      <c r="H180" s="201" t="str">
        <f>if(Coins!H180="N/A",0,Coins!H180)</f>
        <v/>
      </c>
      <c r="I180" s="202" t="str">
        <f>Coins!I180</f>
        <v/>
      </c>
      <c r="J180" s="198" t="str">
        <f>Coins!J180</f>
        <v/>
      </c>
      <c r="K180" s="201" t="str">
        <f>Coins!K180</f>
        <v/>
      </c>
      <c r="L180" s="198" t="str">
        <f>Coins!L180</f>
        <v/>
      </c>
      <c r="M180" s="198"/>
      <c r="N180" s="198"/>
      <c r="P180" s="66" t="str">
        <f t="shared" si="4"/>
        <v/>
      </c>
    </row>
    <row r="181">
      <c r="A181" s="198" t="str">
        <f>Coins!A181</f>
        <v/>
      </c>
      <c r="B181" s="199" t="str">
        <f>Coins!B181</f>
        <v/>
      </c>
      <c r="C181" s="198" t="str">
        <f>Coins!C181</f>
        <v/>
      </c>
      <c r="D181" s="198" t="str">
        <f>Coins!D181</f>
        <v/>
      </c>
      <c r="E181" s="198" t="str">
        <f>Coins!E181</f>
        <v/>
      </c>
      <c r="F181" s="198" t="str">
        <f>Coins!F181</f>
        <v/>
      </c>
      <c r="G181" s="198" t="str">
        <f>Coins!G181</f>
        <v/>
      </c>
      <c r="H181" s="201" t="str">
        <f>if(Coins!H181="N/A",0,Coins!H181)</f>
        <v/>
      </c>
      <c r="I181" s="202" t="str">
        <f>Coins!I181</f>
        <v/>
      </c>
      <c r="J181" s="198" t="str">
        <f>Coins!J181</f>
        <v/>
      </c>
      <c r="K181" s="201" t="str">
        <f>Coins!K181</f>
        <v/>
      </c>
      <c r="L181" s="198" t="str">
        <f>Coins!L181</f>
        <v/>
      </c>
      <c r="M181" s="198"/>
      <c r="N181" s="198"/>
      <c r="P181" s="66" t="str">
        <f t="shared" si="4"/>
        <v/>
      </c>
    </row>
    <row r="182">
      <c r="A182" s="198" t="str">
        <f>Coins!A182</f>
        <v/>
      </c>
      <c r="B182" s="199" t="str">
        <f>Coins!B182</f>
        <v/>
      </c>
      <c r="C182" s="198" t="str">
        <f>Coins!C182</f>
        <v/>
      </c>
      <c r="D182" s="198" t="str">
        <f>Coins!D182</f>
        <v/>
      </c>
      <c r="E182" s="198" t="str">
        <f>Coins!E182</f>
        <v/>
      </c>
      <c r="F182" s="198" t="str">
        <f>Coins!F182</f>
        <v/>
      </c>
      <c r="G182" s="198" t="str">
        <f>Coins!G182</f>
        <v/>
      </c>
      <c r="H182" s="201" t="str">
        <f>if(Coins!H182="N/A",0,Coins!H182)</f>
        <v/>
      </c>
      <c r="I182" s="202" t="str">
        <f>Coins!I182</f>
        <v/>
      </c>
      <c r="J182" s="198" t="str">
        <f>Coins!J182</f>
        <v/>
      </c>
      <c r="K182" s="201" t="str">
        <f>Coins!K182</f>
        <v/>
      </c>
      <c r="L182" s="198" t="str">
        <f>Coins!L182</f>
        <v/>
      </c>
      <c r="M182" s="198"/>
      <c r="N182" s="198"/>
      <c r="P182" s="66" t="str">
        <f t="shared" si="4"/>
        <v/>
      </c>
    </row>
    <row r="183">
      <c r="A183" s="198" t="str">
        <f>Coins!A183</f>
        <v/>
      </c>
      <c r="B183" s="199" t="str">
        <f>Coins!B183</f>
        <v/>
      </c>
      <c r="C183" s="198" t="str">
        <f>Coins!C183</f>
        <v/>
      </c>
      <c r="D183" s="198" t="str">
        <f>Coins!D183</f>
        <v/>
      </c>
      <c r="E183" s="198" t="str">
        <f>Coins!E183</f>
        <v/>
      </c>
      <c r="F183" s="198" t="str">
        <f>Coins!F183</f>
        <v/>
      </c>
      <c r="G183" s="198" t="str">
        <f>Coins!G183</f>
        <v/>
      </c>
      <c r="H183" s="201" t="str">
        <f>if(Coins!H183="N/A",0,Coins!H183)</f>
        <v/>
      </c>
      <c r="I183" s="202" t="str">
        <f>Coins!I183</f>
        <v/>
      </c>
      <c r="J183" s="198" t="str">
        <f>Coins!J183</f>
        <v/>
      </c>
      <c r="K183" s="201" t="str">
        <f>Coins!K183</f>
        <v/>
      </c>
      <c r="L183" s="198" t="str">
        <f>Coins!L183</f>
        <v/>
      </c>
      <c r="M183" s="198"/>
      <c r="N183" s="198"/>
      <c r="P183" s="66" t="str">
        <f t="shared" si="4"/>
        <v/>
      </c>
    </row>
    <row r="184">
      <c r="A184" s="198" t="str">
        <f>Coins!A184</f>
        <v/>
      </c>
      <c r="B184" s="199" t="str">
        <f>Coins!B184</f>
        <v/>
      </c>
      <c r="C184" s="198" t="str">
        <f>Coins!C184</f>
        <v/>
      </c>
      <c r="D184" s="198" t="str">
        <f>Coins!D184</f>
        <v/>
      </c>
      <c r="E184" s="198" t="str">
        <f>Coins!E184</f>
        <v/>
      </c>
      <c r="F184" s="198" t="str">
        <f>Coins!F184</f>
        <v/>
      </c>
      <c r="G184" s="198" t="str">
        <f>Coins!G184</f>
        <v/>
      </c>
      <c r="H184" s="201" t="str">
        <f>if(Coins!H184="N/A",0,Coins!H184)</f>
        <v/>
      </c>
      <c r="I184" s="202" t="str">
        <f>Coins!I184</f>
        <v/>
      </c>
      <c r="J184" s="198" t="str">
        <f>Coins!J184</f>
        <v/>
      </c>
      <c r="K184" s="201" t="str">
        <f>Coins!K184</f>
        <v/>
      </c>
      <c r="L184" s="198" t="str">
        <f>Coins!L184</f>
        <v/>
      </c>
      <c r="M184" s="198"/>
      <c r="N184" s="198"/>
      <c r="P184" s="66" t="str">
        <f t="shared" si="4"/>
        <v/>
      </c>
    </row>
    <row r="185">
      <c r="A185" s="198" t="str">
        <f>Coins!A185</f>
        <v/>
      </c>
      <c r="B185" s="199" t="str">
        <f>Coins!B185</f>
        <v/>
      </c>
      <c r="C185" s="198" t="str">
        <f>Coins!C185</f>
        <v/>
      </c>
      <c r="D185" s="198" t="str">
        <f>Coins!D185</f>
        <v/>
      </c>
      <c r="E185" s="198" t="str">
        <f>Coins!E185</f>
        <v/>
      </c>
      <c r="F185" s="198" t="str">
        <f>Coins!F185</f>
        <v/>
      </c>
      <c r="G185" s="198" t="str">
        <f>Coins!G185</f>
        <v/>
      </c>
      <c r="H185" s="201" t="str">
        <f>if(Coins!H185="N/A",0,Coins!H185)</f>
        <v/>
      </c>
      <c r="I185" s="202" t="str">
        <f>Coins!I185</f>
        <v/>
      </c>
      <c r="J185" s="198" t="str">
        <f>Coins!J185</f>
        <v/>
      </c>
      <c r="K185" s="201" t="str">
        <f>Coins!K185</f>
        <v/>
      </c>
      <c r="L185" s="198" t="str">
        <f>Coins!L185</f>
        <v/>
      </c>
      <c r="M185" s="198"/>
      <c r="N185" s="198"/>
      <c r="P185" s="66" t="str">
        <f t="shared" si="4"/>
        <v/>
      </c>
    </row>
    <row r="186">
      <c r="A186" s="198" t="str">
        <f>Coins!A186</f>
        <v/>
      </c>
      <c r="B186" s="199" t="str">
        <f>Coins!B186</f>
        <v/>
      </c>
      <c r="C186" s="198" t="str">
        <f>Coins!C186</f>
        <v/>
      </c>
      <c r="D186" s="198" t="str">
        <f>Coins!D186</f>
        <v/>
      </c>
      <c r="E186" s="198" t="str">
        <f>Coins!E186</f>
        <v/>
      </c>
      <c r="F186" s="198" t="str">
        <f>Coins!F186</f>
        <v/>
      </c>
      <c r="G186" s="198" t="str">
        <f>Coins!G186</f>
        <v/>
      </c>
      <c r="H186" s="201" t="str">
        <f>if(Coins!H186="N/A",0,Coins!H186)</f>
        <v/>
      </c>
      <c r="I186" s="202" t="str">
        <f>Coins!I186</f>
        <v/>
      </c>
      <c r="J186" s="198" t="str">
        <f>Coins!J186</f>
        <v/>
      </c>
      <c r="K186" s="201" t="str">
        <f>Coins!K186</f>
        <v/>
      </c>
      <c r="L186" s="198" t="str">
        <f>Coins!L186</f>
        <v/>
      </c>
      <c r="M186" s="198"/>
      <c r="N186" s="198"/>
      <c r="P186" s="66" t="str">
        <f t="shared" si="4"/>
        <v/>
      </c>
    </row>
    <row r="187">
      <c r="A187" s="198" t="str">
        <f>Coins!A187</f>
        <v/>
      </c>
      <c r="B187" s="199" t="str">
        <f>Coins!B187</f>
        <v/>
      </c>
      <c r="C187" s="198" t="str">
        <f>Coins!C187</f>
        <v/>
      </c>
      <c r="D187" s="198" t="str">
        <f>Coins!D187</f>
        <v/>
      </c>
      <c r="E187" s="198" t="str">
        <f>Coins!E187</f>
        <v/>
      </c>
      <c r="F187" s="198" t="str">
        <f>Coins!F187</f>
        <v/>
      </c>
      <c r="G187" s="198" t="str">
        <f>Coins!G187</f>
        <v/>
      </c>
      <c r="H187" s="201" t="str">
        <f>if(Coins!H187="N/A",0,Coins!H187)</f>
        <v/>
      </c>
      <c r="I187" s="202" t="str">
        <f>Coins!I187</f>
        <v/>
      </c>
      <c r="J187" s="198" t="str">
        <f>Coins!J187</f>
        <v/>
      </c>
      <c r="K187" s="201" t="str">
        <f>Coins!K187</f>
        <v/>
      </c>
      <c r="L187" s="198" t="str">
        <f>Coins!L187</f>
        <v/>
      </c>
      <c r="M187" s="198"/>
      <c r="N187" s="198"/>
      <c r="P187" s="66" t="str">
        <f t="shared" si="4"/>
        <v/>
      </c>
    </row>
    <row r="188">
      <c r="A188" s="198" t="str">
        <f>Coins!A188</f>
        <v/>
      </c>
      <c r="B188" s="199" t="str">
        <f>Coins!B188</f>
        <v/>
      </c>
      <c r="C188" s="198" t="str">
        <f>Coins!C188</f>
        <v/>
      </c>
      <c r="D188" s="198" t="str">
        <f>Coins!D188</f>
        <v/>
      </c>
      <c r="E188" s="198" t="str">
        <f>Coins!E188</f>
        <v/>
      </c>
      <c r="F188" s="198" t="str">
        <f>Coins!F188</f>
        <v/>
      </c>
      <c r="G188" s="198" t="str">
        <f>Coins!G188</f>
        <v/>
      </c>
      <c r="H188" s="201" t="str">
        <f>if(Coins!H188="N/A",0,Coins!H188)</f>
        <v/>
      </c>
      <c r="I188" s="202" t="str">
        <f>Coins!I188</f>
        <v/>
      </c>
      <c r="J188" s="198" t="str">
        <f>Coins!J188</f>
        <v/>
      </c>
      <c r="K188" s="201" t="str">
        <f>Coins!K188</f>
        <v/>
      </c>
      <c r="L188" s="198" t="str">
        <f>Coins!L188</f>
        <v/>
      </c>
      <c r="M188" s="198"/>
      <c r="N188" s="198"/>
      <c r="P188" s="66" t="str">
        <f t="shared" si="4"/>
        <v/>
      </c>
    </row>
    <row r="189">
      <c r="A189" s="198" t="str">
        <f>Coins!A189</f>
        <v/>
      </c>
      <c r="B189" s="199" t="str">
        <f>Coins!B189</f>
        <v/>
      </c>
      <c r="C189" s="198" t="str">
        <f>Coins!C189</f>
        <v/>
      </c>
      <c r="D189" s="198" t="str">
        <f>Coins!D189</f>
        <v/>
      </c>
      <c r="E189" s="198" t="str">
        <f>Coins!E189</f>
        <v/>
      </c>
      <c r="F189" s="198" t="str">
        <f>Coins!F189</f>
        <v/>
      </c>
      <c r="G189" s="198" t="str">
        <f>Coins!G189</f>
        <v/>
      </c>
      <c r="H189" s="201" t="str">
        <f>if(Coins!H189="N/A",0,Coins!H189)</f>
        <v/>
      </c>
      <c r="I189" s="202" t="str">
        <f>Coins!I189</f>
        <v/>
      </c>
      <c r="J189" s="198" t="str">
        <f>Coins!J189</f>
        <v/>
      </c>
      <c r="K189" s="201" t="str">
        <f>Coins!K189</f>
        <v/>
      </c>
      <c r="L189" s="198" t="str">
        <f>Coins!L189</f>
        <v/>
      </c>
      <c r="M189" s="198"/>
      <c r="N189" s="198"/>
      <c r="P189" s="66" t="str">
        <f t="shared" si="4"/>
        <v/>
      </c>
    </row>
    <row r="190">
      <c r="A190" s="198" t="str">
        <f>Coins!A190</f>
        <v/>
      </c>
      <c r="B190" s="199" t="str">
        <f>Coins!B190</f>
        <v/>
      </c>
      <c r="C190" s="198" t="str">
        <f>Coins!C190</f>
        <v/>
      </c>
      <c r="D190" s="198" t="str">
        <f>Coins!D190</f>
        <v/>
      </c>
      <c r="E190" s="198" t="str">
        <f>Coins!E190</f>
        <v/>
      </c>
      <c r="F190" s="198" t="str">
        <f>Coins!F190</f>
        <v/>
      </c>
      <c r="G190" s="198" t="str">
        <f>Coins!G190</f>
        <v/>
      </c>
      <c r="H190" s="201" t="str">
        <f>if(Coins!H190="N/A",0,Coins!H190)</f>
        <v/>
      </c>
      <c r="I190" s="202" t="str">
        <f>Coins!I190</f>
        <v/>
      </c>
      <c r="J190" s="198" t="str">
        <f>Coins!J190</f>
        <v/>
      </c>
      <c r="K190" s="201" t="str">
        <f>Coins!K190</f>
        <v/>
      </c>
      <c r="L190" s="198" t="str">
        <f>Coins!L190</f>
        <v/>
      </c>
      <c r="M190" s="198"/>
      <c r="N190" s="198"/>
      <c r="P190" s="66" t="str">
        <f t="shared" si="4"/>
        <v/>
      </c>
    </row>
    <row r="191">
      <c r="A191" s="198" t="str">
        <f>Coins!A191</f>
        <v/>
      </c>
      <c r="B191" s="199" t="str">
        <f>Coins!B191</f>
        <v/>
      </c>
      <c r="C191" s="198" t="str">
        <f>Coins!C191</f>
        <v/>
      </c>
      <c r="D191" s="198" t="str">
        <f>Coins!D191</f>
        <v/>
      </c>
      <c r="E191" s="198" t="str">
        <f>Coins!E191</f>
        <v/>
      </c>
      <c r="F191" s="198" t="str">
        <f>Coins!F191</f>
        <v/>
      </c>
      <c r="G191" s="198" t="str">
        <f>Coins!G191</f>
        <v/>
      </c>
      <c r="H191" s="201" t="str">
        <f>if(Coins!H191="N/A",0,Coins!H191)</f>
        <v/>
      </c>
      <c r="I191" s="202" t="str">
        <f>Coins!I191</f>
        <v/>
      </c>
      <c r="J191" s="198" t="str">
        <f>Coins!J191</f>
        <v/>
      </c>
      <c r="K191" s="201" t="str">
        <f>Coins!K191</f>
        <v/>
      </c>
      <c r="L191" s="198" t="str">
        <f>Coins!L191</f>
        <v/>
      </c>
      <c r="M191" s="198"/>
      <c r="N191" s="198"/>
      <c r="P191" s="66" t="str">
        <f t="shared" si="4"/>
        <v/>
      </c>
    </row>
    <row r="192">
      <c r="A192" s="198" t="str">
        <f>Coins!A192</f>
        <v/>
      </c>
      <c r="B192" s="199" t="str">
        <f>Coins!B192</f>
        <v/>
      </c>
      <c r="C192" s="198" t="str">
        <f>Coins!C192</f>
        <v/>
      </c>
      <c r="D192" s="198" t="str">
        <f>Coins!D192</f>
        <v/>
      </c>
      <c r="E192" s="198" t="str">
        <f>Coins!E192</f>
        <v/>
      </c>
      <c r="F192" s="198" t="str">
        <f>Coins!F192</f>
        <v/>
      </c>
      <c r="G192" s="198" t="str">
        <f>Coins!G192</f>
        <v/>
      </c>
      <c r="H192" s="201" t="str">
        <f>if(Coins!H192="N/A",0,Coins!H192)</f>
        <v/>
      </c>
      <c r="I192" s="202" t="str">
        <f>Coins!I192</f>
        <v/>
      </c>
      <c r="J192" s="198" t="str">
        <f>Coins!J192</f>
        <v/>
      </c>
      <c r="K192" s="201" t="str">
        <f>Coins!K192</f>
        <v/>
      </c>
      <c r="L192" s="198" t="str">
        <f>Coins!L192</f>
        <v/>
      </c>
      <c r="M192" s="198"/>
      <c r="N192" s="198"/>
      <c r="P192" s="66" t="str">
        <f t="shared" si="4"/>
        <v/>
      </c>
    </row>
    <row r="193">
      <c r="A193" s="198" t="str">
        <f>Coins!A193</f>
        <v/>
      </c>
      <c r="B193" s="199" t="str">
        <f>Coins!B193</f>
        <v/>
      </c>
      <c r="C193" s="198" t="str">
        <f>Coins!C193</f>
        <v/>
      </c>
      <c r="D193" s="198" t="str">
        <f>Coins!D193</f>
        <v/>
      </c>
      <c r="E193" s="198" t="str">
        <f>Coins!E193</f>
        <v/>
      </c>
      <c r="F193" s="198" t="str">
        <f>Coins!F193</f>
        <v/>
      </c>
      <c r="G193" s="198" t="str">
        <f>Coins!G193</f>
        <v/>
      </c>
      <c r="H193" s="201" t="str">
        <f>if(Coins!H193="N/A",0,Coins!H193)</f>
        <v/>
      </c>
      <c r="I193" s="202" t="str">
        <f>Coins!I193</f>
        <v/>
      </c>
      <c r="J193" s="198" t="str">
        <f>Coins!J193</f>
        <v/>
      </c>
      <c r="K193" s="201" t="str">
        <f>Coins!K193</f>
        <v/>
      </c>
      <c r="L193" s="198" t="str">
        <f>Coins!L193</f>
        <v/>
      </c>
      <c r="M193" s="198"/>
      <c r="N193" s="198"/>
      <c r="P193" s="66" t="str">
        <f t="shared" si="4"/>
        <v/>
      </c>
    </row>
    <row r="194">
      <c r="A194" s="198" t="str">
        <f>Coins!A194</f>
        <v/>
      </c>
      <c r="B194" s="199" t="str">
        <f>Coins!B194</f>
        <v/>
      </c>
      <c r="C194" s="198" t="str">
        <f>Coins!C194</f>
        <v/>
      </c>
      <c r="D194" s="198" t="str">
        <f>Coins!D194</f>
        <v/>
      </c>
      <c r="E194" s="198" t="str">
        <f>Coins!E194</f>
        <v/>
      </c>
      <c r="F194" s="198" t="str">
        <f>Coins!F194</f>
        <v/>
      </c>
      <c r="G194" s="198" t="str">
        <f>Coins!G194</f>
        <v/>
      </c>
      <c r="H194" s="201" t="str">
        <f>if(Coins!H194="N/A",0,Coins!H194)</f>
        <v/>
      </c>
      <c r="I194" s="202" t="str">
        <f>Coins!I194</f>
        <v/>
      </c>
      <c r="J194" s="198" t="str">
        <f>Coins!J194</f>
        <v/>
      </c>
      <c r="K194" s="201" t="str">
        <f>Coins!K194</f>
        <v/>
      </c>
      <c r="L194" s="198" t="str">
        <f>Coins!L194</f>
        <v/>
      </c>
      <c r="M194" s="198"/>
      <c r="N194" s="198"/>
      <c r="P194" s="66" t="str">
        <f t="shared" si="4"/>
        <v/>
      </c>
    </row>
    <row r="195">
      <c r="A195" s="198" t="str">
        <f>Coins!A195</f>
        <v/>
      </c>
      <c r="B195" s="199" t="str">
        <f>Coins!B195</f>
        <v/>
      </c>
      <c r="C195" s="198" t="str">
        <f>Coins!C195</f>
        <v/>
      </c>
      <c r="D195" s="198" t="str">
        <f>Coins!D195</f>
        <v/>
      </c>
      <c r="E195" s="198" t="str">
        <f>Coins!E195</f>
        <v/>
      </c>
      <c r="F195" s="198" t="str">
        <f>Coins!F195</f>
        <v/>
      </c>
      <c r="G195" s="198" t="str">
        <f>Coins!G195</f>
        <v/>
      </c>
      <c r="H195" s="201" t="str">
        <f>if(Coins!H195="N/A",0,Coins!H195)</f>
        <v/>
      </c>
      <c r="I195" s="202" t="str">
        <f>Coins!I195</f>
        <v/>
      </c>
      <c r="J195" s="198" t="str">
        <f>Coins!J195</f>
        <v/>
      </c>
      <c r="K195" s="201" t="str">
        <f>Coins!K195</f>
        <v/>
      </c>
      <c r="L195" s="198" t="str">
        <f>Coins!L195</f>
        <v/>
      </c>
      <c r="M195" s="198"/>
      <c r="N195" s="198"/>
      <c r="P195" s="66" t="str">
        <f t="shared" si="4"/>
        <v/>
      </c>
    </row>
    <row r="196">
      <c r="A196" s="198" t="str">
        <f>Coins!A196</f>
        <v/>
      </c>
      <c r="B196" s="199" t="str">
        <f>Coins!B196</f>
        <v/>
      </c>
      <c r="C196" s="198" t="str">
        <f>Coins!C196</f>
        <v/>
      </c>
      <c r="D196" s="198" t="str">
        <f>Coins!D196</f>
        <v/>
      </c>
      <c r="E196" s="198" t="str">
        <f>Coins!E196</f>
        <v/>
      </c>
      <c r="F196" s="198" t="str">
        <f>Coins!F196</f>
        <v/>
      </c>
      <c r="G196" s="198" t="str">
        <f>Coins!G196</f>
        <v/>
      </c>
      <c r="H196" s="201" t="str">
        <f>if(Coins!H196="N/A",0,Coins!H196)</f>
        <v/>
      </c>
      <c r="I196" s="202" t="str">
        <f>Coins!I196</f>
        <v/>
      </c>
      <c r="J196" s="198" t="str">
        <f>Coins!J196</f>
        <v/>
      </c>
      <c r="K196" s="201" t="str">
        <f>Coins!K196</f>
        <v/>
      </c>
      <c r="L196" s="198" t="str">
        <f>Coins!L196</f>
        <v/>
      </c>
      <c r="M196" s="198"/>
      <c r="N196" s="198"/>
      <c r="P196" s="66" t="str">
        <f t="shared" si="4"/>
        <v/>
      </c>
    </row>
    <row r="197">
      <c r="A197" s="198" t="str">
        <f>Coins!A197</f>
        <v/>
      </c>
      <c r="B197" s="199" t="str">
        <f>Coins!B197</f>
        <v/>
      </c>
      <c r="C197" s="198" t="str">
        <f>Coins!C197</f>
        <v/>
      </c>
      <c r="D197" s="198" t="str">
        <f>Coins!D197</f>
        <v/>
      </c>
      <c r="E197" s="198" t="str">
        <f>Coins!E197</f>
        <v/>
      </c>
      <c r="F197" s="198" t="str">
        <f>Coins!F197</f>
        <v/>
      </c>
      <c r="G197" s="198" t="str">
        <f>Coins!G197</f>
        <v/>
      </c>
      <c r="H197" s="201" t="str">
        <f>if(Coins!H197="N/A",0,Coins!H197)</f>
        <v/>
      </c>
      <c r="I197" s="202" t="str">
        <f>Coins!I197</f>
        <v/>
      </c>
      <c r="J197" s="198" t="str">
        <f>Coins!J197</f>
        <v/>
      </c>
      <c r="K197" s="201" t="str">
        <f>Coins!K197</f>
        <v/>
      </c>
      <c r="L197" s="198" t="str">
        <f>Coins!L197</f>
        <v/>
      </c>
      <c r="M197" s="198"/>
      <c r="N197" s="198"/>
      <c r="P197" s="66" t="str">
        <f t="shared" si="4"/>
        <v/>
      </c>
    </row>
    <row r="198">
      <c r="A198" s="198" t="str">
        <f>Coins!A198</f>
        <v/>
      </c>
      <c r="B198" s="199" t="str">
        <f>Coins!B198</f>
        <v/>
      </c>
      <c r="C198" s="198" t="str">
        <f>Coins!C198</f>
        <v/>
      </c>
      <c r="D198" s="198" t="str">
        <f>Coins!D198</f>
        <v/>
      </c>
      <c r="E198" s="198" t="str">
        <f>Coins!E198</f>
        <v/>
      </c>
      <c r="F198" s="198" t="str">
        <f>Coins!F198</f>
        <v/>
      </c>
      <c r="G198" s="198" t="str">
        <f>Coins!G198</f>
        <v/>
      </c>
      <c r="H198" s="201" t="str">
        <f>if(Coins!H198="N/A",0,Coins!H198)</f>
        <v/>
      </c>
      <c r="I198" s="202" t="str">
        <f>Coins!I198</f>
        <v/>
      </c>
      <c r="J198" s="198" t="str">
        <f>Coins!J198</f>
        <v/>
      </c>
      <c r="K198" s="201" t="str">
        <f>Coins!K198</f>
        <v/>
      </c>
      <c r="L198" s="198" t="str">
        <f>Coins!L198</f>
        <v/>
      </c>
      <c r="M198" s="198"/>
      <c r="N198" s="198"/>
      <c r="P198" s="66" t="str">
        <f t="shared" si="4"/>
        <v/>
      </c>
    </row>
    <row r="199">
      <c r="A199" s="198" t="str">
        <f>Coins!A199</f>
        <v/>
      </c>
      <c r="B199" s="199" t="str">
        <f>Coins!B199</f>
        <v/>
      </c>
      <c r="C199" s="198" t="str">
        <f>Coins!C199</f>
        <v/>
      </c>
      <c r="D199" s="198" t="str">
        <f>Coins!D199</f>
        <v/>
      </c>
      <c r="E199" s="198" t="str">
        <f>Coins!E199</f>
        <v/>
      </c>
      <c r="F199" s="198" t="str">
        <f>Coins!F199</f>
        <v/>
      </c>
      <c r="G199" s="198" t="str">
        <f>Coins!G199</f>
        <v/>
      </c>
      <c r="H199" s="201" t="str">
        <f>if(Coins!H199="N/A",0,Coins!H199)</f>
        <v/>
      </c>
      <c r="I199" s="202" t="str">
        <f>Coins!I199</f>
        <v/>
      </c>
      <c r="J199" s="198" t="str">
        <f>Coins!J199</f>
        <v/>
      </c>
      <c r="K199" s="201" t="str">
        <f>Coins!K199</f>
        <v/>
      </c>
      <c r="L199" s="198" t="str">
        <f>Coins!L199</f>
        <v/>
      </c>
      <c r="M199" s="198"/>
      <c r="N199" s="198"/>
      <c r="P199" s="66" t="str">
        <f t="shared" si="4"/>
        <v/>
      </c>
    </row>
    <row r="200">
      <c r="A200" s="198" t="str">
        <f>Coins!A200</f>
        <v/>
      </c>
      <c r="B200" s="199" t="str">
        <f>Coins!B200</f>
        <v/>
      </c>
      <c r="C200" s="198" t="str">
        <f>Coins!C200</f>
        <v/>
      </c>
      <c r="D200" s="198" t="str">
        <f>Coins!D200</f>
        <v/>
      </c>
      <c r="E200" s="198" t="str">
        <f>Coins!E200</f>
        <v/>
      </c>
      <c r="F200" s="198" t="str">
        <f>Coins!F200</f>
        <v/>
      </c>
      <c r="G200" s="198" t="str">
        <f>Coins!G200</f>
        <v/>
      </c>
      <c r="H200" s="201" t="str">
        <f>if(Coins!H200="N/A",0,Coins!H200)</f>
        <v/>
      </c>
      <c r="I200" s="202" t="str">
        <f>Coins!I200</f>
        <v/>
      </c>
      <c r="J200" s="198" t="str">
        <f>Coins!J200</f>
        <v/>
      </c>
      <c r="K200" s="201" t="str">
        <f>Coins!K200</f>
        <v/>
      </c>
      <c r="L200" s="198" t="str">
        <f>Coins!L200</f>
        <v/>
      </c>
      <c r="M200" s="198"/>
      <c r="N200" s="198"/>
      <c r="P200" s="66" t="str">
        <f t="shared" si="4"/>
        <v/>
      </c>
    </row>
    <row r="201">
      <c r="A201" s="198" t="str">
        <f>Coins!A201</f>
        <v/>
      </c>
      <c r="B201" s="199" t="str">
        <f>Coins!B201</f>
        <v/>
      </c>
      <c r="C201" s="198" t="str">
        <f>Coins!C201</f>
        <v/>
      </c>
      <c r="D201" s="198" t="str">
        <f>Coins!D201</f>
        <v/>
      </c>
      <c r="E201" s="198" t="str">
        <f>Coins!E201</f>
        <v/>
      </c>
      <c r="F201" s="198" t="str">
        <f>Coins!F201</f>
        <v/>
      </c>
      <c r="G201" s="198" t="str">
        <f>Coins!G201</f>
        <v/>
      </c>
      <c r="H201" s="201" t="str">
        <f>if(Coins!H201="N/A",0,Coins!H201)</f>
        <v/>
      </c>
      <c r="I201" s="202" t="str">
        <f>Coins!I201</f>
        <v/>
      </c>
      <c r="J201" s="198" t="str">
        <f>Coins!J201</f>
        <v/>
      </c>
      <c r="K201" s="201" t="str">
        <f>Coins!K201</f>
        <v/>
      </c>
      <c r="L201" s="198" t="str">
        <f>Coins!L201</f>
        <v/>
      </c>
      <c r="M201" s="198"/>
      <c r="N201" s="198"/>
      <c r="P201" s="66" t="str">
        <f t="shared" si="4"/>
        <v/>
      </c>
    </row>
    <row r="202">
      <c r="A202" s="198" t="str">
        <f>Coins!A202</f>
        <v/>
      </c>
      <c r="B202" s="199" t="str">
        <f>Coins!B202</f>
        <v/>
      </c>
      <c r="C202" s="198" t="str">
        <f>Coins!C202</f>
        <v/>
      </c>
      <c r="D202" s="198" t="str">
        <f>Coins!D202</f>
        <v/>
      </c>
      <c r="E202" s="198" t="str">
        <f>Coins!E202</f>
        <v/>
      </c>
      <c r="F202" s="198" t="str">
        <f>Coins!F202</f>
        <v/>
      </c>
      <c r="G202" s="198" t="str">
        <f>Coins!G202</f>
        <v/>
      </c>
      <c r="H202" s="201" t="str">
        <f>if(Coins!H202="N/A",0,Coins!H202)</f>
        <v/>
      </c>
      <c r="I202" s="202" t="str">
        <f>Coins!I202</f>
        <v/>
      </c>
      <c r="J202" s="198" t="str">
        <f>Coins!J202</f>
        <v/>
      </c>
      <c r="K202" s="201" t="str">
        <f>Coins!K202</f>
        <v/>
      </c>
      <c r="L202" s="198" t="str">
        <f>Coins!L202</f>
        <v/>
      </c>
      <c r="M202" s="198"/>
      <c r="N202" s="198"/>
      <c r="P202" s="66" t="str">
        <f t="shared" si="4"/>
        <v/>
      </c>
    </row>
    <row r="203">
      <c r="A203" s="198" t="str">
        <f>Coins!A203</f>
        <v/>
      </c>
      <c r="B203" s="199" t="str">
        <f>Coins!B203</f>
        <v/>
      </c>
      <c r="C203" s="198" t="str">
        <f>Coins!C203</f>
        <v/>
      </c>
      <c r="D203" s="198" t="str">
        <f>Coins!D203</f>
        <v/>
      </c>
      <c r="E203" s="198" t="str">
        <f>Coins!E203</f>
        <v/>
      </c>
      <c r="F203" s="198" t="str">
        <f>Coins!F203</f>
        <v/>
      </c>
      <c r="G203" s="198" t="str">
        <f>Coins!G203</f>
        <v/>
      </c>
      <c r="H203" s="201" t="str">
        <f>if(Coins!H203="N/A",0,Coins!H203)</f>
        <v/>
      </c>
      <c r="I203" s="202" t="str">
        <f>Coins!I203</f>
        <v/>
      </c>
      <c r="J203" s="198" t="str">
        <f>Coins!J203</f>
        <v/>
      </c>
      <c r="K203" s="201" t="str">
        <f>Coins!K203</f>
        <v/>
      </c>
      <c r="L203" s="198" t="str">
        <f>Coins!L203</f>
        <v/>
      </c>
      <c r="M203" s="198"/>
      <c r="N203" s="198"/>
      <c r="P203" s="66" t="str">
        <f t="shared" si="4"/>
        <v/>
      </c>
    </row>
    <row r="204">
      <c r="A204" s="198" t="str">
        <f>Coins!A204</f>
        <v/>
      </c>
      <c r="B204" s="199" t="str">
        <f>Coins!B204</f>
        <v/>
      </c>
      <c r="C204" s="198" t="str">
        <f>Coins!C204</f>
        <v/>
      </c>
      <c r="D204" s="198" t="str">
        <f>Coins!D204</f>
        <v/>
      </c>
      <c r="E204" s="198" t="str">
        <f>Coins!E204</f>
        <v/>
      </c>
      <c r="F204" s="198" t="str">
        <f>Coins!F204</f>
        <v/>
      </c>
      <c r="G204" s="198" t="str">
        <f>Coins!G204</f>
        <v/>
      </c>
      <c r="H204" s="201" t="str">
        <f>if(Coins!H204="N/A",0,Coins!H204)</f>
        <v/>
      </c>
      <c r="I204" s="202" t="str">
        <f>Coins!I204</f>
        <v/>
      </c>
      <c r="J204" s="198" t="str">
        <f>Coins!J204</f>
        <v/>
      </c>
      <c r="K204" s="201" t="str">
        <f>Coins!K204</f>
        <v/>
      </c>
      <c r="L204" s="198" t="str">
        <f>Coins!L204</f>
        <v/>
      </c>
      <c r="M204" s="198"/>
      <c r="N204" s="198"/>
      <c r="P204" s="66" t="str">
        <f t="shared" si="4"/>
        <v/>
      </c>
    </row>
    <row r="205">
      <c r="A205" s="198" t="str">
        <f>Coins!A205</f>
        <v/>
      </c>
      <c r="B205" s="199" t="str">
        <f>Coins!B205</f>
        <v/>
      </c>
      <c r="C205" s="198" t="str">
        <f>Coins!C205</f>
        <v/>
      </c>
      <c r="D205" s="198" t="str">
        <f>Coins!D205</f>
        <v/>
      </c>
      <c r="E205" s="198" t="str">
        <f>Coins!E205</f>
        <v/>
      </c>
      <c r="F205" s="198" t="str">
        <f>Coins!F205</f>
        <v/>
      </c>
      <c r="G205" s="198" t="str">
        <f>Coins!G205</f>
        <v/>
      </c>
      <c r="H205" s="201" t="str">
        <f>if(Coins!H205="N/A",0,Coins!H205)</f>
        <v/>
      </c>
      <c r="I205" s="202" t="str">
        <f>Coins!I205</f>
        <v/>
      </c>
      <c r="J205" s="198" t="str">
        <f>Coins!J205</f>
        <v/>
      </c>
      <c r="K205" s="201" t="str">
        <f>Coins!K205</f>
        <v/>
      </c>
      <c r="L205" s="198" t="str">
        <f>Coins!L205</f>
        <v/>
      </c>
      <c r="M205" s="198"/>
      <c r="N205" s="198"/>
      <c r="P205" s="66" t="str">
        <f t="shared" si="4"/>
        <v/>
      </c>
    </row>
    <row r="206">
      <c r="A206" s="198" t="str">
        <f>Coins!A206</f>
        <v/>
      </c>
      <c r="B206" s="199" t="str">
        <f>Coins!B206</f>
        <v/>
      </c>
      <c r="C206" s="198" t="str">
        <f>Coins!C206</f>
        <v/>
      </c>
      <c r="D206" s="198" t="str">
        <f>Coins!D206</f>
        <v/>
      </c>
      <c r="E206" s="198" t="str">
        <f>Coins!E206</f>
        <v/>
      </c>
      <c r="F206" s="198" t="str">
        <f>Coins!F206</f>
        <v/>
      </c>
      <c r="G206" s="198" t="str">
        <f>Coins!G206</f>
        <v/>
      </c>
      <c r="H206" s="201" t="str">
        <f>if(Coins!H206="N/A",0,Coins!H206)</f>
        <v/>
      </c>
      <c r="I206" s="202" t="str">
        <f>Coins!I206</f>
        <v/>
      </c>
      <c r="J206" s="198" t="str">
        <f>Coins!J206</f>
        <v/>
      </c>
      <c r="K206" s="201" t="str">
        <f>Coins!K206</f>
        <v/>
      </c>
      <c r="L206" s="198" t="str">
        <f>Coins!L206</f>
        <v/>
      </c>
      <c r="M206" s="198"/>
      <c r="N206" s="198"/>
      <c r="P206" s="66" t="str">
        <f t="shared" si="4"/>
        <v/>
      </c>
    </row>
    <row r="207">
      <c r="A207" s="198" t="str">
        <f>Coins!A207</f>
        <v/>
      </c>
      <c r="B207" s="199" t="str">
        <f>Coins!B207</f>
        <v/>
      </c>
      <c r="C207" s="198" t="str">
        <f>Coins!C207</f>
        <v/>
      </c>
      <c r="D207" s="198" t="str">
        <f>Coins!D207</f>
        <v/>
      </c>
      <c r="E207" s="198" t="str">
        <f>Coins!E207</f>
        <v/>
      </c>
      <c r="F207" s="198" t="str">
        <f>Coins!F207</f>
        <v/>
      </c>
      <c r="G207" s="198" t="str">
        <f>Coins!G207</f>
        <v/>
      </c>
      <c r="H207" s="201" t="str">
        <f>if(Coins!H207="N/A",0,Coins!H207)</f>
        <v/>
      </c>
      <c r="I207" s="202" t="str">
        <f>Coins!I207</f>
        <v/>
      </c>
      <c r="J207" s="198" t="str">
        <f>Coins!J207</f>
        <v/>
      </c>
      <c r="K207" s="201" t="str">
        <f>Coins!K207</f>
        <v/>
      </c>
      <c r="L207" s="198" t="str">
        <f>Coins!L207</f>
        <v/>
      </c>
      <c r="M207" s="198"/>
      <c r="N207" s="198"/>
      <c r="P207" s="66" t="str">
        <f t="shared" si="4"/>
        <v/>
      </c>
    </row>
    <row r="208">
      <c r="A208" s="198" t="str">
        <f>Coins!A208</f>
        <v/>
      </c>
      <c r="B208" s="199" t="str">
        <f>Coins!B208</f>
        <v/>
      </c>
      <c r="C208" s="198" t="str">
        <f>Coins!C208</f>
        <v/>
      </c>
      <c r="D208" s="198" t="str">
        <f>Coins!D208</f>
        <v/>
      </c>
      <c r="E208" s="198" t="str">
        <f>Coins!E208</f>
        <v/>
      </c>
      <c r="F208" s="198" t="str">
        <f>Coins!F208</f>
        <v/>
      </c>
      <c r="G208" s="198" t="str">
        <f>Coins!G208</f>
        <v/>
      </c>
      <c r="H208" s="201" t="str">
        <f>if(Coins!H208="N/A",0,Coins!H208)</f>
        <v/>
      </c>
      <c r="I208" s="202" t="str">
        <f>Coins!I208</f>
        <v/>
      </c>
      <c r="J208" s="198" t="str">
        <f>Coins!J208</f>
        <v/>
      </c>
      <c r="K208" s="201" t="str">
        <f>Coins!K208</f>
        <v/>
      </c>
      <c r="L208" s="198" t="str">
        <f>Coins!L208</f>
        <v/>
      </c>
      <c r="M208" s="198"/>
      <c r="N208" s="198"/>
      <c r="P208" s="66" t="str">
        <f t="shared" si="4"/>
        <v/>
      </c>
    </row>
    <row r="209">
      <c r="A209" s="198" t="str">
        <f>Coins!A209</f>
        <v/>
      </c>
      <c r="B209" s="199" t="str">
        <f>Coins!B209</f>
        <v/>
      </c>
      <c r="C209" s="198" t="str">
        <f>Coins!C209</f>
        <v/>
      </c>
      <c r="D209" s="198" t="str">
        <f>Coins!D209</f>
        <v/>
      </c>
      <c r="E209" s="198" t="str">
        <f>Coins!E209</f>
        <v/>
      </c>
      <c r="F209" s="198" t="str">
        <f>Coins!F209</f>
        <v/>
      </c>
      <c r="G209" s="198" t="str">
        <f>Coins!G209</f>
        <v/>
      </c>
      <c r="H209" s="201" t="str">
        <f>if(Coins!H209="N/A",0,Coins!H209)</f>
        <v/>
      </c>
      <c r="I209" s="202" t="str">
        <f>Coins!I209</f>
        <v/>
      </c>
      <c r="J209" s="198" t="str">
        <f>Coins!J209</f>
        <v/>
      </c>
      <c r="K209" s="201" t="str">
        <f>Coins!K209</f>
        <v/>
      </c>
      <c r="L209" s="198" t="str">
        <f>Coins!L209</f>
        <v/>
      </c>
      <c r="M209" s="198"/>
      <c r="N209" s="198"/>
      <c r="P209" s="66" t="str">
        <f t="shared" si="4"/>
        <v/>
      </c>
    </row>
    <row r="210">
      <c r="A210" s="198" t="str">
        <f>Coins!A210</f>
        <v/>
      </c>
      <c r="B210" s="199" t="str">
        <f>Coins!B210</f>
        <v/>
      </c>
      <c r="C210" s="198" t="str">
        <f>Coins!C210</f>
        <v/>
      </c>
      <c r="D210" s="198" t="str">
        <f>Coins!D210</f>
        <v/>
      </c>
      <c r="E210" s="198" t="str">
        <f>Coins!E210</f>
        <v/>
      </c>
      <c r="F210" s="198" t="str">
        <f>Coins!F210</f>
        <v/>
      </c>
      <c r="G210" s="198" t="str">
        <f>Coins!G210</f>
        <v/>
      </c>
      <c r="H210" s="201" t="str">
        <f>if(Coins!H210="N/A",0,Coins!H210)</f>
        <v/>
      </c>
      <c r="I210" s="202" t="str">
        <f>Coins!I210</f>
        <v/>
      </c>
      <c r="J210" s="198" t="str">
        <f>Coins!J210</f>
        <v/>
      </c>
      <c r="K210" s="201" t="str">
        <f>Coins!K210</f>
        <v/>
      </c>
      <c r="L210" s="198" t="str">
        <f>Coins!L210</f>
        <v/>
      </c>
      <c r="M210" s="198"/>
      <c r="N210" s="198"/>
      <c r="P210" s="66" t="str">
        <f t="shared" si="4"/>
        <v/>
      </c>
    </row>
    <row r="211">
      <c r="A211" s="198" t="str">
        <f>Coins!A211</f>
        <v/>
      </c>
      <c r="B211" s="199" t="str">
        <f>Coins!B211</f>
        <v/>
      </c>
      <c r="C211" s="198" t="str">
        <f>Coins!C211</f>
        <v/>
      </c>
      <c r="D211" s="198" t="str">
        <f>Coins!D211</f>
        <v/>
      </c>
      <c r="E211" s="198" t="str">
        <f>Coins!E211</f>
        <v/>
      </c>
      <c r="F211" s="198" t="str">
        <f>Coins!F211</f>
        <v/>
      </c>
      <c r="G211" s="198" t="str">
        <f>Coins!G211</f>
        <v/>
      </c>
      <c r="H211" s="201" t="str">
        <f>if(Coins!H211="N/A",0,Coins!H211)</f>
        <v/>
      </c>
      <c r="I211" s="202" t="str">
        <f>Coins!I211</f>
        <v/>
      </c>
      <c r="J211" s="198" t="str">
        <f>Coins!J211</f>
        <v/>
      </c>
      <c r="K211" s="201" t="str">
        <f>Coins!K211</f>
        <v/>
      </c>
      <c r="L211" s="198" t="str">
        <f>Coins!L211</f>
        <v/>
      </c>
      <c r="M211" s="198"/>
      <c r="N211" s="198"/>
      <c r="P211" s="66" t="str">
        <f t="shared" si="4"/>
        <v/>
      </c>
    </row>
    <row r="212">
      <c r="A212" s="198" t="str">
        <f>Coins!A212</f>
        <v/>
      </c>
      <c r="B212" s="199" t="str">
        <f>Coins!B212</f>
        <v/>
      </c>
      <c r="C212" s="198" t="str">
        <f>Coins!C212</f>
        <v/>
      </c>
      <c r="D212" s="198" t="str">
        <f>Coins!D212</f>
        <v/>
      </c>
      <c r="E212" s="198" t="str">
        <f>Coins!E212</f>
        <v/>
      </c>
      <c r="F212" s="198" t="str">
        <f>Coins!F212</f>
        <v/>
      </c>
      <c r="G212" s="198" t="str">
        <f>Coins!G212</f>
        <v/>
      </c>
      <c r="H212" s="201" t="str">
        <f>if(Coins!H212="N/A",0,Coins!H212)</f>
        <v/>
      </c>
      <c r="I212" s="202" t="str">
        <f>Coins!I212</f>
        <v/>
      </c>
      <c r="J212" s="198" t="str">
        <f>Coins!J212</f>
        <v/>
      </c>
      <c r="K212" s="201" t="str">
        <f>Coins!K212</f>
        <v/>
      </c>
      <c r="L212" s="198" t="str">
        <f>Coins!L212</f>
        <v/>
      </c>
      <c r="M212" s="198"/>
      <c r="N212" s="198"/>
      <c r="P212" s="66" t="str">
        <f t="shared" si="4"/>
        <v/>
      </c>
    </row>
    <row r="213">
      <c r="A213" s="198" t="str">
        <f>Coins!A213</f>
        <v/>
      </c>
      <c r="B213" s="199" t="str">
        <f>Coins!B213</f>
        <v/>
      </c>
      <c r="C213" s="198" t="str">
        <f>Coins!C213</f>
        <v/>
      </c>
      <c r="D213" s="198" t="str">
        <f>Coins!D213</f>
        <v/>
      </c>
      <c r="E213" s="198" t="str">
        <f>Coins!E213</f>
        <v/>
      </c>
      <c r="F213" s="198" t="str">
        <f>Coins!F213</f>
        <v/>
      </c>
      <c r="G213" s="198" t="str">
        <f>Coins!G213</f>
        <v/>
      </c>
      <c r="H213" s="201" t="str">
        <f>if(Coins!H213="N/A",0,Coins!H213)</f>
        <v/>
      </c>
      <c r="I213" s="202" t="str">
        <f>Coins!I213</f>
        <v/>
      </c>
      <c r="J213" s="198" t="str">
        <f>Coins!J213</f>
        <v/>
      </c>
      <c r="K213" s="201" t="str">
        <f>Coins!K213</f>
        <v/>
      </c>
      <c r="L213" s="198" t="str">
        <f>Coins!L213</f>
        <v/>
      </c>
      <c r="M213" s="198"/>
      <c r="N213" s="198"/>
      <c r="P213" s="66" t="str">
        <f t="shared" si="4"/>
        <v/>
      </c>
    </row>
    <row r="214">
      <c r="A214" s="198" t="str">
        <f>Coins!A214</f>
        <v/>
      </c>
      <c r="B214" s="199" t="str">
        <f>Coins!B214</f>
        <v/>
      </c>
      <c r="C214" s="198" t="str">
        <f>Coins!C214</f>
        <v/>
      </c>
      <c r="D214" s="198" t="str">
        <f>Coins!D214</f>
        <v/>
      </c>
      <c r="E214" s="198" t="str">
        <f>Coins!E214</f>
        <v/>
      </c>
      <c r="F214" s="198" t="str">
        <f>Coins!F214</f>
        <v/>
      </c>
      <c r="G214" s="198" t="str">
        <f>Coins!G214</f>
        <v/>
      </c>
      <c r="H214" s="201" t="str">
        <f>if(Coins!H214="N/A",0,Coins!H214)</f>
        <v/>
      </c>
      <c r="I214" s="202" t="str">
        <f>Coins!I214</f>
        <v/>
      </c>
      <c r="J214" s="198" t="str">
        <f>Coins!J214</f>
        <v/>
      </c>
      <c r="K214" s="201" t="str">
        <f>Coins!K214</f>
        <v/>
      </c>
      <c r="L214" s="198" t="str">
        <f>Coins!L214</f>
        <v/>
      </c>
      <c r="M214" s="198"/>
      <c r="N214" s="198"/>
      <c r="P214" s="66" t="str">
        <f t="shared" si="4"/>
        <v/>
      </c>
    </row>
    <row r="215">
      <c r="A215" s="198" t="str">
        <f>Coins!A215</f>
        <v/>
      </c>
      <c r="B215" s="199" t="str">
        <f>Coins!B215</f>
        <v/>
      </c>
      <c r="C215" s="198" t="str">
        <f>Coins!C215</f>
        <v/>
      </c>
      <c r="D215" s="198" t="str">
        <f>Coins!D215</f>
        <v/>
      </c>
      <c r="E215" s="198" t="str">
        <f>Coins!E215</f>
        <v/>
      </c>
      <c r="F215" s="198" t="str">
        <f>Coins!F215</f>
        <v/>
      </c>
      <c r="G215" s="198" t="str">
        <f>Coins!G215</f>
        <v/>
      </c>
      <c r="H215" s="201" t="str">
        <f>if(Coins!H215="N/A",0,Coins!H215)</f>
        <v/>
      </c>
      <c r="I215" s="202" t="str">
        <f>Coins!I215</f>
        <v/>
      </c>
      <c r="J215" s="198" t="str">
        <f>Coins!J215</f>
        <v/>
      </c>
      <c r="K215" s="201" t="str">
        <f>Coins!K215</f>
        <v/>
      </c>
      <c r="L215" s="198" t="str">
        <f>Coins!L215</f>
        <v/>
      </c>
      <c r="M215" s="198"/>
      <c r="N215" s="198"/>
      <c r="P215" s="66" t="str">
        <f t="shared" si="4"/>
        <v/>
      </c>
    </row>
    <row r="216">
      <c r="A216" s="198" t="str">
        <f>Coins!A216</f>
        <v/>
      </c>
      <c r="B216" s="199" t="str">
        <f>Coins!B216</f>
        <v/>
      </c>
      <c r="C216" s="198" t="str">
        <f>Coins!C216</f>
        <v/>
      </c>
      <c r="D216" s="198" t="str">
        <f>Coins!D216</f>
        <v/>
      </c>
      <c r="E216" s="198" t="str">
        <f>Coins!E216</f>
        <v/>
      </c>
      <c r="F216" s="198" t="str">
        <f>Coins!F216</f>
        <v/>
      </c>
      <c r="G216" s="198" t="str">
        <f>Coins!G216</f>
        <v/>
      </c>
      <c r="H216" s="201" t="str">
        <f>if(Coins!H216="N/A",0,Coins!H216)</f>
        <v/>
      </c>
      <c r="I216" s="202" t="str">
        <f>Coins!I216</f>
        <v/>
      </c>
      <c r="J216" s="198" t="str">
        <f>Coins!J216</f>
        <v/>
      </c>
      <c r="K216" s="201" t="str">
        <f>Coins!K216</f>
        <v/>
      </c>
      <c r="L216" s="198" t="str">
        <f>Coins!L216</f>
        <v/>
      </c>
      <c r="M216" s="198"/>
      <c r="N216" s="198"/>
      <c r="P216" s="66" t="str">
        <f t="shared" si="4"/>
        <v/>
      </c>
    </row>
    <row r="217">
      <c r="A217" s="198" t="str">
        <f>Coins!A217</f>
        <v/>
      </c>
      <c r="B217" s="199" t="str">
        <f>Coins!B217</f>
        <v/>
      </c>
      <c r="C217" s="198" t="str">
        <f>Coins!C217</f>
        <v/>
      </c>
      <c r="D217" s="198" t="str">
        <f>Coins!D217</f>
        <v/>
      </c>
      <c r="E217" s="198" t="str">
        <f>Coins!E217</f>
        <v/>
      </c>
      <c r="F217" s="198" t="str">
        <f>Coins!F217</f>
        <v/>
      </c>
      <c r="G217" s="198" t="str">
        <f>Coins!G217</f>
        <v/>
      </c>
      <c r="H217" s="201" t="str">
        <f>if(Coins!H217="N/A",0,Coins!H217)</f>
        <v/>
      </c>
      <c r="I217" s="202" t="str">
        <f>Coins!I217</f>
        <v/>
      </c>
      <c r="J217" s="198" t="str">
        <f>Coins!J217</f>
        <v/>
      </c>
      <c r="K217" s="201" t="str">
        <f>Coins!K217</f>
        <v/>
      </c>
      <c r="L217" s="198" t="str">
        <f>Coins!L217</f>
        <v/>
      </c>
      <c r="M217" s="198"/>
      <c r="N217" s="198"/>
      <c r="P217" s="66" t="str">
        <f t="shared" si="4"/>
        <v/>
      </c>
    </row>
    <row r="218">
      <c r="A218" s="198" t="str">
        <f>Coins!A218</f>
        <v/>
      </c>
      <c r="B218" s="199" t="str">
        <f>Coins!B218</f>
        <v/>
      </c>
      <c r="C218" s="198" t="str">
        <f>Coins!C218</f>
        <v/>
      </c>
      <c r="D218" s="198" t="str">
        <f>Coins!D218</f>
        <v/>
      </c>
      <c r="E218" s="198" t="str">
        <f>Coins!E218</f>
        <v/>
      </c>
      <c r="F218" s="198" t="str">
        <f>Coins!F218</f>
        <v/>
      </c>
      <c r="G218" s="198" t="str">
        <f>Coins!G218</f>
        <v/>
      </c>
      <c r="H218" s="201" t="str">
        <f>if(Coins!H218="N/A",0,Coins!H218)</f>
        <v/>
      </c>
      <c r="I218" s="202" t="str">
        <f>Coins!I218</f>
        <v/>
      </c>
      <c r="J218" s="198" t="str">
        <f>Coins!J218</f>
        <v/>
      </c>
      <c r="K218" s="201" t="str">
        <f>Coins!K218</f>
        <v/>
      </c>
      <c r="L218" s="198" t="str">
        <f>Coins!L218</f>
        <v/>
      </c>
      <c r="M218" s="198"/>
      <c r="N218" s="198"/>
      <c r="P218" s="66" t="str">
        <f t="shared" si="4"/>
        <v/>
      </c>
    </row>
    <row r="219">
      <c r="A219" s="198" t="str">
        <f>Coins!A219</f>
        <v/>
      </c>
      <c r="B219" s="199" t="str">
        <f>Coins!B219</f>
        <v/>
      </c>
      <c r="C219" s="198" t="str">
        <f>Coins!C219</f>
        <v/>
      </c>
      <c r="D219" s="198" t="str">
        <f>Coins!D219</f>
        <v/>
      </c>
      <c r="E219" s="198" t="str">
        <f>Coins!E219</f>
        <v/>
      </c>
      <c r="F219" s="198" t="str">
        <f>Coins!F219</f>
        <v/>
      </c>
      <c r="G219" s="198" t="str">
        <f>Coins!G219</f>
        <v/>
      </c>
      <c r="H219" s="201" t="str">
        <f>if(Coins!H219="N/A",0,Coins!H219)</f>
        <v/>
      </c>
      <c r="I219" s="202" t="str">
        <f>Coins!I219</f>
        <v/>
      </c>
      <c r="J219" s="198" t="str">
        <f>Coins!J219</f>
        <v/>
      </c>
      <c r="K219" s="201" t="str">
        <f>Coins!K219</f>
        <v/>
      </c>
      <c r="L219" s="198" t="str">
        <f>Coins!L219</f>
        <v/>
      </c>
      <c r="M219" s="198"/>
      <c r="N219" s="198"/>
      <c r="P219" s="66" t="str">
        <f t="shared" si="4"/>
        <v/>
      </c>
    </row>
    <row r="220">
      <c r="A220" s="198" t="str">
        <f>Coins!A220</f>
        <v/>
      </c>
      <c r="B220" s="199" t="str">
        <f>Coins!B220</f>
        <v/>
      </c>
      <c r="C220" s="198" t="str">
        <f>Coins!C220</f>
        <v/>
      </c>
      <c r="D220" s="198" t="str">
        <f>Coins!D220</f>
        <v/>
      </c>
      <c r="E220" s="198" t="str">
        <f>Coins!E220</f>
        <v/>
      </c>
      <c r="F220" s="198" t="str">
        <f>Coins!F220</f>
        <v/>
      </c>
      <c r="G220" s="198" t="str">
        <f>Coins!G220</f>
        <v/>
      </c>
      <c r="H220" s="201" t="str">
        <f>if(Coins!H220="N/A",0,Coins!H220)</f>
        <v/>
      </c>
      <c r="I220" s="202" t="str">
        <f>Coins!I220</f>
        <v/>
      </c>
      <c r="J220" s="198" t="str">
        <f>Coins!J220</f>
        <v/>
      </c>
      <c r="K220" s="201" t="str">
        <f>Coins!K220</f>
        <v/>
      </c>
      <c r="L220" s="198" t="str">
        <f>Coins!L220</f>
        <v/>
      </c>
      <c r="M220" s="198"/>
      <c r="N220" s="198"/>
      <c r="P220" s="66" t="str">
        <f t="shared" si="4"/>
        <v/>
      </c>
    </row>
    <row r="221">
      <c r="A221" s="198" t="str">
        <f>Coins!A221</f>
        <v/>
      </c>
      <c r="B221" s="199" t="str">
        <f>Coins!B221</f>
        <v/>
      </c>
      <c r="C221" s="198" t="str">
        <f>Coins!C221</f>
        <v/>
      </c>
      <c r="D221" s="198" t="str">
        <f>Coins!D221</f>
        <v/>
      </c>
      <c r="E221" s="198" t="str">
        <f>Coins!E221</f>
        <v/>
      </c>
      <c r="F221" s="198" t="str">
        <f>Coins!F221</f>
        <v/>
      </c>
      <c r="G221" s="198" t="str">
        <f>Coins!G221</f>
        <v/>
      </c>
      <c r="H221" s="201" t="str">
        <f>if(Coins!H221="N/A",0,Coins!H221)</f>
        <v/>
      </c>
      <c r="I221" s="202" t="str">
        <f>Coins!I221</f>
        <v/>
      </c>
      <c r="J221" s="198" t="str">
        <f>Coins!J221</f>
        <v/>
      </c>
      <c r="K221" s="201" t="str">
        <f>Coins!K221</f>
        <v/>
      </c>
      <c r="L221" s="198" t="str">
        <f>Coins!L221</f>
        <v/>
      </c>
      <c r="M221" s="198"/>
      <c r="N221" s="198"/>
      <c r="P221" s="66" t="str">
        <f t="shared" si="4"/>
        <v/>
      </c>
    </row>
    <row r="222">
      <c r="A222" s="198" t="str">
        <f>Coins!A222</f>
        <v/>
      </c>
      <c r="B222" s="199" t="str">
        <f>Coins!B222</f>
        <v/>
      </c>
      <c r="C222" s="198" t="str">
        <f>Coins!C222</f>
        <v/>
      </c>
      <c r="D222" s="198" t="str">
        <f>Coins!D222</f>
        <v/>
      </c>
      <c r="E222" s="198" t="str">
        <f>Coins!E222</f>
        <v/>
      </c>
      <c r="F222" s="198" t="str">
        <f>Coins!F222</f>
        <v/>
      </c>
      <c r="G222" s="198" t="str">
        <f>Coins!G222</f>
        <v/>
      </c>
      <c r="H222" s="201" t="str">
        <f>if(Coins!H222="N/A",0,Coins!H222)</f>
        <v/>
      </c>
      <c r="I222" s="202" t="str">
        <f>Coins!I222</f>
        <v/>
      </c>
      <c r="J222" s="198" t="str">
        <f>Coins!J222</f>
        <v/>
      </c>
      <c r="K222" s="201" t="str">
        <f>Coins!K222</f>
        <v/>
      </c>
      <c r="L222" s="198" t="str">
        <f>Coins!L222</f>
        <v/>
      </c>
      <c r="M222" s="198"/>
      <c r="N222" s="198"/>
      <c r="P222" s="66" t="str">
        <f t="shared" si="4"/>
        <v/>
      </c>
    </row>
    <row r="223">
      <c r="A223" s="198" t="str">
        <f>Coins!A223</f>
        <v/>
      </c>
      <c r="B223" s="199" t="str">
        <f>Coins!B223</f>
        <v/>
      </c>
      <c r="C223" s="198" t="str">
        <f>Coins!C223</f>
        <v/>
      </c>
      <c r="D223" s="198" t="str">
        <f>Coins!D223</f>
        <v/>
      </c>
      <c r="E223" s="198" t="str">
        <f>Coins!E223</f>
        <v/>
      </c>
      <c r="F223" s="198" t="str">
        <f>Coins!F223</f>
        <v/>
      </c>
      <c r="G223" s="198" t="str">
        <f>Coins!G223</f>
        <v/>
      </c>
      <c r="H223" s="201" t="str">
        <f>if(Coins!H223="N/A",0,Coins!H223)</f>
        <v/>
      </c>
      <c r="I223" s="202" t="str">
        <f>Coins!I223</f>
        <v/>
      </c>
      <c r="J223" s="198" t="str">
        <f>Coins!J223</f>
        <v/>
      </c>
      <c r="K223" s="201" t="str">
        <f>Coins!K223</f>
        <v/>
      </c>
      <c r="L223" s="198" t="str">
        <f>Coins!L223</f>
        <v/>
      </c>
      <c r="M223" s="198"/>
      <c r="N223" s="198"/>
      <c r="P223" s="66" t="str">
        <f t="shared" si="4"/>
        <v/>
      </c>
    </row>
    <row r="224">
      <c r="A224" s="198" t="str">
        <f>Coins!A224</f>
        <v/>
      </c>
      <c r="B224" s="199" t="str">
        <f>Coins!B224</f>
        <v/>
      </c>
      <c r="C224" s="198" t="str">
        <f>Coins!C224</f>
        <v/>
      </c>
      <c r="D224" s="198" t="str">
        <f>Coins!D224</f>
        <v/>
      </c>
      <c r="E224" s="198" t="str">
        <f>Coins!E224</f>
        <v/>
      </c>
      <c r="F224" s="198" t="str">
        <f>Coins!F224</f>
        <v/>
      </c>
      <c r="G224" s="198" t="str">
        <f>Coins!G224</f>
        <v/>
      </c>
      <c r="H224" s="201" t="str">
        <f>if(Coins!H224="N/A",0,Coins!H224)</f>
        <v/>
      </c>
      <c r="I224" s="202" t="str">
        <f>Coins!I224</f>
        <v/>
      </c>
      <c r="J224" s="198" t="str">
        <f>Coins!J224</f>
        <v/>
      </c>
      <c r="K224" s="201" t="str">
        <f>Coins!K224</f>
        <v/>
      </c>
      <c r="L224" s="198" t="str">
        <f>Coins!L224</f>
        <v/>
      </c>
      <c r="M224" s="198"/>
      <c r="N224" s="198"/>
      <c r="P224" s="66" t="str">
        <f t="shared" si="4"/>
        <v/>
      </c>
    </row>
    <row r="225">
      <c r="A225" s="198" t="str">
        <f>Coins!A225</f>
        <v/>
      </c>
      <c r="B225" s="199" t="str">
        <f>Coins!B225</f>
        <v/>
      </c>
      <c r="C225" s="198" t="str">
        <f>Coins!C225</f>
        <v/>
      </c>
      <c r="D225" s="198" t="str">
        <f>Coins!D225</f>
        <v/>
      </c>
      <c r="E225" s="198" t="str">
        <f>Coins!E225</f>
        <v/>
      </c>
      <c r="F225" s="198" t="str">
        <f>Coins!F225</f>
        <v/>
      </c>
      <c r="G225" s="198" t="str">
        <f>Coins!G225</f>
        <v/>
      </c>
      <c r="H225" s="201" t="str">
        <f>if(Coins!H225="N/A",0,Coins!H225)</f>
        <v/>
      </c>
      <c r="I225" s="202" t="str">
        <f>Coins!I225</f>
        <v/>
      </c>
      <c r="J225" s="198" t="str">
        <f>Coins!J225</f>
        <v/>
      </c>
      <c r="K225" s="201" t="str">
        <f>Coins!K225</f>
        <v/>
      </c>
      <c r="L225" s="198" t="str">
        <f>Coins!L225</f>
        <v/>
      </c>
      <c r="M225" s="198"/>
      <c r="N225" s="198"/>
      <c r="P225" s="66" t="str">
        <f t="shared" si="4"/>
        <v/>
      </c>
    </row>
    <row r="226">
      <c r="A226" s="198" t="str">
        <f>Coins!A226</f>
        <v/>
      </c>
      <c r="B226" s="199" t="str">
        <f>Coins!B226</f>
        <v/>
      </c>
      <c r="C226" s="198" t="str">
        <f>Coins!C226</f>
        <v/>
      </c>
      <c r="D226" s="198" t="str">
        <f>Coins!D226</f>
        <v/>
      </c>
      <c r="E226" s="198" t="str">
        <f>Coins!E226</f>
        <v/>
      </c>
      <c r="F226" s="198" t="str">
        <f>Coins!F226</f>
        <v/>
      </c>
      <c r="G226" s="198" t="str">
        <f>Coins!G226</f>
        <v/>
      </c>
      <c r="H226" s="201" t="str">
        <f>if(Coins!H226="N/A",0,Coins!H226)</f>
        <v/>
      </c>
      <c r="I226" s="202" t="str">
        <f>Coins!I226</f>
        <v/>
      </c>
      <c r="J226" s="198" t="str">
        <f>Coins!J226</f>
        <v/>
      </c>
      <c r="K226" s="201" t="str">
        <f>Coins!K226</f>
        <v/>
      </c>
      <c r="L226" s="198" t="str">
        <f>Coins!L226</f>
        <v/>
      </c>
      <c r="M226" s="198"/>
      <c r="N226" s="198"/>
      <c r="P226" s="66" t="str">
        <f t="shared" si="4"/>
        <v/>
      </c>
    </row>
    <row r="227">
      <c r="A227" s="198" t="str">
        <f>Coins!A227</f>
        <v/>
      </c>
      <c r="B227" s="199" t="str">
        <f>Coins!B227</f>
        <v/>
      </c>
      <c r="C227" s="198" t="str">
        <f>Coins!C227</f>
        <v/>
      </c>
      <c r="D227" s="198" t="str">
        <f>Coins!D227</f>
        <v/>
      </c>
      <c r="E227" s="198" t="str">
        <f>Coins!E227</f>
        <v/>
      </c>
      <c r="F227" s="198" t="str">
        <f>Coins!F227</f>
        <v/>
      </c>
      <c r="G227" s="198" t="str">
        <f>Coins!G227</f>
        <v/>
      </c>
      <c r="H227" s="201" t="str">
        <f>if(Coins!H227="N/A",0,Coins!H227)</f>
        <v/>
      </c>
      <c r="I227" s="202" t="str">
        <f>Coins!I227</f>
        <v/>
      </c>
      <c r="J227" s="198" t="str">
        <f>Coins!J227</f>
        <v/>
      </c>
      <c r="K227" s="201" t="str">
        <f>Coins!K227</f>
        <v/>
      </c>
      <c r="L227" s="198" t="str">
        <f>Coins!L227</f>
        <v/>
      </c>
      <c r="M227" s="198"/>
      <c r="N227" s="198"/>
      <c r="P227" s="66" t="str">
        <f t="shared" si="4"/>
        <v/>
      </c>
    </row>
    <row r="228">
      <c r="A228" s="198" t="str">
        <f>Coins!A228</f>
        <v/>
      </c>
      <c r="B228" s="199" t="str">
        <f>Coins!B228</f>
        <v/>
      </c>
      <c r="C228" s="198" t="str">
        <f>Coins!C228</f>
        <v/>
      </c>
      <c r="D228" s="198" t="str">
        <f>Coins!D228</f>
        <v/>
      </c>
      <c r="E228" s="198" t="str">
        <f>Coins!E228</f>
        <v/>
      </c>
      <c r="F228" s="198" t="str">
        <f>Coins!F228</f>
        <v/>
      </c>
      <c r="G228" s="198" t="str">
        <f>Coins!G228</f>
        <v/>
      </c>
      <c r="H228" s="201" t="str">
        <f>if(Coins!H228="N/A",0,Coins!H228)</f>
        <v/>
      </c>
      <c r="I228" s="202" t="str">
        <f>Coins!I228</f>
        <v/>
      </c>
      <c r="J228" s="198" t="str">
        <f>Coins!J228</f>
        <v/>
      </c>
      <c r="K228" s="201" t="str">
        <f>Coins!K228</f>
        <v/>
      </c>
      <c r="L228" s="198" t="str">
        <f>Coins!L228</f>
        <v/>
      </c>
      <c r="M228" s="198"/>
      <c r="N228" s="198"/>
      <c r="P228" s="66" t="str">
        <f t="shared" si="4"/>
        <v/>
      </c>
    </row>
    <row r="229">
      <c r="A229" s="198" t="str">
        <f>Coins!A229</f>
        <v/>
      </c>
      <c r="B229" s="199" t="str">
        <f>Coins!B229</f>
        <v/>
      </c>
      <c r="C229" s="198" t="str">
        <f>Coins!C229</f>
        <v/>
      </c>
      <c r="D229" s="198" t="str">
        <f>Coins!D229</f>
        <v/>
      </c>
      <c r="E229" s="198" t="str">
        <f>Coins!E229</f>
        <v/>
      </c>
      <c r="F229" s="198" t="str">
        <f>Coins!F229</f>
        <v/>
      </c>
      <c r="G229" s="198" t="str">
        <f>Coins!G229</f>
        <v/>
      </c>
      <c r="H229" s="201" t="str">
        <f>if(Coins!H229="N/A",0,Coins!H229)</f>
        <v/>
      </c>
      <c r="I229" s="202" t="str">
        <f>Coins!I229</f>
        <v/>
      </c>
      <c r="J229" s="198" t="str">
        <f>Coins!J229</f>
        <v/>
      </c>
      <c r="K229" s="201" t="str">
        <f>Coins!K229</f>
        <v/>
      </c>
      <c r="L229" s="198" t="str">
        <f>Coins!L229</f>
        <v/>
      </c>
      <c r="M229" s="198"/>
      <c r="N229" s="198"/>
      <c r="P229" s="66" t="str">
        <f t="shared" si="4"/>
        <v/>
      </c>
    </row>
    <row r="230">
      <c r="A230" s="198" t="str">
        <f>Coins!A230</f>
        <v/>
      </c>
      <c r="B230" s="199" t="str">
        <f>Coins!B230</f>
        <v/>
      </c>
      <c r="C230" s="198" t="str">
        <f>Coins!C230</f>
        <v/>
      </c>
      <c r="D230" s="198" t="str">
        <f>Coins!D230</f>
        <v/>
      </c>
      <c r="E230" s="198" t="str">
        <f>Coins!E230</f>
        <v/>
      </c>
      <c r="F230" s="198" t="str">
        <f>Coins!F230</f>
        <v/>
      </c>
      <c r="G230" s="198" t="str">
        <f>Coins!G230</f>
        <v/>
      </c>
      <c r="H230" s="201" t="str">
        <f>if(Coins!H230="N/A",0,Coins!H230)</f>
        <v/>
      </c>
      <c r="I230" s="202" t="str">
        <f>Coins!I230</f>
        <v/>
      </c>
      <c r="J230" s="198" t="str">
        <f>Coins!J230</f>
        <v/>
      </c>
      <c r="K230" s="201" t="str">
        <f>Coins!K230</f>
        <v/>
      </c>
      <c r="L230" s="198" t="str">
        <f>Coins!L230</f>
        <v/>
      </c>
      <c r="M230" s="198"/>
      <c r="N230" s="198"/>
      <c r="P230" s="66" t="str">
        <f t="shared" si="4"/>
        <v/>
      </c>
    </row>
    <row r="231">
      <c r="A231" s="198" t="str">
        <f>Coins!A231</f>
        <v/>
      </c>
      <c r="B231" s="199" t="str">
        <f>Coins!B231</f>
        <v/>
      </c>
      <c r="C231" s="198" t="str">
        <f>Coins!C231</f>
        <v/>
      </c>
      <c r="D231" s="198" t="str">
        <f>Coins!D231</f>
        <v/>
      </c>
      <c r="E231" s="198" t="str">
        <f>Coins!E231</f>
        <v/>
      </c>
      <c r="F231" s="198" t="str">
        <f>Coins!F231</f>
        <v/>
      </c>
      <c r="G231" s="198" t="str">
        <f>Coins!G231</f>
        <v/>
      </c>
      <c r="H231" s="201" t="str">
        <f>if(Coins!H231="N/A",0,Coins!H231)</f>
        <v/>
      </c>
      <c r="I231" s="202" t="str">
        <f>Coins!I231</f>
        <v/>
      </c>
      <c r="J231" s="198" t="str">
        <f>Coins!J231</f>
        <v/>
      </c>
      <c r="K231" s="201" t="str">
        <f>Coins!K231</f>
        <v/>
      </c>
      <c r="L231" s="198" t="str">
        <f>Coins!L231</f>
        <v/>
      </c>
      <c r="M231" s="198"/>
      <c r="N231" s="198"/>
      <c r="P231" s="66" t="str">
        <f t="shared" si="4"/>
        <v/>
      </c>
    </row>
    <row r="232">
      <c r="A232" s="198" t="str">
        <f>Coins!A232</f>
        <v/>
      </c>
      <c r="B232" s="199" t="str">
        <f>Coins!B232</f>
        <v/>
      </c>
      <c r="C232" s="198" t="str">
        <f>Coins!C232</f>
        <v/>
      </c>
      <c r="D232" s="198" t="str">
        <f>Coins!D232</f>
        <v/>
      </c>
      <c r="E232" s="198" t="str">
        <f>Coins!E232</f>
        <v/>
      </c>
      <c r="F232" s="198" t="str">
        <f>Coins!F232</f>
        <v/>
      </c>
      <c r="G232" s="198" t="str">
        <f>Coins!G232</f>
        <v/>
      </c>
      <c r="H232" s="201" t="str">
        <f>if(Coins!H232="N/A",0,Coins!H232)</f>
        <v/>
      </c>
      <c r="I232" s="202" t="str">
        <f>Coins!I232</f>
        <v/>
      </c>
      <c r="J232" s="198" t="str">
        <f>Coins!J232</f>
        <v/>
      </c>
      <c r="K232" s="201" t="str">
        <f>Coins!K232</f>
        <v/>
      </c>
      <c r="L232" s="198" t="str">
        <f>Coins!L232</f>
        <v/>
      </c>
      <c r="M232" s="198"/>
      <c r="N232" s="198"/>
      <c r="P232" s="66" t="str">
        <f t="shared" si="4"/>
        <v/>
      </c>
    </row>
    <row r="233">
      <c r="A233" s="198" t="str">
        <f>Coins!A233</f>
        <v/>
      </c>
      <c r="B233" s="199" t="str">
        <f>Coins!B233</f>
        <v/>
      </c>
      <c r="C233" s="198" t="str">
        <f>Coins!C233</f>
        <v/>
      </c>
      <c r="D233" s="198" t="str">
        <f>Coins!D233</f>
        <v/>
      </c>
      <c r="E233" s="198" t="str">
        <f>Coins!E233</f>
        <v/>
      </c>
      <c r="F233" s="198" t="str">
        <f>Coins!F233</f>
        <v/>
      </c>
      <c r="G233" s="198" t="str">
        <f>Coins!G233</f>
        <v/>
      </c>
      <c r="H233" s="201" t="str">
        <f>if(Coins!H233="N/A",0,Coins!H233)</f>
        <v/>
      </c>
      <c r="I233" s="202" t="str">
        <f>Coins!I233</f>
        <v/>
      </c>
      <c r="J233" s="198" t="str">
        <f>Coins!J233</f>
        <v/>
      </c>
      <c r="K233" s="201" t="str">
        <f>Coins!K233</f>
        <v/>
      </c>
      <c r="L233" s="198" t="str">
        <f>Coins!L233</f>
        <v/>
      </c>
      <c r="M233" s="198"/>
      <c r="N233" s="198"/>
      <c r="P233" s="66" t="str">
        <f t="shared" si="4"/>
        <v/>
      </c>
    </row>
    <row r="234">
      <c r="A234" s="198" t="str">
        <f>Coins!A234</f>
        <v/>
      </c>
      <c r="B234" s="199" t="str">
        <f>Coins!B234</f>
        <v/>
      </c>
      <c r="C234" s="198" t="str">
        <f>Coins!C234</f>
        <v/>
      </c>
      <c r="D234" s="198" t="str">
        <f>Coins!D234</f>
        <v/>
      </c>
      <c r="E234" s="198" t="str">
        <f>Coins!E234</f>
        <v/>
      </c>
      <c r="F234" s="198" t="str">
        <f>Coins!F234</f>
        <v/>
      </c>
      <c r="G234" s="198" t="str">
        <f>Coins!G234</f>
        <v/>
      </c>
      <c r="H234" s="201" t="str">
        <f>if(Coins!H234="N/A",0,Coins!H234)</f>
        <v/>
      </c>
      <c r="I234" s="202" t="str">
        <f>Coins!I234</f>
        <v/>
      </c>
      <c r="J234" s="198" t="str">
        <f>Coins!J234</f>
        <v/>
      </c>
      <c r="K234" s="201" t="str">
        <f>Coins!K234</f>
        <v/>
      </c>
      <c r="L234" s="198" t="str">
        <f>Coins!L234</f>
        <v/>
      </c>
      <c r="M234" s="198"/>
      <c r="N234" s="198"/>
      <c r="P234" s="66" t="str">
        <f t="shared" si="4"/>
        <v/>
      </c>
    </row>
    <row r="235">
      <c r="A235" s="198" t="str">
        <f>Coins!A235</f>
        <v/>
      </c>
      <c r="B235" s="199" t="str">
        <f>Coins!B235</f>
        <v/>
      </c>
      <c r="C235" s="198" t="str">
        <f>Coins!C235</f>
        <v/>
      </c>
      <c r="D235" s="198" t="str">
        <f>Coins!D235</f>
        <v/>
      </c>
      <c r="E235" s="198" t="str">
        <f>Coins!E235</f>
        <v/>
      </c>
      <c r="F235" s="198" t="str">
        <f>Coins!F235</f>
        <v/>
      </c>
      <c r="G235" s="198" t="str">
        <f>Coins!G235</f>
        <v/>
      </c>
      <c r="H235" s="201" t="str">
        <f>if(Coins!H235="N/A",0,Coins!H235)</f>
        <v/>
      </c>
      <c r="I235" s="202" t="str">
        <f>Coins!I235</f>
        <v/>
      </c>
      <c r="J235" s="198" t="str">
        <f>Coins!J235</f>
        <v/>
      </c>
      <c r="K235" s="201" t="str">
        <f>Coins!K235</f>
        <v/>
      </c>
      <c r="L235" s="198" t="str">
        <f>Coins!L235</f>
        <v/>
      </c>
      <c r="M235" s="198"/>
      <c r="N235" s="198"/>
      <c r="P235" s="66" t="str">
        <f t="shared" si="4"/>
        <v/>
      </c>
    </row>
    <row r="236">
      <c r="A236" s="198" t="str">
        <f>Coins!A236</f>
        <v/>
      </c>
      <c r="B236" s="199" t="str">
        <f>Coins!B236</f>
        <v/>
      </c>
      <c r="C236" s="198" t="str">
        <f>Coins!C236</f>
        <v/>
      </c>
      <c r="D236" s="198" t="str">
        <f>Coins!D236</f>
        <v/>
      </c>
      <c r="E236" s="198" t="str">
        <f>Coins!E236</f>
        <v/>
      </c>
      <c r="F236" s="198" t="str">
        <f>Coins!F236</f>
        <v/>
      </c>
      <c r="G236" s="198" t="str">
        <f>Coins!G236</f>
        <v/>
      </c>
      <c r="H236" s="201" t="str">
        <f>if(Coins!H236="N/A",0,Coins!H236)</f>
        <v/>
      </c>
      <c r="I236" s="202" t="str">
        <f>Coins!I236</f>
        <v/>
      </c>
      <c r="J236" s="198" t="str">
        <f>Coins!J236</f>
        <v/>
      </c>
      <c r="K236" s="201" t="str">
        <f>Coins!K236</f>
        <v/>
      </c>
      <c r="L236" s="198" t="str">
        <f>Coins!L236</f>
        <v/>
      </c>
      <c r="M236" s="198"/>
      <c r="N236" s="198"/>
      <c r="P236" s="66" t="str">
        <f t="shared" si="4"/>
        <v/>
      </c>
    </row>
    <row r="237">
      <c r="A237" s="198" t="str">
        <f>Coins!A237</f>
        <v/>
      </c>
      <c r="B237" s="199" t="str">
        <f>Coins!B237</f>
        <v/>
      </c>
      <c r="C237" s="198" t="str">
        <f>Coins!C237</f>
        <v/>
      </c>
      <c r="D237" s="198" t="str">
        <f>Coins!D237</f>
        <v/>
      </c>
      <c r="E237" s="198" t="str">
        <f>Coins!E237</f>
        <v/>
      </c>
      <c r="F237" s="198" t="str">
        <f>Coins!F237</f>
        <v/>
      </c>
      <c r="G237" s="198" t="str">
        <f>Coins!G237</f>
        <v/>
      </c>
      <c r="H237" s="201" t="str">
        <f>if(Coins!H237="N/A",0,Coins!H237)</f>
        <v/>
      </c>
      <c r="I237" s="202" t="str">
        <f>Coins!I237</f>
        <v/>
      </c>
      <c r="J237" s="198" t="str">
        <f>Coins!J237</f>
        <v/>
      </c>
      <c r="K237" s="201" t="str">
        <f>Coins!K237</f>
        <v/>
      </c>
      <c r="L237" s="198" t="str">
        <f>Coins!L237</f>
        <v/>
      </c>
      <c r="M237" s="198"/>
      <c r="N237" s="198"/>
      <c r="P237" s="66" t="str">
        <f t="shared" si="4"/>
        <v/>
      </c>
    </row>
    <row r="238">
      <c r="A238" s="198" t="str">
        <f>Coins!A238</f>
        <v/>
      </c>
      <c r="B238" s="199" t="str">
        <f>Coins!B238</f>
        <v/>
      </c>
      <c r="C238" s="198" t="str">
        <f>Coins!C238</f>
        <v/>
      </c>
      <c r="D238" s="198" t="str">
        <f>Coins!D238</f>
        <v/>
      </c>
      <c r="E238" s="198" t="str">
        <f>Coins!E238</f>
        <v/>
      </c>
      <c r="F238" s="198" t="str">
        <f>Coins!F238</f>
        <v/>
      </c>
      <c r="G238" s="198" t="str">
        <f>Coins!G238</f>
        <v/>
      </c>
      <c r="H238" s="201" t="str">
        <f>if(Coins!H238="N/A",0,Coins!H238)</f>
        <v/>
      </c>
      <c r="I238" s="202" t="str">
        <f>Coins!I238</f>
        <v/>
      </c>
      <c r="J238" s="198" t="str">
        <f>Coins!J238</f>
        <v/>
      </c>
      <c r="K238" s="201" t="str">
        <f>Coins!K238</f>
        <v/>
      </c>
      <c r="L238" s="198" t="str">
        <f>Coins!L238</f>
        <v/>
      </c>
      <c r="M238" s="198"/>
      <c r="N238" s="198"/>
      <c r="P238" s="66" t="str">
        <f t="shared" si="4"/>
        <v/>
      </c>
    </row>
    <row r="239">
      <c r="A239" s="198" t="str">
        <f>Coins!A239</f>
        <v/>
      </c>
      <c r="B239" s="199" t="str">
        <f>Coins!B239</f>
        <v/>
      </c>
      <c r="C239" s="198" t="str">
        <f>Coins!C239</f>
        <v/>
      </c>
      <c r="D239" s="198" t="str">
        <f>Coins!D239</f>
        <v/>
      </c>
      <c r="E239" s="198" t="str">
        <f>Coins!E239</f>
        <v/>
      </c>
      <c r="F239" s="198" t="str">
        <f>Coins!F239</f>
        <v/>
      </c>
      <c r="G239" s="198" t="str">
        <f>Coins!G239</f>
        <v/>
      </c>
      <c r="H239" s="201" t="str">
        <f>if(Coins!H239="N/A",0,Coins!H239)</f>
        <v/>
      </c>
      <c r="I239" s="202" t="str">
        <f>Coins!I239</f>
        <v/>
      </c>
      <c r="J239" s="198" t="str">
        <f>Coins!J239</f>
        <v/>
      </c>
      <c r="K239" s="201" t="str">
        <f>Coins!K239</f>
        <v/>
      </c>
      <c r="L239" s="198" t="str">
        <f>Coins!L239</f>
        <v/>
      </c>
      <c r="M239" s="198"/>
      <c r="N239" s="198"/>
      <c r="P239" s="66" t="str">
        <f t="shared" si="4"/>
        <v/>
      </c>
    </row>
    <row r="240">
      <c r="A240" s="198" t="str">
        <f>Coins!A240</f>
        <v/>
      </c>
      <c r="B240" s="199" t="str">
        <f>Coins!B240</f>
        <v/>
      </c>
      <c r="C240" s="198" t="str">
        <f>Coins!C240</f>
        <v/>
      </c>
      <c r="D240" s="198" t="str">
        <f>Coins!D240</f>
        <v/>
      </c>
      <c r="E240" s="198" t="str">
        <f>Coins!E240</f>
        <v/>
      </c>
      <c r="F240" s="198" t="str">
        <f>Coins!F240</f>
        <v/>
      </c>
      <c r="G240" s="198" t="str">
        <f>Coins!G240</f>
        <v/>
      </c>
      <c r="H240" s="201" t="str">
        <f>if(Coins!H240="N/A",0,Coins!H240)</f>
        <v/>
      </c>
      <c r="I240" s="202" t="str">
        <f>Coins!I240</f>
        <v/>
      </c>
      <c r="J240" s="198" t="str">
        <f>Coins!J240</f>
        <v/>
      </c>
      <c r="K240" s="201" t="str">
        <f>Coins!K240</f>
        <v/>
      </c>
      <c r="L240" s="198" t="str">
        <f>Coins!L240</f>
        <v/>
      </c>
      <c r="M240" s="198"/>
      <c r="N240" s="198"/>
      <c r="P240" s="66" t="str">
        <f t="shared" si="4"/>
        <v/>
      </c>
    </row>
    <row r="241">
      <c r="A241" s="198" t="str">
        <f>Coins!A241</f>
        <v/>
      </c>
      <c r="B241" s="199" t="str">
        <f>Coins!B241</f>
        <v/>
      </c>
      <c r="C241" s="198" t="str">
        <f>Coins!C241</f>
        <v/>
      </c>
      <c r="D241" s="198" t="str">
        <f>Coins!D241</f>
        <v/>
      </c>
      <c r="E241" s="198" t="str">
        <f>Coins!E241</f>
        <v/>
      </c>
      <c r="F241" s="198" t="str">
        <f>Coins!F241</f>
        <v/>
      </c>
      <c r="G241" s="198" t="str">
        <f>Coins!G241</f>
        <v/>
      </c>
      <c r="H241" s="201" t="str">
        <f>if(Coins!H241="N/A",0,Coins!H241)</f>
        <v/>
      </c>
      <c r="I241" s="202" t="str">
        <f>Coins!I241</f>
        <v/>
      </c>
      <c r="J241" s="198" t="str">
        <f>Coins!J241</f>
        <v/>
      </c>
      <c r="K241" s="201" t="str">
        <f>Coins!K241</f>
        <v/>
      </c>
      <c r="L241" s="198" t="str">
        <f>Coins!L241</f>
        <v/>
      </c>
      <c r="M241" s="198"/>
      <c r="N241" s="198"/>
      <c r="P241" s="66" t="str">
        <f t="shared" si="4"/>
        <v/>
      </c>
    </row>
    <row r="242">
      <c r="A242" s="198" t="str">
        <f>Coins!A242</f>
        <v/>
      </c>
      <c r="B242" s="199" t="str">
        <f>Coins!B242</f>
        <v/>
      </c>
      <c r="C242" s="198" t="str">
        <f>Coins!C242</f>
        <v/>
      </c>
      <c r="D242" s="198" t="str">
        <f>Coins!D242</f>
        <v/>
      </c>
      <c r="E242" s="198" t="str">
        <f>Coins!E242</f>
        <v/>
      </c>
      <c r="F242" s="198" t="str">
        <f>Coins!F242</f>
        <v/>
      </c>
      <c r="G242" s="198" t="str">
        <f>Coins!G242</f>
        <v/>
      </c>
      <c r="H242" s="201" t="str">
        <f>if(Coins!H242="N/A",0,Coins!H242)</f>
        <v/>
      </c>
      <c r="I242" s="202" t="str">
        <f>Coins!I242</f>
        <v/>
      </c>
      <c r="J242" s="198" t="str">
        <f>Coins!J242</f>
        <v/>
      </c>
      <c r="K242" s="201" t="str">
        <f>Coins!K242</f>
        <v/>
      </c>
      <c r="L242" s="198" t="str">
        <f>Coins!L242</f>
        <v/>
      </c>
      <c r="M242" s="198"/>
      <c r="N242" s="198"/>
      <c r="P242" s="66" t="str">
        <f t="shared" si="4"/>
        <v/>
      </c>
    </row>
    <row r="243">
      <c r="A243" s="198" t="str">
        <f>Coins!A243</f>
        <v/>
      </c>
      <c r="B243" s="199" t="str">
        <f>Coins!B243</f>
        <v/>
      </c>
      <c r="C243" s="198" t="str">
        <f>Coins!C243</f>
        <v/>
      </c>
      <c r="D243" s="198" t="str">
        <f>Coins!D243</f>
        <v/>
      </c>
      <c r="E243" s="198" t="str">
        <f>Coins!E243</f>
        <v/>
      </c>
      <c r="F243" s="198" t="str">
        <f>Coins!F243</f>
        <v/>
      </c>
      <c r="G243" s="198" t="str">
        <f>Coins!G243</f>
        <v/>
      </c>
      <c r="H243" s="201" t="str">
        <f>if(Coins!H243="N/A",0,Coins!H243)</f>
        <v/>
      </c>
      <c r="I243" s="202" t="str">
        <f>Coins!I243</f>
        <v/>
      </c>
      <c r="J243" s="198" t="str">
        <f>Coins!J243</f>
        <v/>
      </c>
      <c r="K243" s="201" t="str">
        <f>Coins!K243</f>
        <v/>
      </c>
      <c r="L243" s="198" t="str">
        <f>Coins!L243</f>
        <v/>
      </c>
      <c r="M243" s="198"/>
      <c r="N243" s="198"/>
      <c r="P243" s="66" t="str">
        <f t="shared" si="4"/>
        <v/>
      </c>
    </row>
    <row r="244">
      <c r="A244" s="198" t="str">
        <f>Coins!A244</f>
        <v/>
      </c>
      <c r="B244" s="199" t="str">
        <f>Coins!B244</f>
        <v/>
      </c>
      <c r="C244" s="198" t="str">
        <f>Coins!C244</f>
        <v/>
      </c>
      <c r="D244" s="198" t="str">
        <f>Coins!D244</f>
        <v/>
      </c>
      <c r="E244" s="198" t="str">
        <f>Coins!E244</f>
        <v/>
      </c>
      <c r="F244" s="198" t="str">
        <f>Coins!F244</f>
        <v/>
      </c>
      <c r="G244" s="198" t="str">
        <f>Coins!G244</f>
        <v/>
      </c>
      <c r="H244" s="201" t="str">
        <f>if(Coins!H244="N/A",0,Coins!H244)</f>
        <v/>
      </c>
      <c r="I244" s="202" t="str">
        <f>Coins!I244</f>
        <v/>
      </c>
      <c r="J244" s="198" t="str">
        <f>Coins!J244</f>
        <v/>
      </c>
      <c r="K244" s="201" t="str">
        <f>Coins!K244</f>
        <v/>
      </c>
      <c r="L244" s="198" t="str">
        <f>Coins!L244</f>
        <v/>
      </c>
      <c r="M244" s="198"/>
      <c r="N244" s="198"/>
      <c r="P244" s="66" t="str">
        <f t="shared" si="4"/>
        <v/>
      </c>
    </row>
    <row r="245">
      <c r="A245" s="198" t="str">
        <f>Coins!A245</f>
        <v/>
      </c>
      <c r="B245" s="199" t="str">
        <f>Coins!B245</f>
        <v/>
      </c>
      <c r="C245" s="198" t="str">
        <f>Coins!C245</f>
        <v/>
      </c>
      <c r="D245" s="198" t="str">
        <f>Coins!D245</f>
        <v/>
      </c>
      <c r="E245" s="198" t="str">
        <f>Coins!E245</f>
        <v/>
      </c>
      <c r="F245" s="198" t="str">
        <f>Coins!F245</f>
        <v/>
      </c>
      <c r="G245" s="198" t="str">
        <f>Coins!G245</f>
        <v/>
      </c>
      <c r="H245" s="201" t="str">
        <f>if(Coins!H245="N/A",0,Coins!H245)</f>
        <v/>
      </c>
      <c r="I245" s="202" t="str">
        <f>Coins!I245</f>
        <v/>
      </c>
      <c r="J245" s="198" t="str">
        <f>Coins!J245</f>
        <v/>
      </c>
      <c r="K245" s="201" t="str">
        <f>Coins!K245</f>
        <v/>
      </c>
      <c r="L245" s="198" t="str">
        <f>Coins!L245</f>
        <v/>
      </c>
      <c r="M245" s="198"/>
      <c r="N245" s="198"/>
      <c r="P245" s="66" t="str">
        <f t="shared" si="4"/>
        <v/>
      </c>
    </row>
    <row r="246">
      <c r="A246" s="198" t="str">
        <f>Coins!A246</f>
        <v/>
      </c>
      <c r="B246" s="199" t="str">
        <f>Coins!B246</f>
        <v/>
      </c>
      <c r="C246" s="198" t="str">
        <f>Coins!C246</f>
        <v/>
      </c>
      <c r="D246" s="198" t="str">
        <f>Coins!D246</f>
        <v/>
      </c>
      <c r="E246" s="198" t="str">
        <f>Coins!E246</f>
        <v/>
      </c>
      <c r="F246" s="198" t="str">
        <f>Coins!F246</f>
        <v/>
      </c>
      <c r="G246" s="198" t="str">
        <f>Coins!G246</f>
        <v/>
      </c>
      <c r="H246" s="201" t="str">
        <f>if(Coins!H246="N/A",0,Coins!H246)</f>
        <v/>
      </c>
      <c r="I246" s="202" t="str">
        <f>Coins!I246</f>
        <v/>
      </c>
      <c r="J246" s="198" t="str">
        <f>Coins!J246</f>
        <v/>
      </c>
      <c r="K246" s="201" t="str">
        <f>Coins!K246</f>
        <v/>
      </c>
      <c r="L246" s="198" t="str">
        <f>Coins!L246</f>
        <v/>
      </c>
      <c r="M246" s="198"/>
      <c r="N246" s="198"/>
      <c r="P246" s="66" t="str">
        <f t="shared" si="4"/>
        <v/>
      </c>
    </row>
    <row r="247">
      <c r="A247" s="198" t="str">
        <f>Coins!A247</f>
        <v/>
      </c>
      <c r="B247" s="199" t="str">
        <f>Coins!B247</f>
        <v/>
      </c>
      <c r="C247" s="198" t="str">
        <f>Coins!C247</f>
        <v/>
      </c>
      <c r="D247" s="198" t="str">
        <f>Coins!D247</f>
        <v/>
      </c>
      <c r="E247" s="198" t="str">
        <f>Coins!E247</f>
        <v/>
      </c>
      <c r="F247" s="198" t="str">
        <f>Coins!F247</f>
        <v/>
      </c>
      <c r="G247" s="198" t="str">
        <f>Coins!G247</f>
        <v/>
      </c>
      <c r="H247" s="201" t="str">
        <f>if(Coins!H247="N/A",0,Coins!H247)</f>
        <v/>
      </c>
      <c r="I247" s="202" t="str">
        <f>Coins!I247</f>
        <v/>
      </c>
      <c r="J247" s="198" t="str">
        <f>Coins!J247</f>
        <v/>
      </c>
      <c r="K247" s="201" t="str">
        <f>Coins!K247</f>
        <v/>
      </c>
      <c r="L247" s="198" t="str">
        <f>Coins!L247</f>
        <v/>
      </c>
      <c r="M247" s="198"/>
      <c r="N247" s="198"/>
      <c r="P247" s="66" t="str">
        <f t="shared" si="4"/>
        <v/>
      </c>
    </row>
    <row r="248">
      <c r="A248" s="198" t="str">
        <f>Coins!A248</f>
        <v/>
      </c>
      <c r="B248" s="199" t="str">
        <f>Coins!B248</f>
        <v/>
      </c>
      <c r="C248" s="198" t="str">
        <f>Coins!C248</f>
        <v/>
      </c>
      <c r="D248" s="198" t="str">
        <f>Coins!D248</f>
        <v/>
      </c>
      <c r="E248" s="198" t="str">
        <f>Coins!E248</f>
        <v/>
      </c>
      <c r="F248" s="198" t="str">
        <f>Coins!F248</f>
        <v/>
      </c>
      <c r="G248" s="198" t="str">
        <f>Coins!G248</f>
        <v/>
      </c>
      <c r="H248" s="201" t="str">
        <f>if(Coins!H248="N/A",0,Coins!H248)</f>
        <v/>
      </c>
      <c r="I248" s="202" t="str">
        <f>Coins!I248</f>
        <v/>
      </c>
      <c r="J248" s="198" t="str">
        <f>Coins!J248</f>
        <v/>
      </c>
      <c r="K248" s="201" t="str">
        <f>Coins!K248</f>
        <v/>
      </c>
      <c r="L248" s="198" t="str">
        <f>Coins!L248</f>
        <v/>
      </c>
      <c r="M248" s="198"/>
      <c r="N248" s="198"/>
      <c r="P248" s="66" t="str">
        <f t="shared" si="4"/>
        <v/>
      </c>
    </row>
    <row r="249">
      <c r="A249" s="198" t="str">
        <f>Coins!A249</f>
        <v/>
      </c>
      <c r="B249" s="199" t="str">
        <f>Coins!B249</f>
        <v/>
      </c>
      <c r="C249" s="198" t="str">
        <f>Coins!C249</f>
        <v/>
      </c>
      <c r="D249" s="198" t="str">
        <f>Coins!D249</f>
        <v/>
      </c>
      <c r="E249" s="198" t="str">
        <f>Coins!E249</f>
        <v/>
      </c>
      <c r="F249" s="198" t="str">
        <f>Coins!F249</f>
        <v/>
      </c>
      <c r="G249" s="198" t="str">
        <f>Coins!G249</f>
        <v/>
      </c>
      <c r="H249" s="201" t="str">
        <f>if(Coins!H249="N/A",0,Coins!H249)</f>
        <v/>
      </c>
      <c r="I249" s="202" t="str">
        <f>Coins!I249</f>
        <v/>
      </c>
      <c r="J249" s="198" t="str">
        <f>Coins!J249</f>
        <v/>
      </c>
      <c r="K249" s="201" t="str">
        <f>Coins!K249</f>
        <v/>
      </c>
      <c r="L249" s="198" t="str">
        <f>Coins!L249</f>
        <v/>
      </c>
      <c r="M249" s="198"/>
      <c r="N249" s="198"/>
      <c r="P249" s="66" t="str">
        <f t="shared" si="4"/>
        <v/>
      </c>
    </row>
    <row r="250">
      <c r="A250" s="198" t="str">
        <f>Coins!A250</f>
        <v/>
      </c>
      <c r="B250" s="199" t="str">
        <f>Coins!B250</f>
        <v/>
      </c>
      <c r="C250" s="198" t="str">
        <f>Coins!C250</f>
        <v/>
      </c>
      <c r="D250" s="198" t="str">
        <f>Coins!D250</f>
        <v/>
      </c>
      <c r="E250" s="198" t="str">
        <f>Coins!E250</f>
        <v/>
      </c>
      <c r="F250" s="198" t="str">
        <f>Coins!F250</f>
        <v/>
      </c>
      <c r="G250" s="198" t="str">
        <f>Coins!G250</f>
        <v/>
      </c>
      <c r="H250" s="201" t="str">
        <f>if(Coins!H250="N/A",0,Coins!H250)</f>
        <v/>
      </c>
      <c r="I250" s="202" t="str">
        <f>Coins!I250</f>
        <v/>
      </c>
      <c r="J250" s="198" t="str">
        <f>Coins!J250</f>
        <v/>
      </c>
      <c r="K250" s="201" t="str">
        <f>Coins!K250</f>
        <v/>
      </c>
      <c r="L250" s="198" t="str">
        <f>Coins!L250</f>
        <v/>
      </c>
      <c r="M250" s="198"/>
      <c r="N250" s="198"/>
      <c r="P250" s="66" t="str">
        <f t="shared" si="4"/>
        <v/>
      </c>
    </row>
    <row r="251">
      <c r="A251" s="198" t="str">
        <f>Coins!A251</f>
        <v/>
      </c>
      <c r="B251" s="199" t="str">
        <f>Coins!B251</f>
        <v/>
      </c>
      <c r="C251" s="198" t="str">
        <f>Coins!C251</f>
        <v/>
      </c>
      <c r="D251" s="198" t="str">
        <f>Coins!D251</f>
        <v/>
      </c>
      <c r="E251" s="198" t="str">
        <f>Coins!E251</f>
        <v/>
      </c>
      <c r="F251" s="198" t="str">
        <f>Coins!F251</f>
        <v/>
      </c>
      <c r="G251" s="198" t="str">
        <f>Coins!G251</f>
        <v/>
      </c>
      <c r="H251" s="201" t="str">
        <f>if(Coins!H251="N/A",0,Coins!H251)</f>
        <v/>
      </c>
      <c r="I251" s="202" t="str">
        <f>Coins!I251</f>
        <v/>
      </c>
      <c r="J251" s="198" t="str">
        <f>Coins!J251</f>
        <v/>
      </c>
      <c r="K251" s="201" t="str">
        <f>Coins!K251</f>
        <v/>
      </c>
      <c r="L251" s="198" t="str">
        <f>Coins!L251</f>
        <v/>
      </c>
      <c r="M251" s="198"/>
      <c r="N251" s="198"/>
      <c r="P251" s="66" t="str">
        <f t="shared" si="4"/>
        <v/>
      </c>
    </row>
    <row r="252">
      <c r="A252" s="198" t="str">
        <f>Coins!A252</f>
        <v/>
      </c>
      <c r="B252" s="199" t="str">
        <f>Coins!B252</f>
        <v/>
      </c>
      <c r="C252" s="198" t="str">
        <f>Coins!C252</f>
        <v/>
      </c>
      <c r="D252" s="198" t="str">
        <f>Coins!D252</f>
        <v/>
      </c>
      <c r="E252" s="198" t="str">
        <f>Coins!E252</f>
        <v/>
      </c>
      <c r="F252" s="198" t="str">
        <f>Coins!F252</f>
        <v/>
      </c>
      <c r="G252" s="198" t="str">
        <f>Coins!G252</f>
        <v/>
      </c>
      <c r="H252" s="201" t="str">
        <f>if(Coins!H252="N/A",0,Coins!H252)</f>
        <v/>
      </c>
      <c r="I252" s="202" t="str">
        <f>Coins!I252</f>
        <v/>
      </c>
      <c r="J252" s="198" t="str">
        <f>Coins!J252</f>
        <v/>
      </c>
      <c r="K252" s="201" t="str">
        <f>Coins!K252</f>
        <v/>
      </c>
      <c r="L252" s="198" t="str">
        <f>Coins!L252</f>
        <v/>
      </c>
      <c r="M252" s="198"/>
      <c r="N252" s="198"/>
      <c r="P252" s="66" t="str">
        <f t="shared" si="4"/>
        <v/>
      </c>
    </row>
    <row r="253">
      <c r="A253" s="198" t="str">
        <f>Coins!A253</f>
        <v/>
      </c>
      <c r="B253" s="199" t="str">
        <f>Coins!B253</f>
        <v/>
      </c>
      <c r="C253" s="198" t="str">
        <f>Coins!C253</f>
        <v/>
      </c>
      <c r="D253" s="198" t="str">
        <f>Coins!D253</f>
        <v/>
      </c>
      <c r="E253" s="198" t="str">
        <f>Coins!E253</f>
        <v/>
      </c>
      <c r="F253" s="198" t="str">
        <f>Coins!F253</f>
        <v/>
      </c>
      <c r="G253" s="198" t="str">
        <f>Coins!G253</f>
        <v/>
      </c>
      <c r="H253" s="201" t="str">
        <f>if(Coins!H253="N/A",0,Coins!H253)</f>
        <v/>
      </c>
      <c r="I253" s="202" t="str">
        <f>Coins!I253</f>
        <v/>
      </c>
      <c r="J253" s="198" t="str">
        <f>Coins!J253</f>
        <v/>
      </c>
      <c r="K253" s="201" t="str">
        <f>Coins!K253</f>
        <v/>
      </c>
      <c r="L253" s="198" t="str">
        <f>Coins!L253</f>
        <v/>
      </c>
      <c r="M253" s="198"/>
      <c r="N253" s="198"/>
      <c r="P253" s="66" t="str">
        <f t="shared" si="4"/>
        <v/>
      </c>
    </row>
    <row r="254">
      <c r="A254" s="198" t="str">
        <f>Coins!A254</f>
        <v/>
      </c>
      <c r="B254" s="199" t="str">
        <f>Coins!B254</f>
        <v/>
      </c>
      <c r="C254" s="198" t="str">
        <f>Coins!C254</f>
        <v/>
      </c>
      <c r="D254" s="198" t="str">
        <f>Coins!D254</f>
        <v/>
      </c>
      <c r="E254" s="198" t="str">
        <f>Coins!E254</f>
        <v/>
      </c>
      <c r="F254" s="198" t="str">
        <f>Coins!F254</f>
        <v/>
      </c>
      <c r="G254" s="198" t="str">
        <f>Coins!G254</f>
        <v/>
      </c>
      <c r="H254" s="201" t="str">
        <f>if(Coins!H254="N/A",0,Coins!H254)</f>
        <v/>
      </c>
      <c r="I254" s="202" t="str">
        <f>Coins!I254</f>
        <v/>
      </c>
      <c r="J254" s="198" t="str">
        <f>Coins!J254</f>
        <v/>
      </c>
      <c r="K254" s="201" t="str">
        <f>Coins!K254</f>
        <v/>
      </c>
      <c r="L254" s="198" t="str">
        <f>Coins!L254</f>
        <v/>
      </c>
      <c r="M254" s="198"/>
      <c r="N254" s="198"/>
      <c r="P254" s="66" t="str">
        <f t="shared" si="4"/>
        <v/>
      </c>
    </row>
    <row r="255">
      <c r="A255" s="198" t="str">
        <f>Coins!A255</f>
        <v/>
      </c>
      <c r="B255" s="199" t="str">
        <f>Coins!B255</f>
        <v/>
      </c>
      <c r="C255" s="198" t="str">
        <f>Coins!C255</f>
        <v/>
      </c>
      <c r="D255" s="198" t="str">
        <f>Coins!D255</f>
        <v/>
      </c>
      <c r="E255" s="198" t="str">
        <f>Coins!E255</f>
        <v/>
      </c>
      <c r="F255" s="198" t="str">
        <f>Coins!F255</f>
        <v/>
      </c>
      <c r="G255" s="198" t="str">
        <f>Coins!G255</f>
        <v/>
      </c>
      <c r="H255" s="201" t="str">
        <f>if(Coins!H255="N/A",0,Coins!H255)</f>
        <v/>
      </c>
      <c r="I255" s="202" t="str">
        <f>Coins!I255</f>
        <v/>
      </c>
      <c r="J255" s="198" t="str">
        <f>Coins!J255</f>
        <v/>
      </c>
      <c r="K255" s="201" t="str">
        <f>Coins!K255</f>
        <v/>
      </c>
      <c r="L255" s="198" t="str">
        <f>Coins!L255</f>
        <v/>
      </c>
      <c r="M255" s="198"/>
      <c r="N255" s="198"/>
      <c r="P255" s="66" t="str">
        <f t="shared" si="4"/>
        <v/>
      </c>
    </row>
    <row r="256">
      <c r="A256" s="198" t="str">
        <f>Coins!A256</f>
        <v/>
      </c>
      <c r="B256" s="199" t="str">
        <f>Coins!B256</f>
        <v/>
      </c>
      <c r="C256" s="198" t="str">
        <f>Coins!C256</f>
        <v/>
      </c>
      <c r="D256" s="198" t="str">
        <f>Coins!D256</f>
        <v/>
      </c>
      <c r="E256" s="198" t="str">
        <f>Coins!E256</f>
        <v/>
      </c>
      <c r="F256" s="198" t="str">
        <f>Coins!F256</f>
        <v/>
      </c>
      <c r="G256" s="198" t="str">
        <f>Coins!G256</f>
        <v/>
      </c>
      <c r="H256" s="201" t="str">
        <f>if(Coins!H256="N/A",0,Coins!H256)</f>
        <v/>
      </c>
      <c r="I256" s="202" t="str">
        <f>Coins!I256</f>
        <v/>
      </c>
      <c r="J256" s="198" t="str">
        <f>Coins!J256</f>
        <v/>
      </c>
      <c r="K256" s="201" t="str">
        <f>Coins!K256</f>
        <v/>
      </c>
      <c r="L256" s="198" t="str">
        <f>Coins!L256</f>
        <v/>
      </c>
      <c r="M256" s="198"/>
      <c r="N256" s="198"/>
      <c r="P256" s="66" t="str">
        <f t="shared" si="4"/>
        <v/>
      </c>
    </row>
    <row r="257">
      <c r="A257" s="198" t="str">
        <f>Coins!A257</f>
        <v/>
      </c>
      <c r="B257" s="199" t="str">
        <f>Coins!B257</f>
        <v/>
      </c>
      <c r="C257" s="198" t="str">
        <f>Coins!C257</f>
        <v/>
      </c>
      <c r="D257" s="198" t="str">
        <f>Coins!D257</f>
        <v/>
      </c>
      <c r="E257" s="198" t="str">
        <f>Coins!E257</f>
        <v/>
      </c>
      <c r="F257" s="198" t="str">
        <f>Coins!F257</f>
        <v/>
      </c>
      <c r="G257" s="198" t="str">
        <f>Coins!G257</f>
        <v/>
      </c>
      <c r="H257" s="201" t="str">
        <f>if(Coins!H257="N/A",0,Coins!H257)</f>
        <v/>
      </c>
      <c r="I257" s="202" t="str">
        <f>Coins!I257</f>
        <v/>
      </c>
      <c r="J257" s="198" t="str">
        <f>Coins!J257</f>
        <v/>
      </c>
      <c r="K257" s="201" t="str">
        <f>Coins!K257</f>
        <v/>
      </c>
      <c r="L257" s="198" t="str">
        <f>Coins!L257</f>
        <v/>
      </c>
      <c r="M257" s="198"/>
      <c r="N257" s="198"/>
      <c r="P257" s="66" t="str">
        <f t="shared" si="4"/>
        <v/>
      </c>
    </row>
    <row r="258">
      <c r="A258" s="198" t="str">
        <f>Coins!A258</f>
        <v/>
      </c>
      <c r="B258" s="199" t="str">
        <f>Coins!B258</f>
        <v/>
      </c>
      <c r="C258" s="198" t="str">
        <f>Coins!C258</f>
        <v/>
      </c>
      <c r="D258" s="198" t="str">
        <f>Coins!D258</f>
        <v/>
      </c>
      <c r="E258" s="198" t="str">
        <f>Coins!E258</f>
        <v/>
      </c>
      <c r="F258" s="198" t="str">
        <f>Coins!F258</f>
        <v/>
      </c>
      <c r="G258" s="198" t="str">
        <f>Coins!G258</f>
        <v/>
      </c>
      <c r="H258" s="201" t="str">
        <f>if(Coins!H258="N/A",0,Coins!H258)</f>
        <v/>
      </c>
      <c r="I258" s="202" t="str">
        <f>Coins!I258</f>
        <v/>
      </c>
      <c r="J258" s="198" t="str">
        <f>Coins!J258</f>
        <v/>
      </c>
      <c r="K258" s="201" t="str">
        <f>Coins!K258</f>
        <v/>
      </c>
      <c r="L258" s="198" t="str">
        <f>Coins!L258</f>
        <v/>
      </c>
      <c r="M258" s="198"/>
      <c r="N258" s="198"/>
      <c r="P258" s="66" t="str">
        <f t="shared" si="4"/>
        <v/>
      </c>
    </row>
    <row r="259">
      <c r="A259" s="198" t="str">
        <f>Coins!A259</f>
        <v/>
      </c>
      <c r="B259" s="199" t="str">
        <f>Coins!B259</f>
        <v/>
      </c>
      <c r="C259" s="198" t="str">
        <f>Coins!C259</f>
        <v/>
      </c>
      <c r="D259" s="198" t="str">
        <f>Coins!D259</f>
        <v/>
      </c>
      <c r="E259" s="198" t="str">
        <f>Coins!E259</f>
        <v/>
      </c>
      <c r="F259" s="198" t="str">
        <f>Coins!F259</f>
        <v/>
      </c>
      <c r="G259" s="198" t="str">
        <f>Coins!G259</f>
        <v/>
      </c>
      <c r="H259" s="201" t="str">
        <f>if(Coins!H259="N/A",0,Coins!H259)</f>
        <v/>
      </c>
      <c r="I259" s="202" t="str">
        <f>Coins!I259</f>
        <v/>
      </c>
      <c r="J259" s="198" t="str">
        <f>Coins!J259</f>
        <v/>
      </c>
      <c r="K259" s="201" t="str">
        <f>Coins!K259</f>
        <v/>
      </c>
      <c r="L259" s="198" t="str">
        <f>Coins!L259</f>
        <v/>
      </c>
      <c r="M259" s="198"/>
      <c r="N259" s="198"/>
      <c r="P259" s="66" t="str">
        <f t="shared" si="4"/>
        <v/>
      </c>
    </row>
    <row r="260">
      <c r="A260" s="198" t="str">
        <f>Coins!A260</f>
        <v/>
      </c>
      <c r="B260" s="199" t="str">
        <f>Coins!B260</f>
        <v/>
      </c>
      <c r="C260" s="198" t="str">
        <f>Coins!C260</f>
        <v/>
      </c>
      <c r="D260" s="198" t="str">
        <f>Coins!D260</f>
        <v/>
      </c>
      <c r="E260" s="198" t="str">
        <f>Coins!E260</f>
        <v/>
      </c>
      <c r="F260" s="198" t="str">
        <f>Coins!F260</f>
        <v/>
      </c>
      <c r="G260" s="198" t="str">
        <f>Coins!G260</f>
        <v/>
      </c>
      <c r="H260" s="201" t="str">
        <f>if(Coins!H260="N/A",0,Coins!H260)</f>
        <v/>
      </c>
      <c r="I260" s="202" t="str">
        <f>Coins!I260</f>
        <v/>
      </c>
      <c r="J260" s="198" t="str">
        <f>Coins!J260</f>
        <v/>
      </c>
      <c r="K260" s="201" t="str">
        <f>Coins!K260</f>
        <v/>
      </c>
      <c r="L260" s="198" t="str">
        <f>Coins!L260</f>
        <v/>
      </c>
      <c r="M260" s="198"/>
      <c r="N260" s="198"/>
      <c r="P260" s="66" t="str">
        <f t="shared" si="4"/>
        <v/>
      </c>
    </row>
    <row r="261">
      <c r="A261" s="198" t="str">
        <f>Coins!A261</f>
        <v/>
      </c>
      <c r="B261" s="199" t="str">
        <f>Coins!B261</f>
        <v/>
      </c>
      <c r="C261" s="198" t="str">
        <f>Coins!C261</f>
        <v/>
      </c>
      <c r="D261" s="198" t="str">
        <f>Coins!D261</f>
        <v/>
      </c>
      <c r="E261" s="198" t="str">
        <f>Coins!E261</f>
        <v/>
      </c>
      <c r="F261" s="198" t="str">
        <f>Coins!F261</f>
        <v/>
      </c>
      <c r="G261" s="198" t="str">
        <f>Coins!G261</f>
        <v/>
      </c>
      <c r="H261" s="201" t="str">
        <f>if(Coins!H261="N/A",0,Coins!H261)</f>
        <v/>
      </c>
      <c r="I261" s="202" t="str">
        <f>Coins!I261</f>
        <v/>
      </c>
      <c r="J261" s="198" t="str">
        <f>Coins!J261</f>
        <v/>
      </c>
      <c r="K261" s="201" t="str">
        <f>Coins!K261</f>
        <v/>
      </c>
      <c r="L261" s="198" t="str">
        <f>Coins!L261</f>
        <v/>
      </c>
      <c r="M261" s="198"/>
      <c r="N261" s="198"/>
      <c r="P261" s="66" t="str">
        <f t="shared" si="4"/>
        <v/>
      </c>
    </row>
    <row r="262">
      <c r="A262" s="198" t="str">
        <f>Coins!A262</f>
        <v/>
      </c>
      <c r="B262" s="199" t="str">
        <f>Coins!B262</f>
        <v/>
      </c>
      <c r="C262" s="198" t="str">
        <f>Coins!C262</f>
        <v/>
      </c>
      <c r="D262" s="198" t="str">
        <f>Coins!D262</f>
        <v/>
      </c>
      <c r="E262" s="198" t="str">
        <f>Coins!E262</f>
        <v/>
      </c>
      <c r="F262" s="198" t="str">
        <f>Coins!F262</f>
        <v/>
      </c>
      <c r="G262" s="198" t="str">
        <f>Coins!G262</f>
        <v/>
      </c>
      <c r="H262" s="201" t="str">
        <f>if(Coins!H262="N/A",0,Coins!H262)</f>
        <v/>
      </c>
      <c r="I262" s="202" t="str">
        <f>Coins!I262</f>
        <v/>
      </c>
      <c r="J262" s="198" t="str">
        <f>Coins!J262</f>
        <v/>
      </c>
      <c r="K262" s="201" t="str">
        <f>Coins!K262</f>
        <v/>
      </c>
      <c r="L262" s="198" t="str">
        <f>Coins!L262</f>
        <v/>
      </c>
      <c r="M262" s="198"/>
      <c r="N262" s="198"/>
      <c r="P262" s="66" t="str">
        <f t="shared" si="4"/>
        <v/>
      </c>
    </row>
    <row r="263">
      <c r="A263" s="198" t="str">
        <f>Coins!A263</f>
        <v/>
      </c>
      <c r="B263" s="199" t="str">
        <f>Coins!B263</f>
        <v/>
      </c>
      <c r="C263" s="198" t="str">
        <f>Coins!C263</f>
        <v/>
      </c>
      <c r="D263" s="198" t="str">
        <f>Coins!D263</f>
        <v/>
      </c>
      <c r="E263" s="198" t="str">
        <f>Coins!E263</f>
        <v/>
      </c>
      <c r="F263" s="198" t="str">
        <f>Coins!F263</f>
        <v/>
      </c>
      <c r="G263" s="198" t="str">
        <f>Coins!G263</f>
        <v/>
      </c>
      <c r="H263" s="201" t="str">
        <f>if(Coins!H263="N/A",0,Coins!H263)</f>
        <v/>
      </c>
      <c r="I263" s="202" t="str">
        <f>Coins!I263</f>
        <v/>
      </c>
      <c r="J263" s="198" t="str">
        <f>Coins!J263</f>
        <v/>
      </c>
      <c r="K263" s="201" t="str">
        <f>Coins!K263</f>
        <v/>
      </c>
      <c r="L263" s="198" t="str">
        <f>Coins!L263</f>
        <v/>
      </c>
      <c r="M263" s="198"/>
      <c r="N263" s="198"/>
      <c r="P263" s="66" t="str">
        <f t="shared" si="4"/>
        <v/>
      </c>
    </row>
    <row r="264">
      <c r="A264" s="198" t="str">
        <f>Coins!A264</f>
        <v/>
      </c>
      <c r="B264" s="199" t="str">
        <f>Coins!B264</f>
        <v/>
      </c>
      <c r="C264" s="198" t="str">
        <f>Coins!C264</f>
        <v/>
      </c>
      <c r="D264" s="198" t="str">
        <f>Coins!D264</f>
        <v/>
      </c>
      <c r="E264" s="198" t="str">
        <f>Coins!E264</f>
        <v/>
      </c>
      <c r="F264" s="198" t="str">
        <f>Coins!F264</f>
        <v/>
      </c>
      <c r="G264" s="198" t="str">
        <f>Coins!G264</f>
        <v/>
      </c>
      <c r="H264" s="201" t="str">
        <f>if(Coins!H264="N/A",0,Coins!H264)</f>
        <v/>
      </c>
      <c r="I264" s="202" t="str">
        <f>Coins!I264</f>
        <v/>
      </c>
      <c r="J264" s="198" t="str">
        <f>Coins!J264</f>
        <v/>
      </c>
      <c r="K264" s="201" t="str">
        <f>Coins!K264</f>
        <v/>
      </c>
      <c r="L264" s="198" t="str">
        <f>Coins!L264</f>
        <v/>
      </c>
      <c r="M264" s="198"/>
      <c r="N264" s="198"/>
      <c r="P264" s="66" t="str">
        <f t="shared" si="4"/>
        <v/>
      </c>
    </row>
    <row r="265">
      <c r="A265" s="198" t="str">
        <f>Coins!A265</f>
        <v/>
      </c>
      <c r="B265" s="199" t="str">
        <f>Coins!B265</f>
        <v/>
      </c>
      <c r="C265" s="198" t="str">
        <f>Coins!C265</f>
        <v/>
      </c>
      <c r="D265" s="198" t="str">
        <f>Coins!D265</f>
        <v/>
      </c>
      <c r="E265" s="198" t="str">
        <f>Coins!E265</f>
        <v/>
      </c>
      <c r="F265" s="198" t="str">
        <f>Coins!F265</f>
        <v/>
      </c>
      <c r="G265" s="198" t="str">
        <f>Coins!G265</f>
        <v/>
      </c>
      <c r="H265" s="201" t="str">
        <f>if(Coins!H265="N/A",0,Coins!H265)</f>
        <v/>
      </c>
      <c r="I265" s="202" t="str">
        <f>Coins!I265</f>
        <v/>
      </c>
      <c r="J265" s="198" t="str">
        <f>Coins!J265</f>
        <v/>
      </c>
      <c r="K265" s="201" t="str">
        <f>Coins!K265</f>
        <v/>
      </c>
      <c r="L265" s="198" t="str">
        <f>Coins!L265</f>
        <v/>
      </c>
      <c r="M265" s="198"/>
      <c r="N265" s="198"/>
      <c r="P265" s="66" t="str">
        <f t="shared" si="4"/>
        <v/>
      </c>
    </row>
    <row r="266">
      <c r="A266" s="198" t="str">
        <f>Coins!A266</f>
        <v/>
      </c>
      <c r="B266" s="199" t="str">
        <f>Coins!B266</f>
        <v/>
      </c>
      <c r="C266" s="198" t="str">
        <f>Coins!C266</f>
        <v/>
      </c>
      <c r="D266" s="198" t="str">
        <f>Coins!D266</f>
        <v/>
      </c>
      <c r="E266" s="198" t="str">
        <f>Coins!E266</f>
        <v/>
      </c>
      <c r="F266" s="198" t="str">
        <f>Coins!F266</f>
        <v/>
      </c>
      <c r="G266" s="198" t="str">
        <f>Coins!G266</f>
        <v/>
      </c>
      <c r="H266" s="201" t="str">
        <f>if(Coins!H266="N/A",0,Coins!H266)</f>
        <v/>
      </c>
      <c r="I266" s="202" t="str">
        <f>Coins!I266</f>
        <v/>
      </c>
      <c r="J266" s="198" t="str">
        <f>Coins!J266</f>
        <v/>
      </c>
      <c r="K266" s="201" t="str">
        <f>Coins!K266</f>
        <v/>
      </c>
      <c r="L266" s="198" t="str">
        <f>Coins!L266</f>
        <v/>
      </c>
      <c r="M266" s="198"/>
      <c r="N266" s="198"/>
      <c r="P266" s="66" t="str">
        <f t="shared" si="4"/>
        <v/>
      </c>
    </row>
    <row r="267">
      <c r="A267" s="198" t="str">
        <f>Coins!A267</f>
        <v/>
      </c>
      <c r="B267" s="199" t="str">
        <f>Coins!B267</f>
        <v/>
      </c>
      <c r="C267" s="198" t="str">
        <f>Coins!C267</f>
        <v/>
      </c>
      <c r="D267" s="198" t="str">
        <f>Coins!D267</f>
        <v/>
      </c>
      <c r="E267" s="198" t="str">
        <f>Coins!E267</f>
        <v/>
      </c>
      <c r="F267" s="198" t="str">
        <f>Coins!F267</f>
        <v/>
      </c>
      <c r="G267" s="198" t="str">
        <f>Coins!G267</f>
        <v/>
      </c>
      <c r="H267" s="201" t="str">
        <f>if(Coins!H267="N/A",0,Coins!H267)</f>
        <v/>
      </c>
      <c r="I267" s="202" t="str">
        <f>Coins!I267</f>
        <v/>
      </c>
      <c r="J267" s="198" t="str">
        <f>Coins!J267</f>
        <v/>
      </c>
      <c r="K267" s="201" t="str">
        <f>Coins!K267</f>
        <v/>
      </c>
      <c r="L267" s="198" t="str">
        <f>Coins!L267</f>
        <v/>
      </c>
      <c r="M267" s="198"/>
      <c r="N267" s="198"/>
      <c r="P267" s="66" t="str">
        <f t="shared" si="4"/>
        <v/>
      </c>
    </row>
    <row r="268">
      <c r="A268" s="198" t="str">
        <f>Coins!A268</f>
        <v/>
      </c>
      <c r="B268" s="199" t="str">
        <f>Coins!B268</f>
        <v/>
      </c>
      <c r="C268" s="198" t="str">
        <f>Coins!C268</f>
        <v/>
      </c>
      <c r="D268" s="198" t="str">
        <f>Coins!D268</f>
        <v/>
      </c>
      <c r="E268" s="198" t="str">
        <f>Coins!E268</f>
        <v/>
      </c>
      <c r="F268" s="198" t="str">
        <f>Coins!F268</f>
        <v/>
      </c>
      <c r="G268" s="198" t="str">
        <f>Coins!G268</f>
        <v/>
      </c>
      <c r="H268" s="201" t="str">
        <f>if(Coins!H268="N/A",0,Coins!H268)</f>
        <v/>
      </c>
      <c r="I268" s="202" t="str">
        <f>Coins!I268</f>
        <v/>
      </c>
      <c r="J268" s="198" t="str">
        <f>Coins!J268</f>
        <v/>
      </c>
      <c r="K268" s="201" t="str">
        <f>Coins!K268</f>
        <v/>
      </c>
      <c r="L268" s="198" t="str">
        <f>Coins!L268</f>
        <v/>
      </c>
      <c r="M268" s="198"/>
      <c r="N268" s="198"/>
      <c r="P268" s="66" t="str">
        <f t="shared" si="4"/>
        <v/>
      </c>
    </row>
    <row r="269">
      <c r="A269" s="198" t="str">
        <f>Coins!A269</f>
        <v/>
      </c>
      <c r="B269" s="199" t="str">
        <f>Coins!B269</f>
        <v/>
      </c>
      <c r="C269" s="198" t="str">
        <f>Coins!C269</f>
        <v/>
      </c>
      <c r="D269" s="198" t="str">
        <f>Coins!D269</f>
        <v/>
      </c>
      <c r="E269" s="198" t="str">
        <f>Coins!E269</f>
        <v/>
      </c>
      <c r="F269" s="198" t="str">
        <f>Coins!F269</f>
        <v/>
      </c>
      <c r="G269" s="198" t="str">
        <f>Coins!G269</f>
        <v/>
      </c>
      <c r="H269" s="201" t="str">
        <f>if(Coins!H269="N/A",0,Coins!H269)</f>
        <v/>
      </c>
      <c r="I269" s="202" t="str">
        <f>Coins!I269</f>
        <v/>
      </c>
      <c r="J269" s="198" t="str">
        <f>Coins!J269</f>
        <v/>
      </c>
      <c r="K269" s="201" t="str">
        <f>Coins!K269</f>
        <v/>
      </c>
      <c r="L269" s="198" t="str">
        <f>Coins!L269</f>
        <v/>
      </c>
      <c r="M269" s="198"/>
      <c r="N269" s="198"/>
      <c r="P269" s="66" t="str">
        <f t="shared" si="4"/>
        <v/>
      </c>
    </row>
    <row r="270">
      <c r="A270" s="198" t="str">
        <f>Coins!A270</f>
        <v/>
      </c>
      <c r="B270" s="199" t="str">
        <f>Coins!B270</f>
        <v/>
      </c>
      <c r="C270" s="198" t="str">
        <f>Coins!C270</f>
        <v/>
      </c>
      <c r="D270" s="198" t="str">
        <f>Coins!D270</f>
        <v/>
      </c>
      <c r="E270" s="198" t="str">
        <f>Coins!E270</f>
        <v/>
      </c>
      <c r="F270" s="198" t="str">
        <f>Coins!F270</f>
        <v/>
      </c>
      <c r="G270" s="198" t="str">
        <f>Coins!G270</f>
        <v/>
      </c>
      <c r="H270" s="201" t="str">
        <f>if(Coins!H270="N/A",0,Coins!H270)</f>
        <v/>
      </c>
      <c r="I270" s="202" t="str">
        <f>Coins!I270</f>
        <v/>
      </c>
      <c r="J270" s="198" t="str">
        <f>Coins!J270</f>
        <v/>
      </c>
      <c r="K270" s="201" t="str">
        <f>Coins!K270</f>
        <v/>
      </c>
      <c r="L270" s="198" t="str">
        <f>Coins!L270</f>
        <v/>
      </c>
      <c r="M270" s="198"/>
      <c r="N270" s="198"/>
      <c r="P270" s="66" t="str">
        <f t="shared" si="4"/>
        <v/>
      </c>
    </row>
    <row r="271">
      <c r="A271" s="198" t="str">
        <f>Coins!A271</f>
        <v/>
      </c>
      <c r="B271" s="199" t="str">
        <f>Coins!B271</f>
        <v/>
      </c>
      <c r="C271" s="198" t="str">
        <f>Coins!C271</f>
        <v/>
      </c>
      <c r="D271" s="198" t="str">
        <f>Coins!D271</f>
        <v/>
      </c>
      <c r="E271" s="198" t="str">
        <f>Coins!E271</f>
        <v/>
      </c>
      <c r="F271" s="198" t="str">
        <f>Coins!F271</f>
        <v/>
      </c>
      <c r="G271" s="198" t="str">
        <f>Coins!G271</f>
        <v/>
      </c>
      <c r="H271" s="201" t="str">
        <f>if(Coins!H271="N/A",0,Coins!H271)</f>
        <v/>
      </c>
      <c r="I271" s="202" t="str">
        <f>Coins!I271</f>
        <v/>
      </c>
      <c r="J271" s="198" t="str">
        <f>Coins!J271</f>
        <v/>
      </c>
      <c r="K271" s="201" t="str">
        <f>Coins!K271</f>
        <v/>
      </c>
      <c r="L271" s="198" t="str">
        <f>Coins!L271</f>
        <v/>
      </c>
      <c r="M271" s="198"/>
      <c r="N271" s="198"/>
      <c r="P271" s="66" t="str">
        <f t="shared" si="4"/>
        <v/>
      </c>
    </row>
    <row r="272">
      <c r="A272" s="198" t="str">
        <f>Coins!A272</f>
        <v/>
      </c>
      <c r="B272" s="199" t="str">
        <f>Coins!B272</f>
        <v/>
      </c>
      <c r="C272" s="198" t="str">
        <f>Coins!C272</f>
        <v/>
      </c>
      <c r="D272" s="198" t="str">
        <f>Coins!D272</f>
        <v/>
      </c>
      <c r="E272" s="198" t="str">
        <f>Coins!E272</f>
        <v/>
      </c>
      <c r="F272" s="198" t="str">
        <f>Coins!F272</f>
        <v/>
      </c>
      <c r="G272" s="198" t="str">
        <f>Coins!G272</f>
        <v/>
      </c>
      <c r="H272" s="201" t="str">
        <f>if(Coins!H272="N/A",0,Coins!H272)</f>
        <v/>
      </c>
      <c r="I272" s="202" t="str">
        <f>Coins!I272</f>
        <v/>
      </c>
      <c r="J272" s="198" t="str">
        <f>Coins!J272</f>
        <v/>
      </c>
      <c r="K272" s="201" t="str">
        <f>Coins!K272</f>
        <v/>
      </c>
      <c r="L272" s="198" t="str">
        <f>Coins!L272</f>
        <v/>
      </c>
      <c r="M272" s="198"/>
      <c r="N272" s="198"/>
      <c r="P272" s="66" t="str">
        <f t="shared" si="4"/>
        <v/>
      </c>
    </row>
    <row r="273">
      <c r="A273" s="198" t="str">
        <f>Coins!A273</f>
        <v/>
      </c>
      <c r="B273" s="199" t="str">
        <f>Coins!B273</f>
        <v/>
      </c>
      <c r="C273" s="198" t="str">
        <f>Coins!C273</f>
        <v/>
      </c>
      <c r="D273" s="198" t="str">
        <f>Coins!D273</f>
        <v/>
      </c>
      <c r="E273" s="198" t="str">
        <f>Coins!E273</f>
        <v/>
      </c>
      <c r="F273" s="198" t="str">
        <f>Coins!F273</f>
        <v/>
      </c>
      <c r="G273" s="198" t="str">
        <f>Coins!G273</f>
        <v/>
      </c>
      <c r="H273" s="201" t="str">
        <f>if(Coins!H273="N/A",0,Coins!H273)</f>
        <v/>
      </c>
      <c r="I273" s="202" t="str">
        <f>Coins!I273</f>
        <v/>
      </c>
      <c r="J273" s="198" t="str">
        <f>Coins!J273</f>
        <v/>
      </c>
      <c r="K273" s="201" t="str">
        <f>Coins!K273</f>
        <v/>
      </c>
      <c r="L273" s="198" t="str">
        <f>Coins!L273</f>
        <v/>
      </c>
      <c r="M273" s="198"/>
      <c r="N273" s="198"/>
      <c r="P273" s="66" t="str">
        <f t="shared" si="4"/>
        <v/>
      </c>
    </row>
    <row r="274">
      <c r="A274" s="198" t="str">
        <f>Coins!A274</f>
        <v/>
      </c>
      <c r="B274" s="199" t="str">
        <f>Coins!B274</f>
        <v/>
      </c>
      <c r="C274" s="198" t="str">
        <f>Coins!C274</f>
        <v/>
      </c>
      <c r="D274" s="198" t="str">
        <f>Coins!D274</f>
        <v/>
      </c>
      <c r="E274" s="198" t="str">
        <f>Coins!E274</f>
        <v/>
      </c>
      <c r="F274" s="198" t="str">
        <f>Coins!F274</f>
        <v/>
      </c>
      <c r="G274" s="198" t="str">
        <f>Coins!G274</f>
        <v/>
      </c>
      <c r="H274" s="201" t="str">
        <f>if(Coins!H274="N/A",0,Coins!H274)</f>
        <v/>
      </c>
      <c r="I274" s="202" t="str">
        <f>Coins!I274</f>
        <v/>
      </c>
      <c r="J274" s="198" t="str">
        <f>Coins!J274</f>
        <v/>
      </c>
      <c r="K274" s="201" t="str">
        <f>Coins!K274</f>
        <v/>
      </c>
      <c r="L274" s="198" t="str">
        <f>Coins!L274</f>
        <v/>
      </c>
      <c r="M274" s="198"/>
      <c r="N274" s="198"/>
      <c r="P274" s="66" t="str">
        <f t="shared" si="4"/>
        <v/>
      </c>
    </row>
    <row r="275">
      <c r="A275" s="198" t="str">
        <f>Coins!A275</f>
        <v/>
      </c>
      <c r="B275" s="199" t="str">
        <f>Coins!B275</f>
        <v/>
      </c>
      <c r="C275" s="198" t="str">
        <f>Coins!C275</f>
        <v/>
      </c>
      <c r="D275" s="198" t="str">
        <f>Coins!D275</f>
        <v/>
      </c>
      <c r="E275" s="198" t="str">
        <f>Coins!E275</f>
        <v/>
      </c>
      <c r="F275" s="198" t="str">
        <f>Coins!F275</f>
        <v/>
      </c>
      <c r="G275" s="198" t="str">
        <f>Coins!G275</f>
        <v/>
      </c>
      <c r="H275" s="201" t="str">
        <f>if(Coins!H275="N/A",0,Coins!H275)</f>
        <v/>
      </c>
      <c r="I275" s="202" t="str">
        <f>Coins!I275</f>
        <v/>
      </c>
      <c r="J275" s="198" t="str">
        <f>Coins!J275</f>
        <v/>
      </c>
      <c r="K275" s="201" t="str">
        <f>Coins!K275</f>
        <v/>
      </c>
      <c r="L275" s="198" t="str">
        <f>Coins!L275</f>
        <v/>
      </c>
      <c r="M275" s="198"/>
      <c r="N275" s="198"/>
      <c r="P275" s="66" t="str">
        <f t="shared" si="4"/>
        <v/>
      </c>
    </row>
    <row r="276">
      <c r="A276" s="198" t="str">
        <f>Coins!A276</f>
        <v/>
      </c>
      <c r="B276" s="199" t="str">
        <f>Coins!B276</f>
        <v/>
      </c>
      <c r="C276" s="198" t="str">
        <f>Coins!C276</f>
        <v/>
      </c>
      <c r="D276" s="198" t="str">
        <f>Coins!D276</f>
        <v/>
      </c>
      <c r="E276" s="198" t="str">
        <f>Coins!E276</f>
        <v/>
      </c>
      <c r="F276" s="198" t="str">
        <f>Coins!F276</f>
        <v/>
      </c>
      <c r="G276" s="198" t="str">
        <f>Coins!G276</f>
        <v/>
      </c>
      <c r="H276" s="201" t="str">
        <f>if(Coins!H276="N/A",0,Coins!H276)</f>
        <v/>
      </c>
      <c r="I276" s="202" t="str">
        <f>Coins!I276</f>
        <v/>
      </c>
      <c r="J276" s="198" t="str">
        <f>Coins!J276</f>
        <v/>
      </c>
      <c r="K276" s="201" t="str">
        <f>Coins!K276</f>
        <v/>
      </c>
      <c r="L276" s="198" t="str">
        <f>Coins!L276</f>
        <v/>
      </c>
      <c r="M276" s="198"/>
      <c r="N276" s="198"/>
      <c r="P276" s="66" t="str">
        <f t="shared" si="4"/>
        <v/>
      </c>
    </row>
    <row r="277">
      <c r="A277" s="198" t="str">
        <f>Coins!A277</f>
        <v/>
      </c>
      <c r="B277" s="199" t="str">
        <f>Coins!B277</f>
        <v/>
      </c>
      <c r="C277" s="198" t="str">
        <f>Coins!C277</f>
        <v/>
      </c>
      <c r="D277" s="198" t="str">
        <f>Coins!D277</f>
        <v/>
      </c>
      <c r="E277" s="198" t="str">
        <f>Coins!E277</f>
        <v/>
      </c>
      <c r="F277" s="198" t="str">
        <f>Coins!F277</f>
        <v/>
      </c>
      <c r="G277" s="198" t="str">
        <f>Coins!G277</f>
        <v/>
      </c>
      <c r="H277" s="201" t="str">
        <f>if(Coins!H277="N/A",0,Coins!H277)</f>
        <v/>
      </c>
      <c r="I277" s="202" t="str">
        <f>Coins!I277</f>
        <v/>
      </c>
      <c r="J277" s="198" t="str">
        <f>Coins!J277</f>
        <v/>
      </c>
      <c r="K277" s="201" t="str">
        <f>Coins!K277</f>
        <v/>
      </c>
      <c r="L277" s="198" t="str">
        <f>Coins!L277</f>
        <v/>
      </c>
      <c r="M277" s="198"/>
      <c r="N277" s="198"/>
      <c r="P277" s="66" t="str">
        <f t="shared" si="4"/>
        <v/>
      </c>
    </row>
    <row r="278">
      <c r="A278" s="198" t="str">
        <f>Coins!A278</f>
        <v/>
      </c>
      <c r="B278" s="199" t="str">
        <f>Coins!B278</f>
        <v/>
      </c>
      <c r="C278" s="198" t="str">
        <f>Coins!C278</f>
        <v/>
      </c>
      <c r="D278" s="198" t="str">
        <f>Coins!D278</f>
        <v/>
      </c>
      <c r="E278" s="198" t="str">
        <f>Coins!E278</f>
        <v/>
      </c>
      <c r="F278" s="198" t="str">
        <f>Coins!F278</f>
        <v/>
      </c>
      <c r="G278" s="198" t="str">
        <f>Coins!G278</f>
        <v/>
      </c>
      <c r="H278" s="201" t="str">
        <f>if(Coins!H278="N/A",0,Coins!H278)</f>
        <v/>
      </c>
      <c r="I278" s="202" t="str">
        <f>Coins!I278</f>
        <v/>
      </c>
      <c r="J278" s="198" t="str">
        <f>Coins!J278</f>
        <v/>
      </c>
      <c r="K278" s="201" t="str">
        <f>Coins!K278</f>
        <v/>
      </c>
      <c r="L278" s="198" t="str">
        <f>Coins!L278</f>
        <v/>
      </c>
      <c r="M278" s="198"/>
      <c r="N278" s="198"/>
      <c r="P278" s="66" t="str">
        <f t="shared" si="4"/>
        <v/>
      </c>
    </row>
    <row r="279">
      <c r="A279" s="198" t="str">
        <f>Coins!A279</f>
        <v/>
      </c>
      <c r="B279" s="199" t="str">
        <f>Coins!B279</f>
        <v/>
      </c>
      <c r="C279" s="198" t="str">
        <f>Coins!C279</f>
        <v/>
      </c>
      <c r="D279" s="198" t="str">
        <f>Coins!D279</f>
        <v/>
      </c>
      <c r="E279" s="198" t="str">
        <f>Coins!E279</f>
        <v/>
      </c>
      <c r="F279" s="198" t="str">
        <f>Coins!F279</f>
        <v/>
      </c>
      <c r="G279" s="198" t="str">
        <f>Coins!G279</f>
        <v/>
      </c>
      <c r="H279" s="201" t="str">
        <f>if(Coins!H279="N/A",0,Coins!H279)</f>
        <v/>
      </c>
      <c r="I279" s="202" t="str">
        <f>Coins!I279</f>
        <v/>
      </c>
      <c r="J279" s="198" t="str">
        <f>Coins!J279</f>
        <v/>
      </c>
      <c r="K279" s="201" t="str">
        <f>Coins!K279</f>
        <v/>
      </c>
      <c r="L279" s="198" t="str">
        <f>Coins!L279</f>
        <v/>
      </c>
      <c r="M279" s="198"/>
      <c r="N279" s="198"/>
      <c r="P279" s="66" t="str">
        <f t="shared" si="4"/>
        <v/>
      </c>
    </row>
    <row r="280">
      <c r="A280" s="198" t="str">
        <f>Coins!A280</f>
        <v/>
      </c>
      <c r="B280" s="199" t="str">
        <f>Coins!B280</f>
        <v/>
      </c>
      <c r="C280" s="198" t="str">
        <f>Coins!C280</f>
        <v/>
      </c>
      <c r="D280" s="198" t="str">
        <f>Coins!D280</f>
        <v/>
      </c>
      <c r="E280" s="198" t="str">
        <f>Coins!E280</f>
        <v/>
      </c>
      <c r="F280" s="198" t="str">
        <f>Coins!F280</f>
        <v/>
      </c>
      <c r="G280" s="198" t="str">
        <f>Coins!G280</f>
        <v/>
      </c>
      <c r="H280" s="201" t="str">
        <f>if(Coins!H280="N/A",0,Coins!H280)</f>
        <v/>
      </c>
      <c r="I280" s="202" t="str">
        <f>Coins!I280</f>
        <v/>
      </c>
      <c r="J280" s="198" t="str">
        <f>Coins!J280</f>
        <v/>
      </c>
      <c r="K280" s="201" t="str">
        <f>Coins!K280</f>
        <v/>
      </c>
      <c r="L280" s="198" t="str">
        <f>Coins!L280</f>
        <v/>
      </c>
      <c r="M280" s="198"/>
      <c r="N280" s="198"/>
      <c r="P280" s="66" t="str">
        <f t="shared" si="4"/>
        <v/>
      </c>
    </row>
    <row r="281">
      <c r="A281" s="198" t="str">
        <f>Coins!A281</f>
        <v/>
      </c>
      <c r="B281" s="199" t="str">
        <f>Coins!B281</f>
        <v/>
      </c>
      <c r="C281" s="198" t="str">
        <f>Coins!C281</f>
        <v/>
      </c>
      <c r="D281" s="198" t="str">
        <f>Coins!D281</f>
        <v/>
      </c>
      <c r="E281" s="198" t="str">
        <f>Coins!E281</f>
        <v/>
      </c>
      <c r="F281" s="198" t="str">
        <f>Coins!F281</f>
        <v/>
      </c>
      <c r="G281" s="198" t="str">
        <f>Coins!G281</f>
        <v/>
      </c>
      <c r="H281" s="201" t="str">
        <f>if(Coins!H281="N/A",0,Coins!H281)</f>
        <v/>
      </c>
      <c r="I281" s="202" t="str">
        <f>Coins!I281</f>
        <v/>
      </c>
      <c r="J281" s="198" t="str">
        <f>Coins!J281</f>
        <v/>
      </c>
      <c r="K281" s="201" t="str">
        <f>Coins!K281</f>
        <v/>
      </c>
      <c r="L281" s="198" t="str">
        <f>Coins!L281</f>
        <v/>
      </c>
      <c r="M281" s="198"/>
      <c r="N281" s="198"/>
      <c r="P281" s="66" t="str">
        <f t="shared" si="4"/>
        <v/>
      </c>
    </row>
    <row r="282">
      <c r="A282" s="198" t="str">
        <f>Coins!A282</f>
        <v/>
      </c>
      <c r="B282" s="199" t="str">
        <f>Coins!B282</f>
        <v/>
      </c>
      <c r="C282" s="198" t="str">
        <f>Coins!C282</f>
        <v/>
      </c>
      <c r="D282" s="198" t="str">
        <f>Coins!D282</f>
        <v/>
      </c>
      <c r="E282" s="198" t="str">
        <f>Coins!E282</f>
        <v/>
      </c>
      <c r="F282" s="198" t="str">
        <f>Coins!F282</f>
        <v/>
      </c>
      <c r="G282" s="198" t="str">
        <f>Coins!G282</f>
        <v/>
      </c>
      <c r="H282" s="201" t="str">
        <f>if(Coins!H282="N/A",0,Coins!H282)</f>
        <v/>
      </c>
      <c r="I282" s="202" t="str">
        <f>Coins!I282</f>
        <v/>
      </c>
      <c r="J282" s="198" t="str">
        <f>Coins!J282</f>
        <v/>
      </c>
      <c r="K282" s="201" t="str">
        <f>Coins!K282</f>
        <v/>
      </c>
      <c r="L282" s="198" t="str">
        <f>Coins!L282</f>
        <v/>
      </c>
      <c r="M282" s="198"/>
      <c r="N282" s="198"/>
      <c r="P282" s="66" t="str">
        <f t="shared" si="4"/>
        <v/>
      </c>
    </row>
    <row r="283">
      <c r="A283" s="198" t="str">
        <f>Coins!A283</f>
        <v/>
      </c>
      <c r="B283" s="199" t="str">
        <f>Coins!B283</f>
        <v/>
      </c>
      <c r="C283" s="198" t="str">
        <f>Coins!C283</f>
        <v/>
      </c>
      <c r="D283" s="198" t="str">
        <f>Coins!D283</f>
        <v/>
      </c>
      <c r="E283" s="198" t="str">
        <f>Coins!E283</f>
        <v/>
      </c>
      <c r="F283" s="198" t="str">
        <f>Coins!F283</f>
        <v/>
      </c>
      <c r="G283" s="198" t="str">
        <f>Coins!G283</f>
        <v/>
      </c>
      <c r="H283" s="201" t="str">
        <f>if(Coins!H283="N/A",0,Coins!H283)</f>
        <v/>
      </c>
      <c r="I283" s="202" t="str">
        <f>Coins!I283</f>
        <v/>
      </c>
      <c r="J283" s="198" t="str">
        <f>Coins!J283</f>
        <v/>
      </c>
      <c r="K283" s="201" t="str">
        <f>Coins!K283</f>
        <v/>
      </c>
      <c r="L283" s="198" t="str">
        <f>Coins!L283</f>
        <v/>
      </c>
      <c r="M283" s="198"/>
      <c r="N283" s="198"/>
      <c r="P283" s="66" t="str">
        <f t="shared" si="4"/>
        <v/>
      </c>
    </row>
    <row r="284">
      <c r="A284" s="198" t="str">
        <f>Coins!A284</f>
        <v/>
      </c>
      <c r="B284" s="199" t="str">
        <f>Coins!B284</f>
        <v/>
      </c>
      <c r="C284" s="198" t="str">
        <f>Coins!C284</f>
        <v/>
      </c>
      <c r="D284" s="198" t="str">
        <f>Coins!D284</f>
        <v/>
      </c>
      <c r="E284" s="198" t="str">
        <f>Coins!E284</f>
        <v/>
      </c>
      <c r="F284" s="198" t="str">
        <f>Coins!F284</f>
        <v/>
      </c>
      <c r="G284" s="198" t="str">
        <f>Coins!G284</f>
        <v/>
      </c>
      <c r="H284" s="201" t="str">
        <f>if(Coins!H284="N/A",0,Coins!H284)</f>
        <v/>
      </c>
      <c r="I284" s="202" t="str">
        <f>Coins!I284</f>
        <v/>
      </c>
      <c r="J284" s="198" t="str">
        <f>Coins!J284</f>
        <v/>
      </c>
      <c r="K284" s="201" t="str">
        <f>Coins!K284</f>
        <v/>
      </c>
      <c r="L284" s="198" t="str">
        <f>Coins!L284</f>
        <v/>
      </c>
      <c r="M284" s="198"/>
      <c r="N284" s="198"/>
      <c r="P284" s="66" t="str">
        <f t="shared" si="4"/>
        <v/>
      </c>
    </row>
    <row r="285">
      <c r="A285" s="198" t="str">
        <f>Coins!A285</f>
        <v/>
      </c>
      <c r="B285" s="199" t="str">
        <f>Coins!B285</f>
        <v/>
      </c>
      <c r="C285" s="198" t="str">
        <f>Coins!C285</f>
        <v/>
      </c>
      <c r="D285" s="198" t="str">
        <f>Coins!D285</f>
        <v/>
      </c>
      <c r="E285" s="198" t="str">
        <f>Coins!E285</f>
        <v/>
      </c>
      <c r="F285" s="198" t="str">
        <f>Coins!F285</f>
        <v/>
      </c>
      <c r="G285" s="198" t="str">
        <f>Coins!G285</f>
        <v/>
      </c>
      <c r="H285" s="201" t="str">
        <f>if(Coins!H285="N/A",0,Coins!H285)</f>
        <v/>
      </c>
      <c r="I285" s="202" t="str">
        <f>Coins!I285</f>
        <v/>
      </c>
      <c r="J285" s="198" t="str">
        <f>Coins!J285</f>
        <v/>
      </c>
      <c r="K285" s="201" t="str">
        <f>Coins!K285</f>
        <v/>
      </c>
      <c r="L285" s="198" t="str">
        <f>Coins!L285</f>
        <v/>
      </c>
      <c r="M285" s="198"/>
      <c r="N285" s="198"/>
      <c r="P285" s="66" t="str">
        <f t="shared" si="4"/>
        <v/>
      </c>
    </row>
    <row r="286">
      <c r="A286" s="198" t="str">
        <f>Coins!A286</f>
        <v/>
      </c>
      <c r="B286" s="199" t="str">
        <f>Coins!B286</f>
        <v/>
      </c>
      <c r="C286" s="198" t="str">
        <f>Coins!C286</f>
        <v/>
      </c>
      <c r="D286" s="198" t="str">
        <f>Coins!D286</f>
        <v/>
      </c>
      <c r="E286" s="198" t="str">
        <f>Coins!E286</f>
        <v/>
      </c>
      <c r="F286" s="198" t="str">
        <f>Coins!F286</f>
        <v/>
      </c>
      <c r="G286" s="198" t="str">
        <f>Coins!G286</f>
        <v/>
      </c>
      <c r="H286" s="201" t="str">
        <f>if(Coins!H286="N/A",0,Coins!H286)</f>
        <v/>
      </c>
      <c r="I286" s="202" t="str">
        <f>Coins!I286</f>
        <v/>
      </c>
      <c r="J286" s="198" t="str">
        <f>Coins!J286</f>
        <v/>
      </c>
      <c r="K286" s="201" t="str">
        <f>Coins!K286</f>
        <v/>
      </c>
      <c r="L286" s="198" t="str">
        <f>Coins!L286</f>
        <v/>
      </c>
      <c r="M286" s="198"/>
      <c r="N286" s="198"/>
      <c r="P286" s="66" t="str">
        <f t="shared" si="4"/>
        <v/>
      </c>
    </row>
    <row r="287">
      <c r="A287" s="198" t="str">
        <f>Coins!A287</f>
        <v/>
      </c>
      <c r="B287" s="199" t="str">
        <f>Coins!B287</f>
        <v/>
      </c>
      <c r="C287" s="198" t="str">
        <f>Coins!C287</f>
        <v/>
      </c>
      <c r="D287" s="198" t="str">
        <f>Coins!D287</f>
        <v/>
      </c>
      <c r="E287" s="198" t="str">
        <f>Coins!E287</f>
        <v/>
      </c>
      <c r="F287" s="198" t="str">
        <f>Coins!F287</f>
        <v/>
      </c>
      <c r="G287" s="198" t="str">
        <f>Coins!G287</f>
        <v/>
      </c>
      <c r="H287" s="201" t="str">
        <f>if(Coins!H287="N/A",0,Coins!H287)</f>
        <v/>
      </c>
      <c r="I287" s="202" t="str">
        <f>Coins!I287</f>
        <v/>
      </c>
      <c r="J287" s="198" t="str">
        <f>Coins!J287</f>
        <v/>
      </c>
      <c r="K287" s="201" t="str">
        <f>Coins!K287</f>
        <v/>
      </c>
      <c r="L287" s="198" t="str">
        <f>Coins!L287</f>
        <v/>
      </c>
      <c r="M287" s="198"/>
      <c r="N287" s="198"/>
      <c r="P287" s="66" t="str">
        <f t="shared" si="4"/>
        <v/>
      </c>
    </row>
    <row r="288">
      <c r="A288" s="198" t="str">
        <f>Coins!A288</f>
        <v/>
      </c>
      <c r="B288" s="199" t="str">
        <f>Coins!B288</f>
        <v/>
      </c>
      <c r="C288" s="198" t="str">
        <f>Coins!C288</f>
        <v/>
      </c>
      <c r="D288" s="198" t="str">
        <f>Coins!D288</f>
        <v/>
      </c>
      <c r="E288" s="198" t="str">
        <f>Coins!E288</f>
        <v/>
      </c>
      <c r="F288" s="198" t="str">
        <f>Coins!F288</f>
        <v/>
      </c>
      <c r="G288" s="198" t="str">
        <f>Coins!G288</f>
        <v/>
      </c>
      <c r="H288" s="201" t="str">
        <f>if(Coins!H288="N/A",0,Coins!H288)</f>
        <v/>
      </c>
      <c r="I288" s="202" t="str">
        <f>Coins!I288</f>
        <v/>
      </c>
      <c r="J288" s="198" t="str">
        <f>Coins!J288</f>
        <v/>
      </c>
      <c r="K288" s="201" t="str">
        <f>Coins!K288</f>
        <v/>
      </c>
      <c r="L288" s="198" t="str">
        <f>Coins!L288</f>
        <v/>
      </c>
      <c r="M288" s="198"/>
      <c r="N288" s="198"/>
      <c r="P288" s="66" t="str">
        <f t="shared" si="4"/>
        <v/>
      </c>
    </row>
    <row r="289">
      <c r="A289" s="198" t="str">
        <f>Coins!A289</f>
        <v/>
      </c>
      <c r="B289" s="199" t="str">
        <f>Coins!B289</f>
        <v/>
      </c>
      <c r="C289" s="198" t="str">
        <f>Coins!C289</f>
        <v/>
      </c>
      <c r="D289" s="198" t="str">
        <f>Coins!D289</f>
        <v/>
      </c>
      <c r="E289" s="198" t="str">
        <f>Coins!E289</f>
        <v/>
      </c>
      <c r="F289" s="198" t="str">
        <f>Coins!F289</f>
        <v/>
      </c>
      <c r="G289" s="198" t="str">
        <f>Coins!G289</f>
        <v/>
      </c>
      <c r="H289" s="201" t="str">
        <f>if(Coins!H289="N/A",0,Coins!H289)</f>
        <v/>
      </c>
      <c r="I289" s="202" t="str">
        <f>Coins!I289</f>
        <v/>
      </c>
      <c r="J289" s="198" t="str">
        <f>Coins!J289</f>
        <v/>
      </c>
      <c r="K289" s="201" t="str">
        <f>Coins!K289</f>
        <v/>
      </c>
      <c r="L289" s="198" t="str">
        <f>Coins!L289</f>
        <v/>
      </c>
      <c r="M289" s="198"/>
      <c r="N289" s="198"/>
      <c r="P289" s="66" t="str">
        <f t="shared" si="4"/>
        <v/>
      </c>
    </row>
    <row r="290">
      <c r="A290" s="198" t="str">
        <f>Coins!A290</f>
        <v/>
      </c>
      <c r="B290" s="199" t="str">
        <f>Coins!B290</f>
        <v/>
      </c>
      <c r="C290" s="198" t="str">
        <f>Coins!C290</f>
        <v/>
      </c>
      <c r="D290" s="198" t="str">
        <f>Coins!D290</f>
        <v/>
      </c>
      <c r="E290" s="198" t="str">
        <f>Coins!E290</f>
        <v/>
      </c>
      <c r="F290" s="198" t="str">
        <f>Coins!F290</f>
        <v/>
      </c>
      <c r="G290" s="198" t="str">
        <f>Coins!G290</f>
        <v/>
      </c>
      <c r="H290" s="201" t="str">
        <f>if(Coins!H290="N/A",0,Coins!H290)</f>
        <v/>
      </c>
      <c r="I290" s="202" t="str">
        <f>Coins!I290</f>
        <v/>
      </c>
      <c r="J290" s="198" t="str">
        <f>Coins!J290</f>
        <v/>
      </c>
      <c r="K290" s="201" t="str">
        <f>Coins!K290</f>
        <v/>
      </c>
      <c r="L290" s="198" t="str">
        <f>Coins!L290</f>
        <v/>
      </c>
      <c r="M290" s="198"/>
      <c r="N290" s="198"/>
      <c r="P290" s="66" t="str">
        <f t="shared" si="4"/>
        <v/>
      </c>
    </row>
    <row r="291">
      <c r="A291" s="198" t="str">
        <f>Coins!A291</f>
        <v/>
      </c>
      <c r="B291" s="199" t="str">
        <f>Coins!B291</f>
        <v/>
      </c>
      <c r="C291" s="198" t="str">
        <f>Coins!C291</f>
        <v/>
      </c>
      <c r="D291" s="198" t="str">
        <f>Coins!D291</f>
        <v/>
      </c>
      <c r="E291" s="198" t="str">
        <f>Coins!E291</f>
        <v/>
      </c>
      <c r="F291" s="198" t="str">
        <f>Coins!F291</f>
        <v/>
      </c>
      <c r="G291" s="198" t="str">
        <f>Coins!G291</f>
        <v/>
      </c>
      <c r="H291" s="201" t="str">
        <f>if(Coins!H291="N/A",0,Coins!H291)</f>
        <v/>
      </c>
      <c r="I291" s="202" t="str">
        <f>Coins!I291</f>
        <v/>
      </c>
      <c r="J291" s="198" t="str">
        <f>Coins!J291</f>
        <v/>
      </c>
      <c r="K291" s="201" t="str">
        <f>Coins!K291</f>
        <v/>
      </c>
      <c r="L291" s="198" t="str">
        <f>Coins!L291</f>
        <v/>
      </c>
      <c r="M291" s="198"/>
      <c r="N291" s="198"/>
      <c r="P291" s="66" t="str">
        <f t="shared" si="4"/>
        <v/>
      </c>
    </row>
    <row r="292">
      <c r="A292" s="198" t="str">
        <f>Coins!A292</f>
        <v/>
      </c>
      <c r="B292" s="199" t="str">
        <f>Coins!B292</f>
        <v/>
      </c>
      <c r="C292" s="198" t="str">
        <f>Coins!C292</f>
        <v/>
      </c>
      <c r="D292" s="198" t="str">
        <f>Coins!D292</f>
        <v/>
      </c>
      <c r="E292" s="198" t="str">
        <f>Coins!E292</f>
        <v/>
      </c>
      <c r="F292" s="198" t="str">
        <f>Coins!F292</f>
        <v/>
      </c>
      <c r="G292" s="198" t="str">
        <f>Coins!G292</f>
        <v/>
      </c>
      <c r="H292" s="201" t="str">
        <f>if(Coins!H292="N/A",0,Coins!H292)</f>
        <v/>
      </c>
      <c r="I292" s="202" t="str">
        <f>Coins!I292</f>
        <v/>
      </c>
      <c r="J292" s="198" t="str">
        <f>Coins!J292</f>
        <v/>
      </c>
      <c r="K292" s="201" t="str">
        <f>Coins!K292</f>
        <v/>
      </c>
      <c r="L292" s="198" t="str">
        <f>Coins!L292</f>
        <v/>
      </c>
      <c r="M292" s="198"/>
      <c r="N292" s="198"/>
      <c r="P292" s="66" t="str">
        <f t="shared" si="4"/>
        <v/>
      </c>
    </row>
    <row r="293">
      <c r="A293" s="198" t="str">
        <f>Coins!A293</f>
        <v/>
      </c>
      <c r="B293" s="199" t="str">
        <f>Coins!B293</f>
        <v/>
      </c>
      <c r="C293" s="198" t="str">
        <f>Coins!C293</f>
        <v/>
      </c>
      <c r="D293" s="198" t="str">
        <f>Coins!D293</f>
        <v/>
      </c>
      <c r="E293" s="198" t="str">
        <f>Coins!E293</f>
        <v/>
      </c>
      <c r="F293" s="198" t="str">
        <f>Coins!F293</f>
        <v/>
      </c>
      <c r="G293" s="198" t="str">
        <f>Coins!G293</f>
        <v/>
      </c>
      <c r="H293" s="201" t="str">
        <f>if(Coins!H293="N/A",0,Coins!H293)</f>
        <v/>
      </c>
      <c r="I293" s="202" t="str">
        <f>Coins!I293</f>
        <v/>
      </c>
      <c r="J293" s="198" t="str">
        <f>Coins!J293</f>
        <v/>
      </c>
      <c r="K293" s="201" t="str">
        <f>Coins!K293</f>
        <v/>
      </c>
      <c r="L293" s="198" t="str">
        <f>Coins!L293</f>
        <v/>
      </c>
      <c r="M293" s="198"/>
      <c r="N293" s="198"/>
      <c r="P293" s="66" t="str">
        <f t="shared" si="4"/>
        <v/>
      </c>
    </row>
    <row r="294">
      <c r="A294" s="198" t="str">
        <f>Coins!A294</f>
        <v/>
      </c>
      <c r="B294" s="199" t="str">
        <f>Coins!B294</f>
        <v/>
      </c>
      <c r="C294" s="198" t="str">
        <f>Coins!C294</f>
        <v/>
      </c>
      <c r="D294" s="198" t="str">
        <f>Coins!D294</f>
        <v/>
      </c>
      <c r="E294" s="198" t="str">
        <f>Coins!E294</f>
        <v/>
      </c>
      <c r="F294" s="198" t="str">
        <f>Coins!F294</f>
        <v/>
      </c>
      <c r="G294" s="198" t="str">
        <f>Coins!G294</f>
        <v/>
      </c>
      <c r="H294" s="201" t="str">
        <f>if(Coins!H294="N/A",0,Coins!H294)</f>
        <v/>
      </c>
      <c r="I294" s="202" t="str">
        <f>Coins!I294</f>
        <v/>
      </c>
      <c r="J294" s="198" t="str">
        <f>Coins!J294</f>
        <v/>
      </c>
      <c r="K294" s="201" t="str">
        <f>Coins!K294</f>
        <v/>
      </c>
      <c r="L294" s="198" t="str">
        <f>Coins!L294</f>
        <v/>
      </c>
      <c r="M294" s="198"/>
      <c r="N294" s="198"/>
      <c r="P294" s="66" t="str">
        <f t="shared" si="4"/>
        <v/>
      </c>
    </row>
    <row r="295">
      <c r="A295" s="198" t="str">
        <f>Coins!A295</f>
        <v/>
      </c>
      <c r="B295" s="199" t="str">
        <f>Coins!B295</f>
        <v/>
      </c>
      <c r="C295" s="198" t="str">
        <f>Coins!C295</f>
        <v/>
      </c>
      <c r="D295" s="198" t="str">
        <f>Coins!D295</f>
        <v/>
      </c>
      <c r="E295" s="198" t="str">
        <f>Coins!E295</f>
        <v/>
      </c>
      <c r="F295" s="198" t="str">
        <f>Coins!F295</f>
        <v/>
      </c>
      <c r="G295" s="198" t="str">
        <f>Coins!G295</f>
        <v/>
      </c>
      <c r="H295" s="201" t="str">
        <f>if(Coins!H295="N/A",0,Coins!H295)</f>
        <v/>
      </c>
      <c r="I295" s="202" t="str">
        <f>Coins!I295</f>
        <v/>
      </c>
      <c r="J295" s="198" t="str">
        <f>Coins!J295</f>
        <v/>
      </c>
      <c r="K295" s="201" t="str">
        <f>Coins!K295</f>
        <v/>
      </c>
      <c r="L295" s="198" t="str">
        <f>Coins!L295</f>
        <v/>
      </c>
      <c r="M295" s="198"/>
      <c r="N295" s="198"/>
      <c r="P295" s="66" t="str">
        <f t="shared" si="4"/>
        <v/>
      </c>
    </row>
    <row r="296">
      <c r="A296" s="198" t="str">
        <f>Coins!A296</f>
        <v/>
      </c>
      <c r="B296" s="199" t="str">
        <f>Coins!B296</f>
        <v/>
      </c>
      <c r="C296" s="198" t="str">
        <f>Coins!C296</f>
        <v/>
      </c>
      <c r="D296" s="198" t="str">
        <f>Coins!D296</f>
        <v/>
      </c>
      <c r="E296" s="198" t="str">
        <f>Coins!E296</f>
        <v/>
      </c>
      <c r="F296" s="198" t="str">
        <f>Coins!F296</f>
        <v/>
      </c>
      <c r="G296" s="198" t="str">
        <f>Coins!G296</f>
        <v/>
      </c>
      <c r="H296" s="201" t="str">
        <f>if(Coins!H296="N/A",0,Coins!H296)</f>
        <v/>
      </c>
      <c r="I296" s="202" t="str">
        <f>Coins!I296</f>
        <v/>
      </c>
      <c r="J296" s="198" t="str">
        <f>Coins!J296</f>
        <v/>
      </c>
      <c r="K296" s="201" t="str">
        <f>Coins!K296</f>
        <v/>
      </c>
      <c r="L296" s="198" t="str">
        <f>Coins!L296</f>
        <v/>
      </c>
      <c r="M296" s="198"/>
      <c r="N296" s="198"/>
      <c r="P296" s="66" t="str">
        <f t="shared" si="4"/>
        <v/>
      </c>
    </row>
    <row r="297">
      <c r="A297" s="198" t="str">
        <f>Coins!A297</f>
        <v/>
      </c>
      <c r="B297" s="199" t="str">
        <f>Coins!B297</f>
        <v/>
      </c>
      <c r="C297" s="198" t="str">
        <f>Coins!C297</f>
        <v/>
      </c>
      <c r="D297" s="198" t="str">
        <f>Coins!D297</f>
        <v/>
      </c>
      <c r="E297" s="198" t="str">
        <f>Coins!E297</f>
        <v/>
      </c>
      <c r="F297" s="198" t="str">
        <f>Coins!F297</f>
        <v/>
      </c>
      <c r="G297" s="198" t="str">
        <f>Coins!G297</f>
        <v/>
      </c>
      <c r="H297" s="201" t="str">
        <f>if(Coins!H297="N/A",0,Coins!H297)</f>
        <v/>
      </c>
      <c r="I297" s="202" t="str">
        <f>Coins!I297</f>
        <v/>
      </c>
      <c r="J297" s="198" t="str">
        <f>Coins!J297</f>
        <v/>
      </c>
      <c r="K297" s="201" t="str">
        <f>Coins!K297</f>
        <v/>
      </c>
      <c r="L297" s="198" t="str">
        <f>Coins!L297</f>
        <v/>
      </c>
      <c r="M297" s="198"/>
      <c r="N297" s="198"/>
      <c r="P297" s="66" t="str">
        <f t="shared" si="4"/>
        <v/>
      </c>
    </row>
    <row r="298">
      <c r="A298" s="198" t="str">
        <f>Coins!A298</f>
        <v/>
      </c>
      <c r="B298" s="199" t="str">
        <f>Coins!B298</f>
        <v/>
      </c>
      <c r="C298" s="198" t="str">
        <f>Coins!C298</f>
        <v/>
      </c>
      <c r="D298" s="198" t="str">
        <f>Coins!D298</f>
        <v/>
      </c>
      <c r="E298" s="198" t="str">
        <f>Coins!E298</f>
        <v/>
      </c>
      <c r="F298" s="198" t="str">
        <f>Coins!F298</f>
        <v/>
      </c>
      <c r="G298" s="198" t="str">
        <f>Coins!G298</f>
        <v/>
      </c>
      <c r="H298" s="201" t="str">
        <f>if(Coins!H298="N/A",0,Coins!H298)</f>
        <v/>
      </c>
      <c r="I298" s="202" t="str">
        <f>Coins!I298</f>
        <v/>
      </c>
      <c r="J298" s="198" t="str">
        <f>Coins!J298</f>
        <v/>
      </c>
      <c r="K298" s="201" t="str">
        <f>Coins!K298</f>
        <v/>
      </c>
      <c r="L298" s="198" t="str">
        <f>Coins!L298</f>
        <v/>
      </c>
      <c r="M298" s="198"/>
      <c r="N298" s="198"/>
      <c r="P298" s="66" t="str">
        <f t="shared" si="4"/>
        <v/>
      </c>
    </row>
    <row r="299">
      <c r="A299" s="198" t="str">
        <f>Coins!A299</f>
        <v/>
      </c>
      <c r="B299" s="199" t="str">
        <f>Coins!B299</f>
        <v/>
      </c>
      <c r="C299" s="198" t="str">
        <f>Coins!C299</f>
        <v/>
      </c>
      <c r="D299" s="198" t="str">
        <f>Coins!D299</f>
        <v/>
      </c>
      <c r="E299" s="198" t="str">
        <f>Coins!E299</f>
        <v/>
      </c>
      <c r="F299" s="198" t="str">
        <f>Coins!F299</f>
        <v/>
      </c>
      <c r="G299" s="198" t="str">
        <f>Coins!G299</f>
        <v/>
      </c>
      <c r="H299" s="201" t="str">
        <f>if(Coins!H299="N/A",0,Coins!H299)</f>
        <v/>
      </c>
      <c r="I299" s="202" t="str">
        <f>Coins!I299</f>
        <v/>
      </c>
      <c r="J299" s="198" t="str">
        <f>Coins!J299</f>
        <v/>
      </c>
      <c r="K299" s="201" t="str">
        <f>Coins!K299</f>
        <v/>
      </c>
      <c r="L299" s="198" t="str">
        <f>Coins!L299</f>
        <v/>
      </c>
      <c r="M299" s="198"/>
      <c r="N299" s="198"/>
      <c r="P299" s="66" t="str">
        <f t="shared" si="4"/>
        <v/>
      </c>
    </row>
    <row r="300">
      <c r="A300" s="198" t="str">
        <f>Coins!A300</f>
        <v/>
      </c>
      <c r="B300" s="199" t="str">
        <f>Coins!B300</f>
        <v/>
      </c>
      <c r="C300" s="198" t="str">
        <f>Coins!C300</f>
        <v/>
      </c>
      <c r="D300" s="198" t="str">
        <f>Coins!D300</f>
        <v/>
      </c>
      <c r="E300" s="198" t="str">
        <f>Coins!E300</f>
        <v/>
      </c>
      <c r="F300" s="198" t="str">
        <f>Coins!F300</f>
        <v/>
      </c>
      <c r="G300" s="198" t="str">
        <f>Coins!G300</f>
        <v/>
      </c>
      <c r="H300" s="201" t="str">
        <f>if(Coins!H300="N/A",0,Coins!H300)</f>
        <v/>
      </c>
      <c r="I300" s="202" t="str">
        <f>Coins!I300</f>
        <v/>
      </c>
      <c r="J300" s="198" t="str">
        <f>Coins!J300</f>
        <v/>
      </c>
      <c r="K300" s="201" t="str">
        <f>Coins!K300</f>
        <v/>
      </c>
      <c r="L300" s="198" t="str">
        <f>Coins!L300</f>
        <v/>
      </c>
      <c r="M300" s="198"/>
      <c r="N300" s="198"/>
      <c r="P300" s="66" t="str">
        <f t="shared" si="4"/>
        <v/>
      </c>
    </row>
    <row r="301">
      <c r="A301" s="198" t="str">
        <f>Coins!A301</f>
        <v/>
      </c>
      <c r="B301" s="199" t="str">
        <f>Coins!B301</f>
        <v/>
      </c>
      <c r="C301" s="198" t="str">
        <f>Coins!C301</f>
        <v/>
      </c>
      <c r="D301" s="198" t="str">
        <f>Coins!D301</f>
        <v/>
      </c>
      <c r="E301" s="198" t="str">
        <f>Coins!E301</f>
        <v/>
      </c>
      <c r="F301" s="198" t="str">
        <f>Coins!F301</f>
        <v/>
      </c>
      <c r="G301" s="198" t="str">
        <f>Coins!G301</f>
        <v/>
      </c>
      <c r="H301" s="201" t="str">
        <f>if(Coins!H301="N/A",0,Coins!H301)</f>
        <v/>
      </c>
      <c r="I301" s="202" t="str">
        <f>Coins!I301</f>
        <v/>
      </c>
      <c r="J301" s="198" t="str">
        <f>Coins!J301</f>
        <v/>
      </c>
      <c r="K301" s="201" t="str">
        <f>Coins!K301</f>
        <v/>
      </c>
      <c r="L301" s="198" t="str">
        <f>Coins!L301</f>
        <v/>
      </c>
      <c r="M301" s="198"/>
      <c r="N301" s="198"/>
      <c r="P301" s="66" t="str">
        <f t="shared" si="4"/>
        <v/>
      </c>
    </row>
    <row r="302">
      <c r="A302" s="198" t="str">
        <f>Coins!A302</f>
        <v/>
      </c>
      <c r="B302" s="199" t="str">
        <f>Coins!B302</f>
        <v/>
      </c>
      <c r="C302" s="198" t="str">
        <f>Coins!C302</f>
        <v/>
      </c>
      <c r="D302" s="198" t="str">
        <f>Coins!D302</f>
        <v/>
      </c>
      <c r="E302" s="198" t="str">
        <f>Coins!E302</f>
        <v/>
      </c>
      <c r="F302" s="198" t="str">
        <f>Coins!F302</f>
        <v/>
      </c>
      <c r="G302" s="198" t="str">
        <f>Coins!G302</f>
        <v/>
      </c>
      <c r="H302" s="201" t="str">
        <f>if(Coins!H302="N/A",0,Coins!H302)</f>
        <v/>
      </c>
      <c r="I302" s="202" t="str">
        <f>Coins!I302</f>
        <v/>
      </c>
      <c r="J302" s="198" t="str">
        <f>Coins!J302</f>
        <v/>
      </c>
      <c r="K302" s="201" t="str">
        <f>Coins!K302</f>
        <v/>
      </c>
      <c r="L302" s="198" t="str">
        <f>Coins!L302</f>
        <v/>
      </c>
      <c r="M302" s="198"/>
      <c r="N302" s="198"/>
      <c r="P302" s="66" t="str">
        <f t="shared" si="4"/>
        <v/>
      </c>
    </row>
    <row r="303">
      <c r="A303" s="198" t="str">
        <f>Coins!A303</f>
        <v/>
      </c>
      <c r="B303" s="199" t="str">
        <f>Coins!B303</f>
        <v/>
      </c>
      <c r="C303" s="198" t="str">
        <f>Coins!C303</f>
        <v/>
      </c>
      <c r="D303" s="198" t="str">
        <f>Coins!D303</f>
        <v/>
      </c>
      <c r="E303" s="198" t="str">
        <f>Coins!E303</f>
        <v/>
      </c>
      <c r="F303" s="198" t="str">
        <f>Coins!F303</f>
        <v/>
      </c>
      <c r="G303" s="198" t="str">
        <f>Coins!G303</f>
        <v/>
      </c>
      <c r="H303" s="201" t="str">
        <f>if(Coins!H303="N/A",0,Coins!H303)</f>
        <v/>
      </c>
      <c r="I303" s="202" t="str">
        <f>Coins!I303</f>
        <v/>
      </c>
      <c r="J303" s="198" t="str">
        <f>Coins!J303</f>
        <v/>
      </c>
      <c r="K303" s="201" t="str">
        <f>Coins!K303</f>
        <v/>
      </c>
      <c r="L303" s="198" t="str">
        <f>Coins!L303</f>
        <v/>
      </c>
      <c r="M303" s="198"/>
      <c r="N303" s="198"/>
      <c r="P303" s="66" t="str">
        <f t="shared" si="4"/>
        <v/>
      </c>
    </row>
    <row r="304">
      <c r="A304" s="198" t="str">
        <f>Coins!A304</f>
        <v/>
      </c>
      <c r="B304" s="199" t="str">
        <f>Coins!B304</f>
        <v/>
      </c>
      <c r="C304" s="198" t="str">
        <f>Coins!C304</f>
        <v/>
      </c>
      <c r="D304" s="198" t="str">
        <f>Coins!D304</f>
        <v/>
      </c>
      <c r="E304" s="198" t="str">
        <f>Coins!E304</f>
        <v/>
      </c>
      <c r="F304" s="198" t="str">
        <f>Coins!F304</f>
        <v/>
      </c>
      <c r="G304" s="198" t="str">
        <f>Coins!G304</f>
        <v/>
      </c>
      <c r="H304" s="201" t="str">
        <f>if(Coins!H304="N/A",0,Coins!H304)</f>
        <v/>
      </c>
      <c r="I304" s="202" t="str">
        <f>Coins!I304</f>
        <v/>
      </c>
      <c r="J304" s="198" t="str">
        <f>Coins!J304</f>
        <v/>
      </c>
      <c r="K304" s="201" t="str">
        <f>Coins!K304</f>
        <v/>
      </c>
      <c r="L304" s="198" t="str">
        <f>Coins!L304</f>
        <v/>
      </c>
      <c r="M304" s="198"/>
      <c r="N304" s="198"/>
      <c r="P304" s="66" t="str">
        <f t="shared" si="4"/>
        <v/>
      </c>
    </row>
    <row r="305">
      <c r="A305" s="198" t="str">
        <f>Coins!A305</f>
        <v/>
      </c>
      <c r="B305" s="199" t="str">
        <f>Coins!B305</f>
        <v/>
      </c>
      <c r="C305" s="198" t="str">
        <f>Coins!C305</f>
        <v/>
      </c>
      <c r="D305" s="198" t="str">
        <f>Coins!D305</f>
        <v/>
      </c>
      <c r="E305" s="198" t="str">
        <f>Coins!E305</f>
        <v/>
      </c>
      <c r="F305" s="198" t="str">
        <f>Coins!F305</f>
        <v/>
      </c>
      <c r="G305" s="198" t="str">
        <f>Coins!G305</f>
        <v/>
      </c>
      <c r="H305" s="201" t="str">
        <f>if(Coins!H305="N/A",0,Coins!H305)</f>
        <v/>
      </c>
      <c r="I305" s="202" t="str">
        <f>Coins!I305</f>
        <v/>
      </c>
      <c r="J305" s="198" t="str">
        <f>Coins!J305</f>
        <v/>
      </c>
      <c r="K305" s="201" t="str">
        <f>Coins!K305</f>
        <v/>
      </c>
      <c r="L305" s="198" t="str">
        <f>Coins!L305</f>
        <v/>
      </c>
      <c r="M305" s="198"/>
      <c r="N305" s="198"/>
      <c r="P305" s="66" t="str">
        <f t="shared" si="4"/>
        <v/>
      </c>
    </row>
    <row r="306">
      <c r="A306" s="198" t="str">
        <f>Coins!A306</f>
        <v/>
      </c>
      <c r="B306" s="199" t="str">
        <f>Coins!B306</f>
        <v/>
      </c>
      <c r="C306" s="198" t="str">
        <f>Coins!C306</f>
        <v/>
      </c>
      <c r="D306" s="198" t="str">
        <f>Coins!D306</f>
        <v/>
      </c>
      <c r="E306" s="198" t="str">
        <f>Coins!E306</f>
        <v/>
      </c>
      <c r="F306" s="198" t="str">
        <f>Coins!F306</f>
        <v/>
      </c>
      <c r="G306" s="198" t="str">
        <f>Coins!G306</f>
        <v/>
      </c>
      <c r="H306" s="201" t="str">
        <f>if(Coins!H306="N/A",0,Coins!H306)</f>
        <v/>
      </c>
      <c r="I306" s="202" t="str">
        <f>Coins!I306</f>
        <v/>
      </c>
      <c r="J306" s="198" t="str">
        <f>Coins!J306</f>
        <v/>
      </c>
      <c r="K306" s="201" t="str">
        <f>Coins!K306</f>
        <v/>
      </c>
      <c r="L306" s="198" t="str">
        <f>Coins!L306</f>
        <v/>
      </c>
      <c r="M306" s="198"/>
      <c r="N306" s="198"/>
      <c r="P306" s="66" t="str">
        <f t="shared" si="4"/>
        <v/>
      </c>
    </row>
    <row r="307">
      <c r="A307" s="198" t="str">
        <f>Coins!A307</f>
        <v/>
      </c>
      <c r="B307" s="199" t="str">
        <f>Coins!B307</f>
        <v/>
      </c>
      <c r="C307" s="198" t="str">
        <f>Coins!C307</f>
        <v/>
      </c>
      <c r="D307" s="198" t="str">
        <f>Coins!D307</f>
        <v/>
      </c>
      <c r="E307" s="198" t="str">
        <f>Coins!E307</f>
        <v/>
      </c>
      <c r="F307" s="198" t="str">
        <f>Coins!F307</f>
        <v/>
      </c>
      <c r="G307" s="198" t="str">
        <f>Coins!G307</f>
        <v/>
      </c>
      <c r="H307" s="201" t="str">
        <f>if(Coins!H307="N/A",0,Coins!H307)</f>
        <v/>
      </c>
      <c r="I307" s="202" t="str">
        <f>Coins!I307</f>
        <v/>
      </c>
      <c r="J307" s="198" t="str">
        <f>Coins!J307</f>
        <v/>
      </c>
      <c r="K307" s="201" t="str">
        <f>Coins!K307</f>
        <v/>
      </c>
      <c r="L307" s="198" t="str">
        <f>Coins!L307</f>
        <v/>
      </c>
      <c r="M307" s="198"/>
      <c r="N307" s="198"/>
      <c r="P307" s="66" t="str">
        <f t="shared" si="4"/>
        <v/>
      </c>
    </row>
    <row r="308">
      <c r="A308" s="198" t="str">
        <f>Coins!A308</f>
        <v/>
      </c>
      <c r="B308" s="199" t="str">
        <f>Coins!B308</f>
        <v/>
      </c>
      <c r="C308" s="198" t="str">
        <f>Coins!C308</f>
        <v/>
      </c>
      <c r="D308" s="198" t="str">
        <f>Coins!D308</f>
        <v/>
      </c>
      <c r="E308" s="198" t="str">
        <f>Coins!E308</f>
        <v/>
      </c>
      <c r="F308" s="198" t="str">
        <f>Coins!F308</f>
        <v/>
      </c>
      <c r="G308" s="198" t="str">
        <f>Coins!G308</f>
        <v/>
      </c>
      <c r="H308" s="201" t="str">
        <f>if(Coins!H308="N/A",0,Coins!H308)</f>
        <v/>
      </c>
      <c r="I308" s="202" t="str">
        <f>Coins!I308</f>
        <v/>
      </c>
      <c r="J308" s="198" t="str">
        <f>Coins!J308</f>
        <v/>
      </c>
      <c r="K308" s="201" t="str">
        <f>Coins!K308</f>
        <v/>
      </c>
      <c r="L308" s="198" t="str">
        <f>Coins!L308</f>
        <v/>
      </c>
      <c r="M308" s="198"/>
      <c r="N308" s="198"/>
      <c r="P308" s="66" t="str">
        <f t="shared" si="4"/>
        <v/>
      </c>
    </row>
    <row r="309">
      <c r="A309" s="198" t="str">
        <f>Coins!A309</f>
        <v/>
      </c>
      <c r="B309" s="199" t="str">
        <f>Coins!B309</f>
        <v/>
      </c>
      <c r="C309" s="198" t="str">
        <f>Coins!C309</f>
        <v/>
      </c>
      <c r="D309" s="198" t="str">
        <f>Coins!D309</f>
        <v/>
      </c>
      <c r="E309" s="198" t="str">
        <f>Coins!E309</f>
        <v/>
      </c>
      <c r="F309" s="198" t="str">
        <f>Coins!F309</f>
        <v/>
      </c>
      <c r="G309" s="198" t="str">
        <f>Coins!G309</f>
        <v/>
      </c>
      <c r="H309" s="201" t="str">
        <f>if(Coins!H309="N/A",0,Coins!H309)</f>
        <v/>
      </c>
      <c r="I309" s="202" t="str">
        <f>Coins!I309</f>
        <v/>
      </c>
      <c r="J309" s="198" t="str">
        <f>Coins!J309</f>
        <v/>
      </c>
      <c r="K309" s="201" t="str">
        <f>Coins!K309</f>
        <v/>
      </c>
      <c r="L309" s="198" t="str">
        <f>Coins!L309</f>
        <v/>
      </c>
      <c r="M309" s="198"/>
      <c r="N309" s="198"/>
      <c r="P309" s="66" t="str">
        <f t="shared" si="4"/>
        <v/>
      </c>
    </row>
    <row r="310">
      <c r="A310" s="198" t="str">
        <f>Coins!A310</f>
        <v/>
      </c>
      <c r="B310" s="199" t="str">
        <f>Coins!B310</f>
        <v/>
      </c>
      <c r="C310" s="198" t="str">
        <f>Coins!C310</f>
        <v/>
      </c>
      <c r="D310" s="198" t="str">
        <f>Coins!D310</f>
        <v/>
      </c>
      <c r="E310" s="198" t="str">
        <f>Coins!E310</f>
        <v/>
      </c>
      <c r="F310" s="198" t="str">
        <f>Coins!F310</f>
        <v/>
      </c>
      <c r="G310" s="198" t="str">
        <f>Coins!G310</f>
        <v/>
      </c>
      <c r="H310" s="201" t="str">
        <f>if(Coins!H310="N/A",0,Coins!H310)</f>
        <v/>
      </c>
      <c r="I310" s="202" t="str">
        <f>Coins!I310</f>
        <v/>
      </c>
      <c r="J310" s="198" t="str">
        <f>Coins!J310</f>
        <v/>
      </c>
      <c r="K310" s="201" t="str">
        <f>Coins!K310</f>
        <v/>
      </c>
      <c r="L310" s="198" t="str">
        <f>Coins!L310</f>
        <v/>
      </c>
      <c r="M310" s="198"/>
      <c r="N310" s="198"/>
      <c r="P310" s="66" t="str">
        <f t="shared" si="4"/>
        <v/>
      </c>
    </row>
    <row r="311">
      <c r="A311" s="198" t="str">
        <f>Coins!A311</f>
        <v/>
      </c>
      <c r="B311" s="199" t="str">
        <f>Coins!B311</f>
        <v/>
      </c>
      <c r="C311" s="198" t="str">
        <f>Coins!C311</f>
        <v/>
      </c>
      <c r="D311" s="198" t="str">
        <f>Coins!D311</f>
        <v/>
      </c>
      <c r="E311" s="198" t="str">
        <f>Coins!E311</f>
        <v/>
      </c>
      <c r="F311" s="198" t="str">
        <f>Coins!F311</f>
        <v/>
      </c>
      <c r="G311" s="198" t="str">
        <f>Coins!G311</f>
        <v/>
      </c>
      <c r="H311" s="201" t="str">
        <f>if(Coins!H311="N/A",0,Coins!H311)</f>
        <v/>
      </c>
      <c r="I311" s="202" t="str">
        <f>Coins!I311</f>
        <v/>
      </c>
      <c r="J311" s="198" t="str">
        <f>Coins!J311</f>
        <v/>
      </c>
      <c r="K311" s="201" t="str">
        <f>Coins!K311</f>
        <v/>
      </c>
      <c r="L311" s="198" t="str">
        <f>Coins!L311</f>
        <v/>
      </c>
      <c r="M311" s="198"/>
      <c r="N311" s="198"/>
      <c r="P311" s="66" t="str">
        <f t="shared" si="4"/>
        <v/>
      </c>
    </row>
    <row r="312">
      <c r="A312" s="198" t="str">
        <f>Coins!A312</f>
        <v/>
      </c>
      <c r="B312" s="199" t="str">
        <f>Coins!B312</f>
        <v/>
      </c>
      <c r="C312" s="198" t="str">
        <f>Coins!C312</f>
        <v/>
      </c>
      <c r="D312" s="198" t="str">
        <f>Coins!D312</f>
        <v/>
      </c>
      <c r="E312" s="198" t="str">
        <f>Coins!E312</f>
        <v/>
      </c>
      <c r="F312" s="198" t="str">
        <f>Coins!F312</f>
        <v/>
      </c>
      <c r="G312" s="198" t="str">
        <f>Coins!G312</f>
        <v/>
      </c>
      <c r="H312" s="201" t="str">
        <f>if(Coins!H312="N/A",0,Coins!H312)</f>
        <v/>
      </c>
      <c r="I312" s="202" t="str">
        <f>Coins!I312</f>
        <v/>
      </c>
      <c r="J312" s="198" t="str">
        <f>Coins!J312</f>
        <v/>
      </c>
      <c r="K312" s="201" t="str">
        <f>Coins!K312</f>
        <v/>
      </c>
      <c r="L312" s="198" t="str">
        <f>Coins!L312</f>
        <v/>
      </c>
      <c r="M312" s="198"/>
      <c r="N312" s="198"/>
      <c r="P312" s="66" t="str">
        <f t="shared" si="4"/>
        <v/>
      </c>
    </row>
    <row r="313">
      <c r="A313" s="198" t="str">
        <f>Coins!A313</f>
        <v/>
      </c>
      <c r="B313" s="199" t="str">
        <f>Coins!B313</f>
        <v/>
      </c>
      <c r="C313" s="198" t="str">
        <f>Coins!C313</f>
        <v/>
      </c>
      <c r="D313" s="198" t="str">
        <f>Coins!D313</f>
        <v/>
      </c>
      <c r="E313" s="198" t="str">
        <f>Coins!E313</f>
        <v/>
      </c>
      <c r="F313" s="198" t="str">
        <f>Coins!F313</f>
        <v/>
      </c>
      <c r="G313" s="198" t="str">
        <f>Coins!G313</f>
        <v/>
      </c>
      <c r="H313" s="201" t="str">
        <f>if(Coins!H313="N/A",0,Coins!H313)</f>
        <v/>
      </c>
      <c r="I313" s="202" t="str">
        <f>Coins!I313</f>
        <v/>
      </c>
      <c r="J313" s="198" t="str">
        <f>Coins!J313</f>
        <v/>
      </c>
      <c r="K313" s="201" t="str">
        <f>Coins!K313</f>
        <v/>
      </c>
      <c r="L313" s="198" t="str">
        <f>Coins!L313</f>
        <v/>
      </c>
      <c r="M313" s="198"/>
      <c r="N313" s="198"/>
      <c r="P313" s="66" t="str">
        <f t="shared" si="4"/>
        <v/>
      </c>
    </row>
    <row r="314">
      <c r="A314" s="198" t="str">
        <f>Coins!A314</f>
        <v/>
      </c>
      <c r="B314" s="199" t="str">
        <f>Coins!B314</f>
        <v/>
      </c>
      <c r="C314" s="198" t="str">
        <f>Coins!C314</f>
        <v/>
      </c>
      <c r="D314" s="198" t="str">
        <f>Coins!D314</f>
        <v/>
      </c>
      <c r="E314" s="198" t="str">
        <f>Coins!E314</f>
        <v/>
      </c>
      <c r="F314" s="198" t="str">
        <f>Coins!F314</f>
        <v/>
      </c>
      <c r="G314" s="198" t="str">
        <f>Coins!G314</f>
        <v/>
      </c>
      <c r="H314" s="201" t="str">
        <f>if(Coins!H314="N/A",0,Coins!H314)</f>
        <v/>
      </c>
      <c r="I314" s="202" t="str">
        <f>Coins!I314</f>
        <v/>
      </c>
      <c r="J314" s="198" t="str">
        <f>Coins!J314</f>
        <v/>
      </c>
      <c r="K314" s="201" t="str">
        <f>Coins!K314</f>
        <v/>
      </c>
      <c r="L314" s="198" t="str">
        <f>Coins!L314</f>
        <v/>
      </c>
      <c r="M314" s="198"/>
      <c r="N314" s="198"/>
      <c r="P314" s="66" t="str">
        <f t="shared" si="4"/>
        <v/>
      </c>
    </row>
    <row r="315">
      <c r="A315" s="198" t="str">
        <f>Coins!A315</f>
        <v/>
      </c>
      <c r="B315" s="199" t="str">
        <f>Coins!B315</f>
        <v/>
      </c>
      <c r="C315" s="198" t="str">
        <f>Coins!C315</f>
        <v/>
      </c>
      <c r="D315" s="198" t="str">
        <f>Coins!D315</f>
        <v/>
      </c>
      <c r="E315" s="198" t="str">
        <f>Coins!E315</f>
        <v/>
      </c>
      <c r="F315" s="198" t="str">
        <f>Coins!F315</f>
        <v/>
      </c>
      <c r="G315" s="198" t="str">
        <f>Coins!G315</f>
        <v/>
      </c>
      <c r="H315" s="201" t="str">
        <f>if(Coins!H315="N/A",0,Coins!H315)</f>
        <v/>
      </c>
      <c r="I315" s="202" t="str">
        <f>Coins!I315</f>
        <v/>
      </c>
      <c r="J315" s="198" t="str">
        <f>Coins!J315</f>
        <v/>
      </c>
      <c r="K315" s="201" t="str">
        <f>Coins!K315</f>
        <v/>
      </c>
      <c r="L315" s="198" t="str">
        <f>Coins!L315</f>
        <v/>
      </c>
      <c r="M315" s="198"/>
      <c r="N315" s="198"/>
      <c r="P315" s="66" t="str">
        <f t="shared" si="4"/>
        <v/>
      </c>
    </row>
    <row r="316">
      <c r="A316" s="198" t="str">
        <f>Coins!A316</f>
        <v/>
      </c>
      <c r="B316" s="199" t="str">
        <f>Coins!B316</f>
        <v/>
      </c>
      <c r="C316" s="198" t="str">
        <f>Coins!C316</f>
        <v/>
      </c>
      <c r="D316" s="198" t="str">
        <f>Coins!D316</f>
        <v/>
      </c>
      <c r="E316" s="198" t="str">
        <f>Coins!E316</f>
        <v/>
      </c>
      <c r="F316" s="198" t="str">
        <f>Coins!F316</f>
        <v/>
      </c>
      <c r="G316" s="198" t="str">
        <f>Coins!G316</f>
        <v/>
      </c>
      <c r="H316" s="201" t="str">
        <f>if(Coins!H316="N/A",0,Coins!H316)</f>
        <v/>
      </c>
      <c r="I316" s="202" t="str">
        <f>Coins!I316</f>
        <v/>
      </c>
      <c r="J316" s="198" t="str">
        <f>Coins!J316</f>
        <v/>
      </c>
      <c r="K316" s="201" t="str">
        <f>Coins!K316</f>
        <v/>
      </c>
      <c r="L316" s="198" t="str">
        <f>Coins!L316</f>
        <v/>
      </c>
      <c r="M316" s="198"/>
      <c r="N316" s="198"/>
      <c r="P316" s="66" t="str">
        <f t="shared" si="4"/>
        <v/>
      </c>
    </row>
    <row r="317">
      <c r="A317" s="198" t="str">
        <f>Coins!A317</f>
        <v/>
      </c>
      <c r="B317" s="199" t="str">
        <f>Coins!B317</f>
        <v/>
      </c>
      <c r="C317" s="198" t="str">
        <f>Coins!C317</f>
        <v/>
      </c>
      <c r="D317" s="198" t="str">
        <f>Coins!D317</f>
        <v/>
      </c>
      <c r="E317" s="198" t="str">
        <f>Coins!E317</f>
        <v/>
      </c>
      <c r="F317" s="198" t="str">
        <f>Coins!F317</f>
        <v/>
      </c>
      <c r="G317" s="198" t="str">
        <f>Coins!G317</f>
        <v/>
      </c>
      <c r="H317" s="201" t="str">
        <f>if(Coins!H317="N/A",0,Coins!H317)</f>
        <v/>
      </c>
      <c r="I317" s="202" t="str">
        <f>Coins!I317</f>
        <v/>
      </c>
      <c r="J317" s="198" t="str">
        <f>Coins!J317</f>
        <v/>
      </c>
      <c r="K317" s="201" t="str">
        <f>Coins!K317</f>
        <v/>
      </c>
      <c r="L317" s="198" t="str">
        <f>Coins!L317</f>
        <v/>
      </c>
      <c r="M317" s="198"/>
      <c r="N317" s="198"/>
      <c r="P317" s="66" t="str">
        <f t="shared" si="4"/>
        <v/>
      </c>
    </row>
    <row r="318">
      <c r="A318" s="198" t="str">
        <f>Coins!A318</f>
        <v/>
      </c>
      <c r="B318" s="199" t="str">
        <f>Coins!B318</f>
        <v/>
      </c>
      <c r="C318" s="198" t="str">
        <f>Coins!C318</f>
        <v/>
      </c>
      <c r="D318" s="198" t="str">
        <f>Coins!D318</f>
        <v/>
      </c>
      <c r="E318" s="198" t="str">
        <f>Coins!E318</f>
        <v/>
      </c>
      <c r="F318" s="198" t="str">
        <f>Coins!F318</f>
        <v/>
      </c>
      <c r="G318" s="198" t="str">
        <f>Coins!G318</f>
        <v/>
      </c>
      <c r="H318" s="201" t="str">
        <f>if(Coins!H318="N/A",0,Coins!H318)</f>
        <v/>
      </c>
      <c r="I318" s="202" t="str">
        <f>Coins!I318</f>
        <v/>
      </c>
      <c r="J318" s="198" t="str">
        <f>Coins!J318</f>
        <v/>
      </c>
      <c r="K318" s="201" t="str">
        <f>Coins!K318</f>
        <v/>
      </c>
      <c r="L318" s="198" t="str">
        <f>Coins!L318</f>
        <v/>
      </c>
      <c r="M318" s="198"/>
      <c r="N318" s="198"/>
      <c r="P318" s="66" t="str">
        <f t="shared" si="4"/>
        <v/>
      </c>
    </row>
    <row r="319">
      <c r="A319" s="198" t="str">
        <f>Coins!A319</f>
        <v/>
      </c>
      <c r="B319" s="199" t="str">
        <f>Coins!B319</f>
        <v/>
      </c>
      <c r="C319" s="198" t="str">
        <f>Coins!C319</f>
        <v/>
      </c>
      <c r="D319" s="198" t="str">
        <f>Coins!D319</f>
        <v/>
      </c>
      <c r="E319" s="198" t="str">
        <f>Coins!E319</f>
        <v/>
      </c>
      <c r="F319" s="198" t="str">
        <f>Coins!F319</f>
        <v/>
      </c>
      <c r="G319" s="198" t="str">
        <f>Coins!G319</f>
        <v/>
      </c>
      <c r="H319" s="201" t="str">
        <f>if(Coins!H319="N/A",0,Coins!H319)</f>
        <v/>
      </c>
      <c r="I319" s="202" t="str">
        <f>Coins!I319</f>
        <v/>
      </c>
      <c r="J319" s="198" t="str">
        <f>Coins!J319</f>
        <v/>
      </c>
      <c r="K319" s="201" t="str">
        <f>Coins!K319</f>
        <v/>
      </c>
      <c r="L319" s="198" t="str">
        <f>Coins!L319</f>
        <v/>
      </c>
      <c r="M319" s="198"/>
      <c r="N319" s="198"/>
      <c r="P319" s="66" t="str">
        <f t="shared" si="4"/>
        <v/>
      </c>
    </row>
    <row r="320">
      <c r="A320" s="198" t="str">
        <f>Coins!A320</f>
        <v/>
      </c>
      <c r="B320" s="199" t="str">
        <f>Coins!B320</f>
        <v/>
      </c>
      <c r="C320" s="198" t="str">
        <f>Coins!C320</f>
        <v/>
      </c>
      <c r="D320" s="198" t="str">
        <f>Coins!D320</f>
        <v/>
      </c>
      <c r="E320" s="198" t="str">
        <f>Coins!E320</f>
        <v/>
      </c>
      <c r="F320" s="198" t="str">
        <f>Coins!F320</f>
        <v/>
      </c>
      <c r="G320" s="198" t="str">
        <f>Coins!G320</f>
        <v/>
      </c>
      <c r="H320" s="201" t="str">
        <f>if(Coins!H320="N/A",0,Coins!H320)</f>
        <v/>
      </c>
      <c r="I320" s="202" t="str">
        <f>Coins!I320</f>
        <v/>
      </c>
      <c r="J320" s="198" t="str">
        <f>Coins!J320</f>
        <v/>
      </c>
      <c r="K320" s="201" t="str">
        <f>Coins!K320</f>
        <v/>
      </c>
      <c r="L320" s="198" t="str">
        <f>Coins!L320</f>
        <v/>
      </c>
      <c r="M320" s="198"/>
      <c r="N320" s="198"/>
      <c r="P320" s="66" t="str">
        <f t="shared" si="4"/>
        <v/>
      </c>
    </row>
    <row r="321">
      <c r="A321" s="198" t="str">
        <f>Coins!A321</f>
        <v/>
      </c>
      <c r="B321" s="199" t="str">
        <f>Coins!B321</f>
        <v/>
      </c>
      <c r="C321" s="198" t="str">
        <f>Coins!C321</f>
        <v/>
      </c>
      <c r="D321" s="198" t="str">
        <f>Coins!D321</f>
        <v/>
      </c>
      <c r="E321" s="198" t="str">
        <f>Coins!E321</f>
        <v/>
      </c>
      <c r="F321" s="198" t="str">
        <f>Coins!F321</f>
        <v/>
      </c>
      <c r="G321" s="198" t="str">
        <f>Coins!G321</f>
        <v/>
      </c>
      <c r="H321" s="201" t="str">
        <f>if(Coins!H321="N/A",0,Coins!H321)</f>
        <v/>
      </c>
      <c r="I321" s="202" t="str">
        <f>Coins!I321</f>
        <v/>
      </c>
      <c r="J321" s="198" t="str">
        <f>Coins!J321</f>
        <v/>
      </c>
      <c r="K321" s="201" t="str">
        <f>Coins!K321</f>
        <v/>
      </c>
      <c r="L321" s="198" t="str">
        <f>Coins!L321</f>
        <v/>
      </c>
      <c r="M321" s="198"/>
      <c r="N321" s="198"/>
      <c r="P321" s="66" t="str">
        <f t="shared" si="4"/>
        <v/>
      </c>
    </row>
    <row r="322">
      <c r="A322" s="198" t="str">
        <f>Coins!A322</f>
        <v/>
      </c>
      <c r="B322" s="199" t="str">
        <f>Coins!B322</f>
        <v/>
      </c>
      <c r="C322" s="198" t="str">
        <f>Coins!C322</f>
        <v/>
      </c>
      <c r="D322" s="198" t="str">
        <f>Coins!D322</f>
        <v/>
      </c>
      <c r="E322" s="198" t="str">
        <f>Coins!E322</f>
        <v/>
      </c>
      <c r="F322" s="198" t="str">
        <f>Coins!F322</f>
        <v/>
      </c>
      <c r="G322" s="198" t="str">
        <f>Coins!G322</f>
        <v/>
      </c>
      <c r="H322" s="201" t="str">
        <f>if(Coins!H322="N/A",0,Coins!H322)</f>
        <v/>
      </c>
      <c r="I322" s="202" t="str">
        <f>Coins!I322</f>
        <v/>
      </c>
      <c r="J322" s="198" t="str">
        <f>Coins!J322</f>
        <v/>
      </c>
      <c r="K322" s="201" t="str">
        <f>Coins!K322</f>
        <v/>
      </c>
      <c r="L322" s="198" t="str">
        <f>Coins!L322</f>
        <v/>
      </c>
      <c r="M322" s="198"/>
      <c r="N322" s="198"/>
      <c r="P322" s="66" t="str">
        <f t="shared" si="4"/>
        <v/>
      </c>
    </row>
    <row r="323">
      <c r="A323" s="198" t="str">
        <f>Coins!A323</f>
        <v/>
      </c>
      <c r="B323" s="199" t="str">
        <f>Coins!B323</f>
        <v/>
      </c>
      <c r="C323" s="198" t="str">
        <f>Coins!C323</f>
        <v/>
      </c>
      <c r="D323" s="198" t="str">
        <f>Coins!D323</f>
        <v/>
      </c>
      <c r="E323" s="198" t="str">
        <f>Coins!E323</f>
        <v/>
      </c>
      <c r="F323" s="198" t="str">
        <f>Coins!F323</f>
        <v/>
      </c>
      <c r="G323" s="198" t="str">
        <f>Coins!G323</f>
        <v/>
      </c>
      <c r="H323" s="201" t="str">
        <f>if(Coins!H323="N/A",0,Coins!H323)</f>
        <v/>
      </c>
      <c r="I323" s="202" t="str">
        <f>Coins!I323</f>
        <v/>
      </c>
      <c r="J323" s="198" t="str">
        <f>Coins!J323</f>
        <v/>
      </c>
      <c r="K323" s="201" t="str">
        <f>Coins!K323</f>
        <v/>
      </c>
      <c r="L323" s="198" t="str">
        <f>Coins!L323</f>
        <v/>
      </c>
      <c r="M323" s="198"/>
      <c r="N323" s="198"/>
      <c r="P323" s="66" t="str">
        <f t="shared" si="4"/>
        <v/>
      </c>
    </row>
    <row r="324">
      <c r="A324" s="198" t="str">
        <f>Coins!A324</f>
        <v/>
      </c>
      <c r="B324" s="199" t="str">
        <f>Coins!B324</f>
        <v/>
      </c>
      <c r="C324" s="198" t="str">
        <f>Coins!C324</f>
        <v/>
      </c>
      <c r="D324" s="198" t="str">
        <f>Coins!D324</f>
        <v/>
      </c>
      <c r="E324" s="198" t="str">
        <f>Coins!E324</f>
        <v/>
      </c>
      <c r="F324" s="198" t="str">
        <f>Coins!F324</f>
        <v/>
      </c>
      <c r="G324" s="198" t="str">
        <f>Coins!G324</f>
        <v/>
      </c>
      <c r="H324" s="201" t="str">
        <f>if(Coins!H324="N/A",0,Coins!H324)</f>
        <v/>
      </c>
      <c r="I324" s="202" t="str">
        <f>Coins!I324</f>
        <v/>
      </c>
      <c r="J324" s="198" t="str">
        <f>Coins!J324</f>
        <v/>
      </c>
      <c r="K324" s="201" t="str">
        <f>Coins!K324</f>
        <v/>
      </c>
      <c r="L324" s="198" t="str">
        <f>Coins!L324</f>
        <v/>
      </c>
      <c r="M324" s="198"/>
      <c r="N324" s="198"/>
      <c r="P324" s="66" t="str">
        <f t="shared" si="4"/>
        <v/>
      </c>
    </row>
    <row r="325">
      <c r="A325" s="198" t="str">
        <f>Coins!A325</f>
        <v/>
      </c>
      <c r="B325" s="199" t="str">
        <f>Coins!B325</f>
        <v/>
      </c>
      <c r="C325" s="198" t="str">
        <f>Coins!C325</f>
        <v/>
      </c>
      <c r="D325" s="198" t="str">
        <f>Coins!D325</f>
        <v/>
      </c>
      <c r="E325" s="198" t="str">
        <f>Coins!E325</f>
        <v/>
      </c>
      <c r="F325" s="198" t="str">
        <f>Coins!F325</f>
        <v/>
      </c>
      <c r="G325" s="198" t="str">
        <f>Coins!G325</f>
        <v/>
      </c>
      <c r="H325" s="201" t="str">
        <f>if(Coins!H325="N/A",0,Coins!H325)</f>
        <v/>
      </c>
      <c r="I325" s="202" t="str">
        <f>Coins!I325</f>
        <v/>
      </c>
      <c r="J325" s="198" t="str">
        <f>Coins!J325</f>
        <v/>
      </c>
      <c r="K325" s="201" t="str">
        <f>Coins!K325</f>
        <v/>
      </c>
      <c r="L325" s="198" t="str">
        <f>Coins!L325</f>
        <v/>
      </c>
      <c r="M325" s="198"/>
      <c r="N325" s="198"/>
      <c r="P325" s="66" t="str">
        <f t="shared" si="4"/>
        <v/>
      </c>
    </row>
    <row r="326">
      <c r="A326" s="198" t="str">
        <f>Coins!A326</f>
        <v/>
      </c>
      <c r="B326" s="199" t="str">
        <f>Coins!B326</f>
        <v/>
      </c>
      <c r="C326" s="198" t="str">
        <f>Coins!C326</f>
        <v/>
      </c>
      <c r="D326" s="198" t="str">
        <f>Coins!D326</f>
        <v/>
      </c>
      <c r="E326" s="198" t="str">
        <f>Coins!E326</f>
        <v/>
      </c>
      <c r="F326" s="198" t="str">
        <f>Coins!F326</f>
        <v/>
      </c>
      <c r="G326" s="198" t="str">
        <f>Coins!G326</f>
        <v/>
      </c>
      <c r="H326" s="201" t="str">
        <f>if(Coins!H326="N/A",0,Coins!H326)</f>
        <v/>
      </c>
      <c r="I326" s="202" t="str">
        <f>Coins!I326</f>
        <v/>
      </c>
      <c r="J326" s="198" t="str">
        <f>Coins!J326</f>
        <v/>
      </c>
      <c r="K326" s="201" t="str">
        <f>Coins!K326</f>
        <v/>
      </c>
      <c r="L326" s="198" t="str">
        <f>Coins!L326</f>
        <v/>
      </c>
      <c r="M326" s="198"/>
      <c r="N326" s="198"/>
      <c r="P326" s="66" t="str">
        <f t="shared" si="4"/>
        <v/>
      </c>
    </row>
    <row r="327">
      <c r="A327" s="198" t="str">
        <f>Coins!A327</f>
        <v/>
      </c>
      <c r="B327" s="199" t="str">
        <f>Coins!B327</f>
        <v/>
      </c>
      <c r="C327" s="198" t="str">
        <f>Coins!C327</f>
        <v/>
      </c>
      <c r="D327" s="198" t="str">
        <f>Coins!D327</f>
        <v/>
      </c>
      <c r="E327" s="198" t="str">
        <f>Coins!E327</f>
        <v/>
      </c>
      <c r="F327" s="198" t="str">
        <f>Coins!F327</f>
        <v/>
      </c>
      <c r="G327" s="198" t="str">
        <f>Coins!G327</f>
        <v/>
      </c>
      <c r="H327" s="201" t="str">
        <f>if(Coins!H327="N/A",0,Coins!H327)</f>
        <v/>
      </c>
      <c r="I327" s="202" t="str">
        <f>Coins!I327</f>
        <v/>
      </c>
      <c r="J327" s="198" t="str">
        <f>Coins!J327</f>
        <v/>
      </c>
      <c r="K327" s="201" t="str">
        <f>Coins!K327</f>
        <v/>
      </c>
      <c r="L327" s="198" t="str">
        <f>Coins!L327</f>
        <v/>
      </c>
      <c r="M327" s="198"/>
      <c r="N327" s="198"/>
      <c r="P327" s="66" t="str">
        <f t="shared" si="4"/>
        <v/>
      </c>
    </row>
    <row r="328">
      <c r="A328" s="198" t="str">
        <f>Coins!A328</f>
        <v/>
      </c>
      <c r="B328" s="199" t="str">
        <f>Coins!B328</f>
        <v/>
      </c>
      <c r="C328" s="198" t="str">
        <f>Coins!C328</f>
        <v/>
      </c>
      <c r="D328" s="198" t="str">
        <f>Coins!D328</f>
        <v/>
      </c>
      <c r="E328" s="198" t="str">
        <f>Coins!E328</f>
        <v/>
      </c>
      <c r="F328" s="198" t="str">
        <f>Coins!F328</f>
        <v/>
      </c>
      <c r="G328" s="198" t="str">
        <f>Coins!G328</f>
        <v/>
      </c>
      <c r="H328" s="201" t="str">
        <f>if(Coins!H328="N/A",0,Coins!H328)</f>
        <v/>
      </c>
      <c r="I328" s="202" t="str">
        <f>Coins!I328</f>
        <v/>
      </c>
      <c r="J328" s="198" t="str">
        <f>Coins!J328</f>
        <v/>
      </c>
      <c r="K328" s="201" t="str">
        <f>Coins!K328</f>
        <v/>
      </c>
      <c r="L328" s="198" t="str">
        <f>Coins!L328</f>
        <v/>
      </c>
      <c r="M328" s="198"/>
      <c r="N328" s="198"/>
      <c r="P328" s="66" t="str">
        <f t="shared" si="4"/>
        <v/>
      </c>
    </row>
    <row r="329">
      <c r="A329" s="198" t="str">
        <f>Coins!A329</f>
        <v/>
      </c>
      <c r="B329" s="199" t="str">
        <f>Coins!B329</f>
        <v/>
      </c>
      <c r="C329" s="198" t="str">
        <f>Coins!C329</f>
        <v/>
      </c>
      <c r="D329" s="198" t="str">
        <f>Coins!D329</f>
        <v/>
      </c>
      <c r="E329" s="198" t="str">
        <f>Coins!E329</f>
        <v/>
      </c>
      <c r="F329" s="198" t="str">
        <f>Coins!F329</f>
        <v/>
      </c>
      <c r="G329" s="198" t="str">
        <f>Coins!G329</f>
        <v/>
      </c>
      <c r="H329" s="201" t="str">
        <f>if(Coins!H329="N/A",0,Coins!H329)</f>
        <v/>
      </c>
      <c r="I329" s="202" t="str">
        <f>Coins!I329</f>
        <v/>
      </c>
      <c r="J329" s="198" t="str">
        <f>Coins!J329</f>
        <v/>
      </c>
      <c r="K329" s="201" t="str">
        <f>Coins!K329</f>
        <v/>
      </c>
      <c r="L329" s="198" t="str">
        <f>Coins!L329</f>
        <v/>
      </c>
      <c r="M329" s="198"/>
      <c r="N329" s="198"/>
      <c r="P329" s="66" t="str">
        <f t="shared" si="4"/>
        <v/>
      </c>
    </row>
    <row r="330">
      <c r="A330" s="198" t="str">
        <f>Coins!A330</f>
        <v/>
      </c>
      <c r="B330" s="199" t="str">
        <f>Coins!B330</f>
        <v/>
      </c>
      <c r="C330" s="198" t="str">
        <f>Coins!C330</f>
        <v/>
      </c>
      <c r="D330" s="198" t="str">
        <f>Coins!D330</f>
        <v/>
      </c>
      <c r="E330" s="198" t="str">
        <f>Coins!E330</f>
        <v/>
      </c>
      <c r="F330" s="198" t="str">
        <f>Coins!F330</f>
        <v/>
      </c>
      <c r="G330" s="198" t="str">
        <f>Coins!G330</f>
        <v/>
      </c>
      <c r="H330" s="201" t="str">
        <f>if(Coins!H330="N/A",0,Coins!H330)</f>
        <v/>
      </c>
      <c r="I330" s="202" t="str">
        <f>Coins!I330</f>
        <v/>
      </c>
      <c r="J330" s="198" t="str">
        <f>Coins!J330</f>
        <v/>
      </c>
      <c r="K330" s="201" t="str">
        <f>Coins!K330</f>
        <v/>
      </c>
      <c r="L330" s="198" t="str">
        <f>Coins!L330</f>
        <v/>
      </c>
      <c r="M330" s="198"/>
      <c r="N330" s="198"/>
      <c r="P330" s="66" t="str">
        <f t="shared" si="4"/>
        <v/>
      </c>
    </row>
    <row r="331">
      <c r="A331" s="198" t="str">
        <f>Coins!A331</f>
        <v/>
      </c>
      <c r="B331" s="199" t="str">
        <f>Coins!B331</f>
        <v/>
      </c>
      <c r="C331" s="198" t="str">
        <f>Coins!C331</f>
        <v/>
      </c>
      <c r="D331" s="198" t="str">
        <f>Coins!D331</f>
        <v/>
      </c>
      <c r="E331" s="198" t="str">
        <f>Coins!E331</f>
        <v/>
      </c>
      <c r="F331" s="198" t="str">
        <f>Coins!F331</f>
        <v/>
      </c>
      <c r="G331" s="198" t="str">
        <f>Coins!G331</f>
        <v/>
      </c>
      <c r="H331" s="201" t="str">
        <f>if(Coins!H331="N/A",0,Coins!H331)</f>
        <v/>
      </c>
      <c r="I331" s="202" t="str">
        <f>Coins!I331</f>
        <v/>
      </c>
      <c r="J331" s="198" t="str">
        <f>Coins!J331</f>
        <v/>
      </c>
      <c r="K331" s="201" t="str">
        <f>Coins!K331</f>
        <v/>
      </c>
      <c r="L331" s="198" t="str">
        <f>Coins!L331</f>
        <v/>
      </c>
      <c r="M331" s="198"/>
      <c r="N331" s="198"/>
      <c r="P331" s="66" t="str">
        <f t="shared" si="4"/>
        <v/>
      </c>
    </row>
    <row r="332">
      <c r="A332" s="198" t="str">
        <f>Coins!A332</f>
        <v/>
      </c>
      <c r="B332" s="199" t="str">
        <f>Coins!B332</f>
        <v/>
      </c>
      <c r="C332" s="198" t="str">
        <f>Coins!C332</f>
        <v/>
      </c>
      <c r="D332" s="198" t="str">
        <f>Coins!D332</f>
        <v/>
      </c>
      <c r="E332" s="198" t="str">
        <f>Coins!E332</f>
        <v/>
      </c>
      <c r="F332" s="198" t="str">
        <f>Coins!F332</f>
        <v/>
      </c>
      <c r="G332" s="198" t="str">
        <f>Coins!G332</f>
        <v/>
      </c>
      <c r="H332" s="201" t="str">
        <f>if(Coins!H332="N/A",0,Coins!H332)</f>
        <v/>
      </c>
      <c r="I332" s="202" t="str">
        <f>Coins!I332</f>
        <v/>
      </c>
      <c r="J332" s="198" t="str">
        <f>Coins!J332</f>
        <v/>
      </c>
      <c r="K332" s="201" t="str">
        <f>Coins!K332</f>
        <v/>
      </c>
      <c r="L332" s="198" t="str">
        <f>Coins!L332</f>
        <v/>
      </c>
      <c r="M332" s="198"/>
      <c r="N332" s="198"/>
      <c r="P332" s="66" t="str">
        <f t="shared" si="4"/>
        <v/>
      </c>
    </row>
    <row r="333">
      <c r="A333" s="198" t="str">
        <f>Coins!A333</f>
        <v/>
      </c>
      <c r="B333" s="199" t="str">
        <f>Coins!B333</f>
        <v/>
      </c>
      <c r="C333" s="198" t="str">
        <f>Coins!C333</f>
        <v/>
      </c>
      <c r="D333" s="198" t="str">
        <f>Coins!D333</f>
        <v/>
      </c>
      <c r="E333" s="198" t="str">
        <f>Coins!E333</f>
        <v/>
      </c>
      <c r="F333" s="198" t="str">
        <f>Coins!F333</f>
        <v/>
      </c>
      <c r="G333" s="198" t="str">
        <f>Coins!G333</f>
        <v/>
      </c>
      <c r="H333" s="201" t="str">
        <f>if(Coins!H333="N/A",0,Coins!H333)</f>
        <v/>
      </c>
      <c r="I333" s="202" t="str">
        <f>Coins!I333</f>
        <v/>
      </c>
      <c r="J333" s="198" t="str">
        <f>Coins!J333</f>
        <v/>
      </c>
      <c r="K333" s="201" t="str">
        <f>Coins!K333</f>
        <v/>
      </c>
      <c r="L333" s="198" t="str">
        <f>Coins!L333</f>
        <v/>
      </c>
      <c r="M333" s="198"/>
      <c r="N333" s="198"/>
      <c r="P333" s="66" t="str">
        <f t="shared" si="4"/>
        <v/>
      </c>
    </row>
    <row r="334">
      <c r="A334" s="198" t="str">
        <f>Coins!A334</f>
        <v/>
      </c>
      <c r="B334" s="199" t="str">
        <f>Coins!B334</f>
        <v/>
      </c>
      <c r="C334" s="198" t="str">
        <f>Coins!C334</f>
        <v/>
      </c>
      <c r="D334" s="198" t="str">
        <f>Coins!D334</f>
        <v/>
      </c>
      <c r="E334" s="198" t="str">
        <f>Coins!E334</f>
        <v/>
      </c>
      <c r="F334" s="198" t="str">
        <f>Coins!F334</f>
        <v/>
      </c>
      <c r="G334" s="198" t="str">
        <f>Coins!G334</f>
        <v/>
      </c>
      <c r="H334" s="201" t="str">
        <f>if(Coins!H334="N/A",0,Coins!H334)</f>
        <v/>
      </c>
      <c r="I334" s="202" t="str">
        <f>Coins!I334</f>
        <v/>
      </c>
      <c r="J334" s="198" t="str">
        <f>Coins!J334</f>
        <v/>
      </c>
      <c r="K334" s="201" t="str">
        <f>Coins!K334</f>
        <v/>
      </c>
      <c r="L334" s="198" t="str">
        <f>Coins!L334</f>
        <v/>
      </c>
      <c r="M334" s="198"/>
      <c r="N334" s="198"/>
      <c r="P334" s="66" t="str">
        <f t="shared" si="4"/>
        <v/>
      </c>
    </row>
    <row r="335">
      <c r="A335" s="198" t="str">
        <f>Coins!A335</f>
        <v/>
      </c>
      <c r="B335" s="199" t="str">
        <f>Coins!B335</f>
        <v/>
      </c>
      <c r="C335" s="198" t="str">
        <f>Coins!C335</f>
        <v/>
      </c>
      <c r="D335" s="198" t="str">
        <f>Coins!D335</f>
        <v/>
      </c>
      <c r="E335" s="198" t="str">
        <f>Coins!E335</f>
        <v/>
      </c>
      <c r="F335" s="198" t="str">
        <f>Coins!F335</f>
        <v/>
      </c>
      <c r="G335" s="198" t="str">
        <f>Coins!G335</f>
        <v/>
      </c>
      <c r="H335" s="201" t="str">
        <f>if(Coins!H335="N/A",0,Coins!H335)</f>
        <v/>
      </c>
      <c r="I335" s="202" t="str">
        <f>Coins!I335</f>
        <v/>
      </c>
      <c r="J335" s="198" t="str">
        <f>Coins!J335</f>
        <v/>
      </c>
      <c r="K335" s="201" t="str">
        <f>Coins!K335</f>
        <v/>
      </c>
      <c r="L335" s="198" t="str">
        <f>Coins!L335</f>
        <v/>
      </c>
      <c r="M335" s="198"/>
      <c r="N335" s="198"/>
      <c r="P335" s="66" t="str">
        <f t="shared" si="4"/>
        <v/>
      </c>
    </row>
    <row r="336">
      <c r="A336" s="198" t="str">
        <f>Coins!A336</f>
        <v/>
      </c>
      <c r="B336" s="199" t="str">
        <f>Coins!B336</f>
        <v/>
      </c>
      <c r="C336" s="198" t="str">
        <f>Coins!C336</f>
        <v/>
      </c>
      <c r="D336" s="198" t="str">
        <f>Coins!D336</f>
        <v/>
      </c>
      <c r="E336" s="198" t="str">
        <f>Coins!E336</f>
        <v/>
      </c>
      <c r="F336" s="198" t="str">
        <f>Coins!F336</f>
        <v/>
      </c>
      <c r="G336" s="198" t="str">
        <f>Coins!G336</f>
        <v/>
      </c>
      <c r="H336" s="201" t="str">
        <f>if(Coins!H336="N/A",0,Coins!H336)</f>
        <v/>
      </c>
      <c r="I336" s="202" t="str">
        <f>Coins!I336</f>
        <v/>
      </c>
      <c r="J336" s="198" t="str">
        <f>Coins!J336</f>
        <v/>
      </c>
      <c r="K336" s="201" t="str">
        <f>Coins!K336</f>
        <v/>
      </c>
      <c r="L336" s="198" t="str">
        <f>Coins!L336</f>
        <v/>
      </c>
      <c r="M336" s="198"/>
      <c r="N336" s="198"/>
      <c r="P336" s="66" t="str">
        <f t="shared" si="4"/>
        <v/>
      </c>
    </row>
    <row r="337">
      <c r="A337" s="198" t="str">
        <f>Coins!A337</f>
        <v/>
      </c>
      <c r="B337" s="199" t="str">
        <f>Coins!B337</f>
        <v/>
      </c>
      <c r="C337" s="198" t="str">
        <f>Coins!C337</f>
        <v/>
      </c>
      <c r="D337" s="198" t="str">
        <f>Coins!D337</f>
        <v/>
      </c>
      <c r="E337" s="198" t="str">
        <f>Coins!E337</f>
        <v/>
      </c>
      <c r="F337" s="198" t="str">
        <f>Coins!F337</f>
        <v/>
      </c>
      <c r="G337" s="198" t="str">
        <f>Coins!G337</f>
        <v/>
      </c>
      <c r="H337" s="201" t="str">
        <f>if(Coins!H337="N/A",0,Coins!H337)</f>
        <v/>
      </c>
      <c r="I337" s="202" t="str">
        <f>Coins!I337</f>
        <v/>
      </c>
      <c r="J337" s="198" t="str">
        <f>Coins!J337</f>
        <v/>
      </c>
      <c r="K337" s="201" t="str">
        <f>Coins!K337</f>
        <v/>
      </c>
      <c r="L337" s="198" t="str">
        <f>Coins!L337</f>
        <v/>
      </c>
      <c r="M337" s="198"/>
      <c r="N337" s="198"/>
      <c r="P337" s="66" t="str">
        <f t="shared" si="4"/>
        <v/>
      </c>
    </row>
    <row r="338">
      <c r="A338" s="198" t="str">
        <f>Coins!A338</f>
        <v/>
      </c>
      <c r="B338" s="199" t="str">
        <f>Coins!B338</f>
        <v/>
      </c>
      <c r="C338" s="198" t="str">
        <f>Coins!C338</f>
        <v/>
      </c>
      <c r="D338" s="198" t="str">
        <f>Coins!D338</f>
        <v/>
      </c>
      <c r="E338" s="198" t="str">
        <f>Coins!E338</f>
        <v/>
      </c>
      <c r="F338" s="198" t="str">
        <f>Coins!F338</f>
        <v/>
      </c>
      <c r="G338" s="198" t="str">
        <f>Coins!G338</f>
        <v/>
      </c>
      <c r="H338" s="201" t="str">
        <f>if(Coins!H338="N/A",0,Coins!H338)</f>
        <v/>
      </c>
      <c r="I338" s="202" t="str">
        <f>Coins!I338</f>
        <v/>
      </c>
      <c r="J338" s="198" t="str">
        <f>Coins!J338</f>
        <v/>
      </c>
      <c r="K338" s="201" t="str">
        <f>Coins!K338</f>
        <v/>
      </c>
      <c r="L338" s="198" t="str">
        <f>Coins!L338</f>
        <v/>
      </c>
      <c r="M338" s="198"/>
      <c r="N338" s="198"/>
      <c r="P338" s="66" t="str">
        <f t="shared" si="4"/>
        <v/>
      </c>
    </row>
    <row r="339">
      <c r="A339" s="198" t="str">
        <f>Coins!A339</f>
        <v/>
      </c>
      <c r="B339" s="199" t="str">
        <f>Coins!B339</f>
        <v/>
      </c>
      <c r="C339" s="198" t="str">
        <f>Coins!C339</f>
        <v/>
      </c>
      <c r="D339" s="198" t="str">
        <f>Coins!D339</f>
        <v/>
      </c>
      <c r="E339" s="198" t="str">
        <f>Coins!E339</f>
        <v/>
      </c>
      <c r="F339" s="198" t="str">
        <f>Coins!F339</f>
        <v/>
      </c>
      <c r="G339" s="198" t="str">
        <f>Coins!G339</f>
        <v/>
      </c>
      <c r="H339" s="201" t="str">
        <f>if(Coins!H339="N/A",0,Coins!H339)</f>
        <v/>
      </c>
      <c r="I339" s="202" t="str">
        <f>Coins!I339</f>
        <v/>
      </c>
      <c r="J339" s="198" t="str">
        <f>Coins!J339</f>
        <v/>
      </c>
      <c r="K339" s="201" t="str">
        <f>Coins!K339</f>
        <v/>
      </c>
      <c r="L339" s="198" t="str">
        <f>Coins!L339</f>
        <v/>
      </c>
      <c r="M339" s="198"/>
      <c r="N339" s="198"/>
      <c r="P339" s="66" t="str">
        <f t="shared" si="4"/>
        <v/>
      </c>
    </row>
    <row r="340">
      <c r="A340" s="198" t="str">
        <f>Coins!A340</f>
        <v/>
      </c>
      <c r="B340" s="199" t="str">
        <f>Coins!B340</f>
        <v/>
      </c>
      <c r="C340" s="198" t="str">
        <f>Coins!C340</f>
        <v/>
      </c>
      <c r="D340" s="198" t="str">
        <f>Coins!D340</f>
        <v/>
      </c>
      <c r="E340" s="198" t="str">
        <f>Coins!E340</f>
        <v/>
      </c>
      <c r="F340" s="198" t="str">
        <f>Coins!F340</f>
        <v/>
      </c>
      <c r="G340" s="198" t="str">
        <f>Coins!G340</f>
        <v/>
      </c>
      <c r="H340" s="201" t="str">
        <f>if(Coins!H340="N/A",0,Coins!H340)</f>
        <v/>
      </c>
      <c r="I340" s="202" t="str">
        <f>Coins!I340</f>
        <v/>
      </c>
      <c r="J340" s="198" t="str">
        <f>Coins!J340</f>
        <v/>
      </c>
      <c r="K340" s="201" t="str">
        <f>Coins!K340</f>
        <v/>
      </c>
      <c r="L340" s="198" t="str">
        <f>Coins!L340</f>
        <v/>
      </c>
      <c r="M340" s="198"/>
      <c r="N340" s="198"/>
      <c r="P340" s="66" t="str">
        <f t="shared" si="4"/>
        <v/>
      </c>
    </row>
    <row r="341">
      <c r="A341" s="198" t="str">
        <f>Coins!A341</f>
        <v/>
      </c>
      <c r="B341" s="199" t="str">
        <f>Coins!B341</f>
        <v/>
      </c>
      <c r="C341" s="198" t="str">
        <f>Coins!C341</f>
        <v/>
      </c>
      <c r="D341" s="198" t="str">
        <f>Coins!D341</f>
        <v/>
      </c>
      <c r="E341" s="198" t="str">
        <f>Coins!E341</f>
        <v/>
      </c>
      <c r="F341" s="198" t="str">
        <f>Coins!F341</f>
        <v/>
      </c>
      <c r="G341" s="198" t="str">
        <f>Coins!G341</f>
        <v/>
      </c>
      <c r="H341" s="201" t="str">
        <f>if(Coins!H341="N/A",0,Coins!H341)</f>
        <v/>
      </c>
      <c r="I341" s="202" t="str">
        <f>Coins!I341</f>
        <v/>
      </c>
      <c r="J341" s="198" t="str">
        <f>Coins!J341</f>
        <v/>
      </c>
      <c r="K341" s="201" t="str">
        <f>Coins!K341</f>
        <v/>
      </c>
      <c r="L341" s="198" t="str">
        <f>Coins!L341</f>
        <v/>
      </c>
      <c r="M341" s="198"/>
      <c r="N341" s="198"/>
      <c r="P341" s="66" t="str">
        <f t="shared" si="4"/>
        <v/>
      </c>
    </row>
    <row r="342">
      <c r="A342" s="198" t="str">
        <f>Coins!A342</f>
        <v/>
      </c>
      <c r="B342" s="199" t="str">
        <f>Coins!B342</f>
        <v/>
      </c>
      <c r="C342" s="198" t="str">
        <f>Coins!C342</f>
        <v/>
      </c>
      <c r="D342" s="198" t="str">
        <f>Coins!D342</f>
        <v/>
      </c>
      <c r="E342" s="198" t="str">
        <f>Coins!E342</f>
        <v/>
      </c>
      <c r="F342" s="198" t="str">
        <f>Coins!F342</f>
        <v/>
      </c>
      <c r="G342" s="198" t="str">
        <f>Coins!G342</f>
        <v/>
      </c>
      <c r="H342" s="201" t="str">
        <f>if(Coins!H342="N/A",0,Coins!H342)</f>
        <v/>
      </c>
      <c r="I342" s="202" t="str">
        <f>Coins!I342</f>
        <v/>
      </c>
      <c r="J342" s="198" t="str">
        <f>Coins!J342</f>
        <v/>
      </c>
      <c r="K342" s="201" t="str">
        <f>Coins!K342</f>
        <v/>
      </c>
      <c r="L342" s="198" t="str">
        <f>Coins!L342</f>
        <v/>
      </c>
      <c r="M342" s="198"/>
      <c r="N342" s="198"/>
      <c r="P342" s="66" t="str">
        <f t="shared" si="4"/>
        <v/>
      </c>
    </row>
    <row r="343">
      <c r="A343" s="198" t="str">
        <f>Coins!A343</f>
        <v/>
      </c>
      <c r="B343" s="199" t="str">
        <f>Coins!B343</f>
        <v/>
      </c>
      <c r="C343" s="198" t="str">
        <f>Coins!C343</f>
        <v/>
      </c>
      <c r="D343" s="198" t="str">
        <f>Coins!D343</f>
        <v/>
      </c>
      <c r="E343" s="198" t="str">
        <f>Coins!E343</f>
        <v/>
      </c>
      <c r="F343" s="198" t="str">
        <f>Coins!F343</f>
        <v/>
      </c>
      <c r="G343" s="198" t="str">
        <f>Coins!G343</f>
        <v/>
      </c>
      <c r="H343" s="201" t="str">
        <f>if(Coins!H343="N/A",0,Coins!H343)</f>
        <v/>
      </c>
      <c r="I343" s="202" t="str">
        <f>Coins!I343</f>
        <v/>
      </c>
      <c r="J343" s="198" t="str">
        <f>Coins!J343</f>
        <v/>
      </c>
      <c r="K343" s="201" t="str">
        <f>Coins!K343</f>
        <v/>
      </c>
      <c r="L343" s="198" t="str">
        <f>Coins!L343</f>
        <v/>
      </c>
      <c r="M343" s="198"/>
      <c r="N343" s="198"/>
      <c r="P343" s="66" t="str">
        <f t="shared" si="4"/>
        <v/>
      </c>
    </row>
    <row r="344">
      <c r="A344" s="198" t="str">
        <f>Coins!A344</f>
        <v/>
      </c>
      <c r="B344" s="199" t="str">
        <f>Coins!B344</f>
        <v/>
      </c>
      <c r="C344" s="198" t="str">
        <f>Coins!C344</f>
        <v/>
      </c>
      <c r="D344" s="198" t="str">
        <f>Coins!D344</f>
        <v/>
      </c>
      <c r="E344" s="198" t="str">
        <f>Coins!E344</f>
        <v/>
      </c>
      <c r="F344" s="198" t="str">
        <f>Coins!F344</f>
        <v/>
      </c>
      <c r="G344" s="198" t="str">
        <f>Coins!G344</f>
        <v/>
      </c>
      <c r="H344" s="201" t="str">
        <f>if(Coins!H344="N/A",0,Coins!H344)</f>
        <v/>
      </c>
      <c r="I344" s="202" t="str">
        <f>Coins!I344</f>
        <v/>
      </c>
      <c r="J344" s="198" t="str">
        <f>Coins!J344</f>
        <v/>
      </c>
      <c r="K344" s="201" t="str">
        <f>Coins!K344</f>
        <v/>
      </c>
      <c r="L344" s="198" t="str">
        <f>Coins!L344</f>
        <v/>
      </c>
      <c r="M344" s="198"/>
      <c r="N344" s="198"/>
      <c r="P344" s="66" t="str">
        <f t="shared" si="4"/>
        <v/>
      </c>
    </row>
    <row r="345">
      <c r="A345" s="198" t="str">
        <f>Coins!A345</f>
        <v/>
      </c>
      <c r="B345" s="199" t="str">
        <f>Coins!B345</f>
        <v/>
      </c>
      <c r="C345" s="198" t="str">
        <f>Coins!C345</f>
        <v/>
      </c>
      <c r="D345" s="198" t="str">
        <f>Coins!D345</f>
        <v/>
      </c>
      <c r="E345" s="198" t="str">
        <f>Coins!E345</f>
        <v/>
      </c>
      <c r="F345" s="198" t="str">
        <f>Coins!F345</f>
        <v/>
      </c>
      <c r="G345" s="198" t="str">
        <f>Coins!G345</f>
        <v/>
      </c>
      <c r="H345" s="201" t="str">
        <f>if(Coins!H345="N/A",0,Coins!H345)</f>
        <v/>
      </c>
      <c r="I345" s="202" t="str">
        <f>Coins!I345</f>
        <v/>
      </c>
      <c r="J345" s="198" t="str">
        <f>Coins!J345</f>
        <v/>
      </c>
      <c r="K345" s="201" t="str">
        <f>Coins!K345</f>
        <v/>
      </c>
      <c r="L345" s="198" t="str">
        <f>Coins!L345</f>
        <v/>
      </c>
      <c r="M345" s="198"/>
      <c r="N345" s="198"/>
      <c r="P345" s="66" t="str">
        <f t="shared" si="4"/>
        <v/>
      </c>
    </row>
    <row r="346">
      <c r="A346" s="198" t="str">
        <f>Coins!A346</f>
        <v/>
      </c>
      <c r="B346" s="199" t="str">
        <f>Coins!B346</f>
        <v/>
      </c>
      <c r="C346" s="198" t="str">
        <f>Coins!C346</f>
        <v/>
      </c>
      <c r="D346" s="198" t="str">
        <f>Coins!D346</f>
        <v/>
      </c>
      <c r="E346" s="198" t="str">
        <f>Coins!E346</f>
        <v/>
      </c>
      <c r="F346" s="198" t="str">
        <f>Coins!F346</f>
        <v/>
      </c>
      <c r="G346" s="198" t="str">
        <f>Coins!G346</f>
        <v/>
      </c>
      <c r="H346" s="201" t="str">
        <f>if(Coins!H346="N/A",0,Coins!H346)</f>
        <v/>
      </c>
      <c r="I346" s="202" t="str">
        <f>Coins!I346</f>
        <v/>
      </c>
      <c r="J346" s="198" t="str">
        <f>Coins!J346</f>
        <v/>
      </c>
      <c r="K346" s="201" t="str">
        <f>Coins!K346</f>
        <v/>
      </c>
      <c r="L346" s="198" t="str">
        <f>Coins!L346</f>
        <v/>
      </c>
      <c r="M346" s="198"/>
      <c r="N346" s="198"/>
      <c r="P346" s="66" t="str">
        <f t="shared" si="4"/>
        <v/>
      </c>
    </row>
    <row r="347">
      <c r="A347" s="198" t="str">
        <f>Coins!A347</f>
        <v/>
      </c>
      <c r="B347" s="199" t="str">
        <f>Coins!B347</f>
        <v/>
      </c>
      <c r="C347" s="198" t="str">
        <f>Coins!C347</f>
        <v/>
      </c>
      <c r="D347" s="198" t="str">
        <f>Coins!D347</f>
        <v/>
      </c>
      <c r="E347" s="198" t="str">
        <f>Coins!E347</f>
        <v/>
      </c>
      <c r="F347" s="198" t="str">
        <f>Coins!F347</f>
        <v/>
      </c>
      <c r="G347" s="198" t="str">
        <f>Coins!G347</f>
        <v/>
      </c>
      <c r="H347" s="201" t="str">
        <f>if(Coins!H347="N/A",0,Coins!H347)</f>
        <v/>
      </c>
      <c r="I347" s="202" t="str">
        <f>Coins!I347</f>
        <v/>
      </c>
      <c r="J347" s="198" t="str">
        <f>Coins!J347</f>
        <v/>
      </c>
      <c r="K347" s="201" t="str">
        <f>Coins!K347</f>
        <v/>
      </c>
      <c r="L347" s="198" t="str">
        <f>Coins!L347</f>
        <v/>
      </c>
      <c r="M347" s="198"/>
      <c r="N347" s="198"/>
      <c r="P347" s="66" t="str">
        <f t="shared" si="4"/>
        <v/>
      </c>
    </row>
    <row r="348">
      <c r="A348" s="198" t="str">
        <f>Coins!A348</f>
        <v/>
      </c>
      <c r="B348" s="199" t="str">
        <f>Coins!B348</f>
        <v/>
      </c>
      <c r="C348" s="198" t="str">
        <f>Coins!C348</f>
        <v/>
      </c>
      <c r="D348" s="198" t="str">
        <f>Coins!D348</f>
        <v/>
      </c>
      <c r="E348" s="198" t="str">
        <f>Coins!E348</f>
        <v/>
      </c>
      <c r="F348" s="198" t="str">
        <f>Coins!F348</f>
        <v/>
      </c>
      <c r="G348" s="198" t="str">
        <f>Coins!G348</f>
        <v/>
      </c>
      <c r="H348" s="201" t="str">
        <f>if(Coins!H348="N/A",0,Coins!H348)</f>
        <v/>
      </c>
      <c r="I348" s="202" t="str">
        <f>Coins!I348</f>
        <v/>
      </c>
      <c r="J348" s="198" t="str">
        <f>Coins!J348</f>
        <v/>
      </c>
      <c r="K348" s="201" t="str">
        <f>Coins!K348</f>
        <v/>
      </c>
      <c r="L348" s="198" t="str">
        <f>Coins!L348</f>
        <v/>
      </c>
      <c r="M348" s="198"/>
      <c r="N348" s="198"/>
      <c r="P348" s="66" t="str">
        <f t="shared" si="4"/>
        <v/>
      </c>
    </row>
    <row r="349">
      <c r="A349" s="198" t="str">
        <f>Coins!A349</f>
        <v/>
      </c>
      <c r="B349" s="199" t="str">
        <f>Coins!B349</f>
        <v/>
      </c>
      <c r="C349" s="198" t="str">
        <f>Coins!C349</f>
        <v/>
      </c>
      <c r="D349" s="198" t="str">
        <f>Coins!D349</f>
        <v/>
      </c>
      <c r="E349" s="198" t="str">
        <f>Coins!E349</f>
        <v/>
      </c>
      <c r="F349" s="198" t="str">
        <f>Coins!F349</f>
        <v/>
      </c>
      <c r="G349" s="198" t="str">
        <f>Coins!G349</f>
        <v/>
      </c>
      <c r="H349" s="201" t="str">
        <f>if(Coins!H349="N/A",0,Coins!H349)</f>
        <v/>
      </c>
      <c r="I349" s="202" t="str">
        <f>Coins!I349</f>
        <v/>
      </c>
      <c r="J349" s="198" t="str">
        <f>Coins!J349</f>
        <v/>
      </c>
      <c r="K349" s="201" t="str">
        <f>Coins!K349</f>
        <v/>
      </c>
      <c r="L349" s="198" t="str">
        <f>Coins!L349</f>
        <v/>
      </c>
      <c r="M349" s="198"/>
      <c r="N349" s="198"/>
      <c r="P349" s="66" t="str">
        <f t="shared" si="4"/>
        <v/>
      </c>
    </row>
    <row r="350">
      <c r="A350" s="198" t="str">
        <f>Coins!A350</f>
        <v/>
      </c>
      <c r="B350" s="199" t="str">
        <f>Coins!B350</f>
        <v/>
      </c>
      <c r="C350" s="198" t="str">
        <f>Coins!C350</f>
        <v/>
      </c>
      <c r="D350" s="198" t="str">
        <f>Coins!D350</f>
        <v/>
      </c>
      <c r="E350" s="198" t="str">
        <f>Coins!E350</f>
        <v/>
      </c>
      <c r="F350" s="198" t="str">
        <f>Coins!F350</f>
        <v/>
      </c>
      <c r="G350" s="198" t="str">
        <f>Coins!G350</f>
        <v/>
      </c>
      <c r="H350" s="201" t="str">
        <f>if(Coins!H350="N/A",0,Coins!H350)</f>
        <v/>
      </c>
      <c r="I350" s="202" t="str">
        <f>Coins!I350</f>
        <v/>
      </c>
      <c r="J350" s="198" t="str">
        <f>Coins!J350</f>
        <v/>
      </c>
      <c r="K350" s="201" t="str">
        <f>Coins!K350</f>
        <v/>
      </c>
      <c r="L350" s="198" t="str">
        <f>Coins!L350</f>
        <v/>
      </c>
      <c r="M350" s="198"/>
      <c r="N350" s="198"/>
      <c r="P350" s="66" t="str">
        <f t="shared" si="4"/>
        <v/>
      </c>
    </row>
    <row r="351">
      <c r="A351" s="198" t="str">
        <f>Coins!A351</f>
        <v/>
      </c>
      <c r="B351" s="199" t="str">
        <f>Coins!B351</f>
        <v/>
      </c>
      <c r="C351" s="198" t="str">
        <f>Coins!C351</f>
        <v/>
      </c>
      <c r="D351" s="198" t="str">
        <f>Coins!D351</f>
        <v/>
      </c>
      <c r="E351" s="198" t="str">
        <f>Coins!E351</f>
        <v/>
      </c>
      <c r="F351" s="198" t="str">
        <f>Coins!F351</f>
        <v/>
      </c>
      <c r="G351" s="198" t="str">
        <f>Coins!G351</f>
        <v/>
      </c>
      <c r="H351" s="201" t="str">
        <f>if(Coins!H351="N/A",0,Coins!H351)</f>
        <v/>
      </c>
      <c r="I351" s="202" t="str">
        <f>Coins!I351</f>
        <v/>
      </c>
      <c r="J351" s="198" t="str">
        <f>Coins!J351</f>
        <v/>
      </c>
      <c r="K351" s="201" t="str">
        <f>Coins!K351</f>
        <v/>
      </c>
      <c r="L351" s="198" t="str">
        <f>Coins!L351</f>
        <v/>
      </c>
      <c r="M351" s="198"/>
      <c r="N351" s="198"/>
      <c r="P351" s="66" t="str">
        <f t="shared" si="4"/>
        <v/>
      </c>
    </row>
    <row r="352">
      <c r="A352" s="198" t="str">
        <f>Coins!A352</f>
        <v/>
      </c>
      <c r="B352" s="199" t="str">
        <f>Coins!B352</f>
        <v/>
      </c>
      <c r="C352" s="198" t="str">
        <f>Coins!C352</f>
        <v/>
      </c>
      <c r="D352" s="198" t="str">
        <f>Coins!D352</f>
        <v/>
      </c>
      <c r="E352" s="198" t="str">
        <f>Coins!E352</f>
        <v/>
      </c>
      <c r="F352" s="198" t="str">
        <f>Coins!F352</f>
        <v/>
      </c>
      <c r="G352" s="198" t="str">
        <f>Coins!G352</f>
        <v/>
      </c>
      <c r="H352" s="201" t="str">
        <f>if(Coins!H352="N/A",0,Coins!H352)</f>
        <v/>
      </c>
      <c r="I352" s="202" t="str">
        <f>Coins!I352</f>
        <v/>
      </c>
      <c r="J352" s="198" t="str">
        <f>Coins!J352</f>
        <v/>
      </c>
      <c r="K352" s="201" t="str">
        <f>Coins!K352</f>
        <v/>
      </c>
      <c r="L352" s="198" t="str">
        <f>Coins!L352</f>
        <v/>
      </c>
      <c r="M352" s="198"/>
      <c r="N352" s="198"/>
      <c r="P352" s="66" t="str">
        <f t="shared" si="4"/>
        <v/>
      </c>
    </row>
    <row r="353">
      <c r="A353" s="198" t="str">
        <f>Coins!A353</f>
        <v/>
      </c>
      <c r="B353" s="199" t="str">
        <f>Coins!B353</f>
        <v/>
      </c>
      <c r="C353" s="198" t="str">
        <f>Coins!C353</f>
        <v/>
      </c>
      <c r="D353" s="198" t="str">
        <f>Coins!D353</f>
        <v/>
      </c>
      <c r="E353" s="198" t="str">
        <f>Coins!E353</f>
        <v/>
      </c>
      <c r="F353" s="198" t="str">
        <f>Coins!F353</f>
        <v/>
      </c>
      <c r="G353" s="198" t="str">
        <f>Coins!G353</f>
        <v/>
      </c>
      <c r="H353" s="201" t="str">
        <f>if(Coins!H353="N/A",0,Coins!H353)</f>
        <v/>
      </c>
      <c r="I353" s="202" t="str">
        <f>Coins!I353</f>
        <v/>
      </c>
      <c r="J353" s="198" t="str">
        <f>Coins!J353</f>
        <v/>
      </c>
      <c r="K353" s="201" t="str">
        <f>Coins!K353</f>
        <v/>
      </c>
      <c r="L353" s="198" t="str">
        <f>Coins!L353</f>
        <v/>
      </c>
      <c r="M353" s="198"/>
      <c r="N353" s="198"/>
      <c r="P353" s="66" t="str">
        <f t="shared" si="4"/>
        <v/>
      </c>
    </row>
    <row r="354">
      <c r="A354" s="198" t="str">
        <f>Coins!A354</f>
        <v/>
      </c>
      <c r="B354" s="199" t="str">
        <f>Coins!B354</f>
        <v/>
      </c>
      <c r="C354" s="198" t="str">
        <f>Coins!C354</f>
        <v/>
      </c>
      <c r="D354" s="198" t="str">
        <f>Coins!D354</f>
        <v/>
      </c>
      <c r="E354" s="198" t="str">
        <f>Coins!E354</f>
        <v/>
      </c>
      <c r="F354" s="198" t="str">
        <f>Coins!F354</f>
        <v/>
      </c>
      <c r="G354" s="198" t="str">
        <f>Coins!G354</f>
        <v/>
      </c>
      <c r="H354" s="201" t="str">
        <f>if(Coins!H354="N/A",0,Coins!H354)</f>
        <v/>
      </c>
      <c r="I354" s="202" t="str">
        <f>Coins!I354</f>
        <v/>
      </c>
      <c r="J354" s="198" t="str">
        <f>Coins!J354</f>
        <v/>
      </c>
      <c r="K354" s="201" t="str">
        <f>Coins!K354</f>
        <v/>
      </c>
      <c r="L354" s="198" t="str">
        <f>Coins!L354</f>
        <v/>
      </c>
      <c r="M354" s="198"/>
      <c r="N354" s="198"/>
      <c r="P354" s="66" t="str">
        <f t="shared" si="4"/>
        <v/>
      </c>
    </row>
    <row r="355">
      <c r="A355" s="198" t="str">
        <f>Coins!A355</f>
        <v/>
      </c>
      <c r="B355" s="199" t="str">
        <f>Coins!B355</f>
        <v/>
      </c>
      <c r="C355" s="198" t="str">
        <f>Coins!C355</f>
        <v/>
      </c>
      <c r="D355" s="198" t="str">
        <f>Coins!D355</f>
        <v/>
      </c>
      <c r="E355" s="198" t="str">
        <f>Coins!E355</f>
        <v/>
      </c>
      <c r="F355" s="198" t="str">
        <f>Coins!F355</f>
        <v/>
      </c>
      <c r="G355" s="198" t="str">
        <f>Coins!G355</f>
        <v/>
      </c>
      <c r="H355" s="201" t="str">
        <f>if(Coins!H355="N/A",0,Coins!H355)</f>
        <v/>
      </c>
      <c r="I355" s="202" t="str">
        <f>Coins!I355</f>
        <v/>
      </c>
      <c r="J355" s="198" t="str">
        <f>Coins!J355</f>
        <v/>
      </c>
      <c r="K355" s="201" t="str">
        <f>Coins!K355</f>
        <v/>
      </c>
      <c r="L355" s="198" t="str">
        <f>Coins!L355</f>
        <v/>
      </c>
      <c r="M355" s="198"/>
      <c r="N355" s="198"/>
      <c r="P355" s="66" t="str">
        <f t="shared" si="4"/>
        <v/>
      </c>
    </row>
    <row r="356">
      <c r="A356" s="198" t="str">
        <f>Coins!A356</f>
        <v/>
      </c>
      <c r="B356" s="199" t="str">
        <f>Coins!B356</f>
        <v/>
      </c>
      <c r="C356" s="198" t="str">
        <f>Coins!C356</f>
        <v/>
      </c>
      <c r="D356" s="198" t="str">
        <f>Coins!D356</f>
        <v/>
      </c>
      <c r="E356" s="198" t="str">
        <f>Coins!E356</f>
        <v/>
      </c>
      <c r="F356" s="198" t="str">
        <f>Coins!F356</f>
        <v/>
      </c>
      <c r="G356" s="198" t="str">
        <f>Coins!G356</f>
        <v/>
      </c>
      <c r="H356" s="201" t="str">
        <f>if(Coins!H356="N/A",0,Coins!H356)</f>
        <v/>
      </c>
      <c r="I356" s="202" t="str">
        <f>Coins!I356</f>
        <v/>
      </c>
      <c r="J356" s="198" t="str">
        <f>Coins!J356</f>
        <v/>
      </c>
      <c r="K356" s="201" t="str">
        <f>Coins!K356</f>
        <v/>
      </c>
      <c r="L356" s="198" t="str">
        <f>Coins!L356</f>
        <v/>
      </c>
      <c r="M356" s="198"/>
      <c r="N356" s="198"/>
      <c r="P356" s="66" t="str">
        <f t="shared" si="4"/>
        <v/>
      </c>
    </row>
    <row r="357">
      <c r="A357" s="198" t="str">
        <f>Coins!A357</f>
        <v/>
      </c>
      <c r="B357" s="199" t="str">
        <f>Coins!B357</f>
        <v/>
      </c>
      <c r="C357" s="198" t="str">
        <f>Coins!C357</f>
        <v/>
      </c>
      <c r="D357" s="198" t="str">
        <f>Coins!D357</f>
        <v/>
      </c>
      <c r="E357" s="198" t="str">
        <f>Coins!E357</f>
        <v/>
      </c>
      <c r="F357" s="198" t="str">
        <f>Coins!F357</f>
        <v/>
      </c>
      <c r="G357" s="198" t="str">
        <f>Coins!G357</f>
        <v/>
      </c>
      <c r="H357" s="201" t="str">
        <f>if(Coins!H357="N/A",0,Coins!H357)</f>
        <v/>
      </c>
      <c r="I357" s="202" t="str">
        <f>Coins!I357</f>
        <v/>
      </c>
      <c r="J357" s="198" t="str">
        <f>Coins!J357</f>
        <v/>
      </c>
      <c r="K357" s="201" t="str">
        <f>Coins!K357</f>
        <v/>
      </c>
      <c r="L357" s="198" t="str">
        <f>Coins!L357</f>
        <v/>
      </c>
      <c r="M357" s="198"/>
      <c r="N357" s="198"/>
      <c r="P357" s="66" t="str">
        <f t="shared" si="4"/>
        <v/>
      </c>
    </row>
    <row r="358">
      <c r="A358" s="198" t="str">
        <f>Coins!A358</f>
        <v/>
      </c>
      <c r="B358" s="199" t="str">
        <f>Coins!B358</f>
        <v/>
      </c>
      <c r="C358" s="198" t="str">
        <f>Coins!C358</f>
        <v/>
      </c>
      <c r="D358" s="198" t="str">
        <f>Coins!D358</f>
        <v/>
      </c>
      <c r="E358" s="198" t="str">
        <f>Coins!E358</f>
        <v/>
      </c>
      <c r="F358" s="198" t="str">
        <f>Coins!F358</f>
        <v/>
      </c>
      <c r="G358" s="198" t="str">
        <f>Coins!G358</f>
        <v/>
      </c>
      <c r="H358" s="201" t="str">
        <f>if(Coins!H358="N/A",0,Coins!H358)</f>
        <v/>
      </c>
      <c r="I358" s="202" t="str">
        <f>Coins!I358</f>
        <v/>
      </c>
      <c r="J358" s="198" t="str">
        <f>Coins!J358</f>
        <v/>
      </c>
      <c r="K358" s="201" t="str">
        <f>Coins!K358</f>
        <v/>
      </c>
      <c r="L358" s="198" t="str">
        <f>Coins!L358</f>
        <v/>
      </c>
      <c r="M358" s="198"/>
      <c r="N358" s="198"/>
      <c r="P358" s="66" t="str">
        <f t="shared" si="4"/>
        <v/>
      </c>
    </row>
    <row r="359">
      <c r="A359" s="198" t="str">
        <f>Coins!A359</f>
        <v/>
      </c>
      <c r="B359" s="199" t="str">
        <f>Coins!B359</f>
        <v/>
      </c>
      <c r="C359" s="198" t="str">
        <f>Coins!C359</f>
        <v/>
      </c>
      <c r="D359" s="198" t="str">
        <f>Coins!D359</f>
        <v/>
      </c>
      <c r="E359" s="198" t="str">
        <f>Coins!E359</f>
        <v/>
      </c>
      <c r="F359" s="198" t="str">
        <f>Coins!F359</f>
        <v/>
      </c>
      <c r="G359" s="198" t="str">
        <f>Coins!G359</f>
        <v/>
      </c>
      <c r="H359" s="201" t="str">
        <f>if(Coins!H359="N/A",0,Coins!H359)</f>
        <v/>
      </c>
      <c r="I359" s="202" t="str">
        <f>Coins!I359</f>
        <v/>
      </c>
      <c r="J359" s="198" t="str">
        <f>Coins!J359</f>
        <v/>
      </c>
      <c r="K359" s="201" t="str">
        <f>Coins!K359</f>
        <v/>
      </c>
      <c r="L359" s="198" t="str">
        <f>Coins!L359</f>
        <v/>
      </c>
      <c r="M359" s="198"/>
      <c r="N359" s="198"/>
      <c r="P359" s="66" t="str">
        <f t="shared" si="4"/>
        <v/>
      </c>
    </row>
    <row r="360">
      <c r="A360" s="198" t="str">
        <f>Coins!A360</f>
        <v/>
      </c>
      <c r="B360" s="199" t="str">
        <f>Coins!B360</f>
        <v/>
      </c>
      <c r="C360" s="198" t="str">
        <f>Coins!C360</f>
        <v/>
      </c>
      <c r="D360" s="198" t="str">
        <f>Coins!D360</f>
        <v/>
      </c>
      <c r="E360" s="198" t="str">
        <f>Coins!E360</f>
        <v/>
      </c>
      <c r="F360" s="198" t="str">
        <f>Coins!F360</f>
        <v/>
      </c>
      <c r="G360" s="198" t="str">
        <f>Coins!G360</f>
        <v/>
      </c>
      <c r="H360" s="201" t="str">
        <f>if(Coins!H360="N/A",0,Coins!H360)</f>
        <v/>
      </c>
      <c r="I360" s="202" t="str">
        <f>Coins!I360</f>
        <v/>
      </c>
      <c r="J360" s="198" t="str">
        <f>Coins!J360</f>
        <v/>
      </c>
      <c r="K360" s="201" t="str">
        <f>Coins!K360</f>
        <v/>
      </c>
      <c r="L360" s="198" t="str">
        <f>Coins!L360</f>
        <v/>
      </c>
      <c r="M360" s="198"/>
      <c r="N360" s="198"/>
      <c r="P360" s="66" t="str">
        <f t="shared" si="4"/>
        <v/>
      </c>
    </row>
    <row r="361">
      <c r="A361" s="198" t="str">
        <f>Coins!A361</f>
        <v/>
      </c>
      <c r="B361" s="199" t="str">
        <f>Coins!B361</f>
        <v/>
      </c>
      <c r="C361" s="198" t="str">
        <f>Coins!C361</f>
        <v/>
      </c>
      <c r="D361" s="198" t="str">
        <f>Coins!D361</f>
        <v/>
      </c>
      <c r="E361" s="198" t="str">
        <f>Coins!E361</f>
        <v/>
      </c>
      <c r="F361" s="198" t="str">
        <f>Coins!F361</f>
        <v/>
      </c>
      <c r="G361" s="198" t="str">
        <f>Coins!G361</f>
        <v/>
      </c>
      <c r="H361" s="201" t="str">
        <f>if(Coins!H361="N/A",0,Coins!H361)</f>
        <v/>
      </c>
      <c r="I361" s="202" t="str">
        <f>Coins!I361</f>
        <v/>
      </c>
      <c r="J361" s="198" t="str">
        <f>Coins!J361</f>
        <v/>
      </c>
      <c r="K361" s="201" t="str">
        <f>Coins!K361</f>
        <v/>
      </c>
      <c r="L361" s="198" t="str">
        <f>Coins!L361</f>
        <v/>
      </c>
      <c r="M361" s="198"/>
      <c r="N361" s="198"/>
      <c r="P361" s="66" t="str">
        <f t="shared" si="4"/>
        <v/>
      </c>
    </row>
    <row r="362">
      <c r="A362" s="198" t="str">
        <f>Coins!A362</f>
        <v/>
      </c>
      <c r="B362" s="199" t="str">
        <f>Coins!B362</f>
        <v/>
      </c>
      <c r="C362" s="198" t="str">
        <f>Coins!C362</f>
        <v/>
      </c>
      <c r="D362" s="198" t="str">
        <f>Coins!D362</f>
        <v/>
      </c>
      <c r="E362" s="198" t="str">
        <f>Coins!E362</f>
        <v/>
      </c>
      <c r="F362" s="198" t="str">
        <f>Coins!F362</f>
        <v/>
      </c>
      <c r="G362" s="198" t="str">
        <f>Coins!G362</f>
        <v/>
      </c>
      <c r="H362" s="201" t="str">
        <f>if(Coins!H362="N/A",0,Coins!H362)</f>
        <v/>
      </c>
      <c r="I362" s="202" t="str">
        <f>Coins!I362</f>
        <v/>
      </c>
      <c r="J362" s="198" t="str">
        <f>Coins!J362</f>
        <v/>
      </c>
      <c r="K362" s="201" t="str">
        <f>Coins!K362</f>
        <v/>
      </c>
      <c r="L362" s="198" t="str">
        <f>Coins!L362</f>
        <v/>
      </c>
      <c r="M362" s="198"/>
      <c r="N362" s="198"/>
      <c r="P362" s="66" t="str">
        <f t="shared" si="4"/>
        <v/>
      </c>
    </row>
    <row r="363">
      <c r="A363" s="198" t="str">
        <f>Coins!A363</f>
        <v/>
      </c>
      <c r="B363" s="199" t="str">
        <f>Coins!B363</f>
        <v/>
      </c>
      <c r="C363" s="198" t="str">
        <f>Coins!C363</f>
        <v/>
      </c>
      <c r="D363" s="198" t="str">
        <f>Coins!D363</f>
        <v/>
      </c>
      <c r="E363" s="198" t="str">
        <f>Coins!E363</f>
        <v/>
      </c>
      <c r="F363" s="198" t="str">
        <f>Coins!F363</f>
        <v/>
      </c>
      <c r="G363" s="198" t="str">
        <f>Coins!G363</f>
        <v/>
      </c>
      <c r="H363" s="201" t="str">
        <f>if(Coins!H363="N/A",0,Coins!H363)</f>
        <v/>
      </c>
      <c r="I363" s="202" t="str">
        <f>Coins!I363</f>
        <v/>
      </c>
      <c r="J363" s="198" t="str">
        <f>Coins!J363</f>
        <v/>
      </c>
      <c r="K363" s="201" t="str">
        <f>Coins!K363</f>
        <v/>
      </c>
      <c r="L363" s="198" t="str">
        <f>Coins!L363</f>
        <v/>
      </c>
      <c r="M363" s="198"/>
      <c r="N363" s="198"/>
      <c r="P363" s="66" t="str">
        <f t="shared" si="4"/>
        <v/>
      </c>
    </row>
    <row r="364">
      <c r="A364" s="198" t="str">
        <f>Coins!A364</f>
        <v/>
      </c>
      <c r="B364" s="199" t="str">
        <f>Coins!B364</f>
        <v/>
      </c>
      <c r="C364" s="198" t="str">
        <f>Coins!C364</f>
        <v/>
      </c>
      <c r="D364" s="198" t="str">
        <f>Coins!D364</f>
        <v/>
      </c>
      <c r="E364" s="198" t="str">
        <f>Coins!E364</f>
        <v/>
      </c>
      <c r="F364" s="198" t="str">
        <f>Coins!F364</f>
        <v/>
      </c>
      <c r="G364" s="198" t="str">
        <f>Coins!G364</f>
        <v/>
      </c>
      <c r="H364" s="201" t="str">
        <f>if(Coins!H364="N/A",0,Coins!H364)</f>
        <v/>
      </c>
      <c r="I364" s="202" t="str">
        <f>Coins!I364</f>
        <v/>
      </c>
      <c r="J364" s="198" t="str">
        <f>Coins!J364</f>
        <v/>
      </c>
      <c r="K364" s="201" t="str">
        <f>Coins!K364</f>
        <v/>
      </c>
      <c r="L364" s="198" t="str">
        <f>Coins!L364</f>
        <v/>
      </c>
      <c r="M364" s="198"/>
      <c r="N364" s="198"/>
      <c r="P364" s="66" t="str">
        <f t="shared" si="4"/>
        <v/>
      </c>
    </row>
    <row r="365">
      <c r="A365" s="198" t="str">
        <f>Coins!A365</f>
        <v/>
      </c>
      <c r="B365" s="199" t="str">
        <f>Coins!B365</f>
        <v/>
      </c>
      <c r="C365" s="198" t="str">
        <f>Coins!C365</f>
        <v/>
      </c>
      <c r="D365" s="198" t="str">
        <f>Coins!D365</f>
        <v/>
      </c>
      <c r="E365" s="198" t="str">
        <f>Coins!E365</f>
        <v/>
      </c>
      <c r="F365" s="198" t="str">
        <f>Coins!F365</f>
        <v/>
      </c>
      <c r="G365" s="198" t="str">
        <f>Coins!G365</f>
        <v/>
      </c>
      <c r="H365" s="201" t="str">
        <f>if(Coins!H365="N/A",0,Coins!H365)</f>
        <v/>
      </c>
      <c r="I365" s="202" t="str">
        <f>Coins!I365</f>
        <v/>
      </c>
      <c r="J365" s="198" t="str">
        <f>Coins!J365</f>
        <v/>
      </c>
      <c r="K365" s="201" t="str">
        <f>Coins!K365</f>
        <v/>
      </c>
      <c r="L365" s="198" t="str">
        <f>Coins!L365</f>
        <v/>
      </c>
      <c r="M365" s="198"/>
      <c r="N365" s="198"/>
      <c r="P365" s="66" t="str">
        <f t="shared" si="4"/>
        <v/>
      </c>
    </row>
    <row r="366">
      <c r="A366" s="198" t="str">
        <f>Coins!A366</f>
        <v/>
      </c>
      <c r="B366" s="199" t="str">
        <f>Coins!B366</f>
        <v/>
      </c>
      <c r="C366" s="198" t="str">
        <f>Coins!C366</f>
        <v/>
      </c>
      <c r="D366" s="198" t="str">
        <f>Coins!D366</f>
        <v/>
      </c>
      <c r="E366" s="198" t="str">
        <f>Coins!E366</f>
        <v/>
      </c>
      <c r="F366" s="198" t="str">
        <f>Coins!F366</f>
        <v/>
      </c>
      <c r="G366" s="198" t="str">
        <f>Coins!G366</f>
        <v/>
      </c>
      <c r="H366" s="201" t="str">
        <f>if(Coins!H366="N/A",0,Coins!H366)</f>
        <v/>
      </c>
      <c r="I366" s="202" t="str">
        <f>Coins!I366</f>
        <v/>
      </c>
      <c r="J366" s="198" t="str">
        <f>Coins!J366</f>
        <v/>
      </c>
      <c r="K366" s="201" t="str">
        <f>Coins!K366</f>
        <v/>
      </c>
      <c r="L366" s="198" t="str">
        <f>Coins!L366</f>
        <v/>
      </c>
      <c r="M366" s="198"/>
      <c r="N366" s="198"/>
      <c r="P366" s="66" t="str">
        <f t="shared" si="4"/>
        <v/>
      </c>
    </row>
    <row r="367">
      <c r="A367" s="198" t="str">
        <f>Coins!A367</f>
        <v/>
      </c>
      <c r="B367" s="199" t="str">
        <f>Coins!B367</f>
        <v/>
      </c>
      <c r="C367" s="198" t="str">
        <f>Coins!C367</f>
        <v/>
      </c>
      <c r="D367" s="198" t="str">
        <f>Coins!D367</f>
        <v/>
      </c>
      <c r="E367" s="198" t="str">
        <f>Coins!E367</f>
        <v/>
      </c>
      <c r="F367" s="198" t="str">
        <f>Coins!F367</f>
        <v/>
      </c>
      <c r="G367" s="198" t="str">
        <f>Coins!G367</f>
        <v/>
      </c>
      <c r="H367" s="201" t="str">
        <f>if(Coins!H367="N/A",0,Coins!H367)</f>
        <v/>
      </c>
      <c r="I367" s="202" t="str">
        <f>Coins!I367</f>
        <v/>
      </c>
      <c r="J367" s="198" t="str">
        <f>Coins!J367</f>
        <v/>
      </c>
      <c r="K367" s="201" t="str">
        <f>Coins!K367</f>
        <v/>
      </c>
      <c r="L367" s="198" t="str">
        <f>Coins!L367</f>
        <v/>
      </c>
      <c r="M367" s="198"/>
      <c r="N367" s="198"/>
      <c r="P367" s="66" t="str">
        <f t="shared" si="4"/>
        <v/>
      </c>
    </row>
    <row r="368">
      <c r="A368" s="198" t="str">
        <f>Coins!A368</f>
        <v/>
      </c>
      <c r="B368" s="199" t="str">
        <f>Coins!B368</f>
        <v/>
      </c>
      <c r="C368" s="198" t="str">
        <f>Coins!C368</f>
        <v/>
      </c>
      <c r="D368" s="198" t="str">
        <f>Coins!D368</f>
        <v/>
      </c>
      <c r="E368" s="198" t="str">
        <f>Coins!E368</f>
        <v/>
      </c>
      <c r="F368" s="198" t="str">
        <f>Coins!F368</f>
        <v/>
      </c>
      <c r="G368" s="198" t="str">
        <f>Coins!G368</f>
        <v/>
      </c>
      <c r="H368" s="201" t="str">
        <f>if(Coins!H368="N/A",0,Coins!H368)</f>
        <v/>
      </c>
      <c r="I368" s="202" t="str">
        <f>Coins!I368</f>
        <v/>
      </c>
      <c r="J368" s="198" t="str">
        <f>Coins!J368</f>
        <v/>
      </c>
      <c r="K368" s="201" t="str">
        <f>Coins!K368</f>
        <v/>
      </c>
      <c r="L368" s="198" t="str">
        <f>Coins!L368</f>
        <v/>
      </c>
      <c r="M368" s="198"/>
      <c r="N368" s="198"/>
      <c r="P368" s="66" t="str">
        <f t="shared" si="4"/>
        <v/>
      </c>
    </row>
    <row r="369">
      <c r="A369" s="198" t="str">
        <f>Coins!A369</f>
        <v/>
      </c>
      <c r="B369" s="199" t="str">
        <f>Coins!B369</f>
        <v/>
      </c>
      <c r="C369" s="198" t="str">
        <f>Coins!C369</f>
        <v/>
      </c>
      <c r="D369" s="198" t="str">
        <f>Coins!D369</f>
        <v/>
      </c>
      <c r="E369" s="198" t="str">
        <f>Coins!E369</f>
        <v/>
      </c>
      <c r="F369" s="198" t="str">
        <f>Coins!F369</f>
        <v/>
      </c>
      <c r="G369" s="198" t="str">
        <f>Coins!G369</f>
        <v/>
      </c>
      <c r="H369" s="201" t="str">
        <f>if(Coins!H369="N/A",0,Coins!H369)</f>
        <v/>
      </c>
      <c r="I369" s="202" t="str">
        <f>Coins!I369</f>
        <v/>
      </c>
      <c r="J369" s="198" t="str">
        <f>Coins!J369</f>
        <v/>
      </c>
      <c r="K369" s="201" t="str">
        <f>Coins!K369</f>
        <v/>
      </c>
      <c r="L369" s="198" t="str">
        <f>Coins!L369</f>
        <v/>
      </c>
      <c r="M369" s="198"/>
      <c r="N369" s="198"/>
      <c r="P369" s="66" t="str">
        <f t="shared" si="4"/>
        <v/>
      </c>
    </row>
    <row r="370">
      <c r="A370" s="198" t="str">
        <f>Coins!A370</f>
        <v/>
      </c>
      <c r="B370" s="199" t="str">
        <f>Coins!B370</f>
        <v/>
      </c>
      <c r="C370" s="198" t="str">
        <f>Coins!C370</f>
        <v/>
      </c>
      <c r="D370" s="198" t="str">
        <f>Coins!D370</f>
        <v/>
      </c>
      <c r="E370" s="198" t="str">
        <f>Coins!E370</f>
        <v/>
      </c>
      <c r="F370" s="198" t="str">
        <f>Coins!F370</f>
        <v/>
      </c>
      <c r="G370" s="198" t="str">
        <f>Coins!G370</f>
        <v/>
      </c>
      <c r="H370" s="201" t="str">
        <f>if(Coins!H370="N/A",0,Coins!H370)</f>
        <v/>
      </c>
      <c r="I370" s="202" t="str">
        <f>Coins!I370</f>
        <v/>
      </c>
      <c r="J370" s="198" t="str">
        <f>Coins!J370</f>
        <v/>
      </c>
      <c r="K370" s="201" t="str">
        <f>Coins!K370</f>
        <v/>
      </c>
      <c r="L370" s="198" t="str">
        <f>Coins!L370</f>
        <v/>
      </c>
      <c r="M370" s="198"/>
      <c r="N370" s="198"/>
      <c r="P370" s="66" t="str">
        <f t="shared" si="4"/>
        <v/>
      </c>
    </row>
    <row r="371">
      <c r="A371" s="198" t="str">
        <f>Coins!A371</f>
        <v/>
      </c>
      <c r="B371" s="199" t="str">
        <f>Coins!B371</f>
        <v/>
      </c>
      <c r="C371" s="198" t="str">
        <f>Coins!C371</f>
        <v/>
      </c>
      <c r="D371" s="198" t="str">
        <f>Coins!D371</f>
        <v/>
      </c>
      <c r="E371" s="198" t="str">
        <f>Coins!E371</f>
        <v/>
      </c>
      <c r="F371" s="198" t="str">
        <f>Coins!F371</f>
        <v/>
      </c>
      <c r="G371" s="198" t="str">
        <f>Coins!G371</f>
        <v/>
      </c>
      <c r="H371" s="201" t="str">
        <f>if(Coins!H371="N/A",0,Coins!H371)</f>
        <v/>
      </c>
      <c r="I371" s="202" t="str">
        <f>Coins!I371</f>
        <v/>
      </c>
      <c r="J371" s="198" t="str">
        <f>Coins!J371</f>
        <v/>
      </c>
      <c r="K371" s="201" t="str">
        <f>Coins!K371</f>
        <v/>
      </c>
      <c r="L371" s="198" t="str">
        <f>Coins!L371</f>
        <v/>
      </c>
      <c r="M371" s="198"/>
      <c r="N371" s="198"/>
      <c r="P371" s="66" t="str">
        <f t="shared" si="4"/>
        <v/>
      </c>
    </row>
    <row r="372">
      <c r="A372" s="198" t="str">
        <f>Coins!A372</f>
        <v/>
      </c>
      <c r="B372" s="199" t="str">
        <f>Coins!B372</f>
        <v/>
      </c>
      <c r="C372" s="198" t="str">
        <f>Coins!C372</f>
        <v/>
      </c>
      <c r="D372" s="198" t="str">
        <f>Coins!D372</f>
        <v/>
      </c>
      <c r="E372" s="198" t="str">
        <f>Coins!E372</f>
        <v/>
      </c>
      <c r="F372" s="198" t="str">
        <f>Coins!F372</f>
        <v/>
      </c>
      <c r="G372" s="198" t="str">
        <f>Coins!G372</f>
        <v/>
      </c>
      <c r="H372" s="201" t="str">
        <f>if(Coins!H372="N/A",0,Coins!H372)</f>
        <v/>
      </c>
      <c r="I372" s="202" t="str">
        <f>Coins!I372</f>
        <v/>
      </c>
      <c r="J372" s="198" t="str">
        <f>Coins!J372</f>
        <v/>
      </c>
      <c r="K372" s="201" t="str">
        <f>Coins!K372</f>
        <v/>
      </c>
      <c r="L372" s="198" t="str">
        <f>Coins!L372</f>
        <v/>
      </c>
      <c r="M372" s="198"/>
      <c r="N372" s="198"/>
      <c r="P372" s="66" t="str">
        <f t="shared" si="4"/>
        <v/>
      </c>
    </row>
    <row r="373">
      <c r="A373" s="198" t="str">
        <f>Coins!A373</f>
        <v/>
      </c>
      <c r="B373" s="199" t="str">
        <f>Coins!B373</f>
        <v/>
      </c>
      <c r="C373" s="198" t="str">
        <f>Coins!C373</f>
        <v/>
      </c>
      <c r="D373" s="198" t="str">
        <f>Coins!D373</f>
        <v/>
      </c>
      <c r="E373" s="198" t="str">
        <f>Coins!E373</f>
        <v/>
      </c>
      <c r="F373" s="198" t="str">
        <f>Coins!F373</f>
        <v/>
      </c>
      <c r="G373" s="198" t="str">
        <f>Coins!G373</f>
        <v/>
      </c>
      <c r="H373" s="201" t="str">
        <f>if(Coins!H373="N/A",0,Coins!H373)</f>
        <v/>
      </c>
      <c r="I373" s="202" t="str">
        <f>Coins!I373</f>
        <v/>
      </c>
      <c r="J373" s="198" t="str">
        <f>Coins!J373</f>
        <v/>
      </c>
      <c r="K373" s="201" t="str">
        <f>Coins!K373</f>
        <v/>
      </c>
      <c r="L373" s="198" t="str">
        <f>Coins!L373</f>
        <v/>
      </c>
      <c r="M373" s="198"/>
      <c r="N373" s="198"/>
      <c r="P373" s="66" t="str">
        <f t="shared" si="4"/>
        <v/>
      </c>
    </row>
    <row r="374">
      <c r="A374" s="198" t="str">
        <f>Coins!A374</f>
        <v/>
      </c>
      <c r="B374" s="199" t="str">
        <f>Coins!B374</f>
        <v/>
      </c>
      <c r="C374" s="198" t="str">
        <f>Coins!C374</f>
        <v/>
      </c>
      <c r="D374" s="198" t="str">
        <f>Coins!D374</f>
        <v/>
      </c>
      <c r="E374" s="198" t="str">
        <f>Coins!E374</f>
        <v/>
      </c>
      <c r="F374" s="198" t="str">
        <f>Coins!F374</f>
        <v/>
      </c>
      <c r="G374" s="198" t="str">
        <f>Coins!G374</f>
        <v/>
      </c>
      <c r="H374" s="201" t="str">
        <f>if(Coins!H374="N/A",0,Coins!H374)</f>
        <v/>
      </c>
      <c r="I374" s="202" t="str">
        <f>Coins!I374</f>
        <v/>
      </c>
      <c r="J374" s="198" t="str">
        <f>Coins!J374</f>
        <v/>
      </c>
      <c r="K374" s="201" t="str">
        <f>Coins!K374</f>
        <v/>
      </c>
      <c r="L374" s="198" t="str">
        <f>Coins!L374</f>
        <v/>
      </c>
      <c r="M374" s="198"/>
      <c r="N374" s="198"/>
      <c r="P374" s="66" t="str">
        <f t="shared" si="4"/>
        <v/>
      </c>
    </row>
    <row r="375">
      <c r="A375" s="198" t="str">
        <f>Coins!A375</f>
        <v/>
      </c>
      <c r="B375" s="199" t="str">
        <f>Coins!B375</f>
        <v/>
      </c>
      <c r="C375" s="198" t="str">
        <f>Coins!C375</f>
        <v/>
      </c>
      <c r="D375" s="198" t="str">
        <f>Coins!D375</f>
        <v/>
      </c>
      <c r="E375" s="198" t="str">
        <f>Coins!E375</f>
        <v/>
      </c>
      <c r="F375" s="198" t="str">
        <f>Coins!F375</f>
        <v/>
      </c>
      <c r="G375" s="198" t="str">
        <f>Coins!G375</f>
        <v/>
      </c>
      <c r="H375" s="201" t="str">
        <f>if(Coins!H375="N/A",0,Coins!H375)</f>
        <v/>
      </c>
      <c r="I375" s="202" t="str">
        <f>Coins!I375</f>
        <v/>
      </c>
      <c r="J375" s="198" t="str">
        <f>Coins!J375</f>
        <v/>
      </c>
      <c r="K375" s="201" t="str">
        <f>Coins!K375</f>
        <v/>
      </c>
      <c r="L375" s="198" t="str">
        <f>Coins!L375</f>
        <v/>
      </c>
      <c r="M375" s="198"/>
      <c r="N375" s="198"/>
      <c r="P375" s="66" t="str">
        <f t="shared" si="4"/>
        <v/>
      </c>
    </row>
    <row r="376">
      <c r="A376" s="198" t="str">
        <f>Coins!A376</f>
        <v/>
      </c>
      <c r="B376" s="199" t="str">
        <f>Coins!B376</f>
        <v/>
      </c>
      <c r="C376" s="198" t="str">
        <f>Coins!C376</f>
        <v/>
      </c>
      <c r="D376" s="198" t="str">
        <f>Coins!D376</f>
        <v/>
      </c>
      <c r="E376" s="198" t="str">
        <f>Coins!E376</f>
        <v/>
      </c>
      <c r="F376" s="198" t="str">
        <f>Coins!F376</f>
        <v/>
      </c>
      <c r="G376" s="198" t="str">
        <f>Coins!G376</f>
        <v/>
      </c>
      <c r="H376" s="201" t="str">
        <f>if(Coins!H376="N/A",0,Coins!H376)</f>
        <v/>
      </c>
      <c r="I376" s="202" t="str">
        <f>Coins!I376</f>
        <v/>
      </c>
      <c r="J376" s="198" t="str">
        <f>Coins!J376</f>
        <v/>
      </c>
      <c r="K376" s="201" t="str">
        <f>Coins!K376</f>
        <v/>
      </c>
      <c r="L376" s="198" t="str">
        <f>Coins!L376</f>
        <v/>
      </c>
      <c r="M376" s="198"/>
      <c r="N376" s="198"/>
      <c r="P376" s="66" t="str">
        <f t="shared" si="4"/>
        <v/>
      </c>
    </row>
    <row r="377">
      <c r="A377" s="198" t="str">
        <f>Coins!A377</f>
        <v/>
      </c>
      <c r="B377" s="199" t="str">
        <f>Coins!B377</f>
        <v/>
      </c>
      <c r="C377" s="198" t="str">
        <f>Coins!C377</f>
        <v/>
      </c>
      <c r="D377" s="198" t="str">
        <f>Coins!D377</f>
        <v/>
      </c>
      <c r="E377" s="198" t="str">
        <f>Coins!E377</f>
        <v/>
      </c>
      <c r="F377" s="198" t="str">
        <f>Coins!F377</f>
        <v/>
      </c>
      <c r="G377" s="198" t="str">
        <f>Coins!G377</f>
        <v/>
      </c>
      <c r="H377" s="201" t="str">
        <f>if(Coins!H377="N/A",0,Coins!H377)</f>
        <v/>
      </c>
      <c r="I377" s="202" t="str">
        <f>Coins!I377</f>
        <v/>
      </c>
      <c r="J377" s="198" t="str">
        <f>Coins!J377</f>
        <v/>
      </c>
      <c r="K377" s="201" t="str">
        <f>Coins!K377</f>
        <v/>
      </c>
      <c r="L377" s="198" t="str">
        <f>Coins!L377</f>
        <v/>
      </c>
      <c r="M377" s="198"/>
      <c r="N377" s="198"/>
      <c r="P377" s="66" t="str">
        <f t="shared" si="4"/>
        <v/>
      </c>
    </row>
    <row r="378">
      <c r="A378" s="198" t="str">
        <f>Coins!A378</f>
        <v/>
      </c>
      <c r="B378" s="199" t="str">
        <f>Coins!B378</f>
        <v/>
      </c>
      <c r="C378" s="198" t="str">
        <f>Coins!C378</f>
        <v/>
      </c>
      <c r="D378" s="198" t="str">
        <f>Coins!D378</f>
        <v/>
      </c>
      <c r="E378" s="198" t="str">
        <f>Coins!E378</f>
        <v/>
      </c>
      <c r="F378" s="198" t="str">
        <f>Coins!F378</f>
        <v/>
      </c>
      <c r="G378" s="198" t="str">
        <f>Coins!G378</f>
        <v/>
      </c>
      <c r="H378" s="201" t="str">
        <f>if(Coins!H378="N/A",0,Coins!H378)</f>
        <v/>
      </c>
      <c r="I378" s="202" t="str">
        <f>Coins!I378</f>
        <v/>
      </c>
      <c r="J378" s="198" t="str">
        <f>Coins!J378</f>
        <v/>
      </c>
      <c r="K378" s="201" t="str">
        <f>Coins!K378</f>
        <v/>
      </c>
      <c r="L378" s="198" t="str">
        <f>Coins!L378</f>
        <v/>
      </c>
      <c r="M378" s="198"/>
      <c r="N378" s="198"/>
      <c r="P378" s="66" t="str">
        <f t="shared" si="4"/>
        <v/>
      </c>
    </row>
    <row r="379">
      <c r="A379" s="198" t="str">
        <f>Coins!A379</f>
        <v/>
      </c>
      <c r="B379" s="199" t="str">
        <f>Coins!B379</f>
        <v/>
      </c>
      <c r="C379" s="198" t="str">
        <f>Coins!C379</f>
        <v/>
      </c>
      <c r="D379" s="198" t="str">
        <f>Coins!D379</f>
        <v/>
      </c>
      <c r="E379" s="198" t="str">
        <f>Coins!E379</f>
        <v/>
      </c>
      <c r="F379" s="198" t="str">
        <f>Coins!F379</f>
        <v/>
      </c>
      <c r="G379" s="198" t="str">
        <f>Coins!G379</f>
        <v/>
      </c>
      <c r="H379" s="201" t="str">
        <f>if(Coins!H379="N/A",0,Coins!H379)</f>
        <v/>
      </c>
      <c r="I379" s="202" t="str">
        <f>Coins!I379</f>
        <v/>
      </c>
      <c r="J379" s="198" t="str">
        <f>Coins!J379</f>
        <v/>
      </c>
      <c r="K379" s="201" t="str">
        <f>Coins!K379</f>
        <v/>
      </c>
      <c r="L379" s="198" t="str">
        <f>Coins!L379</f>
        <v/>
      </c>
      <c r="M379" s="198"/>
      <c r="N379" s="198"/>
      <c r="P379" s="66" t="str">
        <f t="shared" si="4"/>
        <v/>
      </c>
    </row>
    <row r="380">
      <c r="A380" s="198" t="str">
        <f>Coins!A380</f>
        <v/>
      </c>
      <c r="B380" s="199" t="str">
        <f>Coins!B380</f>
        <v/>
      </c>
      <c r="C380" s="198" t="str">
        <f>Coins!C380</f>
        <v/>
      </c>
      <c r="D380" s="198" t="str">
        <f>Coins!D380</f>
        <v/>
      </c>
      <c r="E380" s="198" t="str">
        <f>Coins!E380</f>
        <v/>
      </c>
      <c r="F380" s="198" t="str">
        <f>Coins!F380</f>
        <v/>
      </c>
      <c r="G380" s="198" t="str">
        <f>Coins!G380</f>
        <v/>
      </c>
      <c r="H380" s="201" t="str">
        <f>if(Coins!H380="N/A",0,Coins!H380)</f>
        <v/>
      </c>
      <c r="I380" s="202" t="str">
        <f>Coins!I380</f>
        <v/>
      </c>
      <c r="J380" s="198" t="str">
        <f>Coins!J380</f>
        <v/>
      </c>
      <c r="K380" s="201" t="str">
        <f>Coins!K380</f>
        <v/>
      </c>
      <c r="L380" s="198" t="str">
        <f>Coins!L380</f>
        <v/>
      </c>
      <c r="M380" s="198"/>
      <c r="N380" s="198"/>
      <c r="P380" s="66" t="str">
        <f t="shared" si="4"/>
        <v/>
      </c>
    </row>
    <row r="381">
      <c r="A381" s="198" t="str">
        <f>Coins!A381</f>
        <v/>
      </c>
      <c r="B381" s="199" t="str">
        <f>Coins!B381</f>
        <v/>
      </c>
      <c r="C381" s="198" t="str">
        <f>Coins!C381</f>
        <v/>
      </c>
      <c r="D381" s="198" t="str">
        <f>Coins!D381</f>
        <v/>
      </c>
      <c r="E381" s="198" t="str">
        <f>Coins!E381</f>
        <v/>
      </c>
      <c r="F381" s="198" t="str">
        <f>Coins!F381</f>
        <v/>
      </c>
      <c r="G381" s="198" t="str">
        <f>Coins!G381</f>
        <v/>
      </c>
      <c r="H381" s="201" t="str">
        <f>if(Coins!H381="N/A",0,Coins!H381)</f>
        <v/>
      </c>
      <c r="I381" s="202" t="str">
        <f>Coins!I381</f>
        <v/>
      </c>
      <c r="J381" s="198" t="str">
        <f>Coins!J381</f>
        <v/>
      </c>
      <c r="K381" s="201" t="str">
        <f>Coins!K381</f>
        <v/>
      </c>
      <c r="L381" s="198" t="str">
        <f>Coins!L381</f>
        <v/>
      </c>
      <c r="M381" s="198"/>
      <c r="N381" s="198"/>
      <c r="P381" s="66" t="str">
        <f t="shared" si="4"/>
        <v/>
      </c>
    </row>
    <row r="382">
      <c r="A382" s="198" t="str">
        <f>Coins!A382</f>
        <v/>
      </c>
      <c r="B382" s="199" t="str">
        <f>Coins!B382</f>
        <v/>
      </c>
      <c r="C382" s="198" t="str">
        <f>Coins!C382</f>
        <v/>
      </c>
      <c r="D382" s="198" t="str">
        <f>Coins!D382</f>
        <v/>
      </c>
      <c r="E382" s="198" t="str">
        <f>Coins!E382</f>
        <v/>
      </c>
      <c r="F382" s="198" t="str">
        <f>Coins!F382</f>
        <v/>
      </c>
      <c r="G382" s="198" t="str">
        <f>Coins!G382</f>
        <v/>
      </c>
      <c r="H382" s="201" t="str">
        <f>if(Coins!H382="N/A",0,Coins!H382)</f>
        <v/>
      </c>
      <c r="I382" s="202" t="str">
        <f>Coins!I382</f>
        <v/>
      </c>
      <c r="J382" s="198" t="str">
        <f>Coins!J382</f>
        <v/>
      </c>
      <c r="K382" s="201" t="str">
        <f>Coins!K382</f>
        <v/>
      </c>
      <c r="L382" s="198" t="str">
        <f>Coins!L382</f>
        <v/>
      </c>
      <c r="M382" s="198"/>
      <c r="N382" s="198"/>
      <c r="P382" s="66" t="str">
        <f t="shared" si="4"/>
        <v/>
      </c>
    </row>
    <row r="383">
      <c r="A383" s="198" t="str">
        <f>Coins!A383</f>
        <v/>
      </c>
      <c r="B383" s="199" t="str">
        <f>Coins!B383</f>
        <v/>
      </c>
      <c r="C383" s="198" t="str">
        <f>Coins!C383</f>
        <v/>
      </c>
      <c r="D383" s="198" t="str">
        <f>Coins!D383</f>
        <v/>
      </c>
      <c r="E383" s="198" t="str">
        <f>Coins!E383</f>
        <v/>
      </c>
      <c r="F383" s="198" t="str">
        <f>Coins!F383</f>
        <v/>
      </c>
      <c r="G383" s="198" t="str">
        <f>Coins!G383</f>
        <v/>
      </c>
      <c r="H383" s="201" t="str">
        <f>if(Coins!H383="N/A",0,Coins!H383)</f>
        <v/>
      </c>
      <c r="I383" s="202" t="str">
        <f>Coins!I383</f>
        <v/>
      </c>
      <c r="J383" s="198" t="str">
        <f>Coins!J383</f>
        <v/>
      </c>
      <c r="K383" s="201" t="str">
        <f>Coins!K383</f>
        <v/>
      </c>
      <c r="L383" s="198" t="str">
        <f>Coins!L383</f>
        <v/>
      </c>
      <c r="M383" s="198"/>
      <c r="N383" s="198"/>
      <c r="P383" s="66" t="str">
        <f t="shared" si="4"/>
        <v/>
      </c>
    </row>
    <row r="384">
      <c r="A384" s="198" t="str">
        <f>Coins!A384</f>
        <v/>
      </c>
      <c r="B384" s="199" t="str">
        <f>Coins!B384</f>
        <v/>
      </c>
      <c r="C384" s="198" t="str">
        <f>Coins!C384</f>
        <v/>
      </c>
      <c r="D384" s="198" t="str">
        <f>Coins!D384</f>
        <v/>
      </c>
      <c r="E384" s="198" t="str">
        <f>Coins!E384</f>
        <v/>
      </c>
      <c r="F384" s="198" t="str">
        <f>Coins!F384</f>
        <v/>
      </c>
      <c r="G384" s="198" t="str">
        <f>Coins!G384</f>
        <v/>
      </c>
      <c r="H384" s="201" t="str">
        <f>if(Coins!H384="N/A",0,Coins!H384)</f>
        <v/>
      </c>
      <c r="I384" s="202" t="str">
        <f>Coins!I384</f>
        <v/>
      </c>
      <c r="J384" s="198" t="str">
        <f>Coins!J384</f>
        <v/>
      </c>
      <c r="K384" s="201" t="str">
        <f>Coins!K384</f>
        <v/>
      </c>
      <c r="L384" s="198" t="str">
        <f>Coins!L384</f>
        <v/>
      </c>
      <c r="M384" s="198"/>
      <c r="N384" s="198"/>
      <c r="P384" s="66" t="str">
        <f t="shared" si="4"/>
        <v/>
      </c>
    </row>
    <row r="385">
      <c r="A385" s="198" t="str">
        <f>Coins!A385</f>
        <v/>
      </c>
      <c r="B385" s="199" t="str">
        <f>Coins!B385</f>
        <v/>
      </c>
      <c r="C385" s="198" t="str">
        <f>Coins!C385</f>
        <v/>
      </c>
      <c r="D385" s="198" t="str">
        <f>Coins!D385</f>
        <v/>
      </c>
      <c r="E385" s="198" t="str">
        <f>Coins!E385</f>
        <v/>
      </c>
      <c r="F385" s="198" t="str">
        <f>Coins!F385</f>
        <v/>
      </c>
      <c r="G385" s="198" t="str">
        <f>Coins!G385</f>
        <v/>
      </c>
      <c r="H385" s="201" t="str">
        <f>if(Coins!H385="N/A",0,Coins!H385)</f>
        <v/>
      </c>
      <c r="I385" s="202" t="str">
        <f>Coins!I385</f>
        <v/>
      </c>
      <c r="J385" s="198" t="str">
        <f>Coins!J385</f>
        <v/>
      </c>
      <c r="K385" s="201" t="str">
        <f>Coins!K385</f>
        <v/>
      </c>
      <c r="L385" s="198" t="str">
        <f>Coins!L385</f>
        <v/>
      </c>
      <c r="M385" s="198"/>
      <c r="N385" s="198"/>
      <c r="P385" s="66" t="str">
        <f t="shared" si="4"/>
        <v/>
      </c>
    </row>
    <row r="386">
      <c r="A386" s="198" t="str">
        <f>Coins!A386</f>
        <v/>
      </c>
      <c r="B386" s="199" t="str">
        <f>Coins!B386</f>
        <v/>
      </c>
      <c r="C386" s="198" t="str">
        <f>Coins!C386</f>
        <v/>
      </c>
      <c r="D386" s="198" t="str">
        <f>Coins!D386</f>
        <v/>
      </c>
      <c r="E386" s="198" t="str">
        <f>Coins!E386</f>
        <v/>
      </c>
      <c r="F386" s="198" t="str">
        <f>Coins!F386</f>
        <v/>
      </c>
      <c r="G386" s="198" t="str">
        <f>Coins!G386</f>
        <v/>
      </c>
      <c r="H386" s="201" t="str">
        <f>if(Coins!H386="N/A",0,Coins!H386)</f>
        <v/>
      </c>
      <c r="I386" s="202" t="str">
        <f>Coins!I386</f>
        <v/>
      </c>
      <c r="J386" s="198" t="str">
        <f>Coins!J386</f>
        <v/>
      </c>
      <c r="K386" s="201" t="str">
        <f>Coins!K386</f>
        <v/>
      </c>
      <c r="L386" s="198" t="str">
        <f>Coins!L386</f>
        <v/>
      </c>
      <c r="M386" s="198"/>
      <c r="N386" s="198"/>
      <c r="P386" s="66" t="str">
        <f t="shared" si="4"/>
        <v/>
      </c>
    </row>
    <row r="387">
      <c r="A387" s="198" t="str">
        <f>Coins!A387</f>
        <v/>
      </c>
      <c r="B387" s="199" t="str">
        <f>Coins!B387</f>
        <v/>
      </c>
      <c r="C387" s="198" t="str">
        <f>Coins!C387</f>
        <v/>
      </c>
      <c r="D387" s="198" t="str">
        <f>Coins!D387</f>
        <v/>
      </c>
      <c r="E387" s="198" t="str">
        <f>Coins!E387</f>
        <v/>
      </c>
      <c r="F387" s="198" t="str">
        <f>Coins!F387</f>
        <v/>
      </c>
      <c r="G387" s="198" t="str">
        <f>Coins!G387</f>
        <v/>
      </c>
      <c r="H387" s="201" t="str">
        <f>if(Coins!H387="N/A",0,Coins!H387)</f>
        <v/>
      </c>
      <c r="I387" s="202" t="str">
        <f>Coins!I387</f>
        <v/>
      </c>
      <c r="J387" s="198" t="str">
        <f>Coins!J387</f>
        <v/>
      </c>
      <c r="K387" s="201" t="str">
        <f>Coins!K387</f>
        <v/>
      </c>
      <c r="L387" s="198" t="str">
        <f>Coins!L387</f>
        <v/>
      </c>
      <c r="M387" s="198"/>
      <c r="N387" s="198"/>
      <c r="P387" s="66" t="str">
        <f t="shared" si="4"/>
        <v/>
      </c>
    </row>
    <row r="388">
      <c r="A388" s="198" t="str">
        <f>Coins!A388</f>
        <v/>
      </c>
      <c r="B388" s="199" t="str">
        <f>Coins!B388</f>
        <v/>
      </c>
      <c r="C388" s="198" t="str">
        <f>Coins!C388</f>
        <v/>
      </c>
      <c r="D388" s="198" t="str">
        <f>Coins!D388</f>
        <v/>
      </c>
      <c r="E388" s="198" t="str">
        <f>Coins!E388</f>
        <v/>
      </c>
      <c r="F388" s="198" t="str">
        <f>Coins!F388</f>
        <v/>
      </c>
      <c r="G388" s="198" t="str">
        <f>Coins!G388</f>
        <v/>
      </c>
      <c r="H388" s="201" t="str">
        <f>if(Coins!H388="N/A",0,Coins!H388)</f>
        <v/>
      </c>
      <c r="I388" s="202" t="str">
        <f>Coins!I388</f>
        <v/>
      </c>
      <c r="J388" s="198" t="str">
        <f>Coins!J388</f>
        <v/>
      </c>
      <c r="K388" s="201" t="str">
        <f>Coins!K388</f>
        <v/>
      </c>
      <c r="L388" s="198" t="str">
        <f>Coins!L388</f>
        <v/>
      </c>
      <c r="M388" s="198"/>
      <c r="N388" s="198"/>
      <c r="P388" s="66" t="str">
        <f t="shared" si="4"/>
        <v/>
      </c>
    </row>
    <row r="389">
      <c r="A389" s="198" t="str">
        <f>Coins!A389</f>
        <v/>
      </c>
      <c r="B389" s="199" t="str">
        <f>Coins!B389</f>
        <v/>
      </c>
      <c r="C389" s="198" t="str">
        <f>Coins!C389</f>
        <v/>
      </c>
      <c r="D389" s="198" t="str">
        <f>Coins!D389</f>
        <v/>
      </c>
      <c r="E389" s="198" t="str">
        <f>Coins!E389</f>
        <v/>
      </c>
      <c r="F389" s="198" t="str">
        <f>Coins!F389</f>
        <v/>
      </c>
      <c r="G389" s="198" t="str">
        <f>Coins!G389</f>
        <v/>
      </c>
      <c r="H389" s="201" t="str">
        <f>if(Coins!H389="N/A",0,Coins!H389)</f>
        <v/>
      </c>
      <c r="I389" s="202" t="str">
        <f>Coins!I389</f>
        <v/>
      </c>
      <c r="J389" s="198" t="str">
        <f>Coins!J389</f>
        <v/>
      </c>
      <c r="K389" s="201" t="str">
        <f>Coins!K389</f>
        <v/>
      </c>
      <c r="L389" s="198" t="str">
        <f>Coins!L389</f>
        <v/>
      </c>
      <c r="M389" s="198"/>
      <c r="N389" s="198"/>
      <c r="P389" s="66" t="str">
        <f t="shared" si="4"/>
        <v/>
      </c>
    </row>
    <row r="390">
      <c r="A390" s="198" t="str">
        <f>Coins!A390</f>
        <v/>
      </c>
      <c r="B390" s="199" t="str">
        <f>Coins!B390</f>
        <v/>
      </c>
      <c r="C390" s="198" t="str">
        <f>Coins!C390</f>
        <v/>
      </c>
      <c r="D390" s="198" t="str">
        <f>Coins!D390</f>
        <v/>
      </c>
      <c r="E390" s="198" t="str">
        <f>Coins!E390</f>
        <v/>
      </c>
      <c r="F390" s="198" t="str">
        <f>Coins!F390</f>
        <v/>
      </c>
      <c r="G390" s="198" t="str">
        <f>Coins!G390</f>
        <v/>
      </c>
      <c r="H390" s="201" t="str">
        <f>if(Coins!H390="N/A",0,Coins!H390)</f>
        <v/>
      </c>
      <c r="I390" s="202" t="str">
        <f>Coins!I390</f>
        <v/>
      </c>
      <c r="J390" s="198" t="str">
        <f>Coins!J390</f>
        <v/>
      </c>
      <c r="K390" s="201" t="str">
        <f>Coins!K390</f>
        <v/>
      </c>
      <c r="L390" s="198" t="str">
        <f>Coins!L390</f>
        <v/>
      </c>
      <c r="M390" s="198"/>
      <c r="N390" s="198"/>
      <c r="P390" s="66" t="str">
        <f t="shared" si="4"/>
        <v/>
      </c>
    </row>
    <row r="391">
      <c r="A391" s="198" t="str">
        <f>Coins!A391</f>
        <v/>
      </c>
      <c r="B391" s="199" t="str">
        <f>Coins!B391</f>
        <v/>
      </c>
      <c r="C391" s="198" t="str">
        <f>Coins!C391</f>
        <v/>
      </c>
      <c r="D391" s="198" t="str">
        <f>Coins!D391</f>
        <v/>
      </c>
      <c r="E391" s="198" t="str">
        <f>Coins!E391</f>
        <v/>
      </c>
      <c r="F391" s="198" t="str">
        <f>Coins!F391</f>
        <v/>
      </c>
      <c r="G391" s="198" t="str">
        <f>Coins!G391</f>
        <v/>
      </c>
      <c r="H391" s="201" t="str">
        <f>if(Coins!H391="N/A",0,Coins!H391)</f>
        <v/>
      </c>
      <c r="I391" s="202" t="str">
        <f>Coins!I391</f>
        <v/>
      </c>
      <c r="J391" s="198" t="str">
        <f>Coins!J391</f>
        <v/>
      </c>
      <c r="K391" s="201" t="str">
        <f>Coins!K391</f>
        <v/>
      </c>
      <c r="L391" s="198" t="str">
        <f>Coins!L391</f>
        <v/>
      </c>
      <c r="M391" s="198"/>
      <c r="N391" s="198"/>
      <c r="P391" s="66" t="str">
        <f t="shared" si="4"/>
        <v/>
      </c>
    </row>
    <row r="392">
      <c r="A392" s="198" t="str">
        <f>Coins!A392</f>
        <v/>
      </c>
      <c r="B392" s="199" t="str">
        <f>Coins!B392</f>
        <v/>
      </c>
      <c r="C392" s="198" t="str">
        <f>Coins!C392</f>
        <v/>
      </c>
      <c r="D392" s="198" t="str">
        <f>Coins!D392</f>
        <v/>
      </c>
      <c r="E392" s="198" t="str">
        <f>Coins!E392</f>
        <v/>
      </c>
      <c r="F392" s="198" t="str">
        <f>Coins!F392</f>
        <v/>
      </c>
      <c r="G392" s="198" t="str">
        <f>Coins!G392</f>
        <v/>
      </c>
      <c r="H392" s="201" t="str">
        <f>if(Coins!H392="N/A",0,Coins!H392)</f>
        <v/>
      </c>
      <c r="I392" s="202" t="str">
        <f>Coins!I392</f>
        <v/>
      </c>
      <c r="J392" s="198" t="str">
        <f>Coins!J392</f>
        <v/>
      </c>
      <c r="K392" s="201" t="str">
        <f>Coins!K392</f>
        <v/>
      </c>
      <c r="L392" s="198" t="str">
        <f>Coins!L392</f>
        <v/>
      </c>
      <c r="M392" s="198"/>
      <c r="N392" s="198"/>
      <c r="P392" s="66" t="str">
        <f t="shared" si="4"/>
        <v/>
      </c>
    </row>
    <row r="393">
      <c r="A393" s="198" t="str">
        <f>Coins!A393</f>
        <v/>
      </c>
      <c r="B393" s="199" t="str">
        <f>Coins!B393</f>
        <v/>
      </c>
      <c r="C393" s="198" t="str">
        <f>Coins!C393</f>
        <v/>
      </c>
      <c r="D393" s="198" t="str">
        <f>Coins!D393</f>
        <v/>
      </c>
      <c r="E393" s="198" t="str">
        <f>Coins!E393</f>
        <v/>
      </c>
      <c r="F393" s="198" t="str">
        <f>Coins!F393</f>
        <v/>
      </c>
      <c r="G393" s="198" t="str">
        <f>Coins!G393</f>
        <v/>
      </c>
      <c r="H393" s="201" t="str">
        <f>if(Coins!H393="N/A",0,Coins!H393)</f>
        <v/>
      </c>
      <c r="I393" s="202" t="str">
        <f>Coins!I393</f>
        <v/>
      </c>
      <c r="J393" s="198" t="str">
        <f>Coins!J393</f>
        <v/>
      </c>
      <c r="K393" s="201" t="str">
        <f>Coins!K393</f>
        <v/>
      </c>
      <c r="L393" s="198" t="str">
        <f>Coins!L393</f>
        <v/>
      </c>
      <c r="M393" s="198"/>
      <c r="N393" s="198"/>
      <c r="P393" s="66" t="str">
        <f t="shared" si="4"/>
        <v/>
      </c>
    </row>
    <row r="394">
      <c r="A394" s="198" t="str">
        <f>Coins!A394</f>
        <v/>
      </c>
      <c r="B394" s="199" t="str">
        <f>Coins!B394</f>
        <v/>
      </c>
      <c r="C394" s="198" t="str">
        <f>Coins!C394</f>
        <v/>
      </c>
      <c r="D394" s="198" t="str">
        <f>Coins!D394</f>
        <v/>
      </c>
      <c r="E394" s="198" t="str">
        <f>Coins!E394</f>
        <v/>
      </c>
      <c r="F394" s="198" t="str">
        <f>Coins!F394</f>
        <v/>
      </c>
      <c r="G394" s="198" t="str">
        <f>Coins!G394</f>
        <v/>
      </c>
      <c r="H394" s="201" t="str">
        <f>if(Coins!H394="N/A",0,Coins!H394)</f>
        <v/>
      </c>
      <c r="I394" s="202" t="str">
        <f>Coins!I394</f>
        <v/>
      </c>
      <c r="J394" s="198" t="str">
        <f>Coins!J394</f>
        <v/>
      </c>
      <c r="K394" s="201" t="str">
        <f>Coins!K394</f>
        <v/>
      </c>
      <c r="L394" s="198" t="str">
        <f>Coins!L394</f>
        <v/>
      </c>
      <c r="M394" s="198"/>
      <c r="N394" s="198"/>
      <c r="P394" s="66" t="str">
        <f t="shared" si="4"/>
        <v/>
      </c>
    </row>
    <row r="395">
      <c r="A395" s="198" t="str">
        <f>Coins!A395</f>
        <v/>
      </c>
      <c r="B395" s="199" t="str">
        <f>Coins!B395</f>
        <v/>
      </c>
      <c r="C395" s="198" t="str">
        <f>Coins!C395</f>
        <v/>
      </c>
      <c r="D395" s="198" t="str">
        <f>Coins!D395</f>
        <v/>
      </c>
      <c r="E395" s="198" t="str">
        <f>Coins!E395</f>
        <v/>
      </c>
      <c r="F395" s="198" t="str">
        <f>Coins!F395</f>
        <v/>
      </c>
      <c r="G395" s="198" t="str">
        <f>Coins!G395</f>
        <v/>
      </c>
      <c r="H395" s="201" t="str">
        <f>if(Coins!H395="N/A",0,Coins!H395)</f>
        <v/>
      </c>
      <c r="I395" s="202" t="str">
        <f>Coins!I395</f>
        <v/>
      </c>
      <c r="J395" s="198" t="str">
        <f>Coins!J395</f>
        <v/>
      </c>
      <c r="K395" s="201" t="str">
        <f>Coins!K395</f>
        <v/>
      </c>
      <c r="L395" s="198" t="str">
        <f>Coins!L395</f>
        <v/>
      </c>
      <c r="M395" s="198"/>
      <c r="N395" s="198"/>
      <c r="P395" s="66" t="str">
        <f t="shared" si="4"/>
        <v/>
      </c>
    </row>
    <row r="396">
      <c r="A396" s="198" t="str">
        <f>Coins!A396</f>
        <v/>
      </c>
      <c r="B396" s="199" t="str">
        <f>Coins!B396</f>
        <v/>
      </c>
      <c r="C396" s="198" t="str">
        <f>Coins!C396</f>
        <v/>
      </c>
      <c r="D396" s="198" t="str">
        <f>Coins!D396</f>
        <v/>
      </c>
      <c r="E396" s="198" t="str">
        <f>Coins!E396</f>
        <v/>
      </c>
      <c r="F396" s="198" t="str">
        <f>Coins!F396</f>
        <v/>
      </c>
      <c r="G396" s="198" t="str">
        <f>Coins!G396</f>
        <v/>
      </c>
      <c r="H396" s="201" t="str">
        <f>if(Coins!H396="N/A",0,Coins!H396)</f>
        <v/>
      </c>
      <c r="I396" s="202" t="str">
        <f>Coins!I396</f>
        <v/>
      </c>
      <c r="J396" s="198" t="str">
        <f>Coins!J396</f>
        <v/>
      </c>
      <c r="K396" s="201" t="str">
        <f>Coins!K396</f>
        <v/>
      </c>
      <c r="L396" s="198" t="str">
        <f>Coins!L396</f>
        <v/>
      </c>
      <c r="M396" s="198"/>
      <c r="N396" s="198"/>
      <c r="P396" s="66" t="str">
        <f t="shared" si="4"/>
        <v/>
      </c>
    </row>
    <row r="397">
      <c r="A397" s="198" t="str">
        <f>Coins!A397</f>
        <v/>
      </c>
      <c r="B397" s="199" t="str">
        <f>Coins!B397</f>
        <v/>
      </c>
      <c r="C397" s="198" t="str">
        <f>Coins!C397</f>
        <v/>
      </c>
      <c r="D397" s="198" t="str">
        <f>Coins!D397</f>
        <v/>
      </c>
      <c r="E397" s="198" t="str">
        <f>Coins!E397</f>
        <v/>
      </c>
      <c r="F397" s="198" t="str">
        <f>Coins!F397</f>
        <v/>
      </c>
      <c r="G397" s="198" t="str">
        <f>Coins!G397</f>
        <v/>
      </c>
      <c r="H397" s="201" t="str">
        <f>if(Coins!H397="N/A",0,Coins!H397)</f>
        <v/>
      </c>
      <c r="I397" s="202" t="str">
        <f>Coins!I397</f>
        <v/>
      </c>
      <c r="J397" s="198" t="str">
        <f>Coins!J397</f>
        <v/>
      </c>
      <c r="K397" s="201" t="str">
        <f>Coins!K397</f>
        <v/>
      </c>
      <c r="L397" s="198" t="str">
        <f>Coins!L397</f>
        <v/>
      </c>
      <c r="M397" s="198"/>
      <c r="N397" s="198"/>
      <c r="P397" s="66" t="str">
        <f t="shared" si="4"/>
        <v/>
      </c>
    </row>
    <row r="398">
      <c r="A398" s="198" t="str">
        <f>Coins!A398</f>
        <v/>
      </c>
      <c r="B398" s="199" t="str">
        <f>Coins!B398</f>
        <v/>
      </c>
      <c r="C398" s="198" t="str">
        <f>Coins!C398</f>
        <v/>
      </c>
      <c r="D398" s="198" t="str">
        <f>Coins!D398</f>
        <v/>
      </c>
      <c r="E398" s="198" t="str">
        <f>Coins!E398</f>
        <v/>
      </c>
      <c r="F398" s="198" t="str">
        <f>Coins!F398</f>
        <v/>
      </c>
      <c r="G398" s="198" t="str">
        <f>Coins!G398</f>
        <v/>
      </c>
      <c r="H398" s="201" t="str">
        <f>if(Coins!H398="N/A",0,Coins!H398)</f>
        <v/>
      </c>
      <c r="I398" s="202" t="str">
        <f>Coins!I398</f>
        <v/>
      </c>
      <c r="J398" s="198" t="str">
        <f>Coins!J398</f>
        <v/>
      </c>
      <c r="K398" s="201" t="str">
        <f>Coins!K398</f>
        <v/>
      </c>
      <c r="L398" s="198" t="str">
        <f>Coins!L398</f>
        <v/>
      </c>
      <c r="M398" s="198"/>
      <c r="N398" s="198"/>
      <c r="P398" s="66" t="str">
        <f t="shared" si="4"/>
        <v/>
      </c>
    </row>
    <row r="399">
      <c r="A399" s="198" t="str">
        <f>Coins!A399</f>
        <v/>
      </c>
      <c r="B399" s="199" t="str">
        <f>Coins!B399</f>
        <v/>
      </c>
      <c r="C399" s="198" t="str">
        <f>Coins!C399</f>
        <v/>
      </c>
      <c r="D399" s="198" t="str">
        <f>Coins!D399</f>
        <v/>
      </c>
      <c r="E399" s="198" t="str">
        <f>Coins!E399</f>
        <v/>
      </c>
      <c r="F399" s="198" t="str">
        <f>Coins!F399</f>
        <v/>
      </c>
      <c r="G399" s="198" t="str">
        <f>Coins!G399</f>
        <v/>
      </c>
      <c r="H399" s="201" t="str">
        <f>if(Coins!H399="N/A",0,Coins!H399)</f>
        <v/>
      </c>
      <c r="I399" s="202" t="str">
        <f>Coins!I399</f>
        <v/>
      </c>
      <c r="J399" s="198" t="str">
        <f>Coins!J399</f>
        <v/>
      </c>
      <c r="K399" s="201" t="str">
        <f>Coins!K399</f>
        <v/>
      </c>
      <c r="L399" s="198" t="str">
        <f>Coins!L399</f>
        <v/>
      </c>
      <c r="M399" s="198"/>
      <c r="N399" s="198"/>
      <c r="P399" s="66" t="str">
        <f t="shared" si="4"/>
        <v/>
      </c>
    </row>
    <row r="400">
      <c r="A400" s="198" t="str">
        <f>Coins!A400</f>
        <v/>
      </c>
      <c r="B400" s="199" t="str">
        <f>Coins!B400</f>
        <v/>
      </c>
      <c r="C400" s="198" t="str">
        <f>Coins!C400</f>
        <v/>
      </c>
      <c r="D400" s="198" t="str">
        <f>Coins!D400</f>
        <v/>
      </c>
      <c r="E400" s="198" t="str">
        <f>Coins!E400</f>
        <v/>
      </c>
      <c r="F400" s="198" t="str">
        <f>Coins!F400</f>
        <v/>
      </c>
      <c r="G400" s="198" t="str">
        <f>Coins!G400</f>
        <v/>
      </c>
      <c r="H400" s="201" t="str">
        <f>if(Coins!H400="N/A",0,Coins!H400)</f>
        <v/>
      </c>
      <c r="I400" s="202" t="str">
        <f>Coins!I400</f>
        <v/>
      </c>
      <c r="J400" s="198" t="str">
        <f>Coins!J400</f>
        <v/>
      </c>
      <c r="K400" s="201" t="str">
        <f>Coins!K400</f>
        <v/>
      </c>
      <c r="L400" s="198" t="str">
        <f>Coins!L400</f>
        <v/>
      </c>
      <c r="M400" s="198"/>
      <c r="N400" s="198"/>
      <c r="P400" s="66" t="str">
        <f t="shared" si="4"/>
        <v/>
      </c>
    </row>
    <row r="401">
      <c r="A401" s="198" t="str">
        <f>Coins!A401</f>
        <v/>
      </c>
      <c r="B401" s="199" t="str">
        <f>Coins!B401</f>
        <v/>
      </c>
      <c r="C401" s="198" t="str">
        <f>Coins!C401</f>
        <v/>
      </c>
      <c r="D401" s="198" t="str">
        <f>Coins!D401</f>
        <v/>
      </c>
      <c r="E401" s="198" t="str">
        <f>Coins!E401</f>
        <v/>
      </c>
      <c r="F401" s="198" t="str">
        <f>Coins!F401</f>
        <v/>
      </c>
      <c r="G401" s="198" t="str">
        <f>Coins!G401</f>
        <v/>
      </c>
      <c r="H401" s="201" t="str">
        <f>if(Coins!H401="N/A",0,Coins!H401)</f>
        <v/>
      </c>
      <c r="I401" s="202" t="str">
        <f>Coins!I401</f>
        <v/>
      </c>
      <c r="J401" s="198" t="str">
        <f>Coins!J401</f>
        <v/>
      </c>
      <c r="K401" s="201" t="str">
        <f>Coins!K401</f>
        <v/>
      </c>
      <c r="L401" s="198" t="str">
        <f>Coins!L401</f>
        <v/>
      </c>
      <c r="M401" s="198"/>
      <c r="N401" s="198"/>
      <c r="P401" s="66" t="str">
        <f t="shared" si="4"/>
        <v/>
      </c>
    </row>
    <row r="402">
      <c r="A402" s="198" t="str">
        <f>Coins!A402</f>
        <v/>
      </c>
      <c r="B402" s="199" t="str">
        <f>Coins!B402</f>
        <v/>
      </c>
      <c r="C402" s="198" t="str">
        <f>Coins!C402</f>
        <v/>
      </c>
      <c r="D402" s="198" t="str">
        <f>Coins!D402</f>
        <v/>
      </c>
      <c r="E402" s="198" t="str">
        <f>Coins!E402</f>
        <v/>
      </c>
      <c r="F402" s="198" t="str">
        <f>Coins!F402</f>
        <v/>
      </c>
      <c r="G402" s="198" t="str">
        <f>Coins!G402</f>
        <v/>
      </c>
      <c r="H402" s="201" t="str">
        <f>if(Coins!H402="N/A",0,Coins!H402)</f>
        <v/>
      </c>
      <c r="I402" s="202" t="str">
        <f>Coins!I402</f>
        <v/>
      </c>
      <c r="J402" s="198" t="str">
        <f>Coins!J402</f>
        <v/>
      </c>
      <c r="K402" s="201" t="str">
        <f>Coins!K402</f>
        <v/>
      </c>
      <c r="L402" s="198" t="str">
        <f>Coins!L402</f>
        <v/>
      </c>
      <c r="M402" s="198"/>
      <c r="N402" s="198"/>
      <c r="P402" s="66" t="str">
        <f t="shared" si="4"/>
        <v/>
      </c>
    </row>
    <row r="403">
      <c r="A403" s="198" t="str">
        <f>Coins!A403</f>
        <v/>
      </c>
      <c r="B403" s="199" t="str">
        <f>Coins!B403</f>
        <v/>
      </c>
      <c r="C403" s="198" t="str">
        <f>Coins!C403</f>
        <v/>
      </c>
      <c r="D403" s="198" t="str">
        <f>Coins!D403</f>
        <v/>
      </c>
      <c r="E403" s="198" t="str">
        <f>Coins!E403</f>
        <v/>
      </c>
      <c r="F403" s="198" t="str">
        <f>Coins!F403</f>
        <v/>
      </c>
      <c r="G403" s="198" t="str">
        <f>Coins!G403</f>
        <v/>
      </c>
      <c r="H403" s="201" t="str">
        <f>if(Coins!H403="N/A",0,Coins!H403)</f>
        <v/>
      </c>
      <c r="I403" s="202" t="str">
        <f>Coins!I403</f>
        <v/>
      </c>
      <c r="J403" s="198" t="str">
        <f>Coins!J403</f>
        <v/>
      </c>
      <c r="K403" s="201" t="str">
        <f>Coins!K403</f>
        <v/>
      </c>
      <c r="L403" s="198" t="str">
        <f>Coins!L403</f>
        <v/>
      </c>
      <c r="M403" s="198"/>
      <c r="N403" s="198"/>
      <c r="P403" s="66" t="str">
        <f t="shared" si="4"/>
        <v/>
      </c>
    </row>
    <row r="404">
      <c r="A404" s="198" t="str">
        <f>Coins!A404</f>
        <v/>
      </c>
      <c r="B404" s="199" t="str">
        <f>Coins!B404</f>
        <v/>
      </c>
      <c r="C404" s="198" t="str">
        <f>Coins!C404</f>
        <v/>
      </c>
      <c r="D404" s="198" t="str">
        <f>Coins!D404</f>
        <v/>
      </c>
      <c r="E404" s="198" t="str">
        <f>Coins!E404</f>
        <v/>
      </c>
      <c r="F404" s="198" t="str">
        <f>Coins!F404</f>
        <v/>
      </c>
      <c r="G404" s="198" t="str">
        <f>Coins!G404</f>
        <v/>
      </c>
      <c r="H404" s="201" t="str">
        <f>if(Coins!H404="N/A",0,Coins!H404)</f>
        <v/>
      </c>
      <c r="I404" s="202" t="str">
        <f>Coins!I404</f>
        <v/>
      </c>
      <c r="J404" s="198" t="str">
        <f>Coins!J404</f>
        <v/>
      </c>
      <c r="K404" s="201" t="str">
        <f>Coins!K404</f>
        <v/>
      </c>
      <c r="L404" s="198" t="str">
        <f>Coins!L404</f>
        <v/>
      </c>
      <c r="M404" s="198"/>
      <c r="N404" s="198"/>
      <c r="P404" s="66" t="str">
        <f t="shared" si="4"/>
        <v/>
      </c>
    </row>
    <row r="405">
      <c r="A405" s="198" t="str">
        <f>Coins!A405</f>
        <v/>
      </c>
      <c r="B405" s="199" t="str">
        <f>Coins!B405</f>
        <v/>
      </c>
      <c r="C405" s="198" t="str">
        <f>Coins!C405</f>
        <v/>
      </c>
      <c r="D405" s="198" t="str">
        <f>Coins!D405</f>
        <v/>
      </c>
      <c r="E405" s="198" t="str">
        <f>Coins!E405</f>
        <v/>
      </c>
      <c r="F405" s="198" t="str">
        <f>Coins!F405</f>
        <v/>
      </c>
      <c r="G405" s="198" t="str">
        <f>Coins!G405</f>
        <v/>
      </c>
      <c r="H405" s="201" t="str">
        <f>if(Coins!H405="N/A",0,Coins!H405)</f>
        <v/>
      </c>
      <c r="I405" s="202" t="str">
        <f>Coins!I405</f>
        <v/>
      </c>
      <c r="J405" s="198" t="str">
        <f>Coins!J405</f>
        <v/>
      </c>
      <c r="K405" s="201" t="str">
        <f>Coins!K405</f>
        <v/>
      </c>
      <c r="L405" s="198" t="str">
        <f>Coins!L405</f>
        <v/>
      </c>
      <c r="M405" s="198"/>
      <c r="N405" s="198"/>
      <c r="P405" s="66" t="str">
        <f t="shared" si="4"/>
        <v/>
      </c>
    </row>
    <row r="406">
      <c r="A406" s="198" t="str">
        <f>Coins!A406</f>
        <v/>
      </c>
      <c r="B406" s="199" t="str">
        <f>Coins!B406</f>
        <v/>
      </c>
      <c r="C406" s="198" t="str">
        <f>Coins!C406</f>
        <v/>
      </c>
      <c r="D406" s="198" t="str">
        <f>Coins!D406</f>
        <v/>
      </c>
      <c r="E406" s="198" t="str">
        <f>Coins!E406</f>
        <v/>
      </c>
      <c r="F406" s="198" t="str">
        <f>Coins!F406</f>
        <v/>
      </c>
      <c r="G406" s="198" t="str">
        <f>Coins!G406</f>
        <v/>
      </c>
      <c r="H406" s="201" t="str">
        <f>if(Coins!H406="N/A",0,Coins!H406)</f>
        <v/>
      </c>
      <c r="I406" s="202" t="str">
        <f>Coins!I406</f>
        <v/>
      </c>
      <c r="J406" s="198" t="str">
        <f>Coins!J406</f>
        <v/>
      </c>
      <c r="K406" s="201" t="str">
        <f>Coins!K406</f>
        <v/>
      </c>
      <c r="L406" s="198" t="str">
        <f>Coins!L406</f>
        <v/>
      </c>
      <c r="M406" s="198"/>
      <c r="N406" s="198"/>
      <c r="P406" s="66" t="str">
        <f t="shared" si="4"/>
        <v/>
      </c>
    </row>
    <row r="407">
      <c r="A407" s="198" t="str">
        <f>Coins!A407</f>
        <v/>
      </c>
      <c r="B407" s="199" t="str">
        <f>Coins!B407</f>
        <v/>
      </c>
      <c r="C407" s="198" t="str">
        <f>Coins!C407</f>
        <v/>
      </c>
      <c r="D407" s="198" t="str">
        <f>Coins!D407</f>
        <v/>
      </c>
      <c r="E407" s="198" t="str">
        <f>Coins!E407</f>
        <v/>
      </c>
      <c r="F407" s="198" t="str">
        <f>Coins!F407</f>
        <v/>
      </c>
      <c r="G407" s="198" t="str">
        <f>Coins!G407</f>
        <v/>
      </c>
      <c r="H407" s="201" t="str">
        <f>if(Coins!H407="N/A",0,Coins!H407)</f>
        <v/>
      </c>
      <c r="I407" s="202" t="str">
        <f>Coins!I407</f>
        <v/>
      </c>
      <c r="J407" s="198" t="str">
        <f>Coins!J407</f>
        <v/>
      </c>
      <c r="K407" s="201" t="str">
        <f>Coins!K407</f>
        <v/>
      </c>
      <c r="L407" s="198" t="str">
        <f>Coins!L407</f>
        <v/>
      </c>
      <c r="M407" s="198"/>
      <c r="N407" s="198"/>
      <c r="P407" s="66" t="str">
        <f t="shared" si="4"/>
        <v/>
      </c>
    </row>
    <row r="408">
      <c r="A408" s="198" t="str">
        <f>Coins!A408</f>
        <v/>
      </c>
      <c r="B408" s="199" t="str">
        <f>Coins!B408</f>
        <v/>
      </c>
      <c r="C408" s="198" t="str">
        <f>Coins!C408</f>
        <v/>
      </c>
      <c r="D408" s="198" t="str">
        <f>Coins!D408</f>
        <v/>
      </c>
      <c r="E408" s="198" t="str">
        <f>Coins!E408</f>
        <v/>
      </c>
      <c r="F408" s="198" t="str">
        <f>Coins!F408</f>
        <v/>
      </c>
      <c r="G408" s="198" t="str">
        <f>Coins!G408</f>
        <v/>
      </c>
      <c r="H408" s="201" t="str">
        <f>if(Coins!H408="N/A",0,Coins!H408)</f>
        <v/>
      </c>
      <c r="I408" s="202" t="str">
        <f>Coins!I408</f>
        <v/>
      </c>
      <c r="J408" s="198" t="str">
        <f>Coins!J408</f>
        <v/>
      </c>
      <c r="K408" s="201" t="str">
        <f>Coins!K408</f>
        <v/>
      </c>
      <c r="L408" s="198" t="str">
        <f>Coins!L408</f>
        <v/>
      </c>
      <c r="M408" s="198"/>
      <c r="N408" s="198"/>
      <c r="P408" s="66" t="str">
        <f t="shared" si="4"/>
        <v/>
      </c>
    </row>
    <row r="409">
      <c r="A409" s="198" t="str">
        <f>Coins!A409</f>
        <v/>
      </c>
      <c r="B409" s="199" t="str">
        <f>Coins!B409</f>
        <v/>
      </c>
      <c r="C409" s="198" t="str">
        <f>Coins!C409</f>
        <v/>
      </c>
      <c r="D409" s="198" t="str">
        <f>Coins!D409</f>
        <v/>
      </c>
      <c r="E409" s="198" t="str">
        <f>Coins!E409</f>
        <v/>
      </c>
      <c r="F409" s="198" t="str">
        <f>Coins!F409</f>
        <v/>
      </c>
      <c r="G409" s="198" t="str">
        <f>Coins!G409</f>
        <v/>
      </c>
      <c r="H409" s="201" t="str">
        <f>if(Coins!H409="N/A",0,Coins!H409)</f>
        <v/>
      </c>
      <c r="I409" s="202" t="str">
        <f>Coins!I409</f>
        <v/>
      </c>
      <c r="J409" s="198" t="str">
        <f>Coins!J409</f>
        <v/>
      </c>
      <c r="K409" s="201" t="str">
        <f>Coins!K409</f>
        <v/>
      </c>
      <c r="L409" s="198" t="str">
        <f>Coins!L409</f>
        <v/>
      </c>
      <c r="M409" s="198"/>
      <c r="N409" s="198"/>
      <c r="P409" s="66" t="str">
        <f t="shared" si="4"/>
        <v/>
      </c>
    </row>
    <row r="410">
      <c r="A410" s="198" t="str">
        <f>Coins!A410</f>
        <v/>
      </c>
      <c r="B410" s="199" t="str">
        <f>Coins!B410</f>
        <v/>
      </c>
      <c r="C410" s="198" t="str">
        <f>Coins!C410</f>
        <v/>
      </c>
      <c r="D410" s="198" t="str">
        <f>Coins!D410</f>
        <v/>
      </c>
      <c r="E410" s="198" t="str">
        <f>Coins!E410</f>
        <v/>
      </c>
      <c r="F410" s="198" t="str">
        <f>Coins!F410</f>
        <v/>
      </c>
      <c r="G410" s="198" t="str">
        <f>Coins!G410</f>
        <v/>
      </c>
      <c r="H410" s="201" t="str">
        <f>if(Coins!H410="N/A",0,Coins!H410)</f>
        <v/>
      </c>
      <c r="I410" s="202" t="str">
        <f>Coins!I410</f>
        <v/>
      </c>
      <c r="J410" s="198" t="str">
        <f>Coins!J410</f>
        <v/>
      </c>
      <c r="K410" s="201" t="str">
        <f>Coins!K410</f>
        <v/>
      </c>
      <c r="L410" s="198" t="str">
        <f>Coins!L410</f>
        <v/>
      </c>
      <c r="M410" s="198"/>
      <c r="N410" s="198"/>
      <c r="P410" s="66" t="str">
        <f t="shared" si="4"/>
        <v/>
      </c>
    </row>
    <row r="411">
      <c r="A411" s="198" t="str">
        <f>Coins!A411</f>
        <v/>
      </c>
      <c r="B411" s="199" t="str">
        <f>Coins!B411</f>
        <v/>
      </c>
      <c r="C411" s="198" t="str">
        <f>Coins!C411</f>
        <v/>
      </c>
      <c r="D411" s="198" t="str">
        <f>Coins!D411</f>
        <v/>
      </c>
      <c r="E411" s="198" t="str">
        <f>Coins!E411</f>
        <v/>
      </c>
      <c r="F411" s="198" t="str">
        <f>Coins!F411</f>
        <v/>
      </c>
      <c r="G411" s="198" t="str">
        <f>Coins!G411</f>
        <v/>
      </c>
      <c r="H411" s="201" t="str">
        <f>if(Coins!H411="N/A",0,Coins!H411)</f>
        <v/>
      </c>
      <c r="I411" s="202" t="str">
        <f>Coins!I411</f>
        <v/>
      </c>
      <c r="J411" s="198" t="str">
        <f>Coins!J411</f>
        <v/>
      </c>
      <c r="K411" s="201" t="str">
        <f>Coins!K411</f>
        <v/>
      </c>
      <c r="L411" s="198" t="str">
        <f>Coins!L411</f>
        <v/>
      </c>
      <c r="M411" s="198"/>
      <c r="N411" s="198"/>
      <c r="P411" s="66" t="str">
        <f t="shared" si="4"/>
        <v/>
      </c>
    </row>
    <row r="412">
      <c r="A412" s="198" t="str">
        <f>Coins!A412</f>
        <v/>
      </c>
      <c r="B412" s="199" t="str">
        <f>Coins!B412</f>
        <v/>
      </c>
      <c r="C412" s="198" t="str">
        <f>Coins!C412</f>
        <v/>
      </c>
      <c r="D412" s="198" t="str">
        <f>Coins!D412</f>
        <v/>
      </c>
      <c r="E412" s="198" t="str">
        <f>Coins!E412</f>
        <v/>
      </c>
      <c r="F412" s="198" t="str">
        <f>Coins!F412</f>
        <v/>
      </c>
      <c r="G412" s="198" t="str">
        <f>Coins!G412</f>
        <v/>
      </c>
      <c r="H412" s="201" t="str">
        <f>if(Coins!H412="N/A",0,Coins!H412)</f>
        <v/>
      </c>
      <c r="I412" s="202" t="str">
        <f>Coins!I412</f>
        <v/>
      </c>
      <c r="J412" s="198" t="str">
        <f>Coins!J412</f>
        <v/>
      </c>
      <c r="K412" s="201" t="str">
        <f>Coins!K412</f>
        <v/>
      </c>
      <c r="L412" s="198" t="str">
        <f>Coins!L412</f>
        <v/>
      </c>
      <c r="M412" s="198"/>
      <c r="N412" s="198"/>
      <c r="P412" s="66" t="str">
        <f t="shared" si="4"/>
        <v/>
      </c>
    </row>
    <row r="413">
      <c r="A413" s="198" t="str">
        <f>Coins!A413</f>
        <v/>
      </c>
      <c r="B413" s="199" t="str">
        <f>Coins!B413</f>
        <v/>
      </c>
      <c r="C413" s="198" t="str">
        <f>Coins!C413</f>
        <v/>
      </c>
      <c r="D413" s="198" t="str">
        <f>Coins!D413</f>
        <v/>
      </c>
      <c r="E413" s="198" t="str">
        <f>Coins!E413</f>
        <v/>
      </c>
      <c r="F413" s="198" t="str">
        <f>Coins!F413</f>
        <v/>
      </c>
      <c r="G413" s="198" t="str">
        <f>Coins!G413</f>
        <v/>
      </c>
      <c r="H413" s="201" t="str">
        <f>if(Coins!H413="N/A",0,Coins!H413)</f>
        <v/>
      </c>
      <c r="I413" s="202" t="str">
        <f>Coins!I413</f>
        <v/>
      </c>
      <c r="J413" s="198" t="str">
        <f>Coins!J413</f>
        <v/>
      </c>
      <c r="K413" s="201" t="str">
        <f>Coins!K413</f>
        <v/>
      </c>
      <c r="L413" s="198" t="str">
        <f>Coins!L413</f>
        <v/>
      </c>
      <c r="M413" s="198"/>
      <c r="N413" s="198"/>
      <c r="P413" s="66" t="str">
        <f t="shared" si="4"/>
        <v/>
      </c>
    </row>
    <row r="414">
      <c r="A414" s="198" t="str">
        <f>Coins!A414</f>
        <v/>
      </c>
      <c r="B414" s="199" t="str">
        <f>Coins!B414</f>
        <v/>
      </c>
      <c r="C414" s="198" t="str">
        <f>Coins!C414</f>
        <v/>
      </c>
      <c r="D414" s="198" t="str">
        <f>Coins!D414</f>
        <v/>
      </c>
      <c r="E414" s="198" t="str">
        <f>Coins!E414</f>
        <v/>
      </c>
      <c r="F414" s="198" t="str">
        <f>Coins!F414</f>
        <v/>
      </c>
      <c r="G414" s="198" t="str">
        <f>Coins!G414</f>
        <v/>
      </c>
      <c r="H414" s="201" t="str">
        <f>if(Coins!H414="N/A",0,Coins!H414)</f>
        <v/>
      </c>
      <c r="I414" s="202" t="str">
        <f>Coins!I414</f>
        <v/>
      </c>
      <c r="J414" s="198" t="str">
        <f>Coins!J414</f>
        <v/>
      </c>
      <c r="K414" s="201" t="str">
        <f>Coins!K414</f>
        <v/>
      </c>
      <c r="L414" s="198" t="str">
        <f>Coins!L414</f>
        <v/>
      </c>
      <c r="M414" s="198"/>
      <c r="N414" s="198"/>
      <c r="P414" s="66" t="str">
        <f t="shared" si="4"/>
        <v/>
      </c>
    </row>
    <row r="415">
      <c r="A415" s="198" t="str">
        <f>Coins!A415</f>
        <v/>
      </c>
      <c r="B415" s="199" t="str">
        <f>Coins!B415</f>
        <v/>
      </c>
      <c r="C415" s="198" t="str">
        <f>Coins!C415</f>
        <v/>
      </c>
      <c r="D415" s="198" t="str">
        <f>Coins!D415</f>
        <v/>
      </c>
      <c r="E415" s="198" t="str">
        <f>Coins!E415</f>
        <v/>
      </c>
      <c r="F415" s="198" t="str">
        <f>Coins!F415</f>
        <v/>
      </c>
      <c r="G415" s="198" t="str">
        <f>Coins!G415</f>
        <v/>
      </c>
      <c r="H415" s="201" t="str">
        <f>if(Coins!H415="N/A",0,Coins!H415)</f>
        <v/>
      </c>
      <c r="I415" s="202" t="str">
        <f>Coins!I415</f>
        <v/>
      </c>
      <c r="J415" s="198" t="str">
        <f>Coins!J415</f>
        <v/>
      </c>
      <c r="K415" s="201" t="str">
        <f>Coins!K415</f>
        <v/>
      </c>
      <c r="L415" s="198" t="str">
        <f>Coins!L415</f>
        <v/>
      </c>
      <c r="M415" s="198"/>
      <c r="N415" s="198"/>
      <c r="P415" s="66" t="str">
        <f t="shared" si="4"/>
        <v/>
      </c>
    </row>
    <row r="416">
      <c r="A416" s="198" t="str">
        <f>Coins!A416</f>
        <v/>
      </c>
      <c r="B416" s="199" t="str">
        <f>Coins!B416</f>
        <v/>
      </c>
      <c r="C416" s="198" t="str">
        <f>Coins!C416</f>
        <v/>
      </c>
      <c r="D416" s="198" t="str">
        <f>Coins!D416</f>
        <v/>
      </c>
      <c r="E416" s="198" t="str">
        <f>Coins!E416</f>
        <v/>
      </c>
      <c r="F416" s="198" t="str">
        <f>Coins!F416</f>
        <v/>
      </c>
      <c r="G416" s="198" t="str">
        <f>Coins!G416</f>
        <v/>
      </c>
      <c r="H416" s="201" t="str">
        <f>if(Coins!H416="N/A",0,Coins!H416)</f>
        <v/>
      </c>
      <c r="I416" s="202" t="str">
        <f>Coins!I416</f>
        <v/>
      </c>
      <c r="J416" s="198" t="str">
        <f>Coins!J416</f>
        <v/>
      </c>
      <c r="K416" s="201" t="str">
        <f>Coins!K416</f>
        <v/>
      </c>
      <c r="L416" s="198" t="str">
        <f>Coins!L416</f>
        <v/>
      </c>
      <c r="M416" s="198"/>
      <c r="N416" s="198"/>
      <c r="P416" s="66" t="str">
        <f t="shared" si="4"/>
        <v/>
      </c>
    </row>
    <row r="417">
      <c r="A417" s="198" t="str">
        <f>Coins!A417</f>
        <v/>
      </c>
      <c r="B417" s="199" t="str">
        <f>Coins!B417</f>
        <v/>
      </c>
      <c r="C417" s="198" t="str">
        <f>Coins!C417</f>
        <v/>
      </c>
      <c r="D417" s="198" t="str">
        <f>Coins!D417</f>
        <v/>
      </c>
      <c r="E417" s="198" t="str">
        <f>Coins!E417</f>
        <v/>
      </c>
      <c r="F417" s="198" t="str">
        <f>Coins!F417</f>
        <v/>
      </c>
      <c r="G417" s="198" t="str">
        <f>Coins!G417</f>
        <v/>
      </c>
      <c r="H417" s="201" t="str">
        <f>if(Coins!H417="N/A",0,Coins!H417)</f>
        <v/>
      </c>
      <c r="I417" s="202" t="str">
        <f>Coins!I417</f>
        <v/>
      </c>
      <c r="J417" s="198" t="str">
        <f>Coins!J417</f>
        <v/>
      </c>
      <c r="K417" s="201" t="str">
        <f>Coins!K417</f>
        <v/>
      </c>
      <c r="L417" s="198" t="str">
        <f>Coins!L417</f>
        <v/>
      </c>
      <c r="M417" s="198"/>
      <c r="N417" s="198"/>
      <c r="P417" s="66" t="str">
        <f t="shared" si="4"/>
        <v/>
      </c>
    </row>
    <row r="418">
      <c r="A418" s="198" t="str">
        <f>Coins!A418</f>
        <v/>
      </c>
      <c r="B418" s="199" t="str">
        <f>Coins!B418</f>
        <v/>
      </c>
      <c r="C418" s="198" t="str">
        <f>Coins!C418</f>
        <v/>
      </c>
      <c r="D418" s="198" t="str">
        <f>Coins!D418</f>
        <v/>
      </c>
      <c r="E418" s="198" t="str">
        <f>Coins!E418</f>
        <v/>
      </c>
      <c r="F418" s="198" t="str">
        <f>Coins!F418</f>
        <v/>
      </c>
      <c r="G418" s="198" t="str">
        <f>Coins!G418</f>
        <v/>
      </c>
      <c r="H418" s="201" t="str">
        <f>if(Coins!H418="N/A",0,Coins!H418)</f>
        <v/>
      </c>
      <c r="I418" s="202" t="str">
        <f>Coins!I418</f>
        <v/>
      </c>
      <c r="J418" s="198" t="str">
        <f>Coins!J418</f>
        <v/>
      </c>
      <c r="K418" s="201" t="str">
        <f>Coins!K418</f>
        <v/>
      </c>
      <c r="L418" s="198" t="str">
        <f>Coins!L418</f>
        <v/>
      </c>
      <c r="M418" s="198"/>
      <c r="N418" s="198"/>
      <c r="P418" s="66" t="str">
        <f t="shared" si="4"/>
        <v/>
      </c>
    </row>
    <row r="419">
      <c r="A419" s="198" t="str">
        <f>Coins!A419</f>
        <v/>
      </c>
      <c r="B419" s="199" t="str">
        <f>Coins!B419</f>
        <v/>
      </c>
      <c r="C419" s="198" t="str">
        <f>Coins!C419</f>
        <v/>
      </c>
      <c r="D419" s="198" t="str">
        <f>Coins!D419</f>
        <v/>
      </c>
      <c r="E419" s="198" t="str">
        <f>Coins!E419</f>
        <v/>
      </c>
      <c r="F419" s="198" t="str">
        <f>Coins!F419</f>
        <v/>
      </c>
      <c r="G419" s="198" t="str">
        <f>Coins!G419</f>
        <v/>
      </c>
      <c r="H419" s="201" t="str">
        <f>if(Coins!H419="N/A",0,Coins!H419)</f>
        <v/>
      </c>
      <c r="I419" s="202" t="str">
        <f>Coins!I419</f>
        <v/>
      </c>
      <c r="J419" s="198" t="str">
        <f>Coins!J419</f>
        <v/>
      </c>
      <c r="K419" s="201" t="str">
        <f>Coins!K419</f>
        <v/>
      </c>
      <c r="L419" s="198" t="str">
        <f>Coins!L419</f>
        <v/>
      </c>
      <c r="M419" s="198"/>
      <c r="N419" s="198"/>
      <c r="P419" s="66" t="str">
        <f t="shared" si="4"/>
        <v/>
      </c>
    </row>
    <row r="420">
      <c r="A420" s="198" t="str">
        <f>Coins!A420</f>
        <v/>
      </c>
      <c r="B420" s="199" t="str">
        <f>Coins!B420</f>
        <v/>
      </c>
      <c r="C420" s="198" t="str">
        <f>Coins!C420</f>
        <v/>
      </c>
      <c r="D420" s="198" t="str">
        <f>Coins!D420</f>
        <v/>
      </c>
      <c r="E420" s="198" t="str">
        <f>Coins!E420</f>
        <v/>
      </c>
      <c r="F420" s="198" t="str">
        <f>Coins!F420</f>
        <v/>
      </c>
      <c r="G420" s="198" t="str">
        <f>Coins!G420</f>
        <v/>
      </c>
      <c r="H420" s="201" t="str">
        <f>if(Coins!H420="N/A",0,Coins!H420)</f>
        <v/>
      </c>
      <c r="I420" s="202" t="str">
        <f>Coins!I420</f>
        <v/>
      </c>
      <c r="J420" s="198" t="str">
        <f>Coins!J420</f>
        <v/>
      </c>
      <c r="K420" s="201" t="str">
        <f>Coins!K420</f>
        <v/>
      </c>
      <c r="L420" s="198" t="str">
        <f>Coins!L420</f>
        <v/>
      </c>
      <c r="M420" s="198"/>
      <c r="N420" s="198"/>
      <c r="P420" s="66" t="str">
        <f t="shared" si="4"/>
        <v/>
      </c>
    </row>
    <row r="421">
      <c r="A421" s="198" t="str">
        <f>Coins!A421</f>
        <v/>
      </c>
      <c r="B421" s="199" t="str">
        <f>Coins!B421</f>
        <v/>
      </c>
      <c r="C421" s="198" t="str">
        <f>Coins!C421</f>
        <v/>
      </c>
      <c r="D421" s="198" t="str">
        <f>Coins!D421</f>
        <v/>
      </c>
      <c r="E421" s="198" t="str">
        <f>Coins!E421</f>
        <v/>
      </c>
      <c r="F421" s="198" t="str">
        <f>Coins!F421</f>
        <v/>
      </c>
      <c r="G421" s="198" t="str">
        <f>Coins!G421</f>
        <v/>
      </c>
      <c r="H421" s="201" t="str">
        <f>if(Coins!H421="N/A",0,Coins!H421)</f>
        <v/>
      </c>
      <c r="I421" s="202" t="str">
        <f>Coins!I421</f>
        <v/>
      </c>
      <c r="J421" s="198" t="str">
        <f>Coins!J421</f>
        <v/>
      </c>
      <c r="K421" s="201" t="str">
        <f>Coins!K421</f>
        <v/>
      </c>
      <c r="L421" s="198" t="str">
        <f>Coins!L421</f>
        <v/>
      </c>
      <c r="M421" s="198"/>
      <c r="N421" s="198"/>
      <c r="P421" s="66" t="str">
        <f t="shared" si="4"/>
        <v/>
      </c>
    </row>
    <row r="422">
      <c r="A422" s="198" t="str">
        <f>Coins!A422</f>
        <v/>
      </c>
      <c r="B422" s="199" t="str">
        <f>Coins!B422</f>
        <v/>
      </c>
      <c r="C422" s="198" t="str">
        <f>Coins!C422</f>
        <v/>
      </c>
      <c r="D422" s="198" t="str">
        <f>Coins!D422</f>
        <v/>
      </c>
      <c r="E422" s="198" t="str">
        <f>Coins!E422</f>
        <v/>
      </c>
      <c r="F422" s="198" t="str">
        <f>Coins!F422</f>
        <v/>
      </c>
      <c r="G422" s="198" t="str">
        <f>Coins!G422</f>
        <v/>
      </c>
      <c r="H422" s="201" t="str">
        <f>if(Coins!H422="N/A",0,Coins!H422)</f>
        <v/>
      </c>
      <c r="I422" s="202" t="str">
        <f>Coins!I422</f>
        <v/>
      </c>
      <c r="J422" s="198" t="str">
        <f>Coins!J422</f>
        <v/>
      </c>
      <c r="K422" s="201" t="str">
        <f>Coins!K422</f>
        <v/>
      </c>
      <c r="L422" s="198" t="str">
        <f>Coins!L422</f>
        <v/>
      </c>
      <c r="M422" s="198"/>
      <c r="N422" s="198"/>
      <c r="P422" s="66" t="str">
        <f t="shared" si="4"/>
        <v/>
      </c>
    </row>
    <row r="423">
      <c r="A423" s="198" t="str">
        <f>Coins!A423</f>
        <v/>
      </c>
      <c r="B423" s="199" t="str">
        <f>Coins!B423</f>
        <v/>
      </c>
      <c r="C423" s="198" t="str">
        <f>Coins!C423</f>
        <v/>
      </c>
      <c r="D423" s="198" t="str">
        <f>Coins!D423</f>
        <v/>
      </c>
      <c r="E423" s="198" t="str">
        <f>Coins!E423</f>
        <v/>
      </c>
      <c r="F423" s="198" t="str">
        <f>Coins!F423</f>
        <v/>
      </c>
      <c r="G423" s="198" t="str">
        <f>Coins!G423</f>
        <v/>
      </c>
      <c r="H423" s="201" t="str">
        <f>if(Coins!H423="N/A",0,Coins!H423)</f>
        <v/>
      </c>
      <c r="I423" s="202" t="str">
        <f>Coins!I423</f>
        <v/>
      </c>
      <c r="J423" s="198" t="str">
        <f>Coins!J423</f>
        <v/>
      </c>
      <c r="K423" s="201" t="str">
        <f>Coins!K423</f>
        <v/>
      </c>
      <c r="L423" s="198" t="str">
        <f>Coins!L423</f>
        <v/>
      </c>
      <c r="M423" s="198"/>
      <c r="N423" s="198"/>
      <c r="P423" s="66" t="str">
        <f t="shared" si="4"/>
        <v/>
      </c>
    </row>
    <row r="424">
      <c r="A424" s="198" t="str">
        <f>Coins!A424</f>
        <v/>
      </c>
      <c r="B424" s="199" t="str">
        <f>Coins!B424</f>
        <v/>
      </c>
      <c r="C424" s="198" t="str">
        <f>Coins!C424</f>
        <v/>
      </c>
      <c r="D424" s="198" t="str">
        <f>Coins!D424</f>
        <v/>
      </c>
      <c r="E424" s="198" t="str">
        <f>Coins!E424</f>
        <v/>
      </c>
      <c r="F424" s="198" t="str">
        <f>Coins!F424</f>
        <v/>
      </c>
      <c r="G424" s="198" t="str">
        <f>Coins!G424</f>
        <v/>
      </c>
      <c r="H424" s="201" t="str">
        <f>if(Coins!H424="N/A",0,Coins!H424)</f>
        <v/>
      </c>
      <c r="I424" s="202" t="str">
        <f>Coins!I424</f>
        <v/>
      </c>
      <c r="J424" s="198" t="str">
        <f>Coins!J424</f>
        <v/>
      </c>
      <c r="K424" s="201" t="str">
        <f>Coins!K424</f>
        <v/>
      </c>
      <c r="L424" s="198" t="str">
        <f>Coins!L424</f>
        <v/>
      </c>
      <c r="M424" s="198"/>
      <c r="N424" s="198"/>
      <c r="P424" s="66" t="str">
        <f t="shared" si="4"/>
        <v/>
      </c>
    </row>
    <row r="425">
      <c r="A425" s="198" t="str">
        <f>Coins!A425</f>
        <v/>
      </c>
      <c r="B425" s="199" t="str">
        <f>Coins!B425</f>
        <v/>
      </c>
      <c r="C425" s="198" t="str">
        <f>Coins!C425</f>
        <v/>
      </c>
      <c r="D425" s="198" t="str">
        <f>Coins!D425</f>
        <v/>
      </c>
      <c r="E425" s="198" t="str">
        <f>Coins!E425</f>
        <v/>
      </c>
      <c r="F425" s="198" t="str">
        <f>Coins!F425</f>
        <v/>
      </c>
      <c r="G425" s="198" t="str">
        <f>Coins!G425</f>
        <v/>
      </c>
      <c r="H425" s="201" t="str">
        <f>if(Coins!H425="N/A",0,Coins!H425)</f>
        <v/>
      </c>
      <c r="I425" s="202" t="str">
        <f>Coins!I425</f>
        <v/>
      </c>
      <c r="J425" s="198" t="str">
        <f>Coins!J425</f>
        <v/>
      </c>
      <c r="K425" s="201" t="str">
        <f>Coins!K425</f>
        <v/>
      </c>
      <c r="L425" s="198" t="str">
        <f>Coins!L425</f>
        <v/>
      </c>
      <c r="M425" s="198"/>
      <c r="N425" s="198"/>
      <c r="P425" s="66" t="str">
        <f t="shared" si="4"/>
        <v/>
      </c>
    </row>
    <row r="426">
      <c r="A426" s="198" t="str">
        <f>Coins!A426</f>
        <v/>
      </c>
      <c r="B426" s="199" t="str">
        <f>Coins!B426</f>
        <v/>
      </c>
      <c r="C426" s="198" t="str">
        <f>Coins!C426</f>
        <v/>
      </c>
      <c r="D426" s="198" t="str">
        <f>Coins!D426</f>
        <v/>
      </c>
      <c r="E426" s="198" t="str">
        <f>Coins!E426</f>
        <v/>
      </c>
      <c r="F426" s="198" t="str">
        <f>Coins!F426</f>
        <v/>
      </c>
      <c r="G426" s="198" t="str">
        <f>Coins!G426</f>
        <v/>
      </c>
      <c r="H426" s="201" t="str">
        <f>if(Coins!H426="N/A",0,Coins!H426)</f>
        <v/>
      </c>
      <c r="I426" s="202" t="str">
        <f>Coins!I426</f>
        <v/>
      </c>
      <c r="J426" s="198" t="str">
        <f>Coins!J426</f>
        <v/>
      </c>
      <c r="K426" s="201" t="str">
        <f>Coins!K426</f>
        <v/>
      </c>
      <c r="L426" s="198" t="str">
        <f>Coins!L426</f>
        <v/>
      </c>
      <c r="M426" s="198"/>
      <c r="N426" s="198"/>
      <c r="P426" s="66" t="str">
        <f t="shared" si="4"/>
        <v/>
      </c>
    </row>
    <row r="427">
      <c r="A427" s="198" t="str">
        <f>Coins!A427</f>
        <v/>
      </c>
      <c r="B427" s="199" t="str">
        <f>Coins!B427</f>
        <v/>
      </c>
      <c r="C427" s="198" t="str">
        <f>Coins!C427</f>
        <v/>
      </c>
      <c r="D427" s="198" t="str">
        <f>Coins!D427</f>
        <v/>
      </c>
      <c r="E427" s="198" t="str">
        <f>Coins!E427</f>
        <v/>
      </c>
      <c r="F427" s="198" t="str">
        <f>Coins!F427</f>
        <v/>
      </c>
      <c r="G427" s="198" t="str">
        <f>Coins!G427</f>
        <v/>
      </c>
      <c r="H427" s="201" t="str">
        <f>if(Coins!H427="N/A",0,Coins!H427)</f>
        <v/>
      </c>
      <c r="I427" s="202" t="str">
        <f>Coins!I427</f>
        <v/>
      </c>
      <c r="J427" s="198" t="str">
        <f>Coins!J427</f>
        <v/>
      </c>
      <c r="K427" s="201" t="str">
        <f>Coins!K427</f>
        <v/>
      </c>
      <c r="L427" s="198" t="str">
        <f>Coins!L427</f>
        <v/>
      </c>
      <c r="M427" s="198"/>
      <c r="N427" s="198"/>
      <c r="P427" s="66" t="str">
        <f t="shared" si="4"/>
        <v/>
      </c>
    </row>
    <row r="428">
      <c r="A428" s="198" t="str">
        <f>Coins!A428</f>
        <v/>
      </c>
      <c r="B428" s="199" t="str">
        <f>Coins!B428</f>
        <v/>
      </c>
      <c r="C428" s="198" t="str">
        <f>Coins!C428</f>
        <v/>
      </c>
      <c r="D428" s="198" t="str">
        <f>Coins!D428</f>
        <v/>
      </c>
      <c r="E428" s="198" t="str">
        <f>Coins!E428</f>
        <v/>
      </c>
      <c r="F428" s="198" t="str">
        <f>Coins!F428</f>
        <v/>
      </c>
      <c r="G428" s="198" t="str">
        <f>Coins!G428</f>
        <v/>
      </c>
      <c r="H428" s="201" t="str">
        <f>if(Coins!H428="N/A",0,Coins!H428)</f>
        <v/>
      </c>
      <c r="I428" s="202" t="str">
        <f>Coins!I428</f>
        <v/>
      </c>
      <c r="J428" s="198" t="str">
        <f>Coins!J428</f>
        <v/>
      </c>
      <c r="K428" s="201" t="str">
        <f>Coins!K428</f>
        <v/>
      </c>
      <c r="L428" s="198" t="str">
        <f>Coins!L428</f>
        <v/>
      </c>
      <c r="M428" s="198"/>
      <c r="N428" s="198"/>
      <c r="P428" s="66" t="str">
        <f t="shared" si="4"/>
        <v/>
      </c>
    </row>
    <row r="429">
      <c r="A429" s="198" t="str">
        <f>Coins!A429</f>
        <v/>
      </c>
      <c r="B429" s="199" t="str">
        <f>Coins!B429</f>
        <v/>
      </c>
      <c r="C429" s="198" t="str">
        <f>Coins!C429</f>
        <v/>
      </c>
      <c r="D429" s="198" t="str">
        <f>Coins!D429</f>
        <v/>
      </c>
      <c r="E429" s="198" t="str">
        <f>Coins!E429</f>
        <v/>
      </c>
      <c r="F429" s="198" t="str">
        <f>Coins!F429</f>
        <v/>
      </c>
      <c r="G429" s="198" t="str">
        <f>Coins!G429</f>
        <v/>
      </c>
      <c r="H429" s="201" t="str">
        <f>if(Coins!H429="N/A",0,Coins!H429)</f>
        <v/>
      </c>
      <c r="I429" s="202" t="str">
        <f>Coins!I429</f>
        <v/>
      </c>
      <c r="J429" s="198" t="str">
        <f>Coins!J429</f>
        <v/>
      </c>
      <c r="K429" s="201" t="str">
        <f>Coins!K429</f>
        <v/>
      </c>
      <c r="L429" s="198" t="str">
        <f>Coins!L429</f>
        <v/>
      </c>
      <c r="M429" s="198"/>
      <c r="N429" s="198"/>
      <c r="P429" s="66" t="str">
        <f t="shared" si="4"/>
        <v/>
      </c>
    </row>
    <row r="430">
      <c r="A430" s="198" t="str">
        <f>Coins!A430</f>
        <v/>
      </c>
      <c r="B430" s="199" t="str">
        <f>Coins!B430</f>
        <v/>
      </c>
      <c r="C430" s="198" t="str">
        <f>Coins!C430</f>
        <v/>
      </c>
      <c r="D430" s="198" t="str">
        <f>Coins!D430</f>
        <v/>
      </c>
      <c r="E430" s="198" t="str">
        <f>Coins!E430</f>
        <v/>
      </c>
      <c r="F430" s="198" t="str">
        <f>Coins!F430</f>
        <v/>
      </c>
      <c r="G430" s="198" t="str">
        <f>Coins!G430</f>
        <v/>
      </c>
      <c r="H430" s="201" t="str">
        <f>if(Coins!H430="N/A",0,Coins!H430)</f>
        <v/>
      </c>
      <c r="I430" s="202" t="str">
        <f>Coins!I430</f>
        <v/>
      </c>
      <c r="J430" s="198" t="str">
        <f>Coins!J430</f>
        <v/>
      </c>
      <c r="K430" s="201" t="str">
        <f>Coins!K430</f>
        <v/>
      </c>
      <c r="L430" s="198" t="str">
        <f>Coins!L430</f>
        <v/>
      </c>
      <c r="M430" s="198"/>
      <c r="N430" s="198"/>
      <c r="P430" s="66" t="str">
        <f t="shared" si="4"/>
        <v/>
      </c>
    </row>
    <row r="431">
      <c r="A431" s="198" t="str">
        <f>Coins!A431</f>
        <v/>
      </c>
      <c r="B431" s="199" t="str">
        <f>Coins!B431</f>
        <v/>
      </c>
      <c r="C431" s="198" t="str">
        <f>Coins!C431</f>
        <v/>
      </c>
      <c r="D431" s="198" t="str">
        <f>Coins!D431</f>
        <v/>
      </c>
      <c r="E431" s="198" t="str">
        <f>Coins!E431</f>
        <v/>
      </c>
      <c r="F431" s="198" t="str">
        <f>Coins!F431</f>
        <v/>
      </c>
      <c r="G431" s="198" t="str">
        <f>Coins!G431</f>
        <v/>
      </c>
      <c r="H431" s="201" t="str">
        <f>if(Coins!H431="N/A",0,Coins!H431)</f>
        <v/>
      </c>
      <c r="I431" s="202" t="str">
        <f>Coins!I431</f>
        <v/>
      </c>
      <c r="J431" s="198" t="str">
        <f>Coins!J431</f>
        <v/>
      </c>
      <c r="K431" s="201" t="str">
        <f>Coins!K431</f>
        <v/>
      </c>
      <c r="L431" s="198" t="str">
        <f>Coins!L431</f>
        <v/>
      </c>
      <c r="M431" s="198"/>
      <c r="N431" s="198"/>
      <c r="P431" s="66" t="str">
        <f t="shared" si="4"/>
        <v/>
      </c>
    </row>
    <row r="432">
      <c r="A432" s="198" t="str">
        <f>Coins!A432</f>
        <v/>
      </c>
      <c r="B432" s="199" t="str">
        <f>Coins!B432</f>
        <v/>
      </c>
      <c r="C432" s="198" t="str">
        <f>Coins!C432</f>
        <v/>
      </c>
      <c r="D432" s="198" t="str">
        <f>Coins!D432</f>
        <v/>
      </c>
      <c r="E432" s="198" t="str">
        <f>Coins!E432</f>
        <v/>
      </c>
      <c r="F432" s="198" t="str">
        <f>Coins!F432</f>
        <v/>
      </c>
      <c r="G432" s="198" t="str">
        <f>Coins!G432</f>
        <v/>
      </c>
      <c r="H432" s="201" t="str">
        <f>if(Coins!H432="N/A",0,Coins!H432)</f>
        <v/>
      </c>
      <c r="I432" s="202" t="str">
        <f>Coins!I432</f>
        <v/>
      </c>
      <c r="J432" s="198" t="str">
        <f>Coins!J432</f>
        <v/>
      </c>
      <c r="K432" s="201" t="str">
        <f>Coins!K432</f>
        <v/>
      </c>
      <c r="L432" s="198" t="str">
        <f>Coins!L432</f>
        <v/>
      </c>
      <c r="M432" s="198"/>
      <c r="N432" s="198"/>
      <c r="P432" s="66" t="str">
        <f t="shared" si="4"/>
        <v/>
      </c>
    </row>
    <row r="433">
      <c r="A433" s="198" t="str">
        <f>Coins!A433</f>
        <v/>
      </c>
      <c r="B433" s="199" t="str">
        <f>Coins!B433</f>
        <v/>
      </c>
      <c r="C433" s="198" t="str">
        <f>Coins!C433</f>
        <v/>
      </c>
      <c r="D433" s="198" t="str">
        <f>Coins!D433</f>
        <v/>
      </c>
      <c r="E433" s="198" t="str">
        <f>Coins!E433</f>
        <v/>
      </c>
      <c r="F433" s="198" t="str">
        <f>Coins!F433</f>
        <v/>
      </c>
      <c r="G433" s="198" t="str">
        <f>Coins!G433</f>
        <v/>
      </c>
      <c r="H433" s="201" t="str">
        <f>if(Coins!H433="N/A",0,Coins!H433)</f>
        <v/>
      </c>
      <c r="I433" s="202" t="str">
        <f>Coins!I433</f>
        <v/>
      </c>
      <c r="J433" s="198" t="str">
        <f>Coins!J433</f>
        <v/>
      </c>
      <c r="K433" s="201" t="str">
        <f>Coins!K433</f>
        <v/>
      </c>
      <c r="L433" s="198" t="str">
        <f>Coins!L433</f>
        <v/>
      </c>
      <c r="M433" s="198"/>
      <c r="N433" s="198"/>
      <c r="P433" s="66" t="str">
        <f t="shared" si="4"/>
        <v/>
      </c>
    </row>
    <row r="434">
      <c r="A434" s="198" t="str">
        <f>Coins!A434</f>
        <v/>
      </c>
      <c r="B434" s="199" t="str">
        <f>Coins!B434</f>
        <v/>
      </c>
      <c r="C434" s="198" t="str">
        <f>Coins!C434</f>
        <v/>
      </c>
      <c r="D434" s="198" t="str">
        <f>Coins!D434</f>
        <v/>
      </c>
      <c r="E434" s="198" t="str">
        <f>Coins!E434</f>
        <v/>
      </c>
      <c r="F434" s="198" t="str">
        <f>Coins!F434</f>
        <v/>
      </c>
      <c r="G434" s="198" t="str">
        <f>Coins!G434</f>
        <v/>
      </c>
      <c r="H434" s="201" t="str">
        <f>if(Coins!H434="N/A",0,Coins!H434)</f>
        <v/>
      </c>
      <c r="I434" s="202" t="str">
        <f>Coins!I434</f>
        <v/>
      </c>
      <c r="J434" s="198" t="str">
        <f>Coins!J434</f>
        <v/>
      </c>
      <c r="K434" s="201" t="str">
        <f>Coins!K434</f>
        <v/>
      </c>
      <c r="L434" s="198" t="str">
        <f>Coins!L434</f>
        <v/>
      </c>
      <c r="M434" s="198"/>
      <c r="N434" s="198"/>
      <c r="P434" s="66" t="str">
        <f t="shared" si="4"/>
        <v/>
      </c>
    </row>
    <row r="435">
      <c r="A435" s="198" t="str">
        <f>Coins!A435</f>
        <v/>
      </c>
      <c r="B435" s="199" t="str">
        <f>Coins!B435</f>
        <v/>
      </c>
      <c r="C435" s="198" t="str">
        <f>Coins!C435</f>
        <v/>
      </c>
      <c r="D435" s="198" t="str">
        <f>Coins!D435</f>
        <v/>
      </c>
      <c r="E435" s="198" t="str">
        <f>Coins!E435</f>
        <v/>
      </c>
      <c r="F435" s="198" t="str">
        <f>Coins!F435</f>
        <v/>
      </c>
      <c r="G435" s="198" t="str">
        <f>Coins!G435</f>
        <v/>
      </c>
      <c r="H435" s="201" t="str">
        <f>if(Coins!H435="N/A",0,Coins!H435)</f>
        <v/>
      </c>
      <c r="I435" s="202" t="str">
        <f>Coins!I435</f>
        <v/>
      </c>
      <c r="J435" s="198" t="str">
        <f>Coins!J435</f>
        <v/>
      </c>
      <c r="K435" s="201" t="str">
        <f>Coins!K435</f>
        <v/>
      </c>
      <c r="L435" s="198" t="str">
        <f>Coins!L435</f>
        <v/>
      </c>
      <c r="M435" s="198"/>
      <c r="N435" s="198"/>
      <c r="P435" s="66" t="str">
        <f t="shared" si="4"/>
        <v/>
      </c>
    </row>
    <row r="436">
      <c r="A436" s="198" t="str">
        <f>Coins!A436</f>
        <v/>
      </c>
      <c r="B436" s="199" t="str">
        <f>Coins!B436</f>
        <v/>
      </c>
      <c r="C436" s="198" t="str">
        <f>Coins!C436</f>
        <v/>
      </c>
      <c r="D436" s="198" t="str">
        <f>Coins!D436</f>
        <v/>
      </c>
      <c r="E436" s="198" t="str">
        <f>Coins!E436</f>
        <v/>
      </c>
      <c r="F436" s="198" t="str">
        <f>Coins!F436</f>
        <v/>
      </c>
      <c r="G436" s="198" t="str">
        <f>Coins!G436</f>
        <v/>
      </c>
      <c r="H436" s="201" t="str">
        <f>if(Coins!H436="N/A",0,Coins!H436)</f>
        <v/>
      </c>
      <c r="I436" s="202" t="str">
        <f>Coins!I436</f>
        <v/>
      </c>
      <c r="J436" s="198" t="str">
        <f>Coins!J436</f>
        <v/>
      </c>
      <c r="K436" s="201" t="str">
        <f>Coins!K436</f>
        <v/>
      </c>
      <c r="L436" s="198" t="str">
        <f>Coins!L436</f>
        <v/>
      </c>
      <c r="M436" s="198"/>
      <c r="N436" s="198"/>
      <c r="P436" s="66" t="str">
        <f t="shared" si="4"/>
        <v/>
      </c>
    </row>
    <row r="437">
      <c r="A437" s="198" t="str">
        <f>Coins!A437</f>
        <v/>
      </c>
      <c r="B437" s="199" t="str">
        <f>Coins!B437</f>
        <v/>
      </c>
      <c r="C437" s="198" t="str">
        <f>Coins!C437</f>
        <v/>
      </c>
      <c r="D437" s="198" t="str">
        <f>Coins!D437</f>
        <v/>
      </c>
      <c r="E437" s="198" t="str">
        <f>Coins!E437</f>
        <v/>
      </c>
      <c r="F437" s="198" t="str">
        <f>Coins!F437</f>
        <v/>
      </c>
      <c r="G437" s="198" t="str">
        <f>Coins!G437</f>
        <v/>
      </c>
      <c r="H437" s="201" t="str">
        <f>if(Coins!H437="N/A",0,Coins!H437)</f>
        <v/>
      </c>
      <c r="I437" s="202" t="str">
        <f>Coins!I437</f>
        <v/>
      </c>
      <c r="J437" s="198" t="str">
        <f>Coins!J437</f>
        <v/>
      </c>
      <c r="K437" s="201" t="str">
        <f>Coins!K437</f>
        <v/>
      </c>
      <c r="L437" s="198" t="str">
        <f>Coins!L437</f>
        <v/>
      </c>
      <c r="M437" s="198"/>
      <c r="N437" s="198"/>
      <c r="P437" s="66" t="str">
        <f t="shared" si="4"/>
        <v/>
      </c>
    </row>
    <row r="438">
      <c r="A438" s="198" t="str">
        <f>Coins!A438</f>
        <v/>
      </c>
      <c r="B438" s="199" t="str">
        <f>Coins!B438</f>
        <v/>
      </c>
      <c r="C438" s="198" t="str">
        <f>Coins!C438</f>
        <v/>
      </c>
      <c r="D438" s="198" t="str">
        <f>Coins!D438</f>
        <v/>
      </c>
      <c r="E438" s="198" t="str">
        <f>Coins!E438</f>
        <v/>
      </c>
      <c r="F438" s="198" t="str">
        <f>Coins!F438</f>
        <v/>
      </c>
      <c r="G438" s="198" t="str">
        <f>Coins!G438</f>
        <v/>
      </c>
      <c r="H438" s="201" t="str">
        <f>if(Coins!H438="N/A",0,Coins!H438)</f>
        <v/>
      </c>
      <c r="I438" s="202" t="str">
        <f>Coins!I438</f>
        <v/>
      </c>
      <c r="J438" s="198" t="str">
        <f>Coins!J438</f>
        <v/>
      </c>
      <c r="K438" s="201" t="str">
        <f>Coins!K438</f>
        <v/>
      </c>
      <c r="L438" s="198" t="str">
        <f>Coins!L438</f>
        <v/>
      </c>
      <c r="M438" s="198"/>
      <c r="N438" s="198"/>
      <c r="P438" s="66" t="str">
        <f t="shared" si="4"/>
        <v/>
      </c>
    </row>
    <row r="439">
      <c r="A439" s="198" t="str">
        <f>Coins!A439</f>
        <v/>
      </c>
      <c r="B439" s="199" t="str">
        <f>Coins!B439</f>
        <v/>
      </c>
      <c r="C439" s="198" t="str">
        <f>Coins!C439</f>
        <v/>
      </c>
      <c r="D439" s="198" t="str">
        <f>Coins!D439</f>
        <v/>
      </c>
      <c r="E439" s="198" t="str">
        <f>Coins!E439</f>
        <v/>
      </c>
      <c r="F439" s="198" t="str">
        <f>Coins!F439</f>
        <v/>
      </c>
      <c r="G439" s="198" t="str">
        <f>Coins!G439</f>
        <v/>
      </c>
      <c r="H439" s="201" t="str">
        <f>if(Coins!H439="N/A",0,Coins!H439)</f>
        <v/>
      </c>
      <c r="I439" s="202" t="str">
        <f>Coins!I439</f>
        <v/>
      </c>
      <c r="J439" s="198" t="str">
        <f>Coins!J439</f>
        <v/>
      </c>
      <c r="K439" s="201" t="str">
        <f>Coins!K439</f>
        <v/>
      </c>
      <c r="L439" s="198" t="str">
        <f>Coins!L439</f>
        <v/>
      </c>
      <c r="M439" s="198"/>
      <c r="N439" s="198"/>
      <c r="P439" s="66" t="str">
        <f t="shared" si="4"/>
        <v/>
      </c>
    </row>
    <row r="440">
      <c r="A440" s="198" t="str">
        <f>Coins!A440</f>
        <v/>
      </c>
      <c r="B440" s="199" t="str">
        <f>Coins!B440</f>
        <v/>
      </c>
      <c r="C440" s="198" t="str">
        <f>Coins!C440</f>
        <v/>
      </c>
      <c r="D440" s="198" t="str">
        <f>Coins!D440</f>
        <v/>
      </c>
      <c r="E440" s="198" t="str">
        <f>Coins!E440</f>
        <v/>
      </c>
      <c r="F440" s="198" t="str">
        <f>Coins!F440</f>
        <v/>
      </c>
      <c r="G440" s="198" t="str">
        <f>Coins!G440</f>
        <v/>
      </c>
      <c r="H440" s="201" t="str">
        <f>if(Coins!H440="N/A",0,Coins!H440)</f>
        <v/>
      </c>
      <c r="I440" s="202" t="str">
        <f>Coins!I440</f>
        <v/>
      </c>
      <c r="J440" s="198" t="str">
        <f>Coins!J440</f>
        <v/>
      </c>
      <c r="K440" s="201" t="str">
        <f>Coins!K440</f>
        <v/>
      </c>
      <c r="L440" s="198" t="str">
        <f>Coins!L440</f>
        <v/>
      </c>
      <c r="M440" s="198"/>
      <c r="N440" s="198"/>
      <c r="P440" s="66" t="str">
        <f t="shared" si="4"/>
        <v/>
      </c>
    </row>
    <row r="441">
      <c r="A441" s="198" t="str">
        <f>Coins!A441</f>
        <v/>
      </c>
      <c r="B441" s="199" t="str">
        <f>Coins!B441</f>
        <v/>
      </c>
      <c r="C441" s="198" t="str">
        <f>Coins!C441</f>
        <v/>
      </c>
      <c r="D441" s="198" t="str">
        <f>Coins!D441</f>
        <v/>
      </c>
      <c r="E441" s="198" t="str">
        <f>Coins!E441</f>
        <v/>
      </c>
      <c r="F441" s="198" t="str">
        <f>Coins!F441</f>
        <v/>
      </c>
      <c r="G441" s="198" t="str">
        <f>Coins!G441</f>
        <v/>
      </c>
      <c r="H441" s="201" t="str">
        <f>if(Coins!H441="N/A",0,Coins!H441)</f>
        <v/>
      </c>
      <c r="I441" s="202" t="str">
        <f>Coins!I441</f>
        <v/>
      </c>
      <c r="J441" s="198" t="str">
        <f>Coins!J441</f>
        <v/>
      </c>
      <c r="K441" s="201" t="str">
        <f>Coins!K441</f>
        <v/>
      </c>
      <c r="L441" s="198" t="str">
        <f>Coins!L441</f>
        <v/>
      </c>
      <c r="M441" s="198"/>
      <c r="N441" s="198"/>
      <c r="P441" s="66" t="str">
        <f t="shared" si="4"/>
        <v/>
      </c>
    </row>
    <row r="442">
      <c r="A442" s="198" t="str">
        <f>Coins!A442</f>
        <v/>
      </c>
      <c r="B442" s="199" t="str">
        <f>Coins!B442</f>
        <v/>
      </c>
      <c r="C442" s="198" t="str">
        <f>Coins!C442</f>
        <v/>
      </c>
      <c r="D442" s="198" t="str">
        <f>Coins!D442</f>
        <v/>
      </c>
      <c r="E442" s="198" t="str">
        <f>Coins!E442</f>
        <v/>
      </c>
      <c r="F442" s="198" t="str">
        <f>Coins!F442</f>
        <v/>
      </c>
      <c r="G442" s="198" t="str">
        <f>Coins!G442</f>
        <v/>
      </c>
      <c r="H442" s="201" t="str">
        <f>if(Coins!H442="N/A",0,Coins!H442)</f>
        <v/>
      </c>
      <c r="I442" s="202" t="str">
        <f>Coins!I442</f>
        <v/>
      </c>
      <c r="J442" s="198" t="str">
        <f>Coins!J442</f>
        <v/>
      </c>
      <c r="K442" s="201" t="str">
        <f>Coins!K442</f>
        <v/>
      </c>
      <c r="L442" s="198" t="str">
        <f>Coins!L442</f>
        <v/>
      </c>
      <c r="M442" s="198"/>
      <c r="N442" s="198"/>
      <c r="P442" s="66" t="str">
        <f t="shared" si="4"/>
        <v/>
      </c>
    </row>
    <row r="443">
      <c r="A443" s="198" t="str">
        <f>Coins!A443</f>
        <v/>
      </c>
      <c r="B443" s="199" t="str">
        <f>Coins!B443</f>
        <v/>
      </c>
      <c r="C443" s="198" t="str">
        <f>Coins!C443</f>
        <v/>
      </c>
      <c r="D443" s="198" t="str">
        <f>Coins!D443</f>
        <v/>
      </c>
      <c r="E443" s="198" t="str">
        <f>Coins!E443</f>
        <v/>
      </c>
      <c r="F443" s="198" t="str">
        <f>Coins!F443</f>
        <v/>
      </c>
      <c r="G443" s="198" t="str">
        <f>Coins!G443</f>
        <v/>
      </c>
      <c r="H443" s="201" t="str">
        <f>if(Coins!H443="N/A",0,Coins!H443)</f>
        <v/>
      </c>
      <c r="I443" s="202" t="str">
        <f>Coins!I443</f>
        <v/>
      </c>
      <c r="J443" s="198" t="str">
        <f>Coins!J443</f>
        <v/>
      </c>
      <c r="K443" s="201" t="str">
        <f>Coins!K443</f>
        <v/>
      </c>
      <c r="L443" s="198" t="str">
        <f>Coins!L443</f>
        <v/>
      </c>
      <c r="M443" s="198"/>
      <c r="N443" s="198"/>
      <c r="P443" s="66" t="str">
        <f t="shared" si="4"/>
        <v/>
      </c>
    </row>
    <row r="444">
      <c r="A444" s="198" t="str">
        <f>Coins!A444</f>
        <v/>
      </c>
      <c r="B444" s="199" t="str">
        <f>Coins!B444</f>
        <v/>
      </c>
      <c r="C444" s="198" t="str">
        <f>Coins!C444</f>
        <v/>
      </c>
      <c r="D444" s="198" t="str">
        <f>Coins!D444</f>
        <v/>
      </c>
      <c r="E444" s="198" t="str">
        <f>Coins!E444</f>
        <v/>
      </c>
      <c r="F444" s="198" t="str">
        <f>Coins!F444</f>
        <v/>
      </c>
      <c r="G444" s="198" t="str">
        <f>Coins!G444</f>
        <v/>
      </c>
      <c r="H444" s="201" t="str">
        <f>if(Coins!H444="N/A",0,Coins!H444)</f>
        <v/>
      </c>
      <c r="I444" s="202" t="str">
        <f>Coins!I444</f>
        <v/>
      </c>
      <c r="J444" s="198" t="str">
        <f>Coins!J444</f>
        <v/>
      </c>
      <c r="K444" s="201" t="str">
        <f>Coins!K444</f>
        <v/>
      </c>
      <c r="L444" s="198" t="str">
        <f>Coins!L444</f>
        <v/>
      </c>
      <c r="M444" s="198"/>
      <c r="N444" s="198"/>
      <c r="P444" s="66" t="str">
        <f t="shared" si="4"/>
        <v/>
      </c>
    </row>
    <row r="445">
      <c r="A445" s="198" t="str">
        <f>Coins!A445</f>
        <v/>
      </c>
      <c r="B445" s="199" t="str">
        <f>Coins!B445</f>
        <v/>
      </c>
      <c r="C445" s="198" t="str">
        <f>Coins!C445</f>
        <v/>
      </c>
      <c r="D445" s="198" t="str">
        <f>Coins!D445</f>
        <v/>
      </c>
      <c r="E445" s="198" t="str">
        <f>Coins!E445</f>
        <v/>
      </c>
      <c r="F445" s="198" t="str">
        <f>Coins!F445</f>
        <v/>
      </c>
      <c r="G445" s="198" t="str">
        <f>Coins!G445</f>
        <v/>
      </c>
      <c r="H445" s="201" t="str">
        <f>if(Coins!H445="N/A",0,Coins!H445)</f>
        <v/>
      </c>
      <c r="I445" s="202" t="str">
        <f>Coins!I445</f>
        <v/>
      </c>
      <c r="J445" s="198" t="str">
        <f>Coins!J445</f>
        <v/>
      </c>
      <c r="K445" s="201" t="str">
        <f>Coins!K445</f>
        <v/>
      </c>
      <c r="L445" s="198" t="str">
        <f>Coins!L445</f>
        <v/>
      </c>
      <c r="M445" s="198"/>
      <c r="N445" s="198"/>
      <c r="P445" s="66" t="str">
        <f t="shared" si="4"/>
        <v/>
      </c>
    </row>
    <row r="446">
      <c r="A446" s="198" t="str">
        <f>Coins!A446</f>
        <v/>
      </c>
      <c r="B446" s="199" t="str">
        <f>Coins!B446</f>
        <v/>
      </c>
      <c r="C446" s="198" t="str">
        <f>Coins!C446</f>
        <v/>
      </c>
      <c r="D446" s="198" t="str">
        <f>Coins!D446</f>
        <v/>
      </c>
      <c r="E446" s="198" t="str">
        <f>Coins!E446</f>
        <v/>
      </c>
      <c r="F446" s="198" t="str">
        <f>Coins!F446</f>
        <v/>
      </c>
      <c r="G446" s="198" t="str">
        <f>Coins!G446</f>
        <v/>
      </c>
      <c r="H446" s="201" t="str">
        <f>if(Coins!H446="N/A",0,Coins!H446)</f>
        <v/>
      </c>
      <c r="I446" s="202" t="str">
        <f>Coins!I446</f>
        <v/>
      </c>
      <c r="J446" s="198" t="str">
        <f>Coins!J446</f>
        <v/>
      </c>
      <c r="K446" s="201" t="str">
        <f>Coins!K446</f>
        <v/>
      </c>
      <c r="L446" s="198" t="str">
        <f>Coins!L446</f>
        <v/>
      </c>
      <c r="M446" s="198"/>
      <c r="N446" s="198"/>
      <c r="P446" s="66" t="str">
        <f t="shared" si="4"/>
        <v/>
      </c>
    </row>
    <row r="447">
      <c r="A447" s="198" t="str">
        <f>Coins!A447</f>
        <v/>
      </c>
      <c r="B447" s="199" t="str">
        <f>Coins!B447</f>
        <v/>
      </c>
      <c r="C447" s="198" t="str">
        <f>Coins!C447</f>
        <v/>
      </c>
      <c r="D447" s="198" t="str">
        <f>Coins!D447</f>
        <v/>
      </c>
      <c r="E447" s="198" t="str">
        <f>Coins!E447</f>
        <v/>
      </c>
      <c r="F447" s="198" t="str">
        <f>Coins!F447</f>
        <v/>
      </c>
      <c r="G447" s="198" t="str">
        <f>Coins!G447</f>
        <v/>
      </c>
      <c r="H447" s="201" t="str">
        <f>if(Coins!H447="N/A",0,Coins!H447)</f>
        <v/>
      </c>
      <c r="I447" s="202" t="str">
        <f>Coins!I447</f>
        <v/>
      </c>
      <c r="J447" s="198" t="str">
        <f>Coins!J447</f>
        <v/>
      </c>
      <c r="K447" s="201" t="str">
        <f>Coins!K447</f>
        <v/>
      </c>
      <c r="L447" s="198" t="str">
        <f>Coins!L447</f>
        <v/>
      </c>
      <c r="M447" s="198"/>
      <c r="N447" s="198"/>
      <c r="P447" s="66" t="str">
        <f t="shared" si="4"/>
        <v/>
      </c>
    </row>
    <row r="448">
      <c r="A448" s="198" t="str">
        <f>Coins!A448</f>
        <v/>
      </c>
      <c r="B448" s="199" t="str">
        <f>Coins!B448</f>
        <v/>
      </c>
      <c r="C448" s="198" t="str">
        <f>Coins!C448</f>
        <v/>
      </c>
      <c r="D448" s="198" t="str">
        <f>Coins!D448</f>
        <v/>
      </c>
      <c r="E448" s="198" t="str">
        <f>Coins!E448</f>
        <v/>
      </c>
      <c r="F448" s="198" t="str">
        <f>Coins!F448</f>
        <v/>
      </c>
      <c r="G448" s="198" t="str">
        <f>Coins!G448</f>
        <v/>
      </c>
      <c r="H448" s="201" t="str">
        <f>if(Coins!H448="N/A",0,Coins!H448)</f>
        <v/>
      </c>
      <c r="I448" s="202" t="str">
        <f>Coins!I448</f>
        <v/>
      </c>
      <c r="J448" s="198" t="str">
        <f>Coins!J448</f>
        <v/>
      </c>
      <c r="K448" s="201" t="str">
        <f>Coins!K448</f>
        <v/>
      </c>
      <c r="L448" s="198" t="str">
        <f>Coins!L448</f>
        <v/>
      </c>
      <c r="M448" s="198"/>
      <c r="N448" s="198"/>
      <c r="P448" s="66" t="str">
        <f t="shared" si="4"/>
        <v/>
      </c>
    </row>
    <row r="449">
      <c r="A449" s="198" t="str">
        <f>Coins!A449</f>
        <v/>
      </c>
      <c r="B449" s="199" t="str">
        <f>Coins!B449</f>
        <v/>
      </c>
      <c r="C449" s="198" t="str">
        <f>Coins!C449</f>
        <v/>
      </c>
      <c r="D449" s="198" t="str">
        <f>Coins!D449</f>
        <v/>
      </c>
      <c r="E449" s="198" t="str">
        <f>Coins!E449</f>
        <v/>
      </c>
      <c r="F449" s="198" t="str">
        <f>Coins!F449</f>
        <v/>
      </c>
      <c r="G449" s="198" t="str">
        <f>Coins!G449</f>
        <v/>
      </c>
      <c r="H449" s="201" t="str">
        <f>if(Coins!H449="N/A",0,Coins!H449)</f>
        <v/>
      </c>
      <c r="I449" s="202" t="str">
        <f>Coins!I449</f>
        <v/>
      </c>
      <c r="J449" s="198" t="str">
        <f>Coins!J449</f>
        <v/>
      </c>
      <c r="K449" s="201" t="str">
        <f>Coins!K449</f>
        <v/>
      </c>
      <c r="L449" s="198" t="str">
        <f>Coins!L449</f>
        <v/>
      </c>
      <c r="M449" s="198"/>
      <c r="N449" s="198"/>
      <c r="P449" s="66" t="str">
        <f t="shared" si="4"/>
        <v/>
      </c>
    </row>
    <row r="450">
      <c r="A450" s="198" t="str">
        <f>Coins!A450</f>
        <v/>
      </c>
      <c r="B450" s="199" t="str">
        <f>Coins!B450</f>
        <v/>
      </c>
      <c r="C450" s="198" t="str">
        <f>Coins!C450</f>
        <v/>
      </c>
      <c r="D450" s="198" t="str">
        <f>Coins!D450</f>
        <v/>
      </c>
      <c r="E450" s="198" t="str">
        <f>Coins!E450</f>
        <v/>
      </c>
      <c r="F450" s="198" t="str">
        <f>Coins!F450</f>
        <v/>
      </c>
      <c r="G450" s="198" t="str">
        <f>Coins!G450</f>
        <v/>
      </c>
      <c r="H450" s="201" t="str">
        <f>if(Coins!H450="N/A",0,Coins!H450)</f>
        <v/>
      </c>
      <c r="I450" s="202" t="str">
        <f>Coins!I450</f>
        <v/>
      </c>
      <c r="J450" s="198" t="str">
        <f>Coins!J450</f>
        <v/>
      </c>
      <c r="K450" s="201" t="str">
        <f>Coins!K450</f>
        <v/>
      </c>
      <c r="L450" s="198" t="str">
        <f>Coins!L450</f>
        <v/>
      </c>
      <c r="M450" s="198"/>
      <c r="N450" s="198"/>
      <c r="P450" s="66" t="str">
        <f t="shared" si="4"/>
        <v/>
      </c>
    </row>
    <row r="451">
      <c r="A451" s="198" t="str">
        <f>Coins!A451</f>
        <v/>
      </c>
      <c r="B451" s="199" t="str">
        <f>Coins!B451</f>
        <v/>
      </c>
      <c r="C451" s="198" t="str">
        <f>Coins!C451</f>
        <v/>
      </c>
      <c r="D451" s="198" t="str">
        <f>Coins!D451</f>
        <v/>
      </c>
      <c r="E451" s="198" t="str">
        <f>Coins!E451</f>
        <v/>
      </c>
      <c r="F451" s="198" t="str">
        <f>Coins!F451</f>
        <v/>
      </c>
      <c r="G451" s="198" t="str">
        <f>Coins!G451</f>
        <v/>
      </c>
      <c r="H451" s="201" t="str">
        <f>if(Coins!H451="N/A",0,Coins!H451)</f>
        <v/>
      </c>
      <c r="I451" s="202" t="str">
        <f>Coins!I451</f>
        <v/>
      </c>
      <c r="J451" s="198" t="str">
        <f>Coins!J451</f>
        <v/>
      </c>
      <c r="K451" s="201" t="str">
        <f>Coins!K451</f>
        <v/>
      </c>
      <c r="L451" s="198" t="str">
        <f>Coins!L451</f>
        <v/>
      </c>
      <c r="M451" s="198"/>
      <c r="N451" s="198"/>
      <c r="P451" s="66" t="str">
        <f t="shared" si="4"/>
        <v/>
      </c>
    </row>
    <row r="452">
      <c r="A452" s="198" t="str">
        <f>Coins!A452</f>
        <v/>
      </c>
      <c r="B452" s="199" t="str">
        <f>Coins!B452</f>
        <v/>
      </c>
      <c r="C452" s="198" t="str">
        <f>Coins!C452</f>
        <v/>
      </c>
      <c r="D452" s="198" t="str">
        <f>Coins!D452</f>
        <v/>
      </c>
      <c r="E452" s="198" t="str">
        <f>Coins!E452</f>
        <v/>
      </c>
      <c r="F452" s="198" t="str">
        <f>Coins!F452</f>
        <v/>
      </c>
      <c r="G452" s="198" t="str">
        <f>Coins!G452</f>
        <v/>
      </c>
      <c r="H452" s="201" t="str">
        <f>if(Coins!H452="N/A",0,Coins!H452)</f>
        <v/>
      </c>
      <c r="I452" s="202" t="str">
        <f>Coins!I452</f>
        <v/>
      </c>
      <c r="J452" s="198" t="str">
        <f>Coins!J452</f>
        <v/>
      </c>
      <c r="K452" s="201" t="str">
        <f>Coins!K452</f>
        <v/>
      </c>
      <c r="L452" s="198" t="str">
        <f>Coins!L452</f>
        <v/>
      </c>
      <c r="M452" s="198"/>
      <c r="N452" s="198"/>
      <c r="P452" s="66" t="str">
        <f t="shared" si="4"/>
        <v/>
      </c>
    </row>
    <row r="453">
      <c r="A453" s="198" t="str">
        <f>Coins!A453</f>
        <v/>
      </c>
      <c r="B453" s="199" t="str">
        <f>Coins!B453</f>
        <v/>
      </c>
      <c r="C453" s="198" t="str">
        <f>Coins!C453</f>
        <v/>
      </c>
      <c r="D453" s="198" t="str">
        <f>Coins!D453</f>
        <v/>
      </c>
      <c r="E453" s="198" t="str">
        <f>Coins!E453</f>
        <v/>
      </c>
      <c r="F453" s="198" t="str">
        <f>Coins!F453</f>
        <v/>
      </c>
      <c r="G453" s="198" t="str">
        <f>Coins!G453</f>
        <v/>
      </c>
      <c r="H453" s="201" t="str">
        <f>if(Coins!H453="N/A",0,Coins!H453)</f>
        <v/>
      </c>
      <c r="I453" s="202" t="str">
        <f>Coins!I453</f>
        <v/>
      </c>
      <c r="J453" s="198" t="str">
        <f>Coins!J453</f>
        <v/>
      </c>
      <c r="K453" s="201" t="str">
        <f>Coins!K453</f>
        <v/>
      </c>
      <c r="L453" s="198" t="str">
        <f>Coins!L453</f>
        <v/>
      </c>
      <c r="M453" s="198"/>
      <c r="N453" s="198"/>
      <c r="P453" s="66" t="str">
        <f t="shared" si="4"/>
        <v/>
      </c>
    </row>
    <row r="454">
      <c r="A454" s="198" t="str">
        <f>Coins!A454</f>
        <v/>
      </c>
      <c r="B454" s="199" t="str">
        <f>Coins!B454</f>
        <v/>
      </c>
      <c r="C454" s="198" t="str">
        <f>Coins!C454</f>
        <v/>
      </c>
      <c r="D454" s="198" t="str">
        <f>Coins!D454</f>
        <v/>
      </c>
      <c r="E454" s="198" t="str">
        <f>Coins!E454</f>
        <v/>
      </c>
      <c r="F454" s="198" t="str">
        <f>Coins!F454</f>
        <v/>
      </c>
      <c r="G454" s="198" t="str">
        <f>Coins!G454</f>
        <v/>
      </c>
      <c r="H454" s="201" t="str">
        <f>if(Coins!H454="N/A",0,Coins!H454)</f>
        <v/>
      </c>
      <c r="I454" s="202" t="str">
        <f>Coins!I454</f>
        <v/>
      </c>
      <c r="J454" s="198" t="str">
        <f>Coins!J454</f>
        <v/>
      </c>
      <c r="K454" s="201" t="str">
        <f>Coins!K454</f>
        <v/>
      </c>
      <c r="L454" s="198" t="str">
        <f>Coins!L454</f>
        <v/>
      </c>
      <c r="M454" s="198"/>
      <c r="N454" s="198"/>
      <c r="P454" s="66" t="str">
        <f t="shared" si="4"/>
        <v/>
      </c>
    </row>
    <row r="455">
      <c r="A455" s="198" t="str">
        <f>Coins!A455</f>
        <v/>
      </c>
      <c r="B455" s="199" t="str">
        <f>Coins!B455</f>
        <v/>
      </c>
      <c r="C455" s="198" t="str">
        <f>Coins!C455</f>
        <v/>
      </c>
      <c r="D455" s="198" t="str">
        <f>Coins!D455</f>
        <v/>
      </c>
      <c r="E455" s="198" t="str">
        <f>Coins!E455</f>
        <v/>
      </c>
      <c r="F455" s="198" t="str">
        <f>Coins!F455</f>
        <v/>
      </c>
      <c r="G455" s="198" t="str">
        <f>Coins!G455</f>
        <v/>
      </c>
      <c r="H455" s="201" t="str">
        <f>if(Coins!H455="N/A",0,Coins!H455)</f>
        <v/>
      </c>
      <c r="I455" s="202" t="str">
        <f>Coins!I455</f>
        <v/>
      </c>
      <c r="J455" s="198" t="str">
        <f>Coins!J455</f>
        <v/>
      </c>
      <c r="K455" s="201" t="str">
        <f>Coins!K455</f>
        <v/>
      </c>
      <c r="L455" s="198" t="str">
        <f>Coins!L455</f>
        <v/>
      </c>
      <c r="M455" s="198"/>
      <c r="N455" s="198"/>
      <c r="P455" s="66" t="str">
        <f t="shared" si="4"/>
        <v/>
      </c>
    </row>
    <row r="456">
      <c r="A456" s="198" t="str">
        <f>Coins!A456</f>
        <v/>
      </c>
      <c r="B456" s="199" t="str">
        <f>Coins!B456</f>
        <v/>
      </c>
      <c r="C456" s="198" t="str">
        <f>Coins!C456</f>
        <v/>
      </c>
      <c r="D456" s="198" t="str">
        <f>Coins!D456</f>
        <v/>
      </c>
      <c r="E456" s="198" t="str">
        <f>Coins!E456</f>
        <v/>
      </c>
      <c r="F456" s="198" t="str">
        <f>Coins!F456</f>
        <v/>
      </c>
      <c r="G456" s="198" t="str">
        <f>Coins!G456</f>
        <v/>
      </c>
      <c r="H456" s="201" t="str">
        <f>if(Coins!H456="N/A",0,Coins!H456)</f>
        <v/>
      </c>
      <c r="I456" s="202" t="str">
        <f>Coins!I456</f>
        <v/>
      </c>
      <c r="J456" s="198" t="str">
        <f>Coins!J456</f>
        <v/>
      </c>
      <c r="K456" s="201" t="str">
        <f>Coins!K456</f>
        <v/>
      </c>
      <c r="L456" s="198" t="str">
        <f>Coins!L456</f>
        <v/>
      </c>
      <c r="M456" s="198"/>
      <c r="N456" s="198"/>
      <c r="P456" s="66" t="str">
        <f t="shared" si="4"/>
        <v/>
      </c>
    </row>
    <row r="457">
      <c r="A457" s="198" t="str">
        <f>Coins!A457</f>
        <v/>
      </c>
      <c r="B457" s="199" t="str">
        <f>Coins!B457</f>
        <v/>
      </c>
      <c r="C457" s="198" t="str">
        <f>Coins!C457</f>
        <v/>
      </c>
      <c r="D457" s="198" t="str">
        <f>Coins!D457</f>
        <v/>
      </c>
      <c r="E457" s="198" t="str">
        <f>Coins!E457</f>
        <v/>
      </c>
      <c r="F457" s="198" t="str">
        <f>Coins!F457</f>
        <v/>
      </c>
      <c r="G457" s="198" t="str">
        <f>Coins!G457</f>
        <v/>
      </c>
      <c r="H457" s="201" t="str">
        <f>if(Coins!H457="N/A",0,Coins!H457)</f>
        <v/>
      </c>
      <c r="I457" s="202" t="str">
        <f>Coins!I457</f>
        <v/>
      </c>
      <c r="J457" s="198" t="str">
        <f>Coins!J457</f>
        <v/>
      </c>
      <c r="K457" s="201" t="str">
        <f>Coins!K457</f>
        <v/>
      </c>
      <c r="L457" s="198" t="str">
        <f>Coins!L457</f>
        <v/>
      </c>
      <c r="M457" s="198"/>
      <c r="N457" s="198"/>
      <c r="P457" s="66" t="str">
        <f t="shared" si="4"/>
        <v/>
      </c>
    </row>
    <row r="458">
      <c r="A458" s="198" t="str">
        <f>Coins!A458</f>
        <v/>
      </c>
      <c r="B458" s="199" t="str">
        <f>Coins!B458</f>
        <v/>
      </c>
      <c r="C458" s="198" t="str">
        <f>Coins!C458</f>
        <v/>
      </c>
      <c r="D458" s="198" t="str">
        <f>Coins!D458</f>
        <v/>
      </c>
      <c r="E458" s="198" t="str">
        <f>Coins!E458</f>
        <v/>
      </c>
      <c r="F458" s="198" t="str">
        <f>Coins!F458</f>
        <v/>
      </c>
      <c r="G458" s="198" t="str">
        <f>Coins!G458</f>
        <v/>
      </c>
      <c r="H458" s="201" t="str">
        <f>if(Coins!H458="N/A",0,Coins!H458)</f>
        <v/>
      </c>
      <c r="I458" s="202" t="str">
        <f>Coins!I458</f>
        <v/>
      </c>
      <c r="J458" s="198" t="str">
        <f>Coins!J458</f>
        <v/>
      </c>
      <c r="K458" s="201" t="str">
        <f>Coins!K458</f>
        <v/>
      </c>
      <c r="L458" s="198" t="str">
        <f>Coins!L458</f>
        <v/>
      </c>
      <c r="M458" s="198"/>
      <c r="N458" s="198"/>
      <c r="P458" s="66" t="str">
        <f t="shared" si="4"/>
        <v/>
      </c>
    </row>
    <row r="459">
      <c r="A459" s="198" t="str">
        <f>Coins!A459</f>
        <v/>
      </c>
      <c r="B459" s="199" t="str">
        <f>Coins!B459</f>
        <v/>
      </c>
      <c r="C459" s="198" t="str">
        <f>Coins!C459</f>
        <v/>
      </c>
      <c r="D459" s="198" t="str">
        <f>Coins!D459</f>
        <v/>
      </c>
      <c r="E459" s="198" t="str">
        <f>Coins!E459</f>
        <v/>
      </c>
      <c r="F459" s="198" t="str">
        <f>Coins!F459</f>
        <v/>
      </c>
      <c r="G459" s="198" t="str">
        <f>Coins!G459</f>
        <v/>
      </c>
      <c r="H459" s="201" t="str">
        <f>if(Coins!H459="N/A",0,Coins!H459)</f>
        <v/>
      </c>
      <c r="I459" s="202" t="str">
        <f>Coins!I459</f>
        <v/>
      </c>
      <c r="J459" s="198" t="str">
        <f>Coins!J459</f>
        <v/>
      </c>
      <c r="K459" s="201" t="str">
        <f>Coins!K459</f>
        <v/>
      </c>
      <c r="L459" s="198" t="str">
        <f>Coins!L459</f>
        <v/>
      </c>
      <c r="M459" s="198"/>
      <c r="N459" s="198"/>
      <c r="P459" s="66" t="str">
        <f t="shared" si="4"/>
        <v/>
      </c>
    </row>
    <row r="460">
      <c r="A460" s="198" t="str">
        <f>Coins!A460</f>
        <v/>
      </c>
      <c r="B460" s="199" t="str">
        <f>Coins!B460</f>
        <v/>
      </c>
      <c r="C460" s="198" t="str">
        <f>Coins!C460</f>
        <v/>
      </c>
      <c r="D460" s="198" t="str">
        <f>Coins!D460</f>
        <v/>
      </c>
      <c r="E460" s="198" t="str">
        <f>Coins!E460</f>
        <v/>
      </c>
      <c r="F460" s="198" t="str">
        <f>Coins!F460</f>
        <v/>
      </c>
      <c r="G460" s="198" t="str">
        <f>Coins!G460</f>
        <v/>
      </c>
      <c r="H460" s="201" t="str">
        <f>if(Coins!H460="N/A",0,Coins!H460)</f>
        <v/>
      </c>
      <c r="I460" s="202" t="str">
        <f>Coins!I460</f>
        <v/>
      </c>
      <c r="J460" s="198" t="str">
        <f>Coins!J460</f>
        <v/>
      </c>
      <c r="K460" s="201" t="str">
        <f>Coins!K460</f>
        <v/>
      </c>
      <c r="L460" s="198" t="str">
        <f>Coins!L460</f>
        <v/>
      </c>
      <c r="M460" s="198"/>
      <c r="N460" s="198"/>
      <c r="P460" s="66" t="str">
        <f t="shared" si="4"/>
        <v/>
      </c>
    </row>
    <row r="461">
      <c r="A461" s="198" t="str">
        <f>Coins!A461</f>
        <v/>
      </c>
      <c r="B461" s="199" t="str">
        <f>Coins!B461</f>
        <v/>
      </c>
      <c r="C461" s="198" t="str">
        <f>Coins!C461</f>
        <v/>
      </c>
      <c r="D461" s="198" t="str">
        <f>Coins!D461</f>
        <v/>
      </c>
      <c r="E461" s="198" t="str">
        <f>Coins!E461</f>
        <v/>
      </c>
      <c r="F461" s="198" t="str">
        <f>Coins!F461</f>
        <v/>
      </c>
      <c r="G461" s="198" t="str">
        <f>Coins!G461</f>
        <v/>
      </c>
      <c r="H461" s="201" t="str">
        <f>if(Coins!H461="N/A",0,Coins!H461)</f>
        <v/>
      </c>
      <c r="I461" s="202" t="str">
        <f>Coins!I461</f>
        <v/>
      </c>
      <c r="J461" s="198" t="str">
        <f>Coins!J461</f>
        <v/>
      </c>
      <c r="K461" s="201" t="str">
        <f>Coins!K461</f>
        <v/>
      </c>
      <c r="L461" s="198" t="str">
        <f>Coins!L461</f>
        <v/>
      </c>
      <c r="M461" s="198"/>
      <c r="N461" s="198"/>
      <c r="P461" s="66" t="str">
        <f t="shared" si="4"/>
        <v/>
      </c>
    </row>
    <row r="462">
      <c r="A462" s="198" t="str">
        <f>Coins!A462</f>
        <v/>
      </c>
      <c r="B462" s="199" t="str">
        <f>Coins!B462</f>
        <v/>
      </c>
      <c r="C462" s="198" t="str">
        <f>Coins!C462</f>
        <v/>
      </c>
      <c r="D462" s="198" t="str">
        <f>Coins!D462</f>
        <v/>
      </c>
      <c r="E462" s="198" t="str">
        <f>Coins!E462</f>
        <v/>
      </c>
      <c r="F462" s="198" t="str">
        <f>Coins!F462</f>
        <v/>
      </c>
      <c r="G462" s="198" t="str">
        <f>Coins!G462</f>
        <v/>
      </c>
      <c r="H462" s="201" t="str">
        <f>if(Coins!H462="N/A",0,Coins!H462)</f>
        <v/>
      </c>
      <c r="I462" s="202" t="str">
        <f>Coins!I462</f>
        <v/>
      </c>
      <c r="J462" s="198" t="str">
        <f>Coins!J462</f>
        <v/>
      </c>
      <c r="K462" s="201" t="str">
        <f>Coins!K462</f>
        <v/>
      </c>
      <c r="L462" s="198" t="str">
        <f>Coins!L462</f>
        <v/>
      </c>
      <c r="M462" s="198"/>
      <c r="N462" s="198"/>
      <c r="P462" s="66" t="str">
        <f t="shared" si="4"/>
        <v/>
      </c>
    </row>
    <row r="463">
      <c r="A463" s="198" t="str">
        <f>Coins!A463</f>
        <v/>
      </c>
      <c r="B463" s="199" t="str">
        <f>Coins!B463</f>
        <v/>
      </c>
      <c r="C463" s="198" t="str">
        <f>Coins!C463</f>
        <v/>
      </c>
      <c r="D463" s="198" t="str">
        <f>Coins!D463</f>
        <v/>
      </c>
      <c r="E463" s="198" t="str">
        <f>Coins!E463</f>
        <v/>
      </c>
      <c r="F463" s="198" t="str">
        <f>Coins!F463</f>
        <v/>
      </c>
      <c r="G463" s="198" t="str">
        <f>Coins!G463</f>
        <v/>
      </c>
      <c r="H463" s="201" t="str">
        <f>if(Coins!H463="N/A",0,Coins!H463)</f>
        <v/>
      </c>
      <c r="I463" s="202" t="str">
        <f>Coins!I463</f>
        <v/>
      </c>
      <c r="J463" s="198" t="str">
        <f>Coins!J463</f>
        <v/>
      </c>
      <c r="K463" s="201" t="str">
        <f>Coins!K463</f>
        <v/>
      </c>
      <c r="L463" s="198" t="str">
        <f>Coins!L463</f>
        <v/>
      </c>
      <c r="M463" s="198"/>
      <c r="N463" s="198"/>
      <c r="P463" s="66" t="str">
        <f t="shared" si="4"/>
        <v/>
      </c>
    </row>
    <row r="464">
      <c r="A464" s="198" t="str">
        <f>Coins!A464</f>
        <v/>
      </c>
      <c r="B464" s="199" t="str">
        <f>Coins!B464</f>
        <v/>
      </c>
      <c r="C464" s="198" t="str">
        <f>Coins!C464</f>
        <v/>
      </c>
      <c r="D464" s="198" t="str">
        <f>Coins!D464</f>
        <v/>
      </c>
      <c r="E464" s="198" t="str">
        <f>Coins!E464</f>
        <v/>
      </c>
      <c r="F464" s="198" t="str">
        <f>Coins!F464</f>
        <v/>
      </c>
      <c r="G464" s="198" t="str">
        <f>Coins!G464</f>
        <v/>
      </c>
      <c r="H464" s="201" t="str">
        <f>if(Coins!H464="N/A",0,Coins!H464)</f>
        <v/>
      </c>
      <c r="I464" s="202" t="str">
        <f>Coins!I464</f>
        <v/>
      </c>
      <c r="J464" s="198" t="str">
        <f>Coins!J464</f>
        <v/>
      </c>
      <c r="K464" s="201" t="str">
        <f>Coins!K464</f>
        <v/>
      </c>
      <c r="L464" s="198" t="str">
        <f>Coins!L464</f>
        <v/>
      </c>
      <c r="M464" s="198"/>
      <c r="N464" s="198"/>
      <c r="P464" s="66" t="str">
        <f t="shared" si="4"/>
        <v/>
      </c>
    </row>
    <row r="465">
      <c r="A465" s="198" t="str">
        <f>Coins!A465</f>
        <v/>
      </c>
      <c r="B465" s="199" t="str">
        <f>Coins!B465</f>
        <v/>
      </c>
      <c r="C465" s="198" t="str">
        <f>Coins!C465</f>
        <v/>
      </c>
      <c r="D465" s="198" t="str">
        <f>Coins!D465</f>
        <v/>
      </c>
      <c r="E465" s="198" t="str">
        <f>Coins!E465</f>
        <v/>
      </c>
      <c r="F465" s="198" t="str">
        <f>Coins!F465</f>
        <v/>
      </c>
      <c r="G465" s="198" t="str">
        <f>Coins!G465</f>
        <v/>
      </c>
      <c r="H465" s="201" t="str">
        <f>if(Coins!H465="N/A",0,Coins!H465)</f>
        <v/>
      </c>
      <c r="I465" s="202" t="str">
        <f>Coins!I465</f>
        <v/>
      </c>
      <c r="J465" s="198" t="str">
        <f>Coins!J465</f>
        <v/>
      </c>
      <c r="K465" s="201" t="str">
        <f>Coins!K465</f>
        <v/>
      </c>
      <c r="L465" s="198" t="str">
        <f>Coins!L465</f>
        <v/>
      </c>
      <c r="M465" s="198"/>
      <c r="N465" s="198"/>
      <c r="P465" s="66" t="str">
        <f t="shared" si="4"/>
        <v/>
      </c>
    </row>
    <row r="466">
      <c r="A466" s="198" t="str">
        <f>Coins!A466</f>
        <v/>
      </c>
      <c r="B466" s="199" t="str">
        <f>Coins!B466</f>
        <v/>
      </c>
      <c r="C466" s="198" t="str">
        <f>Coins!C466</f>
        <v/>
      </c>
      <c r="D466" s="198" t="str">
        <f>Coins!D466</f>
        <v/>
      </c>
      <c r="E466" s="198" t="str">
        <f>Coins!E466</f>
        <v/>
      </c>
      <c r="F466" s="198" t="str">
        <f>Coins!F466</f>
        <v/>
      </c>
      <c r="G466" s="198" t="str">
        <f>Coins!G466</f>
        <v/>
      </c>
      <c r="H466" s="201" t="str">
        <f>if(Coins!H466="N/A",0,Coins!H466)</f>
        <v/>
      </c>
      <c r="I466" s="202" t="str">
        <f>Coins!I466</f>
        <v/>
      </c>
      <c r="J466" s="198" t="str">
        <f>Coins!J466</f>
        <v/>
      </c>
      <c r="K466" s="201" t="str">
        <f>Coins!K466</f>
        <v/>
      </c>
      <c r="L466" s="198" t="str">
        <f>Coins!L466</f>
        <v/>
      </c>
      <c r="M466" s="198"/>
      <c r="N466" s="198"/>
      <c r="P466" s="66" t="str">
        <f t="shared" si="4"/>
        <v/>
      </c>
    </row>
    <row r="467">
      <c r="A467" s="198" t="str">
        <f>Coins!A467</f>
        <v/>
      </c>
      <c r="B467" s="199" t="str">
        <f>Coins!B467</f>
        <v/>
      </c>
      <c r="C467" s="198" t="str">
        <f>Coins!C467</f>
        <v/>
      </c>
      <c r="D467" s="198" t="str">
        <f>Coins!D467</f>
        <v/>
      </c>
      <c r="E467" s="198" t="str">
        <f>Coins!E467</f>
        <v/>
      </c>
      <c r="F467" s="198" t="str">
        <f>Coins!F467</f>
        <v/>
      </c>
      <c r="G467" s="198" t="str">
        <f>Coins!G467</f>
        <v/>
      </c>
      <c r="H467" s="201" t="str">
        <f>if(Coins!H467="N/A",0,Coins!H467)</f>
        <v/>
      </c>
      <c r="I467" s="202" t="str">
        <f>Coins!I467</f>
        <v/>
      </c>
      <c r="J467" s="198" t="str">
        <f>Coins!J467</f>
        <v/>
      </c>
      <c r="K467" s="201" t="str">
        <f>Coins!K467</f>
        <v/>
      </c>
      <c r="L467" s="198" t="str">
        <f>Coins!L467</f>
        <v/>
      </c>
      <c r="M467" s="198"/>
      <c r="N467" s="198"/>
      <c r="P467" s="66" t="str">
        <f t="shared" si="4"/>
        <v/>
      </c>
    </row>
    <row r="468">
      <c r="A468" s="198" t="str">
        <f>Coins!A468</f>
        <v/>
      </c>
      <c r="B468" s="199" t="str">
        <f>Coins!B468</f>
        <v/>
      </c>
      <c r="C468" s="198" t="str">
        <f>Coins!C468</f>
        <v/>
      </c>
      <c r="D468" s="198" t="str">
        <f>Coins!D468</f>
        <v/>
      </c>
      <c r="E468" s="198" t="str">
        <f>Coins!E468</f>
        <v/>
      </c>
      <c r="F468" s="198" t="str">
        <f>Coins!F468</f>
        <v/>
      </c>
      <c r="G468" s="198" t="str">
        <f>Coins!G468</f>
        <v/>
      </c>
      <c r="H468" s="201" t="str">
        <f>if(Coins!H468="N/A",0,Coins!H468)</f>
        <v/>
      </c>
      <c r="I468" s="202" t="str">
        <f>Coins!I468</f>
        <v/>
      </c>
      <c r="J468" s="198" t="str">
        <f>Coins!J468</f>
        <v/>
      </c>
      <c r="K468" s="201" t="str">
        <f>Coins!K468</f>
        <v/>
      </c>
      <c r="L468" s="198" t="str">
        <f>Coins!L468</f>
        <v/>
      </c>
      <c r="M468" s="198"/>
      <c r="N468" s="198"/>
      <c r="P468" s="66" t="str">
        <f t="shared" si="4"/>
        <v/>
      </c>
    </row>
    <row r="469">
      <c r="A469" s="198" t="str">
        <f>Coins!A469</f>
        <v/>
      </c>
      <c r="B469" s="199" t="str">
        <f>Coins!B469</f>
        <v/>
      </c>
      <c r="C469" s="198" t="str">
        <f>Coins!C469</f>
        <v/>
      </c>
      <c r="D469" s="198" t="str">
        <f>Coins!D469</f>
        <v/>
      </c>
      <c r="E469" s="198" t="str">
        <f>Coins!E469</f>
        <v/>
      </c>
      <c r="F469" s="198" t="str">
        <f>Coins!F469</f>
        <v/>
      </c>
      <c r="G469" s="198" t="str">
        <f>Coins!G469</f>
        <v/>
      </c>
      <c r="H469" s="201" t="str">
        <f>if(Coins!H469="N/A",0,Coins!H469)</f>
        <v/>
      </c>
      <c r="I469" s="202" t="str">
        <f>Coins!I469</f>
        <v/>
      </c>
      <c r="J469" s="198" t="str">
        <f>Coins!J469</f>
        <v/>
      </c>
      <c r="K469" s="201" t="str">
        <f>Coins!K469</f>
        <v/>
      </c>
      <c r="L469" s="198" t="str">
        <f>Coins!L469</f>
        <v/>
      </c>
      <c r="M469" s="198"/>
      <c r="N469" s="198"/>
      <c r="P469" s="66" t="str">
        <f t="shared" si="4"/>
        <v/>
      </c>
    </row>
    <row r="470">
      <c r="A470" s="198" t="str">
        <f>Coins!A470</f>
        <v/>
      </c>
      <c r="B470" s="199" t="str">
        <f>Coins!B470</f>
        <v/>
      </c>
      <c r="C470" s="198" t="str">
        <f>Coins!C470</f>
        <v/>
      </c>
      <c r="D470" s="198" t="str">
        <f>Coins!D470</f>
        <v/>
      </c>
      <c r="E470" s="198" t="str">
        <f>Coins!E470</f>
        <v/>
      </c>
      <c r="F470" s="198" t="str">
        <f>Coins!F470</f>
        <v/>
      </c>
      <c r="G470" s="198" t="str">
        <f>Coins!G470</f>
        <v/>
      </c>
      <c r="H470" s="201" t="str">
        <f>if(Coins!H470="N/A",0,Coins!H470)</f>
        <v/>
      </c>
      <c r="I470" s="202" t="str">
        <f>Coins!I470</f>
        <v/>
      </c>
      <c r="J470" s="198" t="str">
        <f>Coins!J470</f>
        <v/>
      </c>
      <c r="K470" s="201" t="str">
        <f>Coins!K470</f>
        <v/>
      </c>
      <c r="L470" s="198" t="str">
        <f>Coins!L470</f>
        <v/>
      </c>
      <c r="M470" s="198"/>
      <c r="N470" s="198"/>
      <c r="P470" s="66" t="str">
        <f t="shared" si="4"/>
        <v/>
      </c>
    </row>
    <row r="471">
      <c r="A471" s="198" t="str">
        <f>Coins!A471</f>
        <v/>
      </c>
      <c r="B471" s="199" t="str">
        <f>Coins!B471</f>
        <v/>
      </c>
      <c r="C471" s="198" t="str">
        <f>Coins!C471</f>
        <v/>
      </c>
      <c r="D471" s="198" t="str">
        <f>Coins!D471</f>
        <v/>
      </c>
      <c r="E471" s="198" t="str">
        <f>Coins!E471</f>
        <v/>
      </c>
      <c r="F471" s="198" t="str">
        <f>Coins!F471</f>
        <v/>
      </c>
      <c r="G471" s="198" t="str">
        <f>Coins!G471</f>
        <v/>
      </c>
      <c r="H471" s="201" t="str">
        <f>if(Coins!H471="N/A",0,Coins!H471)</f>
        <v/>
      </c>
      <c r="I471" s="202" t="str">
        <f>Coins!I471</f>
        <v/>
      </c>
      <c r="J471" s="198" t="str">
        <f>Coins!J471</f>
        <v/>
      </c>
      <c r="K471" s="201" t="str">
        <f>Coins!K471</f>
        <v/>
      </c>
      <c r="L471" s="198" t="str">
        <f>Coins!L471</f>
        <v/>
      </c>
      <c r="M471" s="198"/>
      <c r="N471" s="198"/>
      <c r="P471" s="66" t="str">
        <f t="shared" si="4"/>
        <v/>
      </c>
    </row>
    <row r="472">
      <c r="A472" s="198" t="str">
        <f>Coins!A472</f>
        <v/>
      </c>
      <c r="B472" s="199" t="str">
        <f>Coins!B472</f>
        <v/>
      </c>
      <c r="C472" s="198" t="str">
        <f>Coins!C472</f>
        <v/>
      </c>
      <c r="D472" s="198" t="str">
        <f>Coins!D472</f>
        <v/>
      </c>
      <c r="E472" s="198" t="str">
        <f>Coins!E472</f>
        <v/>
      </c>
      <c r="F472" s="198" t="str">
        <f>Coins!F472</f>
        <v/>
      </c>
      <c r="G472" s="198" t="str">
        <f>Coins!G472</f>
        <v/>
      </c>
      <c r="H472" s="201" t="str">
        <f>if(Coins!H472="N/A",0,Coins!H472)</f>
        <v/>
      </c>
      <c r="I472" s="202" t="str">
        <f>Coins!I472</f>
        <v/>
      </c>
      <c r="J472" s="198" t="str">
        <f>Coins!J472</f>
        <v/>
      </c>
      <c r="K472" s="201" t="str">
        <f>Coins!K472</f>
        <v/>
      </c>
      <c r="L472" s="198" t="str">
        <f>Coins!L472</f>
        <v/>
      </c>
      <c r="M472" s="198"/>
      <c r="N472" s="198"/>
      <c r="P472" s="66" t="str">
        <f t="shared" si="4"/>
        <v/>
      </c>
    </row>
    <row r="473">
      <c r="A473" s="198" t="str">
        <f>Coins!A473</f>
        <v/>
      </c>
      <c r="B473" s="199" t="str">
        <f>Coins!B473</f>
        <v/>
      </c>
      <c r="C473" s="198" t="str">
        <f>Coins!C473</f>
        <v/>
      </c>
      <c r="D473" s="198" t="str">
        <f>Coins!D473</f>
        <v/>
      </c>
      <c r="E473" s="198" t="str">
        <f>Coins!E473</f>
        <v/>
      </c>
      <c r="F473" s="198" t="str">
        <f>Coins!F473</f>
        <v/>
      </c>
      <c r="G473" s="198" t="str">
        <f>Coins!G473</f>
        <v/>
      </c>
      <c r="H473" s="201" t="str">
        <f>if(Coins!H473="N/A",0,Coins!H473)</f>
        <v/>
      </c>
      <c r="I473" s="202" t="str">
        <f>Coins!I473</f>
        <v/>
      </c>
      <c r="J473" s="198" t="str">
        <f>Coins!J473</f>
        <v/>
      </c>
      <c r="K473" s="201" t="str">
        <f>Coins!K473</f>
        <v/>
      </c>
      <c r="L473" s="198" t="str">
        <f>Coins!L473</f>
        <v/>
      </c>
      <c r="M473" s="198"/>
      <c r="N473" s="198"/>
      <c r="P473" s="66" t="str">
        <f t="shared" si="4"/>
        <v/>
      </c>
    </row>
    <row r="474">
      <c r="A474" s="198" t="str">
        <f>Coins!A474</f>
        <v/>
      </c>
      <c r="B474" s="199" t="str">
        <f>Coins!B474</f>
        <v/>
      </c>
      <c r="C474" s="198" t="str">
        <f>Coins!C474</f>
        <v/>
      </c>
      <c r="D474" s="198" t="str">
        <f>Coins!D474</f>
        <v/>
      </c>
      <c r="E474" s="198" t="str">
        <f>Coins!E474</f>
        <v/>
      </c>
      <c r="F474" s="198" t="str">
        <f>Coins!F474</f>
        <v/>
      </c>
      <c r="G474" s="198" t="str">
        <f>Coins!G474</f>
        <v/>
      </c>
      <c r="H474" s="201" t="str">
        <f>if(Coins!H474="N/A",0,Coins!H474)</f>
        <v/>
      </c>
      <c r="I474" s="202" t="str">
        <f>Coins!I474</f>
        <v/>
      </c>
      <c r="J474" s="198" t="str">
        <f>Coins!J474</f>
        <v/>
      </c>
      <c r="K474" s="201" t="str">
        <f>Coins!K474</f>
        <v/>
      </c>
      <c r="L474" s="198" t="str">
        <f>Coins!L474</f>
        <v/>
      </c>
      <c r="M474" s="198"/>
      <c r="N474" s="198"/>
      <c r="P474" s="66" t="str">
        <f t="shared" si="4"/>
        <v/>
      </c>
    </row>
    <row r="475">
      <c r="A475" s="198" t="str">
        <f>Coins!A475</f>
        <v/>
      </c>
      <c r="B475" s="199" t="str">
        <f>Coins!B475</f>
        <v/>
      </c>
      <c r="C475" s="198" t="str">
        <f>Coins!C475</f>
        <v/>
      </c>
      <c r="D475" s="198" t="str">
        <f>Coins!D475</f>
        <v/>
      </c>
      <c r="E475" s="198" t="str">
        <f>Coins!E475</f>
        <v/>
      </c>
      <c r="F475" s="198" t="str">
        <f>Coins!F475</f>
        <v/>
      </c>
      <c r="G475" s="198" t="str">
        <f>Coins!G475</f>
        <v/>
      </c>
      <c r="H475" s="201" t="str">
        <f>if(Coins!H475="N/A",0,Coins!H475)</f>
        <v/>
      </c>
      <c r="I475" s="202" t="str">
        <f>Coins!I475</f>
        <v/>
      </c>
      <c r="J475" s="198" t="str">
        <f>Coins!J475</f>
        <v/>
      </c>
      <c r="K475" s="201" t="str">
        <f>Coins!K475</f>
        <v/>
      </c>
      <c r="L475" s="198" t="str">
        <f>Coins!L475</f>
        <v/>
      </c>
      <c r="M475" s="198"/>
      <c r="N475" s="198"/>
      <c r="P475" s="66" t="str">
        <f t="shared" si="4"/>
        <v/>
      </c>
    </row>
    <row r="476">
      <c r="A476" s="198" t="str">
        <f>Coins!A476</f>
        <v/>
      </c>
      <c r="B476" s="199" t="str">
        <f>Coins!B476</f>
        <v/>
      </c>
      <c r="C476" s="198" t="str">
        <f>Coins!C476</f>
        <v/>
      </c>
      <c r="D476" s="198" t="str">
        <f>Coins!D476</f>
        <v/>
      </c>
      <c r="E476" s="198" t="str">
        <f>Coins!E476</f>
        <v/>
      </c>
      <c r="F476" s="198" t="str">
        <f>Coins!F476</f>
        <v/>
      </c>
      <c r="G476" s="198" t="str">
        <f>Coins!G476</f>
        <v/>
      </c>
      <c r="H476" s="201" t="str">
        <f>if(Coins!H476="N/A",0,Coins!H476)</f>
        <v/>
      </c>
      <c r="I476" s="202" t="str">
        <f>Coins!I476</f>
        <v/>
      </c>
      <c r="J476" s="198" t="str">
        <f>Coins!J476</f>
        <v/>
      </c>
      <c r="K476" s="201" t="str">
        <f>Coins!K476</f>
        <v/>
      </c>
      <c r="L476" s="198" t="str">
        <f>Coins!L476</f>
        <v/>
      </c>
      <c r="M476" s="198"/>
      <c r="N476" s="198"/>
      <c r="P476" s="66" t="str">
        <f t="shared" si="4"/>
        <v/>
      </c>
    </row>
    <row r="477">
      <c r="A477" s="198" t="str">
        <f>Coins!A477</f>
        <v/>
      </c>
      <c r="B477" s="199" t="str">
        <f>Coins!B477</f>
        <v/>
      </c>
      <c r="C477" s="198" t="str">
        <f>Coins!C477</f>
        <v/>
      </c>
      <c r="D477" s="198" t="str">
        <f>Coins!D477</f>
        <v/>
      </c>
      <c r="E477" s="198" t="str">
        <f>Coins!E477</f>
        <v/>
      </c>
      <c r="F477" s="198" t="str">
        <f>Coins!F477</f>
        <v/>
      </c>
      <c r="G477" s="198" t="str">
        <f>Coins!G477</f>
        <v/>
      </c>
      <c r="H477" s="201" t="str">
        <f>if(Coins!H477="N/A",0,Coins!H477)</f>
        <v/>
      </c>
      <c r="I477" s="202" t="str">
        <f>Coins!I477</f>
        <v/>
      </c>
      <c r="J477" s="198" t="str">
        <f>Coins!J477</f>
        <v/>
      </c>
      <c r="K477" s="201" t="str">
        <f>Coins!K477</f>
        <v/>
      </c>
      <c r="L477" s="198" t="str">
        <f>Coins!L477</f>
        <v/>
      </c>
      <c r="M477" s="198"/>
      <c r="N477" s="198"/>
      <c r="P477" s="66" t="str">
        <f t="shared" si="4"/>
        <v/>
      </c>
    </row>
    <row r="478">
      <c r="A478" s="198" t="str">
        <f>Coins!A478</f>
        <v/>
      </c>
      <c r="B478" s="199" t="str">
        <f>Coins!B478</f>
        <v/>
      </c>
      <c r="C478" s="198" t="str">
        <f>Coins!C478</f>
        <v/>
      </c>
      <c r="D478" s="198" t="str">
        <f>Coins!D478</f>
        <v/>
      </c>
      <c r="E478" s="198" t="str">
        <f>Coins!E478</f>
        <v/>
      </c>
      <c r="F478" s="198" t="str">
        <f>Coins!F478</f>
        <v/>
      </c>
      <c r="G478" s="198" t="str">
        <f>Coins!G478</f>
        <v/>
      </c>
      <c r="H478" s="201" t="str">
        <f>if(Coins!H478="N/A",0,Coins!H478)</f>
        <v/>
      </c>
      <c r="I478" s="202" t="str">
        <f>Coins!I478</f>
        <v/>
      </c>
      <c r="J478" s="198" t="str">
        <f>Coins!J478</f>
        <v/>
      </c>
      <c r="K478" s="201" t="str">
        <f>Coins!K478</f>
        <v/>
      </c>
      <c r="L478" s="198" t="str">
        <f>Coins!L478</f>
        <v/>
      </c>
      <c r="M478" s="198"/>
      <c r="N478" s="198"/>
      <c r="P478" s="66" t="str">
        <f t="shared" si="4"/>
        <v/>
      </c>
    </row>
    <row r="479">
      <c r="A479" s="198" t="str">
        <f>Coins!A479</f>
        <v/>
      </c>
      <c r="B479" s="199" t="str">
        <f>Coins!B479</f>
        <v/>
      </c>
      <c r="C479" s="198" t="str">
        <f>Coins!C479</f>
        <v/>
      </c>
      <c r="D479" s="198" t="str">
        <f>Coins!D479</f>
        <v/>
      </c>
      <c r="E479" s="198" t="str">
        <f>Coins!E479</f>
        <v/>
      </c>
      <c r="F479" s="198" t="str">
        <f>Coins!F479</f>
        <v/>
      </c>
      <c r="G479" s="198" t="str">
        <f>Coins!G479</f>
        <v/>
      </c>
      <c r="H479" s="201" t="str">
        <f>if(Coins!H479="N/A",0,Coins!H479)</f>
        <v/>
      </c>
      <c r="I479" s="202" t="str">
        <f>Coins!I479</f>
        <v/>
      </c>
      <c r="J479" s="198" t="str">
        <f>Coins!J479</f>
        <v/>
      </c>
      <c r="K479" s="201" t="str">
        <f>Coins!K479</f>
        <v/>
      </c>
      <c r="L479" s="198" t="str">
        <f>Coins!L479</f>
        <v/>
      </c>
      <c r="M479" s="198"/>
      <c r="N479" s="198"/>
      <c r="P479" s="66" t="str">
        <f t="shared" si="4"/>
        <v/>
      </c>
    </row>
    <row r="480">
      <c r="A480" s="198" t="str">
        <f>Coins!A480</f>
        <v/>
      </c>
      <c r="B480" s="199" t="str">
        <f>Coins!B480</f>
        <v/>
      </c>
      <c r="C480" s="198" t="str">
        <f>Coins!C480</f>
        <v/>
      </c>
      <c r="D480" s="198" t="str">
        <f>Coins!D480</f>
        <v/>
      </c>
      <c r="E480" s="198" t="str">
        <f>Coins!E480</f>
        <v/>
      </c>
      <c r="F480" s="198" t="str">
        <f>Coins!F480</f>
        <v/>
      </c>
      <c r="G480" s="198" t="str">
        <f>Coins!G480</f>
        <v/>
      </c>
      <c r="H480" s="201" t="str">
        <f>if(Coins!H480="N/A",0,Coins!H480)</f>
        <v/>
      </c>
      <c r="I480" s="202" t="str">
        <f>Coins!I480</f>
        <v/>
      </c>
      <c r="J480" s="198" t="str">
        <f>Coins!J480</f>
        <v/>
      </c>
      <c r="K480" s="201" t="str">
        <f>Coins!K480</f>
        <v/>
      </c>
      <c r="L480" s="198" t="str">
        <f>Coins!L480</f>
        <v/>
      </c>
      <c r="M480" s="198"/>
      <c r="N480" s="198"/>
      <c r="P480" s="66" t="str">
        <f t="shared" si="4"/>
        <v/>
      </c>
    </row>
    <row r="481">
      <c r="A481" s="198" t="str">
        <f>Coins!A481</f>
        <v/>
      </c>
      <c r="B481" s="199" t="str">
        <f>Coins!B481</f>
        <v/>
      </c>
      <c r="C481" s="198" t="str">
        <f>Coins!C481</f>
        <v/>
      </c>
      <c r="D481" s="198" t="str">
        <f>Coins!D481</f>
        <v/>
      </c>
      <c r="E481" s="198" t="str">
        <f>Coins!E481</f>
        <v/>
      </c>
      <c r="F481" s="198" t="str">
        <f>Coins!F481</f>
        <v/>
      </c>
      <c r="G481" s="198" t="str">
        <f>Coins!G481</f>
        <v/>
      </c>
      <c r="H481" s="201" t="str">
        <f>if(Coins!H481="N/A",0,Coins!H481)</f>
        <v/>
      </c>
      <c r="I481" s="202" t="str">
        <f>Coins!I481</f>
        <v/>
      </c>
      <c r="J481" s="198" t="str">
        <f>Coins!J481</f>
        <v/>
      </c>
      <c r="K481" s="201" t="str">
        <f>Coins!K481</f>
        <v/>
      </c>
      <c r="L481" s="198" t="str">
        <f>Coins!L481</f>
        <v/>
      </c>
      <c r="M481" s="198"/>
      <c r="N481" s="198"/>
      <c r="P481" s="66" t="str">
        <f t="shared" si="4"/>
        <v/>
      </c>
    </row>
    <row r="482">
      <c r="A482" s="198" t="str">
        <f>Coins!A482</f>
        <v/>
      </c>
      <c r="B482" s="199" t="str">
        <f>Coins!B482</f>
        <v/>
      </c>
      <c r="C482" s="198" t="str">
        <f>Coins!C482</f>
        <v/>
      </c>
      <c r="D482" s="198" t="str">
        <f>Coins!D482</f>
        <v/>
      </c>
      <c r="E482" s="198" t="str">
        <f>Coins!E482</f>
        <v/>
      </c>
      <c r="F482" s="198" t="str">
        <f>Coins!F482</f>
        <v/>
      </c>
      <c r="G482" s="198" t="str">
        <f>Coins!G482</f>
        <v/>
      </c>
      <c r="H482" s="201" t="str">
        <f>if(Coins!H482="N/A",0,Coins!H482)</f>
        <v/>
      </c>
      <c r="I482" s="202" t="str">
        <f>Coins!I482</f>
        <v/>
      </c>
      <c r="J482" s="198" t="str">
        <f>Coins!J482</f>
        <v/>
      </c>
      <c r="K482" s="201" t="str">
        <f>Coins!K482</f>
        <v/>
      </c>
      <c r="L482" s="198" t="str">
        <f>Coins!L482</f>
        <v/>
      </c>
      <c r="M482" s="198"/>
      <c r="N482" s="198"/>
      <c r="P482" s="66" t="str">
        <f t="shared" si="4"/>
        <v/>
      </c>
    </row>
    <row r="483">
      <c r="A483" s="198" t="str">
        <f>Coins!A483</f>
        <v/>
      </c>
      <c r="B483" s="199" t="str">
        <f>Coins!B483</f>
        <v/>
      </c>
      <c r="C483" s="198" t="str">
        <f>Coins!C483</f>
        <v/>
      </c>
      <c r="D483" s="198" t="str">
        <f>Coins!D483</f>
        <v/>
      </c>
      <c r="E483" s="198" t="str">
        <f>Coins!E483</f>
        <v/>
      </c>
      <c r="F483" s="198" t="str">
        <f>Coins!F483</f>
        <v/>
      </c>
      <c r="G483" s="198" t="str">
        <f>Coins!G483</f>
        <v/>
      </c>
      <c r="H483" s="201" t="str">
        <f>if(Coins!H483="N/A",0,Coins!H483)</f>
        <v/>
      </c>
      <c r="I483" s="202" t="str">
        <f>Coins!I483</f>
        <v/>
      </c>
      <c r="J483" s="198" t="str">
        <f>Coins!J483</f>
        <v/>
      </c>
      <c r="K483" s="201" t="str">
        <f>Coins!K483</f>
        <v/>
      </c>
      <c r="L483" s="198" t="str">
        <f>Coins!L483</f>
        <v/>
      </c>
      <c r="M483" s="198"/>
      <c r="N483" s="198"/>
      <c r="P483" s="66" t="str">
        <f t="shared" si="4"/>
        <v/>
      </c>
    </row>
    <row r="484">
      <c r="A484" s="198" t="str">
        <f>Coins!A484</f>
        <v/>
      </c>
      <c r="B484" s="199" t="str">
        <f>Coins!B484</f>
        <v/>
      </c>
      <c r="C484" s="198" t="str">
        <f>Coins!C484</f>
        <v/>
      </c>
      <c r="D484" s="198" t="str">
        <f>Coins!D484</f>
        <v/>
      </c>
      <c r="E484" s="198" t="str">
        <f>Coins!E484</f>
        <v/>
      </c>
      <c r="F484" s="198" t="str">
        <f>Coins!F484</f>
        <v/>
      </c>
      <c r="G484" s="198" t="str">
        <f>Coins!G484</f>
        <v/>
      </c>
      <c r="H484" s="201" t="str">
        <f>if(Coins!H484="N/A",0,Coins!H484)</f>
        <v/>
      </c>
      <c r="I484" s="202" t="str">
        <f>Coins!I484</f>
        <v/>
      </c>
      <c r="J484" s="198" t="str">
        <f>Coins!J484</f>
        <v/>
      </c>
      <c r="K484" s="201" t="str">
        <f>Coins!K484</f>
        <v/>
      </c>
      <c r="L484" s="198" t="str">
        <f>Coins!L484</f>
        <v/>
      </c>
      <c r="M484" s="198"/>
      <c r="N484" s="198"/>
      <c r="P484" s="66" t="str">
        <f t="shared" si="4"/>
        <v/>
      </c>
    </row>
    <row r="485">
      <c r="A485" s="198" t="str">
        <f>Coins!A485</f>
        <v/>
      </c>
      <c r="B485" s="199" t="str">
        <f>Coins!B485</f>
        <v/>
      </c>
      <c r="C485" s="198" t="str">
        <f>Coins!C485</f>
        <v/>
      </c>
      <c r="D485" s="198" t="str">
        <f>Coins!D485</f>
        <v/>
      </c>
      <c r="E485" s="198" t="str">
        <f>Coins!E485</f>
        <v/>
      </c>
      <c r="F485" s="198" t="str">
        <f>Coins!F485</f>
        <v/>
      </c>
      <c r="G485" s="198" t="str">
        <f>Coins!G485</f>
        <v/>
      </c>
      <c r="H485" s="201" t="str">
        <f>if(Coins!H485="N/A",0,Coins!H485)</f>
        <v/>
      </c>
      <c r="I485" s="202" t="str">
        <f>Coins!I485</f>
        <v/>
      </c>
      <c r="J485" s="198" t="str">
        <f>Coins!J485</f>
        <v/>
      </c>
      <c r="K485" s="201" t="str">
        <f>Coins!K485</f>
        <v/>
      </c>
      <c r="L485" s="198" t="str">
        <f>Coins!L485</f>
        <v/>
      </c>
      <c r="M485" s="198"/>
      <c r="N485" s="198"/>
      <c r="P485" s="66" t="str">
        <f t="shared" si="4"/>
        <v/>
      </c>
    </row>
    <row r="486">
      <c r="A486" s="198" t="str">
        <f>Coins!A486</f>
        <v/>
      </c>
      <c r="B486" s="199" t="str">
        <f>Coins!B486</f>
        <v/>
      </c>
      <c r="C486" s="198" t="str">
        <f>Coins!C486</f>
        <v/>
      </c>
      <c r="D486" s="198" t="str">
        <f>Coins!D486</f>
        <v/>
      </c>
      <c r="E486" s="198" t="str">
        <f>Coins!E486</f>
        <v/>
      </c>
      <c r="F486" s="198" t="str">
        <f>Coins!F486</f>
        <v/>
      </c>
      <c r="G486" s="198" t="str">
        <f>Coins!G486</f>
        <v/>
      </c>
      <c r="H486" s="201" t="str">
        <f>if(Coins!H486="N/A",0,Coins!H486)</f>
        <v/>
      </c>
      <c r="I486" s="202" t="str">
        <f>Coins!I486</f>
        <v/>
      </c>
      <c r="J486" s="198" t="str">
        <f>Coins!J486</f>
        <v/>
      </c>
      <c r="K486" s="201" t="str">
        <f>Coins!K486</f>
        <v/>
      </c>
      <c r="L486" s="198" t="str">
        <f>Coins!L486</f>
        <v/>
      </c>
      <c r="M486" s="198"/>
      <c r="N486" s="198"/>
      <c r="P486" s="66" t="str">
        <f t="shared" si="4"/>
        <v/>
      </c>
    </row>
    <row r="487">
      <c r="A487" s="198" t="str">
        <f>Coins!A487</f>
        <v/>
      </c>
      <c r="B487" s="199" t="str">
        <f>Coins!B487</f>
        <v/>
      </c>
      <c r="C487" s="198" t="str">
        <f>Coins!C487</f>
        <v/>
      </c>
      <c r="D487" s="198" t="str">
        <f>Coins!D487</f>
        <v/>
      </c>
      <c r="E487" s="198" t="str">
        <f>Coins!E487</f>
        <v/>
      </c>
      <c r="F487" s="198" t="str">
        <f>Coins!F487</f>
        <v/>
      </c>
      <c r="G487" s="198" t="str">
        <f>Coins!G487</f>
        <v/>
      </c>
      <c r="H487" s="201" t="str">
        <f>if(Coins!H487="N/A",0,Coins!H487)</f>
        <v/>
      </c>
      <c r="I487" s="202" t="str">
        <f>Coins!I487</f>
        <v/>
      </c>
      <c r="J487" s="198" t="str">
        <f>Coins!J487</f>
        <v/>
      </c>
      <c r="K487" s="201" t="str">
        <f>Coins!K487</f>
        <v/>
      </c>
      <c r="L487" s="198" t="str">
        <f>Coins!L487</f>
        <v/>
      </c>
      <c r="M487" s="198"/>
      <c r="N487" s="198"/>
      <c r="P487" s="66" t="str">
        <f t="shared" si="4"/>
        <v/>
      </c>
    </row>
    <row r="488">
      <c r="A488" s="198" t="str">
        <f>Coins!A488</f>
        <v/>
      </c>
      <c r="B488" s="199" t="str">
        <f>Coins!B488</f>
        <v/>
      </c>
      <c r="C488" s="198" t="str">
        <f>Coins!C488</f>
        <v/>
      </c>
      <c r="D488" s="198" t="str">
        <f>Coins!D488</f>
        <v/>
      </c>
      <c r="E488" s="198" t="str">
        <f>Coins!E488</f>
        <v/>
      </c>
      <c r="F488" s="198" t="str">
        <f>Coins!F488</f>
        <v/>
      </c>
      <c r="G488" s="198" t="str">
        <f>Coins!G488</f>
        <v/>
      </c>
      <c r="H488" s="201" t="str">
        <f>if(Coins!H488="N/A",0,Coins!H488)</f>
        <v/>
      </c>
      <c r="I488" s="202" t="str">
        <f>Coins!I488</f>
        <v/>
      </c>
      <c r="J488" s="198" t="str">
        <f>Coins!J488</f>
        <v/>
      </c>
      <c r="K488" s="201" t="str">
        <f>Coins!K488</f>
        <v/>
      </c>
      <c r="L488" s="198" t="str">
        <f>Coins!L488</f>
        <v/>
      </c>
      <c r="M488" s="198"/>
      <c r="N488" s="198"/>
      <c r="P488" s="66" t="str">
        <f t="shared" si="4"/>
        <v/>
      </c>
    </row>
    <row r="489">
      <c r="A489" s="198" t="str">
        <f>Coins!A489</f>
        <v/>
      </c>
      <c r="B489" s="199" t="str">
        <f>Coins!B489</f>
        <v/>
      </c>
      <c r="C489" s="198" t="str">
        <f>Coins!C489</f>
        <v/>
      </c>
      <c r="D489" s="198" t="str">
        <f>Coins!D489</f>
        <v/>
      </c>
      <c r="E489" s="198" t="str">
        <f>Coins!E489</f>
        <v/>
      </c>
      <c r="F489" s="198" t="str">
        <f>Coins!F489</f>
        <v/>
      </c>
      <c r="G489" s="198" t="str">
        <f>Coins!G489</f>
        <v/>
      </c>
      <c r="H489" s="201" t="str">
        <f>if(Coins!H489="N/A",0,Coins!H489)</f>
        <v/>
      </c>
      <c r="I489" s="202" t="str">
        <f>Coins!I489</f>
        <v/>
      </c>
      <c r="J489" s="198" t="str">
        <f>Coins!J489</f>
        <v/>
      </c>
      <c r="K489" s="201" t="str">
        <f>Coins!K489</f>
        <v/>
      </c>
      <c r="L489" s="198" t="str">
        <f>Coins!L489</f>
        <v/>
      </c>
      <c r="M489" s="198"/>
      <c r="N489" s="198"/>
      <c r="P489" s="66" t="str">
        <f t="shared" si="4"/>
        <v/>
      </c>
    </row>
    <row r="490">
      <c r="A490" s="198" t="str">
        <f>Coins!A490</f>
        <v/>
      </c>
      <c r="B490" s="199" t="str">
        <f>Coins!B490</f>
        <v/>
      </c>
      <c r="C490" s="198" t="str">
        <f>Coins!C490</f>
        <v/>
      </c>
      <c r="D490" s="198" t="str">
        <f>Coins!D490</f>
        <v/>
      </c>
      <c r="E490" s="198" t="str">
        <f>Coins!E490</f>
        <v/>
      </c>
      <c r="F490" s="198" t="str">
        <f>Coins!F490</f>
        <v/>
      </c>
      <c r="G490" s="198" t="str">
        <f>Coins!G490</f>
        <v/>
      </c>
      <c r="H490" s="201" t="str">
        <f>if(Coins!H490="N/A",0,Coins!H490)</f>
        <v/>
      </c>
      <c r="I490" s="202" t="str">
        <f>Coins!I490</f>
        <v/>
      </c>
      <c r="J490" s="198" t="str">
        <f>Coins!J490</f>
        <v/>
      </c>
      <c r="K490" s="201" t="str">
        <f>Coins!K490</f>
        <v/>
      </c>
      <c r="L490" s="198" t="str">
        <f>Coins!L490</f>
        <v/>
      </c>
      <c r="M490" s="198"/>
      <c r="N490" s="198"/>
      <c r="P490" s="66" t="str">
        <f t="shared" si="4"/>
        <v/>
      </c>
    </row>
    <row r="491">
      <c r="A491" s="198" t="str">
        <f>Coins!A491</f>
        <v/>
      </c>
      <c r="B491" s="199" t="str">
        <f>Coins!B491</f>
        <v/>
      </c>
      <c r="C491" s="198" t="str">
        <f>Coins!C491</f>
        <v/>
      </c>
      <c r="D491" s="198" t="str">
        <f>Coins!D491</f>
        <v/>
      </c>
      <c r="E491" s="198" t="str">
        <f>Coins!E491</f>
        <v/>
      </c>
      <c r="F491" s="198" t="str">
        <f>Coins!F491</f>
        <v/>
      </c>
      <c r="G491" s="198" t="str">
        <f>Coins!G491</f>
        <v/>
      </c>
      <c r="H491" s="201" t="str">
        <f>if(Coins!H491="N/A",0,Coins!H491)</f>
        <v/>
      </c>
      <c r="I491" s="202" t="str">
        <f>Coins!I491</f>
        <v/>
      </c>
      <c r="J491" s="198" t="str">
        <f>Coins!J491</f>
        <v/>
      </c>
      <c r="K491" s="201" t="str">
        <f>Coins!K491</f>
        <v/>
      </c>
      <c r="L491" s="198" t="str">
        <f>Coins!L491</f>
        <v/>
      </c>
      <c r="M491" s="198"/>
      <c r="N491" s="198"/>
      <c r="P491" s="66" t="str">
        <f t="shared" si="4"/>
        <v/>
      </c>
    </row>
    <row r="492">
      <c r="A492" s="198" t="str">
        <f>Coins!A492</f>
        <v/>
      </c>
      <c r="B492" s="199" t="str">
        <f>Coins!B492</f>
        <v/>
      </c>
      <c r="C492" s="198" t="str">
        <f>Coins!C492</f>
        <v/>
      </c>
      <c r="D492" s="198" t="str">
        <f>Coins!D492</f>
        <v/>
      </c>
      <c r="E492" s="198" t="str">
        <f>Coins!E492</f>
        <v/>
      </c>
      <c r="F492" s="198" t="str">
        <f>Coins!F492</f>
        <v/>
      </c>
      <c r="G492" s="198" t="str">
        <f>Coins!G492</f>
        <v/>
      </c>
      <c r="H492" s="201" t="str">
        <f>if(Coins!H492="N/A",0,Coins!H492)</f>
        <v/>
      </c>
      <c r="I492" s="202" t="str">
        <f>Coins!I492</f>
        <v/>
      </c>
      <c r="J492" s="198" t="str">
        <f>Coins!J492</f>
        <v/>
      </c>
      <c r="K492" s="201" t="str">
        <f>Coins!K492</f>
        <v/>
      </c>
      <c r="L492" s="198" t="str">
        <f>Coins!L492</f>
        <v/>
      </c>
      <c r="M492" s="198"/>
      <c r="N492" s="198"/>
      <c r="P492" s="66" t="str">
        <f t="shared" si="4"/>
        <v/>
      </c>
    </row>
    <row r="493">
      <c r="A493" s="198" t="str">
        <f>Coins!A493</f>
        <v/>
      </c>
      <c r="B493" s="199" t="str">
        <f>Coins!B493</f>
        <v/>
      </c>
      <c r="C493" s="198" t="str">
        <f>Coins!C493</f>
        <v/>
      </c>
      <c r="D493" s="198" t="str">
        <f>Coins!D493</f>
        <v/>
      </c>
      <c r="E493" s="198" t="str">
        <f>Coins!E493</f>
        <v/>
      </c>
      <c r="F493" s="198" t="str">
        <f>Coins!F493</f>
        <v/>
      </c>
      <c r="G493" s="198" t="str">
        <f>Coins!G493</f>
        <v/>
      </c>
      <c r="H493" s="201" t="str">
        <f>if(Coins!H493="N/A",0,Coins!H493)</f>
        <v/>
      </c>
      <c r="I493" s="202" t="str">
        <f>Coins!I493</f>
        <v/>
      </c>
      <c r="J493" s="198" t="str">
        <f>Coins!J493</f>
        <v/>
      </c>
      <c r="K493" s="201" t="str">
        <f>Coins!K493</f>
        <v/>
      </c>
      <c r="L493" s="198" t="str">
        <f>Coins!L493</f>
        <v/>
      </c>
      <c r="M493" s="198"/>
      <c r="N493" s="198"/>
      <c r="P493" s="66" t="str">
        <f t="shared" si="4"/>
        <v/>
      </c>
    </row>
    <row r="494">
      <c r="A494" s="198" t="str">
        <f>Coins!A494</f>
        <v/>
      </c>
      <c r="B494" s="199" t="str">
        <f>Coins!B494</f>
        <v/>
      </c>
      <c r="C494" s="198" t="str">
        <f>Coins!C494</f>
        <v/>
      </c>
      <c r="D494" s="198" t="str">
        <f>Coins!D494</f>
        <v/>
      </c>
      <c r="E494" s="198" t="str">
        <f>Coins!E494</f>
        <v/>
      </c>
      <c r="F494" s="198" t="str">
        <f>Coins!F494</f>
        <v/>
      </c>
      <c r="G494" s="198" t="str">
        <f>Coins!G494</f>
        <v/>
      </c>
      <c r="H494" s="201" t="str">
        <f>if(Coins!H494="N/A",0,Coins!H494)</f>
        <v/>
      </c>
      <c r="I494" s="202" t="str">
        <f>Coins!I494</f>
        <v/>
      </c>
      <c r="J494" s="198" t="str">
        <f>Coins!J494</f>
        <v/>
      </c>
      <c r="K494" s="201" t="str">
        <f>Coins!K494</f>
        <v/>
      </c>
      <c r="L494" s="198" t="str">
        <f>Coins!L494</f>
        <v/>
      </c>
      <c r="M494" s="198"/>
      <c r="N494" s="198"/>
      <c r="P494" s="66" t="str">
        <f t="shared" si="4"/>
        <v/>
      </c>
    </row>
    <row r="495">
      <c r="A495" s="198" t="str">
        <f>Coins!A495</f>
        <v/>
      </c>
      <c r="B495" s="199" t="str">
        <f>Coins!B495</f>
        <v/>
      </c>
      <c r="C495" s="198" t="str">
        <f>Coins!C495</f>
        <v/>
      </c>
      <c r="D495" s="198" t="str">
        <f>Coins!D495</f>
        <v/>
      </c>
      <c r="E495" s="198" t="str">
        <f>Coins!E495</f>
        <v/>
      </c>
      <c r="F495" s="198" t="str">
        <f>Coins!F495</f>
        <v/>
      </c>
      <c r="G495" s="198" t="str">
        <f>Coins!G495</f>
        <v/>
      </c>
      <c r="H495" s="201" t="str">
        <f>if(Coins!H495="N/A",0,Coins!H495)</f>
        <v/>
      </c>
      <c r="I495" s="202" t="str">
        <f>Coins!I495</f>
        <v/>
      </c>
      <c r="J495" s="198" t="str">
        <f>Coins!J495</f>
        <v/>
      </c>
      <c r="K495" s="201" t="str">
        <f>Coins!K495</f>
        <v/>
      </c>
      <c r="L495" s="198" t="str">
        <f>Coins!L495</f>
        <v/>
      </c>
      <c r="M495" s="198"/>
      <c r="N495" s="198"/>
      <c r="P495" s="66" t="str">
        <f t="shared" si="4"/>
        <v/>
      </c>
    </row>
    <row r="496">
      <c r="A496" s="198" t="str">
        <f>Coins!A496</f>
        <v/>
      </c>
      <c r="B496" s="199" t="str">
        <f>Coins!B496</f>
        <v/>
      </c>
      <c r="C496" s="198" t="str">
        <f>Coins!C496</f>
        <v/>
      </c>
      <c r="D496" s="198" t="str">
        <f>Coins!D496</f>
        <v/>
      </c>
      <c r="E496" s="198" t="str">
        <f>Coins!E496</f>
        <v/>
      </c>
      <c r="F496" s="198" t="str">
        <f>Coins!F496</f>
        <v/>
      </c>
      <c r="G496" s="198" t="str">
        <f>Coins!G496</f>
        <v/>
      </c>
      <c r="H496" s="201" t="str">
        <f>if(Coins!H496="N/A",0,Coins!H496)</f>
        <v/>
      </c>
      <c r="I496" s="202" t="str">
        <f>Coins!I496</f>
        <v/>
      </c>
      <c r="J496" s="198" t="str">
        <f>Coins!J496</f>
        <v/>
      </c>
      <c r="K496" s="201" t="str">
        <f>Coins!K496</f>
        <v/>
      </c>
      <c r="L496" s="198" t="str">
        <f>Coins!L496</f>
        <v/>
      </c>
      <c r="M496" s="198"/>
      <c r="N496" s="198"/>
      <c r="P496" s="66" t="str">
        <f t="shared" si="4"/>
        <v/>
      </c>
    </row>
    <row r="497">
      <c r="A497" s="198" t="str">
        <f>Coins!A497</f>
        <v/>
      </c>
      <c r="B497" s="199" t="str">
        <f>Coins!B497</f>
        <v/>
      </c>
      <c r="C497" s="198" t="str">
        <f>Coins!C497</f>
        <v/>
      </c>
      <c r="D497" s="198" t="str">
        <f>Coins!D497</f>
        <v/>
      </c>
      <c r="E497" s="198" t="str">
        <f>Coins!E497</f>
        <v/>
      </c>
      <c r="F497" s="198" t="str">
        <f>Coins!F497</f>
        <v/>
      </c>
      <c r="G497" s="198" t="str">
        <f>Coins!G497</f>
        <v/>
      </c>
      <c r="H497" s="201" t="str">
        <f>if(Coins!H497="N/A",0,Coins!H497)</f>
        <v/>
      </c>
      <c r="I497" s="202" t="str">
        <f>Coins!I497</f>
        <v/>
      </c>
      <c r="J497" s="198" t="str">
        <f>Coins!J497</f>
        <v/>
      </c>
      <c r="K497" s="201" t="str">
        <f>Coins!K497</f>
        <v/>
      </c>
      <c r="L497" s="198" t="str">
        <f>Coins!L497</f>
        <v/>
      </c>
      <c r="M497" s="198"/>
      <c r="N497" s="198"/>
      <c r="P497" s="66" t="str">
        <f t="shared" si="4"/>
        <v/>
      </c>
    </row>
    <row r="498">
      <c r="A498" s="198" t="str">
        <f>Coins!A498</f>
        <v/>
      </c>
      <c r="B498" s="199" t="str">
        <f>Coins!B498</f>
        <v/>
      </c>
      <c r="C498" s="198" t="str">
        <f>Coins!C498</f>
        <v/>
      </c>
      <c r="D498" s="198" t="str">
        <f>Coins!D498</f>
        <v/>
      </c>
      <c r="E498" s="198" t="str">
        <f>Coins!E498</f>
        <v/>
      </c>
      <c r="F498" s="198" t="str">
        <f>Coins!F498</f>
        <v/>
      </c>
      <c r="G498" s="198" t="str">
        <f>Coins!G498</f>
        <v/>
      </c>
      <c r="H498" s="201" t="str">
        <f>if(Coins!H498="N/A",0,Coins!H498)</f>
        <v/>
      </c>
      <c r="I498" s="202" t="str">
        <f>Coins!I498</f>
        <v/>
      </c>
      <c r="J498" s="198" t="str">
        <f>Coins!J498</f>
        <v/>
      </c>
      <c r="K498" s="201" t="str">
        <f>Coins!K498</f>
        <v/>
      </c>
      <c r="L498" s="198" t="str">
        <f>Coins!L498</f>
        <v/>
      </c>
      <c r="M498" s="198"/>
      <c r="N498" s="198"/>
      <c r="P498" s="66" t="str">
        <f t="shared" si="4"/>
        <v/>
      </c>
    </row>
    <row r="499">
      <c r="A499" s="198" t="str">
        <f>Coins!A499</f>
        <v/>
      </c>
      <c r="B499" s="199" t="str">
        <f>Coins!B499</f>
        <v/>
      </c>
      <c r="C499" s="198" t="str">
        <f>Coins!C499</f>
        <v/>
      </c>
      <c r="D499" s="198" t="str">
        <f>Coins!D499</f>
        <v/>
      </c>
      <c r="E499" s="198" t="str">
        <f>Coins!E499</f>
        <v/>
      </c>
      <c r="F499" s="198" t="str">
        <f>Coins!F499</f>
        <v/>
      </c>
      <c r="G499" s="198" t="str">
        <f>Coins!G499</f>
        <v/>
      </c>
      <c r="H499" s="201" t="str">
        <f>if(Coins!H499="N/A",0,Coins!H499)</f>
        <v/>
      </c>
      <c r="I499" s="202" t="str">
        <f>Coins!I499</f>
        <v/>
      </c>
      <c r="J499" s="198" t="str">
        <f>Coins!J499</f>
        <v/>
      </c>
      <c r="K499" s="201" t="str">
        <f>Coins!K499</f>
        <v/>
      </c>
      <c r="L499" s="198" t="str">
        <f>Coins!L499</f>
        <v/>
      </c>
      <c r="M499" s="198"/>
      <c r="N499" s="198"/>
      <c r="P499" s="66" t="str">
        <f t="shared" si="4"/>
        <v/>
      </c>
    </row>
    <row r="500">
      <c r="A500" s="198" t="str">
        <f>Coins!A500</f>
        <v/>
      </c>
      <c r="B500" s="199" t="str">
        <f>Coins!B500</f>
        <v/>
      </c>
      <c r="C500" s="198" t="str">
        <f>Coins!C500</f>
        <v/>
      </c>
      <c r="D500" s="198" t="str">
        <f>Coins!D500</f>
        <v/>
      </c>
      <c r="E500" s="198" t="str">
        <f>Coins!E500</f>
        <v/>
      </c>
      <c r="F500" s="198" t="str">
        <f>Coins!F500</f>
        <v/>
      </c>
      <c r="G500" s="198" t="str">
        <f>Coins!G500</f>
        <v/>
      </c>
      <c r="H500" s="201" t="str">
        <f>if(Coins!H500="N/A",0,Coins!H500)</f>
        <v/>
      </c>
      <c r="I500" s="202" t="str">
        <f>Coins!I500</f>
        <v/>
      </c>
      <c r="J500" s="198" t="str">
        <f>Coins!J500</f>
        <v/>
      </c>
      <c r="K500" s="201" t="str">
        <f>Coins!K500</f>
        <v/>
      </c>
      <c r="L500" s="198" t="str">
        <f>Coins!L500</f>
        <v/>
      </c>
      <c r="M500" s="198"/>
      <c r="N500" s="198"/>
      <c r="P500" s="66" t="str">
        <f t="shared" si="4"/>
        <v/>
      </c>
    </row>
    <row r="501">
      <c r="A501" s="198" t="str">
        <f>Coins!A501</f>
        <v/>
      </c>
      <c r="B501" s="199" t="str">
        <f>Coins!B501</f>
        <v/>
      </c>
      <c r="C501" s="198" t="str">
        <f>Coins!C501</f>
        <v/>
      </c>
      <c r="D501" s="198" t="str">
        <f>Coins!D501</f>
        <v/>
      </c>
      <c r="E501" s="198" t="str">
        <f>Coins!E501</f>
        <v/>
      </c>
      <c r="F501" s="198" t="str">
        <f>Coins!F501</f>
        <v/>
      </c>
      <c r="G501" s="198" t="str">
        <f>Coins!G501</f>
        <v/>
      </c>
      <c r="H501" s="201" t="str">
        <f>if(Coins!H501="N/A",0,Coins!H501)</f>
        <v/>
      </c>
      <c r="I501" s="202" t="str">
        <f>Coins!I501</f>
        <v/>
      </c>
      <c r="J501" s="198" t="str">
        <f>Coins!J501</f>
        <v/>
      </c>
      <c r="K501" s="201" t="str">
        <f>Coins!K501</f>
        <v/>
      </c>
      <c r="L501" s="198" t="str">
        <f>Coins!L501</f>
        <v/>
      </c>
      <c r="M501" s="198"/>
      <c r="N501" s="198"/>
      <c r="P501" s="66" t="str">
        <f t="shared" si="4"/>
        <v/>
      </c>
    </row>
    <row r="502">
      <c r="A502" s="198" t="str">
        <f>Coins!A502</f>
        <v/>
      </c>
      <c r="B502" s="199" t="str">
        <f>Coins!B502</f>
        <v/>
      </c>
      <c r="C502" s="198" t="str">
        <f>Coins!C502</f>
        <v/>
      </c>
      <c r="D502" s="198" t="str">
        <f>Coins!D502</f>
        <v/>
      </c>
      <c r="E502" s="198" t="str">
        <f>Coins!E502</f>
        <v/>
      </c>
      <c r="F502" s="198" t="str">
        <f>Coins!F502</f>
        <v/>
      </c>
      <c r="G502" s="198" t="str">
        <f>Coins!G502</f>
        <v/>
      </c>
      <c r="H502" s="201" t="str">
        <f>if(Coins!H502="N/A",0,Coins!H502)</f>
        <v/>
      </c>
      <c r="I502" s="202" t="str">
        <f>Coins!I502</f>
        <v/>
      </c>
      <c r="J502" s="198" t="str">
        <f>Coins!J502</f>
        <v/>
      </c>
      <c r="K502" s="201" t="str">
        <f>Coins!K502</f>
        <v/>
      </c>
      <c r="L502" s="198" t="str">
        <f>Coins!L502</f>
        <v/>
      </c>
      <c r="M502" s="198"/>
      <c r="N502" s="198"/>
      <c r="P502" s="66" t="str">
        <f t="shared" si="4"/>
        <v/>
      </c>
    </row>
    <row r="503">
      <c r="A503" s="198" t="str">
        <f>Coins!A503</f>
        <v/>
      </c>
      <c r="B503" s="199" t="str">
        <f>Coins!B503</f>
        <v/>
      </c>
      <c r="C503" s="198" t="str">
        <f>Coins!C503</f>
        <v/>
      </c>
      <c r="D503" s="198" t="str">
        <f>Coins!D503</f>
        <v/>
      </c>
      <c r="E503" s="198" t="str">
        <f>Coins!E503</f>
        <v/>
      </c>
      <c r="F503" s="198" t="str">
        <f>Coins!F503</f>
        <v/>
      </c>
      <c r="G503" s="198" t="str">
        <f>Coins!G503</f>
        <v/>
      </c>
      <c r="H503" s="201" t="str">
        <f>if(Coins!H503="N/A",0,Coins!H503)</f>
        <v/>
      </c>
      <c r="I503" s="202" t="str">
        <f>Coins!I503</f>
        <v/>
      </c>
      <c r="J503" s="198" t="str">
        <f>Coins!J503</f>
        <v/>
      </c>
      <c r="K503" s="201" t="str">
        <f>Coins!K503</f>
        <v/>
      </c>
      <c r="L503" s="198" t="str">
        <f>Coins!L503</f>
        <v/>
      </c>
      <c r="M503" s="198"/>
      <c r="N503" s="198"/>
      <c r="P503" s="66" t="str">
        <f t="shared" si="4"/>
        <v/>
      </c>
    </row>
    <row r="504">
      <c r="A504" s="198" t="str">
        <f>Coins!A504</f>
        <v/>
      </c>
      <c r="B504" s="199" t="str">
        <f>Coins!B504</f>
        <v/>
      </c>
      <c r="C504" s="198" t="str">
        <f>Coins!C504</f>
        <v/>
      </c>
      <c r="D504" s="198" t="str">
        <f>Coins!D504</f>
        <v/>
      </c>
      <c r="E504" s="198" t="str">
        <f>Coins!E504</f>
        <v/>
      </c>
      <c r="F504" s="198" t="str">
        <f>Coins!F504</f>
        <v/>
      </c>
      <c r="G504" s="198" t="str">
        <f>Coins!G504</f>
        <v/>
      </c>
      <c r="H504" s="201" t="str">
        <f>if(Coins!H504="N/A",0,Coins!H504)</f>
        <v/>
      </c>
      <c r="I504" s="202" t="str">
        <f>Coins!I504</f>
        <v/>
      </c>
      <c r="J504" s="198" t="str">
        <f>Coins!J504</f>
        <v/>
      </c>
      <c r="K504" s="201" t="str">
        <f>Coins!K504</f>
        <v/>
      </c>
      <c r="L504" s="198" t="str">
        <f>Coins!L504</f>
        <v/>
      </c>
      <c r="M504" s="198"/>
      <c r="N504" s="198"/>
      <c r="P504" s="66" t="str">
        <f t="shared" si="4"/>
        <v/>
      </c>
    </row>
    <row r="505">
      <c r="A505" s="198" t="str">
        <f>Coins!A505</f>
        <v/>
      </c>
      <c r="B505" s="199" t="str">
        <f>Coins!B505</f>
        <v/>
      </c>
      <c r="C505" s="198" t="str">
        <f>Coins!C505</f>
        <v/>
      </c>
      <c r="D505" s="198" t="str">
        <f>Coins!D505</f>
        <v/>
      </c>
      <c r="E505" s="198" t="str">
        <f>Coins!E505</f>
        <v/>
      </c>
      <c r="F505" s="198" t="str">
        <f>Coins!F505</f>
        <v/>
      </c>
      <c r="G505" s="198" t="str">
        <f>Coins!G505</f>
        <v/>
      </c>
      <c r="H505" s="201" t="str">
        <f>if(Coins!H505="N/A",0,Coins!H505)</f>
        <v/>
      </c>
      <c r="I505" s="202" t="str">
        <f>Coins!I505</f>
        <v/>
      </c>
      <c r="J505" s="198" t="str">
        <f>Coins!J505</f>
        <v/>
      </c>
      <c r="K505" s="201" t="str">
        <f>Coins!K505</f>
        <v/>
      </c>
      <c r="L505" s="198" t="str">
        <f>Coins!L505</f>
        <v/>
      </c>
      <c r="M505" s="198"/>
      <c r="N505" s="198"/>
      <c r="P505" s="66" t="str">
        <f t="shared" si="4"/>
        <v/>
      </c>
    </row>
    <row r="506">
      <c r="A506" s="198" t="str">
        <f>Coins!A506</f>
        <v/>
      </c>
      <c r="B506" s="199" t="str">
        <f>Coins!B506</f>
        <v/>
      </c>
      <c r="C506" s="198" t="str">
        <f>Coins!C506</f>
        <v/>
      </c>
      <c r="D506" s="198" t="str">
        <f>Coins!D506</f>
        <v/>
      </c>
      <c r="E506" s="198" t="str">
        <f>Coins!E506</f>
        <v/>
      </c>
      <c r="F506" s="198" t="str">
        <f>Coins!F506</f>
        <v/>
      </c>
      <c r="G506" s="198" t="str">
        <f>Coins!G506</f>
        <v/>
      </c>
      <c r="H506" s="201" t="str">
        <f>if(Coins!H506="N/A",0,Coins!H506)</f>
        <v/>
      </c>
      <c r="I506" s="202" t="str">
        <f>Coins!I506</f>
        <v/>
      </c>
      <c r="J506" s="198" t="str">
        <f>Coins!J506</f>
        <v/>
      </c>
      <c r="K506" s="201" t="str">
        <f>Coins!K506</f>
        <v/>
      </c>
      <c r="L506" s="198" t="str">
        <f>Coins!L506</f>
        <v/>
      </c>
      <c r="M506" s="198"/>
      <c r="N506" s="198"/>
      <c r="P506" s="66" t="str">
        <f t="shared" si="4"/>
        <v/>
      </c>
    </row>
    <row r="507">
      <c r="A507" s="198" t="str">
        <f>Coins!A507</f>
        <v/>
      </c>
      <c r="B507" s="199" t="str">
        <f>Coins!B507</f>
        <v/>
      </c>
      <c r="C507" s="198" t="str">
        <f>Coins!C507</f>
        <v/>
      </c>
      <c r="D507" s="198" t="str">
        <f>Coins!D507</f>
        <v/>
      </c>
      <c r="E507" s="198" t="str">
        <f>Coins!E507</f>
        <v/>
      </c>
      <c r="F507" s="198" t="str">
        <f>Coins!F507</f>
        <v/>
      </c>
      <c r="G507" s="198" t="str">
        <f>Coins!G507</f>
        <v/>
      </c>
      <c r="H507" s="201" t="str">
        <f>if(Coins!H507="N/A",0,Coins!H507)</f>
        <v/>
      </c>
      <c r="I507" s="202" t="str">
        <f>Coins!I507</f>
        <v/>
      </c>
      <c r="J507" s="198" t="str">
        <f>Coins!J507</f>
        <v/>
      </c>
      <c r="K507" s="201" t="str">
        <f>Coins!K507</f>
        <v/>
      </c>
      <c r="L507" s="198" t="str">
        <f>Coins!L507</f>
        <v/>
      </c>
      <c r="M507" s="198"/>
      <c r="N507" s="198"/>
      <c r="P507" s="66" t="str">
        <f t="shared" si="4"/>
        <v/>
      </c>
    </row>
    <row r="508">
      <c r="A508" s="198" t="str">
        <f>Coins!A508</f>
        <v/>
      </c>
      <c r="B508" s="199" t="str">
        <f>Coins!B508</f>
        <v/>
      </c>
      <c r="C508" s="198" t="str">
        <f>Coins!C508</f>
        <v/>
      </c>
      <c r="D508" s="198" t="str">
        <f>Coins!D508</f>
        <v/>
      </c>
      <c r="E508" s="198" t="str">
        <f>Coins!E508</f>
        <v/>
      </c>
      <c r="F508" s="198" t="str">
        <f>Coins!F508</f>
        <v/>
      </c>
      <c r="G508" s="198" t="str">
        <f>Coins!G508</f>
        <v/>
      </c>
      <c r="H508" s="201" t="str">
        <f>if(Coins!H508="N/A",0,Coins!H508)</f>
        <v/>
      </c>
      <c r="I508" s="202" t="str">
        <f>Coins!I508</f>
        <v/>
      </c>
      <c r="J508" s="198" t="str">
        <f>Coins!J508</f>
        <v/>
      </c>
      <c r="K508" s="201" t="str">
        <f>Coins!K508</f>
        <v/>
      </c>
      <c r="L508" s="198" t="str">
        <f>Coins!L508</f>
        <v/>
      </c>
      <c r="M508" s="198"/>
      <c r="N508" s="198"/>
      <c r="P508" s="66" t="str">
        <f t="shared" si="4"/>
        <v/>
      </c>
    </row>
    <row r="509">
      <c r="A509" s="198" t="str">
        <f>Coins!A509</f>
        <v/>
      </c>
      <c r="B509" s="199" t="str">
        <f>Coins!B509</f>
        <v/>
      </c>
      <c r="C509" s="198" t="str">
        <f>Coins!C509</f>
        <v/>
      </c>
      <c r="D509" s="198" t="str">
        <f>Coins!D509</f>
        <v/>
      </c>
      <c r="E509" s="198" t="str">
        <f>Coins!E509</f>
        <v/>
      </c>
      <c r="F509" s="198" t="str">
        <f>Coins!F509</f>
        <v/>
      </c>
      <c r="G509" s="198" t="str">
        <f>Coins!G509</f>
        <v/>
      </c>
      <c r="H509" s="201" t="str">
        <f>if(Coins!H509="N/A",0,Coins!H509)</f>
        <v/>
      </c>
      <c r="I509" s="202" t="str">
        <f>Coins!I509</f>
        <v/>
      </c>
      <c r="J509" s="198" t="str">
        <f>Coins!J509</f>
        <v/>
      </c>
      <c r="K509" s="201" t="str">
        <f>Coins!K509</f>
        <v/>
      </c>
      <c r="L509" s="198" t="str">
        <f>Coins!L509</f>
        <v/>
      </c>
      <c r="M509" s="198"/>
      <c r="N509" s="198"/>
      <c r="P509" s="66" t="str">
        <f t="shared" si="4"/>
        <v/>
      </c>
    </row>
    <row r="510">
      <c r="A510" s="198" t="str">
        <f>Coins!A510</f>
        <v/>
      </c>
      <c r="B510" s="199" t="str">
        <f>Coins!B510</f>
        <v/>
      </c>
      <c r="C510" s="198" t="str">
        <f>Coins!C510</f>
        <v/>
      </c>
      <c r="D510" s="198" t="str">
        <f>Coins!D510</f>
        <v/>
      </c>
      <c r="E510" s="198" t="str">
        <f>Coins!E510</f>
        <v/>
      </c>
      <c r="F510" s="198" t="str">
        <f>Coins!F510</f>
        <v/>
      </c>
      <c r="G510" s="198" t="str">
        <f>Coins!G510</f>
        <v/>
      </c>
      <c r="H510" s="201" t="str">
        <f>if(Coins!H510="N/A",0,Coins!H510)</f>
        <v/>
      </c>
      <c r="I510" s="202" t="str">
        <f>Coins!I510</f>
        <v/>
      </c>
      <c r="J510" s="198" t="str">
        <f>Coins!J510</f>
        <v/>
      </c>
      <c r="K510" s="201" t="str">
        <f>Coins!K510</f>
        <v/>
      </c>
      <c r="L510" s="198" t="str">
        <f>Coins!L510</f>
        <v/>
      </c>
      <c r="M510" s="198"/>
      <c r="N510" s="198"/>
      <c r="P510" s="66" t="str">
        <f t="shared" si="4"/>
        <v/>
      </c>
    </row>
    <row r="511">
      <c r="A511" s="198" t="str">
        <f>Coins!A511</f>
        <v/>
      </c>
      <c r="B511" s="199" t="str">
        <f>Coins!B511</f>
        <v/>
      </c>
      <c r="C511" s="198" t="str">
        <f>Coins!C511</f>
        <v/>
      </c>
      <c r="D511" s="198" t="str">
        <f>Coins!D511</f>
        <v/>
      </c>
      <c r="E511" s="198" t="str">
        <f>Coins!E511</f>
        <v/>
      </c>
      <c r="F511" s="198" t="str">
        <f>Coins!F511</f>
        <v/>
      </c>
      <c r="G511" s="198" t="str">
        <f>Coins!G511</f>
        <v/>
      </c>
      <c r="H511" s="201" t="str">
        <f>if(Coins!H511="N/A",0,Coins!H511)</f>
        <v/>
      </c>
      <c r="I511" s="202" t="str">
        <f>Coins!I511</f>
        <v/>
      </c>
      <c r="J511" s="198" t="str">
        <f>Coins!J511</f>
        <v/>
      </c>
      <c r="K511" s="201" t="str">
        <f>Coins!K511</f>
        <v/>
      </c>
      <c r="L511" s="198" t="str">
        <f>Coins!L511</f>
        <v/>
      </c>
      <c r="M511" s="198"/>
      <c r="N511" s="198"/>
      <c r="P511" s="66" t="str">
        <f t="shared" si="4"/>
        <v/>
      </c>
    </row>
    <row r="512">
      <c r="A512" s="198" t="str">
        <f>Coins!A512</f>
        <v/>
      </c>
      <c r="B512" s="199" t="str">
        <f>Coins!B512</f>
        <v/>
      </c>
      <c r="C512" s="198" t="str">
        <f>Coins!C512</f>
        <v/>
      </c>
      <c r="D512" s="198" t="str">
        <f>Coins!D512</f>
        <v/>
      </c>
      <c r="E512" s="198" t="str">
        <f>Coins!E512</f>
        <v/>
      </c>
      <c r="F512" s="198" t="str">
        <f>Coins!F512</f>
        <v/>
      </c>
      <c r="G512" s="198" t="str">
        <f>Coins!G512</f>
        <v/>
      </c>
      <c r="H512" s="201" t="str">
        <f>if(Coins!H512="N/A",0,Coins!H512)</f>
        <v/>
      </c>
      <c r="I512" s="202" t="str">
        <f>Coins!I512</f>
        <v/>
      </c>
      <c r="J512" s="198" t="str">
        <f>Coins!J512</f>
        <v/>
      </c>
      <c r="K512" s="201" t="str">
        <f>Coins!K512</f>
        <v/>
      </c>
      <c r="L512" s="198" t="str">
        <f>Coins!L512</f>
        <v/>
      </c>
      <c r="M512" s="198"/>
      <c r="N512" s="198"/>
      <c r="P512" s="66" t="str">
        <f t="shared" si="4"/>
        <v/>
      </c>
    </row>
    <row r="513">
      <c r="A513" s="198" t="str">
        <f>Coins!A513</f>
        <v/>
      </c>
      <c r="B513" s="199" t="str">
        <f>Coins!B513</f>
        <v/>
      </c>
      <c r="C513" s="198" t="str">
        <f>Coins!C513</f>
        <v/>
      </c>
      <c r="D513" s="198" t="str">
        <f>Coins!D513</f>
        <v/>
      </c>
      <c r="E513" s="198" t="str">
        <f>Coins!E513</f>
        <v/>
      </c>
      <c r="F513" s="198" t="str">
        <f>Coins!F513</f>
        <v/>
      </c>
      <c r="G513" s="198" t="str">
        <f>Coins!G513</f>
        <v/>
      </c>
      <c r="H513" s="201" t="str">
        <f>if(Coins!H513="N/A",0,Coins!H513)</f>
        <v/>
      </c>
      <c r="I513" s="202" t="str">
        <f>Coins!I513</f>
        <v/>
      </c>
      <c r="J513" s="198" t="str">
        <f>Coins!J513</f>
        <v/>
      </c>
      <c r="K513" s="201" t="str">
        <f>Coins!K513</f>
        <v/>
      </c>
      <c r="L513" s="198" t="str">
        <f>Coins!L513</f>
        <v/>
      </c>
      <c r="M513" s="198"/>
      <c r="N513" s="198"/>
      <c r="P513" s="66" t="str">
        <f t="shared" si="4"/>
        <v/>
      </c>
    </row>
    <row r="514">
      <c r="A514" s="198" t="str">
        <f>Coins!A514</f>
        <v/>
      </c>
      <c r="B514" s="199" t="str">
        <f>Coins!B514</f>
        <v/>
      </c>
      <c r="C514" s="198" t="str">
        <f>Coins!C514</f>
        <v/>
      </c>
      <c r="D514" s="198" t="str">
        <f>Coins!D514</f>
        <v/>
      </c>
      <c r="E514" s="198" t="str">
        <f>Coins!E514</f>
        <v/>
      </c>
      <c r="F514" s="198" t="str">
        <f>Coins!F514</f>
        <v/>
      </c>
      <c r="G514" s="198" t="str">
        <f>Coins!G514</f>
        <v/>
      </c>
      <c r="H514" s="201" t="str">
        <f>if(Coins!H514="N/A",0,Coins!H514)</f>
        <v/>
      </c>
      <c r="I514" s="202" t="str">
        <f>Coins!I514</f>
        <v/>
      </c>
      <c r="J514" s="198" t="str">
        <f>Coins!J514</f>
        <v/>
      </c>
      <c r="K514" s="201" t="str">
        <f>Coins!K514</f>
        <v/>
      </c>
      <c r="L514" s="198" t="str">
        <f>Coins!L514</f>
        <v/>
      </c>
      <c r="M514" s="198"/>
      <c r="N514" s="198"/>
      <c r="P514" s="66" t="str">
        <f t="shared" si="4"/>
        <v/>
      </c>
    </row>
    <row r="515">
      <c r="A515" s="198" t="str">
        <f>Coins!A515</f>
        <v/>
      </c>
      <c r="B515" s="199" t="str">
        <f>Coins!B515</f>
        <v/>
      </c>
      <c r="C515" s="198" t="str">
        <f>Coins!C515</f>
        <v/>
      </c>
      <c r="D515" s="198" t="str">
        <f>Coins!D515</f>
        <v/>
      </c>
      <c r="E515" s="198" t="str">
        <f>Coins!E515</f>
        <v/>
      </c>
      <c r="F515" s="198" t="str">
        <f>Coins!F515</f>
        <v/>
      </c>
      <c r="G515" s="198" t="str">
        <f>Coins!G515</f>
        <v/>
      </c>
      <c r="H515" s="201" t="str">
        <f>if(Coins!H515="N/A",0,Coins!H515)</f>
        <v/>
      </c>
      <c r="I515" s="202" t="str">
        <f>Coins!I515</f>
        <v/>
      </c>
      <c r="J515" s="198" t="str">
        <f>Coins!J515</f>
        <v/>
      </c>
      <c r="K515" s="201" t="str">
        <f>Coins!K515</f>
        <v/>
      </c>
      <c r="L515" s="198" t="str">
        <f>Coins!L515</f>
        <v/>
      </c>
      <c r="M515" s="198"/>
      <c r="N515" s="198"/>
      <c r="P515" s="66" t="str">
        <f t="shared" si="4"/>
        <v/>
      </c>
    </row>
    <row r="516">
      <c r="A516" s="198" t="str">
        <f>Coins!A516</f>
        <v/>
      </c>
      <c r="B516" s="199" t="str">
        <f>Coins!B516</f>
        <v/>
      </c>
      <c r="C516" s="198" t="str">
        <f>Coins!C516</f>
        <v/>
      </c>
      <c r="D516" s="198" t="str">
        <f>Coins!D516</f>
        <v/>
      </c>
      <c r="E516" s="198" t="str">
        <f>Coins!E516</f>
        <v/>
      </c>
      <c r="F516" s="198" t="str">
        <f>Coins!F516</f>
        <v/>
      </c>
      <c r="G516" s="198" t="str">
        <f>Coins!G516</f>
        <v/>
      </c>
      <c r="H516" s="201" t="str">
        <f>if(Coins!H516="N/A",0,Coins!H516)</f>
        <v/>
      </c>
      <c r="I516" s="202" t="str">
        <f>Coins!I516</f>
        <v/>
      </c>
      <c r="J516" s="198" t="str">
        <f>Coins!J516</f>
        <v/>
      </c>
      <c r="K516" s="201" t="str">
        <f>Coins!K516</f>
        <v/>
      </c>
      <c r="L516" s="198" t="str">
        <f>Coins!L516</f>
        <v/>
      </c>
      <c r="M516" s="198"/>
      <c r="N516" s="198"/>
      <c r="P516" s="66" t="str">
        <f t="shared" si="4"/>
        <v/>
      </c>
    </row>
    <row r="517">
      <c r="A517" s="198" t="str">
        <f>Coins!A517</f>
        <v/>
      </c>
      <c r="B517" s="199" t="str">
        <f>Coins!B517</f>
        <v/>
      </c>
      <c r="C517" s="198" t="str">
        <f>Coins!C517</f>
        <v/>
      </c>
      <c r="D517" s="198" t="str">
        <f>Coins!D517</f>
        <v/>
      </c>
      <c r="E517" s="198" t="str">
        <f>Coins!E517</f>
        <v/>
      </c>
      <c r="F517" s="198" t="str">
        <f>Coins!F517</f>
        <v/>
      </c>
      <c r="G517" s="198" t="str">
        <f>Coins!G517</f>
        <v/>
      </c>
      <c r="H517" s="201" t="str">
        <f>if(Coins!H517="N/A",0,Coins!H517)</f>
        <v/>
      </c>
      <c r="I517" s="202" t="str">
        <f>Coins!I517</f>
        <v/>
      </c>
      <c r="J517" s="198" t="str">
        <f>Coins!J517</f>
        <v/>
      </c>
      <c r="K517" s="201" t="str">
        <f>Coins!K517</f>
        <v/>
      </c>
      <c r="L517" s="198" t="str">
        <f>Coins!L517</f>
        <v/>
      </c>
      <c r="M517" s="198"/>
      <c r="N517" s="198"/>
      <c r="P517" s="66" t="str">
        <f t="shared" si="4"/>
        <v/>
      </c>
    </row>
    <row r="518">
      <c r="A518" s="198" t="str">
        <f>Coins!A518</f>
        <v/>
      </c>
      <c r="B518" s="199" t="str">
        <f>Coins!B518</f>
        <v/>
      </c>
      <c r="C518" s="198" t="str">
        <f>Coins!C518</f>
        <v/>
      </c>
      <c r="D518" s="198" t="str">
        <f>Coins!D518</f>
        <v/>
      </c>
      <c r="E518" s="198" t="str">
        <f>Coins!E518</f>
        <v/>
      </c>
      <c r="F518" s="198" t="str">
        <f>Coins!F518</f>
        <v/>
      </c>
      <c r="G518" s="198" t="str">
        <f>Coins!G518</f>
        <v/>
      </c>
      <c r="H518" s="201" t="str">
        <f>if(Coins!H518="N/A",0,Coins!H518)</f>
        <v/>
      </c>
      <c r="I518" s="202" t="str">
        <f>Coins!I518</f>
        <v/>
      </c>
      <c r="J518" s="198" t="str">
        <f>Coins!J518</f>
        <v/>
      </c>
      <c r="K518" s="201" t="str">
        <f>Coins!K518</f>
        <v/>
      </c>
      <c r="L518" s="198" t="str">
        <f>Coins!L518</f>
        <v/>
      </c>
      <c r="M518" s="198"/>
      <c r="N518" s="198"/>
      <c r="P518" s="66" t="str">
        <f t="shared" si="4"/>
        <v/>
      </c>
    </row>
    <row r="519">
      <c r="A519" s="198" t="str">
        <f>Coins!A519</f>
        <v/>
      </c>
      <c r="B519" s="199" t="str">
        <f>Coins!B519</f>
        <v/>
      </c>
      <c r="C519" s="198" t="str">
        <f>Coins!C519</f>
        <v/>
      </c>
      <c r="D519" s="198" t="str">
        <f>Coins!D519</f>
        <v/>
      </c>
      <c r="E519" s="198" t="str">
        <f>Coins!E519</f>
        <v/>
      </c>
      <c r="F519" s="198" t="str">
        <f>Coins!F519</f>
        <v/>
      </c>
      <c r="G519" s="198" t="str">
        <f>Coins!G519</f>
        <v/>
      </c>
      <c r="H519" s="201" t="str">
        <f>if(Coins!H519="N/A",0,Coins!H519)</f>
        <v/>
      </c>
      <c r="I519" s="202" t="str">
        <f>Coins!I519</f>
        <v/>
      </c>
      <c r="J519" s="198" t="str">
        <f>Coins!J519</f>
        <v/>
      </c>
      <c r="K519" s="201" t="str">
        <f>Coins!K519</f>
        <v/>
      </c>
      <c r="L519" s="198" t="str">
        <f>Coins!L519</f>
        <v/>
      </c>
      <c r="M519" s="198"/>
      <c r="N519" s="198"/>
      <c r="P519" s="66" t="str">
        <f t="shared" si="4"/>
        <v/>
      </c>
    </row>
    <row r="520">
      <c r="A520" s="198" t="str">
        <f>Coins!A520</f>
        <v/>
      </c>
      <c r="B520" s="199" t="str">
        <f>Coins!B520</f>
        <v/>
      </c>
      <c r="C520" s="198" t="str">
        <f>Coins!C520</f>
        <v/>
      </c>
      <c r="D520" s="198" t="str">
        <f>Coins!D520</f>
        <v/>
      </c>
      <c r="E520" s="198" t="str">
        <f>Coins!E520</f>
        <v/>
      </c>
      <c r="F520" s="198" t="str">
        <f>Coins!F520</f>
        <v/>
      </c>
      <c r="G520" s="198" t="str">
        <f>Coins!G520</f>
        <v/>
      </c>
      <c r="H520" s="201" t="str">
        <f>if(Coins!H520="N/A",0,Coins!H520)</f>
        <v/>
      </c>
      <c r="I520" s="202" t="str">
        <f>Coins!I520</f>
        <v/>
      </c>
      <c r="J520" s="198" t="str">
        <f>Coins!J520</f>
        <v/>
      </c>
      <c r="K520" s="201" t="str">
        <f>Coins!K520</f>
        <v/>
      </c>
      <c r="L520" s="198" t="str">
        <f>Coins!L520</f>
        <v/>
      </c>
      <c r="M520" s="198"/>
      <c r="N520" s="198"/>
      <c r="P520" s="66" t="str">
        <f t="shared" si="4"/>
        <v/>
      </c>
    </row>
    <row r="521">
      <c r="A521" s="198" t="str">
        <f>Coins!A521</f>
        <v/>
      </c>
      <c r="B521" s="199" t="str">
        <f>Coins!B521</f>
        <v/>
      </c>
      <c r="C521" s="198" t="str">
        <f>Coins!C521</f>
        <v/>
      </c>
      <c r="D521" s="198" t="str">
        <f>Coins!D521</f>
        <v/>
      </c>
      <c r="E521" s="198" t="str">
        <f>Coins!E521</f>
        <v/>
      </c>
      <c r="F521" s="198" t="str">
        <f>Coins!F521</f>
        <v/>
      </c>
      <c r="G521" s="198" t="str">
        <f>Coins!G521</f>
        <v/>
      </c>
      <c r="H521" s="201" t="str">
        <f>if(Coins!H521="N/A",0,Coins!H521)</f>
        <v/>
      </c>
      <c r="I521" s="202" t="str">
        <f>Coins!I521</f>
        <v/>
      </c>
      <c r="J521" s="198" t="str">
        <f>Coins!J521</f>
        <v/>
      </c>
      <c r="K521" s="201" t="str">
        <f>Coins!K521</f>
        <v/>
      </c>
      <c r="L521" s="198" t="str">
        <f>Coins!L521</f>
        <v/>
      </c>
      <c r="M521" s="198"/>
      <c r="N521" s="198"/>
      <c r="P521" s="66" t="str">
        <f t="shared" si="4"/>
        <v/>
      </c>
    </row>
    <row r="522">
      <c r="A522" s="198" t="str">
        <f>Coins!A522</f>
        <v/>
      </c>
      <c r="B522" s="199" t="str">
        <f>Coins!B522</f>
        <v/>
      </c>
      <c r="C522" s="198" t="str">
        <f>Coins!C522</f>
        <v/>
      </c>
      <c r="D522" s="198" t="str">
        <f>Coins!D522</f>
        <v/>
      </c>
      <c r="E522" s="198" t="str">
        <f>Coins!E522</f>
        <v/>
      </c>
      <c r="F522" s="198" t="str">
        <f>Coins!F522</f>
        <v/>
      </c>
      <c r="G522" s="198" t="str">
        <f>Coins!G522</f>
        <v/>
      </c>
      <c r="H522" s="201" t="str">
        <f>if(Coins!H522="N/A",0,Coins!H522)</f>
        <v/>
      </c>
      <c r="I522" s="202" t="str">
        <f>Coins!I522</f>
        <v/>
      </c>
      <c r="J522" s="198" t="str">
        <f>Coins!J522</f>
        <v/>
      </c>
      <c r="K522" s="201" t="str">
        <f>Coins!K522</f>
        <v/>
      </c>
      <c r="L522" s="198" t="str">
        <f>Coins!L522</f>
        <v/>
      </c>
      <c r="M522" s="198"/>
      <c r="N522" s="198"/>
      <c r="P522" s="66" t="str">
        <f t="shared" si="4"/>
        <v/>
      </c>
    </row>
    <row r="523">
      <c r="A523" s="198" t="str">
        <f>Coins!A523</f>
        <v/>
      </c>
      <c r="B523" s="199" t="str">
        <f>Coins!B523</f>
        <v/>
      </c>
      <c r="C523" s="198" t="str">
        <f>Coins!C523</f>
        <v/>
      </c>
      <c r="D523" s="198" t="str">
        <f>Coins!D523</f>
        <v/>
      </c>
      <c r="E523" s="198" t="str">
        <f>Coins!E523</f>
        <v/>
      </c>
      <c r="F523" s="198" t="str">
        <f>Coins!F523</f>
        <v/>
      </c>
      <c r="G523" s="198" t="str">
        <f>Coins!G523</f>
        <v/>
      </c>
      <c r="H523" s="201" t="str">
        <f>if(Coins!H523="N/A",0,Coins!H523)</f>
        <v/>
      </c>
      <c r="I523" s="202" t="str">
        <f>Coins!I523</f>
        <v/>
      </c>
      <c r="J523" s="198" t="str">
        <f>Coins!J523</f>
        <v/>
      </c>
      <c r="K523" s="201" t="str">
        <f>Coins!K523</f>
        <v/>
      </c>
      <c r="L523" s="198" t="str">
        <f>Coins!L523</f>
        <v/>
      </c>
      <c r="M523" s="198"/>
      <c r="N523" s="198"/>
      <c r="P523" s="66" t="str">
        <f t="shared" si="4"/>
        <v/>
      </c>
    </row>
    <row r="524">
      <c r="A524" s="198" t="str">
        <f>Coins!A524</f>
        <v/>
      </c>
      <c r="B524" s="199" t="str">
        <f>Coins!B524</f>
        <v/>
      </c>
      <c r="C524" s="198" t="str">
        <f>Coins!C524</f>
        <v/>
      </c>
      <c r="D524" s="198" t="str">
        <f>Coins!D524</f>
        <v/>
      </c>
      <c r="E524" s="198" t="str">
        <f>Coins!E524</f>
        <v/>
      </c>
      <c r="F524" s="198" t="str">
        <f>Coins!F524</f>
        <v/>
      </c>
      <c r="G524" s="198" t="str">
        <f>Coins!G524</f>
        <v/>
      </c>
      <c r="H524" s="201" t="str">
        <f>if(Coins!H524="N/A",0,Coins!H524)</f>
        <v/>
      </c>
      <c r="I524" s="202" t="str">
        <f>Coins!I524</f>
        <v/>
      </c>
      <c r="J524" s="198" t="str">
        <f>Coins!J524</f>
        <v/>
      </c>
      <c r="K524" s="201" t="str">
        <f>Coins!K524</f>
        <v/>
      </c>
      <c r="L524" s="198" t="str">
        <f>Coins!L524</f>
        <v/>
      </c>
      <c r="M524" s="198"/>
      <c r="N524" s="198"/>
      <c r="P524" s="66" t="str">
        <f t="shared" si="4"/>
        <v/>
      </c>
    </row>
    <row r="525">
      <c r="A525" s="198" t="str">
        <f>Coins!A525</f>
        <v/>
      </c>
      <c r="B525" s="199" t="str">
        <f>Coins!B525</f>
        <v/>
      </c>
      <c r="C525" s="198" t="str">
        <f>Coins!C525</f>
        <v/>
      </c>
      <c r="D525" s="198" t="str">
        <f>Coins!D525</f>
        <v/>
      </c>
      <c r="E525" s="198" t="str">
        <f>Coins!E525</f>
        <v/>
      </c>
      <c r="F525" s="198" t="str">
        <f>Coins!F525</f>
        <v/>
      </c>
      <c r="G525" s="198" t="str">
        <f>Coins!G525</f>
        <v/>
      </c>
      <c r="H525" s="201" t="str">
        <f>if(Coins!H525="N/A",0,Coins!H525)</f>
        <v/>
      </c>
      <c r="I525" s="202" t="str">
        <f>Coins!I525</f>
        <v/>
      </c>
      <c r="J525" s="198" t="str">
        <f>Coins!J525</f>
        <v/>
      </c>
      <c r="K525" s="201" t="str">
        <f>Coins!K525</f>
        <v/>
      </c>
      <c r="L525" s="198" t="str">
        <f>Coins!L525</f>
        <v/>
      </c>
      <c r="M525" s="198"/>
      <c r="N525" s="198"/>
      <c r="P525" s="66" t="str">
        <f t="shared" si="4"/>
        <v/>
      </c>
    </row>
    <row r="526">
      <c r="A526" s="198" t="str">
        <f>Coins!A526</f>
        <v/>
      </c>
      <c r="B526" s="199" t="str">
        <f>Coins!B526</f>
        <v/>
      </c>
      <c r="C526" s="198" t="str">
        <f>Coins!C526</f>
        <v/>
      </c>
      <c r="D526" s="198" t="str">
        <f>Coins!D526</f>
        <v/>
      </c>
      <c r="E526" s="198" t="str">
        <f>Coins!E526</f>
        <v/>
      </c>
      <c r="F526" s="198" t="str">
        <f>Coins!F526</f>
        <v/>
      </c>
      <c r="G526" s="198" t="str">
        <f>Coins!G526</f>
        <v/>
      </c>
      <c r="H526" s="201" t="str">
        <f>if(Coins!H526="N/A",0,Coins!H526)</f>
        <v/>
      </c>
      <c r="I526" s="202" t="str">
        <f>Coins!I526</f>
        <v/>
      </c>
      <c r="J526" s="198" t="str">
        <f>Coins!J526</f>
        <v/>
      </c>
      <c r="K526" s="201" t="str">
        <f>Coins!K526</f>
        <v/>
      </c>
      <c r="L526" s="198" t="str">
        <f>Coins!L526</f>
        <v/>
      </c>
      <c r="M526" s="198"/>
      <c r="N526" s="198"/>
      <c r="P526" s="66" t="str">
        <f t="shared" si="4"/>
        <v/>
      </c>
    </row>
    <row r="527">
      <c r="A527" s="198" t="str">
        <f>Coins!A527</f>
        <v/>
      </c>
      <c r="B527" s="199" t="str">
        <f>Coins!B527</f>
        <v/>
      </c>
      <c r="C527" s="198" t="str">
        <f>Coins!C527</f>
        <v/>
      </c>
      <c r="D527" s="198" t="str">
        <f>Coins!D527</f>
        <v/>
      </c>
      <c r="E527" s="198" t="str">
        <f>Coins!E527</f>
        <v/>
      </c>
      <c r="F527" s="198" t="str">
        <f>Coins!F527</f>
        <v/>
      </c>
      <c r="G527" s="198" t="str">
        <f>Coins!G527</f>
        <v/>
      </c>
      <c r="H527" s="201" t="str">
        <f>if(Coins!H527="N/A",0,Coins!H527)</f>
        <v/>
      </c>
      <c r="I527" s="202" t="str">
        <f>Coins!I527</f>
        <v/>
      </c>
      <c r="J527" s="198" t="str">
        <f>Coins!J527</f>
        <v/>
      </c>
      <c r="K527" s="201" t="str">
        <f>Coins!K527</f>
        <v/>
      </c>
      <c r="L527" s="198" t="str">
        <f>Coins!L527</f>
        <v/>
      </c>
      <c r="M527" s="198"/>
      <c r="N527" s="198"/>
      <c r="P527" s="66" t="str">
        <f t="shared" si="4"/>
        <v/>
      </c>
    </row>
    <row r="528">
      <c r="A528" s="198" t="str">
        <f>Coins!A528</f>
        <v/>
      </c>
      <c r="B528" s="199" t="str">
        <f>Coins!B528</f>
        <v/>
      </c>
      <c r="C528" s="198" t="str">
        <f>Coins!C528</f>
        <v/>
      </c>
      <c r="D528" s="198" t="str">
        <f>Coins!D528</f>
        <v/>
      </c>
      <c r="E528" s="198" t="str">
        <f>Coins!E528</f>
        <v/>
      </c>
      <c r="F528" s="198" t="str">
        <f>Coins!F528</f>
        <v/>
      </c>
      <c r="G528" s="198" t="str">
        <f>Coins!G528</f>
        <v/>
      </c>
      <c r="H528" s="201" t="str">
        <f>if(Coins!H528="N/A",0,Coins!H528)</f>
        <v/>
      </c>
      <c r="I528" s="202" t="str">
        <f>Coins!I528</f>
        <v/>
      </c>
      <c r="J528" s="198" t="str">
        <f>Coins!J528</f>
        <v/>
      </c>
      <c r="K528" s="201" t="str">
        <f>Coins!K528</f>
        <v/>
      </c>
      <c r="L528" s="198" t="str">
        <f>Coins!L528</f>
        <v/>
      </c>
      <c r="M528" s="198"/>
      <c r="N528" s="198"/>
      <c r="P528" s="66" t="str">
        <f t="shared" si="4"/>
        <v/>
      </c>
    </row>
    <row r="529">
      <c r="A529" s="198" t="str">
        <f>Coins!A529</f>
        <v/>
      </c>
      <c r="B529" s="199" t="str">
        <f>Coins!B529</f>
        <v/>
      </c>
      <c r="C529" s="198" t="str">
        <f>Coins!C529</f>
        <v/>
      </c>
      <c r="D529" s="198" t="str">
        <f>Coins!D529</f>
        <v/>
      </c>
      <c r="E529" s="198" t="str">
        <f>Coins!E529</f>
        <v/>
      </c>
      <c r="F529" s="198" t="str">
        <f>Coins!F529</f>
        <v/>
      </c>
      <c r="G529" s="198" t="str">
        <f>Coins!G529</f>
        <v/>
      </c>
      <c r="H529" s="201" t="str">
        <f>if(Coins!H529="N/A",0,Coins!H529)</f>
        <v/>
      </c>
      <c r="I529" s="202" t="str">
        <f>Coins!I529</f>
        <v/>
      </c>
      <c r="J529" s="198" t="str">
        <f>Coins!J529</f>
        <v/>
      </c>
      <c r="K529" s="201" t="str">
        <f>Coins!K529</f>
        <v/>
      </c>
      <c r="L529" s="198" t="str">
        <f>Coins!L529</f>
        <v/>
      </c>
      <c r="M529" s="198"/>
      <c r="N529" s="198"/>
      <c r="P529" s="66" t="str">
        <f t="shared" si="4"/>
        <v/>
      </c>
    </row>
    <row r="530">
      <c r="A530" s="198" t="str">
        <f>Coins!A530</f>
        <v/>
      </c>
      <c r="B530" s="199" t="str">
        <f>Coins!B530</f>
        <v/>
      </c>
      <c r="C530" s="198" t="str">
        <f>Coins!C530</f>
        <v/>
      </c>
      <c r="D530" s="198" t="str">
        <f>Coins!D530</f>
        <v/>
      </c>
      <c r="E530" s="198" t="str">
        <f>Coins!E530</f>
        <v/>
      </c>
      <c r="F530" s="198" t="str">
        <f>Coins!F530</f>
        <v/>
      </c>
      <c r="G530" s="198" t="str">
        <f>Coins!G530</f>
        <v/>
      </c>
      <c r="H530" s="201" t="str">
        <f>if(Coins!H530="N/A",0,Coins!H530)</f>
        <v/>
      </c>
      <c r="I530" s="202" t="str">
        <f>Coins!I530</f>
        <v/>
      </c>
      <c r="J530" s="198" t="str">
        <f>Coins!J530</f>
        <v/>
      </c>
      <c r="K530" s="201" t="str">
        <f>Coins!K530</f>
        <v/>
      </c>
      <c r="L530" s="198" t="str">
        <f>Coins!L530</f>
        <v/>
      </c>
      <c r="M530" s="198"/>
      <c r="N530" s="198"/>
      <c r="P530" s="66" t="str">
        <f t="shared" si="4"/>
        <v/>
      </c>
    </row>
    <row r="531">
      <c r="A531" s="198" t="str">
        <f>Coins!A531</f>
        <v/>
      </c>
      <c r="B531" s="199" t="str">
        <f>Coins!B531</f>
        <v/>
      </c>
      <c r="C531" s="198" t="str">
        <f>Coins!C531</f>
        <v/>
      </c>
      <c r="D531" s="198" t="str">
        <f>Coins!D531</f>
        <v/>
      </c>
      <c r="E531" s="198" t="str">
        <f>Coins!E531</f>
        <v/>
      </c>
      <c r="F531" s="198" t="str">
        <f>Coins!F531</f>
        <v/>
      </c>
      <c r="G531" s="198" t="str">
        <f>Coins!G531</f>
        <v/>
      </c>
      <c r="H531" s="201" t="str">
        <f>if(Coins!H531="N/A",0,Coins!H531)</f>
        <v/>
      </c>
      <c r="I531" s="202" t="str">
        <f>Coins!I531</f>
        <v/>
      </c>
      <c r="J531" s="198" t="str">
        <f>Coins!J531</f>
        <v/>
      </c>
      <c r="K531" s="201" t="str">
        <f>Coins!K531</f>
        <v/>
      </c>
      <c r="L531" s="198" t="str">
        <f>Coins!L531</f>
        <v/>
      </c>
      <c r="M531" s="198"/>
      <c r="N531" s="198"/>
      <c r="P531" s="66" t="str">
        <f t="shared" si="4"/>
        <v/>
      </c>
    </row>
    <row r="532">
      <c r="A532" s="198" t="str">
        <f>Coins!A532</f>
        <v/>
      </c>
      <c r="B532" s="199" t="str">
        <f>Coins!B532</f>
        <v/>
      </c>
      <c r="C532" s="198" t="str">
        <f>Coins!C532</f>
        <v/>
      </c>
      <c r="D532" s="198" t="str">
        <f>Coins!D532</f>
        <v/>
      </c>
      <c r="E532" s="198" t="str">
        <f>Coins!E532</f>
        <v/>
      </c>
      <c r="F532" s="198" t="str">
        <f>Coins!F532</f>
        <v/>
      </c>
      <c r="G532" s="198" t="str">
        <f>Coins!G532</f>
        <v/>
      </c>
      <c r="H532" s="201" t="str">
        <f>if(Coins!H532="N/A",0,Coins!H532)</f>
        <v/>
      </c>
      <c r="I532" s="202" t="str">
        <f>Coins!I532</f>
        <v/>
      </c>
      <c r="J532" s="198" t="str">
        <f>Coins!J532</f>
        <v/>
      </c>
      <c r="K532" s="201" t="str">
        <f>Coins!K532</f>
        <v/>
      </c>
      <c r="L532" s="198" t="str">
        <f>Coins!L532</f>
        <v/>
      </c>
      <c r="M532" s="198"/>
      <c r="N532" s="198"/>
      <c r="P532" s="66" t="str">
        <f t="shared" si="4"/>
        <v/>
      </c>
    </row>
    <row r="533">
      <c r="A533" s="198" t="str">
        <f>Coins!A533</f>
        <v/>
      </c>
      <c r="B533" s="199" t="str">
        <f>Coins!B533</f>
        <v/>
      </c>
      <c r="C533" s="198" t="str">
        <f>Coins!C533</f>
        <v/>
      </c>
      <c r="D533" s="198" t="str">
        <f>Coins!D533</f>
        <v/>
      </c>
      <c r="E533" s="198" t="str">
        <f>Coins!E533</f>
        <v/>
      </c>
      <c r="F533" s="198" t="str">
        <f>Coins!F533</f>
        <v/>
      </c>
      <c r="G533" s="198" t="str">
        <f>Coins!G533</f>
        <v/>
      </c>
      <c r="H533" s="201" t="str">
        <f>if(Coins!H533="N/A",0,Coins!H533)</f>
        <v/>
      </c>
      <c r="I533" s="202" t="str">
        <f>Coins!I533</f>
        <v/>
      </c>
      <c r="J533" s="198" t="str">
        <f>Coins!J533</f>
        <v/>
      </c>
      <c r="K533" s="201" t="str">
        <f>Coins!K533</f>
        <v/>
      </c>
      <c r="L533" s="198" t="str">
        <f>Coins!L533</f>
        <v/>
      </c>
      <c r="M533" s="198"/>
      <c r="N533" s="198"/>
      <c r="P533" s="66" t="str">
        <f t="shared" si="4"/>
        <v/>
      </c>
    </row>
    <row r="534">
      <c r="A534" s="198" t="str">
        <f>Coins!A534</f>
        <v/>
      </c>
      <c r="B534" s="199" t="str">
        <f>Coins!B534</f>
        <v/>
      </c>
      <c r="C534" s="198" t="str">
        <f>Coins!C534</f>
        <v/>
      </c>
      <c r="D534" s="198" t="str">
        <f>Coins!D534</f>
        <v/>
      </c>
      <c r="E534" s="198" t="str">
        <f>Coins!E534</f>
        <v/>
      </c>
      <c r="F534" s="198" t="str">
        <f>Coins!F534</f>
        <v/>
      </c>
      <c r="G534" s="198" t="str">
        <f>Coins!G534</f>
        <v/>
      </c>
      <c r="H534" s="201" t="str">
        <f>if(Coins!H534="N/A",0,Coins!H534)</f>
        <v/>
      </c>
      <c r="I534" s="202" t="str">
        <f>Coins!I534</f>
        <v/>
      </c>
      <c r="J534" s="198" t="str">
        <f>Coins!J534</f>
        <v/>
      </c>
      <c r="K534" s="201" t="str">
        <f>Coins!K534</f>
        <v/>
      </c>
      <c r="L534" s="198" t="str">
        <f>Coins!L534</f>
        <v/>
      </c>
      <c r="M534" s="198"/>
      <c r="N534" s="198"/>
      <c r="P534" s="66" t="str">
        <f t="shared" si="4"/>
        <v/>
      </c>
    </row>
    <row r="535">
      <c r="A535" s="198" t="str">
        <f>Coins!A535</f>
        <v/>
      </c>
      <c r="B535" s="199" t="str">
        <f>Coins!B535</f>
        <v/>
      </c>
      <c r="C535" s="198" t="str">
        <f>Coins!C535</f>
        <v/>
      </c>
      <c r="D535" s="198" t="str">
        <f>Coins!D535</f>
        <v/>
      </c>
      <c r="E535" s="198" t="str">
        <f>Coins!E535</f>
        <v/>
      </c>
      <c r="F535" s="198" t="str">
        <f>Coins!F535</f>
        <v/>
      </c>
      <c r="G535" s="198" t="str">
        <f>Coins!G535</f>
        <v/>
      </c>
      <c r="H535" s="201" t="str">
        <f>if(Coins!H535="N/A",0,Coins!H535)</f>
        <v/>
      </c>
      <c r="I535" s="202" t="str">
        <f>Coins!I535</f>
        <v/>
      </c>
      <c r="J535" s="198" t="str">
        <f>Coins!J535</f>
        <v/>
      </c>
      <c r="K535" s="201" t="str">
        <f>Coins!K535</f>
        <v/>
      </c>
      <c r="L535" s="198" t="str">
        <f>Coins!L535</f>
        <v/>
      </c>
      <c r="M535" s="198"/>
      <c r="N535" s="198"/>
      <c r="P535" s="66" t="str">
        <f t="shared" si="4"/>
        <v/>
      </c>
    </row>
    <row r="536">
      <c r="A536" s="198" t="str">
        <f>Coins!A536</f>
        <v/>
      </c>
      <c r="B536" s="199" t="str">
        <f>Coins!B536</f>
        <v/>
      </c>
      <c r="C536" s="198" t="str">
        <f>Coins!C536</f>
        <v/>
      </c>
      <c r="D536" s="198" t="str">
        <f>Coins!D536</f>
        <v/>
      </c>
      <c r="E536" s="198" t="str">
        <f>Coins!E536</f>
        <v/>
      </c>
      <c r="F536" s="198" t="str">
        <f>Coins!F536</f>
        <v/>
      </c>
      <c r="G536" s="198" t="str">
        <f>Coins!G536</f>
        <v/>
      </c>
      <c r="H536" s="201" t="str">
        <f>if(Coins!H536="N/A",0,Coins!H536)</f>
        <v/>
      </c>
      <c r="I536" s="202" t="str">
        <f>Coins!I536</f>
        <v/>
      </c>
      <c r="J536" s="198" t="str">
        <f>Coins!J536</f>
        <v/>
      </c>
      <c r="K536" s="201" t="str">
        <f>Coins!K536</f>
        <v/>
      </c>
      <c r="L536" s="198" t="str">
        <f>Coins!L536</f>
        <v/>
      </c>
      <c r="M536" s="198"/>
      <c r="N536" s="198"/>
      <c r="P536" s="66" t="str">
        <f t="shared" si="4"/>
        <v/>
      </c>
    </row>
    <row r="537">
      <c r="A537" s="198" t="str">
        <f>Coins!A537</f>
        <v/>
      </c>
      <c r="B537" s="199" t="str">
        <f>Coins!B537</f>
        <v/>
      </c>
      <c r="C537" s="198" t="str">
        <f>Coins!C537</f>
        <v/>
      </c>
      <c r="D537" s="198" t="str">
        <f>Coins!D537</f>
        <v/>
      </c>
      <c r="E537" s="198" t="str">
        <f>Coins!E537</f>
        <v/>
      </c>
      <c r="F537" s="198" t="str">
        <f>Coins!F537</f>
        <v/>
      </c>
      <c r="G537" s="198" t="str">
        <f>Coins!G537</f>
        <v/>
      </c>
      <c r="H537" s="201" t="str">
        <f>if(Coins!H537="N/A",0,Coins!H537)</f>
        <v/>
      </c>
      <c r="I537" s="202" t="str">
        <f>Coins!I537</f>
        <v/>
      </c>
      <c r="J537" s="198" t="str">
        <f>Coins!J537</f>
        <v/>
      </c>
      <c r="K537" s="201" t="str">
        <f>Coins!K537</f>
        <v/>
      </c>
      <c r="L537" s="198" t="str">
        <f>Coins!L537</f>
        <v/>
      </c>
      <c r="M537" s="198"/>
      <c r="N537" s="198"/>
      <c r="P537" s="66" t="str">
        <f t="shared" si="4"/>
        <v/>
      </c>
    </row>
    <row r="538">
      <c r="A538" s="198" t="str">
        <f>Coins!A538</f>
        <v/>
      </c>
      <c r="B538" s="199" t="str">
        <f>Coins!B538</f>
        <v/>
      </c>
      <c r="C538" s="198" t="str">
        <f>Coins!C538</f>
        <v/>
      </c>
      <c r="D538" s="198" t="str">
        <f>Coins!D538</f>
        <v/>
      </c>
      <c r="E538" s="198" t="str">
        <f>Coins!E538</f>
        <v/>
      </c>
      <c r="F538" s="198" t="str">
        <f>Coins!F538</f>
        <v/>
      </c>
      <c r="G538" s="198" t="str">
        <f>Coins!G538</f>
        <v/>
      </c>
      <c r="H538" s="201" t="str">
        <f>if(Coins!H538="N/A",0,Coins!H538)</f>
        <v/>
      </c>
      <c r="I538" s="202" t="str">
        <f>Coins!I538</f>
        <v/>
      </c>
      <c r="J538" s="198" t="str">
        <f>Coins!J538</f>
        <v/>
      </c>
      <c r="K538" s="201" t="str">
        <f>Coins!K538</f>
        <v/>
      </c>
      <c r="L538" s="198" t="str">
        <f>Coins!L538</f>
        <v/>
      </c>
      <c r="M538" s="198"/>
      <c r="N538" s="198"/>
      <c r="P538" s="66" t="str">
        <f t="shared" si="4"/>
        <v/>
      </c>
    </row>
    <row r="539">
      <c r="A539" s="198" t="str">
        <f>Coins!A539</f>
        <v/>
      </c>
      <c r="B539" s="199" t="str">
        <f>Coins!B539</f>
        <v/>
      </c>
      <c r="C539" s="198" t="str">
        <f>Coins!C539</f>
        <v/>
      </c>
      <c r="D539" s="198" t="str">
        <f>Coins!D539</f>
        <v/>
      </c>
      <c r="E539" s="198" t="str">
        <f>Coins!E539</f>
        <v/>
      </c>
      <c r="F539" s="198" t="str">
        <f>Coins!F539</f>
        <v/>
      </c>
      <c r="G539" s="198" t="str">
        <f>Coins!G539</f>
        <v/>
      </c>
      <c r="H539" s="201" t="str">
        <f>if(Coins!H539="N/A",0,Coins!H539)</f>
        <v/>
      </c>
      <c r="I539" s="202" t="str">
        <f>Coins!I539</f>
        <v/>
      </c>
      <c r="J539" s="198" t="str">
        <f>Coins!J539</f>
        <v/>
      </c>
      <c r="K539" s="201" t="str">
        <f>Coins!K539</f>
        <v/>
      </c>
      <c r="L539" s="198" t="str">
        <f>Coins!L539</f>
        <v/>
      </c>
      <c r="M539" s="198"/>
      <c r="N539" s="198"/>
      <c r="P539" s="66" t="str">
        <f t="shared" si="4"/>
        <v/>
      </c>
    </row>
    <row r="540">
      <c r="A540" s="198" t="str">
        <f>Coins!A540</f>
        <v/>
      </c>
      <c r="B540" s="199" t="str">
        <f>Coins!B540</f>
        <v/>
      </c>
      <c r="C540" s="198" t="str">
        <f>Coins!C540</f>
        <v/>
      </c>
      <c r="D540" s="198" t="str">
        <f>Coins!D540</f>
        <v/>
      </c>
      <c r="E540" s="198" t="str">
        <f>Coins!E540</f>
        <v/>
      </c>
      <c r="F540" s="198" t="str">
        <f>Coins!F540</f>
        <v/>
      </c>
      <c r="G540" s="198" t="str">
        <f>Coins!G540</f>
        <v/>
      </c>
      <c r="H540" s="201" t="str">
        <f>if(Coins!H540="N/A",0,Coins!H540)</f>
        <v/>
      </c>
      <c r="I540" s="202" t="str">
        <f>Coins!I540</f>
        <v/>
      </c>
      <c r="J540" s="198" t="str">
        <f>Coins!J540</f>
        <v/>
      </c>
      <c r="K540" s="201" t="str">
        <f>Coins!K540</f>
        <v/>
      </c>
      <c r="L540" s="198" t="str">
        <f>Coins!L540</f>
        <v/>
      </c>
      <c r="M540" s="198"/>
      <c r="N540" s="198"/>
      <c r="P540" s="66" t="str">
        <f t="shared" si="4"/>
        <v/>
      </c>
    </row>
    <row r="541">
      <c r="A541" s="198" t="str">
        <f>Coins!A541</f>
        <v/>
      </c>
      <c r="B541" s="199" t="str">
        <f>Coins!B541</f>
        <v/>
      </c>
      <c r="C541" s="198" t="str">
        <f>Coins!C541</f>
        <v/>
      </c>
      <c r="D541" s="198" t="str">
        <f>Coins!D541</f>
        <v/>
      </c>
      <c r="E541" s="198" t="str">
        <f>Coins!E541</f>
        <v/>
      </c>
      <c r="F541" s="198" t="str">
        <f>Coins!F541</f>
        <v/>
      </c>
      <c r="G541" s="198" t="str">
        <f>Coins!G541</f>
        <v/>
      </c>
      <c r="H541" s="201" t="str">
        <f>if(Coins!H541="N/A",0,Coins!H541)</f>
        <v/>
      </c>
      <c r="I541" s="202" t="str">
        <f>Coins!I541</f>
        <v/>
      </c>
      <c r="J541" s="198" t="str">
        <f>Coins!J541</f>
        <v/>
      </c>
      <c r="K541" s="201" t="str">
        <f>Coins!K541</f>
        <v/>
      </c>
      <c r="L541" s="198" t="str">
        <f>Coins!L541</f>
        <v/>
      </c>
      <c r="M541" s="198"/>
      <c r="N541" s="198"/>
      <c r="P541" s="66" t="str">
        <f t="shared" si="4"/>
        <v/>
      </c>
    </row>
    <row r="542">
      <c r="A542" s="198" t="str">
        <f>Coins!A542</f>
        <v/>
      </c>
      <c r="B542" s="199" t="str">
        <f>Coins!B542</f>
        <v/>
      </c>
      <c r="C542" s="198" t="str">
        <f>Coins!C542</f>
        <v/>
      </c>
      <c r="D542" s="198" t="str">
        <f>Coins!D542</f>
        <v/>
      </c>
      <c r="E542" s="198" t="str">
        <f>Coins!E542</f>
        <v/>
      </c>
      <c r="F542" s="198" t="str">
        <f>Coins!F542</f>
        <v/>
      </c>
      <c r="G542" s="198" t="str">
        <f>Coins!G542</f>
        <v/>
      </c>
      <c r="H542" s="201" t="str">
        <f>if(Coins!H542="N/A",0,Coins!H542)</f>
        <v/>
      </c>
      <c r="I542" s="202" t="str">
        <f>Coins!I542</f>
        <v/>
      </c>
      <c r="J542" s="198" t="str">
        <f>Coins!J542</f>
        <v/>
      </c>
      <c r="K542" s="201" t="str">
        <f>Coins!K542</f>
        <v/>
      </c>
      <c r="L542" s="198" t="str">
        <f>Coins!L542</f>
        <v/>
      </c>
      <c r="M542" s="198"/>
      <c r="N542" s="198"/>
      <c r="P542" s="66" t="str">
        <f t="shared" si="4"/>
        <v/>
      </c>
    </row>
    <row r="543">
      <c r="A543" s="198" t="str">
        <f>Coins!A543</f>
        <v/>
      </c>
      <c r="B543" s="199" t="str">
        <f>Coins!B543</f>
        <v/>
      </c>
      <c r="C543" s="198" t="str">
        <f>Coins!C543</f>
        <v/>
      </c>
      <c r="D543" s="198" t="str">
        <f>Coins!D543</f>
        <v/>
      </c>
      <c r="E543" s="198" t="str">
        <f>Coins!E543</f>
        <v/>
      </c>
      <c r="F543" s="198" t="str">
        <f>Coins!F543</f>
        <v/>
      </c>
      <c r="G543" s="198" t="str">
        <f>Coins!G543</f>
        <v/>
      </c>
      <c r="H543" s="201" t="str">
        <f>if(Coins!H543="N/A",0,Coins!H543)</f>
        <v/>
      </c>
      <c r="I543" s="202" t="str">
        <f>Coins!I543</f>
        <v/>
      </c>
      <c r="J543" s="198" t="str">
        <f>Coins!J543</f>
        <v/>
      </c>
      <c r="K543" s="201" t="str">
        <f>Coins!K543</f>
        <v/>
      </c>
      <c r="L543" s="198" t="str">
        <f>Coins!L543</f>
        <v/>
      </c>
      <c r="M543" s="198"/>
      <c r="N543" s="198"/>
      <c r="P543" s="66" t="str">
        <f t="shared" si="4"/>
        <v/>
      </c>
    </row>
    <row r="544">
      <c r="A544" s="198" t="str">
        <f>Coins!A544</f>
        <v/>
      </c>
      <c r="B544" s="199" t="str">
        <f>Coins!B544</f>
        <v/>
      </c>
      <c r="C544" s="198" t="str">
        <f>Coins!C544</f>
        <v/>
      </c>
      <c r="D544" s="198" t="str">
        <f>Coins!D544</f>
        <v/>
      </c>
      <c r="E544" s="198" t="str">
        <f>Coins!E544</f>
        <v/>
      </c>
      <c r="F544" s="198" t="str">
        <f>Coins!F544</f>
        <v/>
      </c>
      <c r="G544" s="198" t="str">
        <f>Coins!G544</f>
        <v/>
      </c>
      <c r="H544" s="201" t="str">
        <f>if(Coins!H544="N/A",0,Coins!H544)</f>
        <v/>
      </c>
      <c r="I544" s="202" t="str">
        <f>Coins!I544</f>
        <v/>
      </c>
      <c r="J544" s="198" t="str">
        <f>Coins!J544</f>
        <v/>
      </c>
      <c r="K544" s="201" t="str">
        <f>Coins!K544</f>
        <v/>
      </c>
      <c r="L544" s="198" t="str">
        <f>Coins!L544</f>
        <v/>
      </c>
      <c r="M544" s="198"/>
      <c r="N544" s="198"/>
      <c r="P544" s="66" t="str">
        <f t="shared" si="4"/>
        <v/>
      </c>
    </row>
    <row r="545">
      <c r="A545" s="198" t="str">
        <f>Coins!A545</f>
        <v/>
      </c>
      <c r="B545" s="199" t="str">
        <f>Coins!B545</f>
        <v/>
      </c>
      <c r="C545" s="198" t="str">
        <f>Coins!C545</f>
        <v/>
      </c>
      <c r="D545" s="198" t="str">
        <f>Coins!D545</f>
        <v/>
      </c>
      <c r="E545" s="198" t="str">
        <f>Coins!E545</f>
        <v/>
      </c>
      <c r="F545" s="198" t="str">
        <f>Coins!F545</f>
        <v/>
      </c>
      <c r="G545" s="198" t="str">
        <f>Coins!G545</f>
        <v/>
      </c>
      <c r="H545" s="201" t="str">
        <f>if(Coins!H545="N/A",0,Coins!H545)</f>
        <v/>
      </c>
      <c r="I545" s="202" t="str">
        <f>Coins!I545</f>
        <v/>
      </c>
      <c r="J545" s="198" t="str">
        <f>Coins!J545</f>
        <v/>
      </c>
      <c r="K545" s="201" t="str">
        <f>Coins!K545</f>
        <v/>
      </c>
      <c r="L545" s="198" t="str">
        <f>Coins!L545</f>
        <v/>
      </c>
      <c r="M545" s="198"/>
      <c r="N545" s="198"/>
      <c r="P545" s="66" t="str">
        <f t="shared" si="4"/>
        <v/>
      </c>
    </row>
    <row r="546">
      <c r="A546" s="198" t="str">
        <f>Coins!A546</f>
        <v/>
      </c>
      <c r="B546" s="199" t="str">
        <f>Coins!B546</f>
        <v/>
      </c>
      <c r="C546" s="198" t="str">
        <f>Coins!C546</f>
        <v/>
      </c>
      <c r="D546" s="198" t="str">
        <f>Coins!D546</f>
        <v/>
      </c>
      <c r="E546" s="198" t="str">
        <f>Coins!E546</f>
        <v/>
      </c>
      <c r="F546" s="198" t="str">
        <f>Coins!F546</f>
        <v/>
      </c>
      <c r="G546" s="198" t="str">
        <f>Coins!G546</f>
        <v/>
      </c>
      <c r="H546" s="201" t="str">
        <f>if(Coins!H546="N/A",0,Coins!H546)</f>
        <v/>
      </c>
      <c r="I546" s="202" t="str">
        <f>Coins!I546</f>
        <v/>
      </c>
      <c r="J546" s="198" t="str">
        <f>Coins!J546</f>
        <v/>
      </c>
      <c r="K546" s="201" t="str">
        <f>Coins!K546</f>
        <v/>
      </c>
      <c r="L546" s="198" t="str">
        <f>Coins!L546</f>
        <v/>
      </c>
      <c r="M546" s="198"/>
      <c r="N546" s="198"/>
      <c r="P546" s="66" t="str">
        <f t="shared" si="4"/>
        <v/>
      </c>
    </row>
    <row r="547">
      <c r="A547" s="198" t="str">
        <f>Coins!A547</f>
        <v/>
      </c>
      <c r="B547" s="199" t="str">
        <f>Coins!B547</f>
        <v/>
      </c>
      <c r="C547" s="198" t="str">
        <f>Coins!C547</f>
        <v/>
      </c>
      <c r="D547" s="198" t="str">
        <f>Coins!D547</f>
        <v/>
      </c>
      <c r="E547" s="198" t="str">
        <f>Coins!E547</f>
        <v/>
      </c>
      <c r="F547" s="198" t="str">
        <f>Coins!F547</f>
        <v/>
      </c>
      <c r="G547" s="198" t="str">
        <f>Coins!G547</f>
        <v/>
      </c>
      <c r="H547" s="201" t="str">
        <f>if(Coins!H547="N/A",0,Coins!H547)</f>
        <v/>
      </c>
      <c r="I547" s="202" t="str">
        <f>Coins!I547</f>
        <v/>
      </c>
      <c r="J547" s="198" t="str">
        <f>Coins!J547</f>
        <v/>
      </c>
      <c r="K547" s="201" t="str">
        <f>Coins!K547</f>
        <v/>
      </c>
      <c r="L547" s="198" t="str">
        <f>Coins!L547</f>
        <v/>
      </c>
      <c r="M547" s="198"/>
      <c r="N547" s="198"/>
      <c r="P547" s="66" t="str">
        <f t="shared" si="4"/>
        <v/>
      </c>
    </row>
    <row r="548">
      <c r="A548" s="198" t="str">
        <f>Coins!A548</f>
        <v/>
      </c>
      <c r="B548" s="199" t="str">
        <f>Coins!B548</f>
        <v/>
      </c>
      <c r="C548" s="198" t="str">
        <f>Coins!C548</f>
        <v/>
      </c>
      <c r="D548" s="198" t="str">
        <f>Coins!D548</f>
        <v/>
      </c>
      <c r="E548" s="198" t="str">
        <f>Coins!E548</f>
        <v/>
      </c>
      <c r="F548" s="198" t="str">
        <f>Coins!F548</f>
        <v/>
      </c>
      <c r="G548" s="198" t="str">
        <f>Coins!G548</f>
        <v/>
      </c>
      <c r="H548" s="201" t="str">
        <f>if(Coins!H548="N/A",0,Coins!H548)</f>
        <v/>
      </c>
      <c r="I548" s="202" t="str">
        <f>Coins!I548</f>
        <v/>
      </c>
      <c r="J548" s="198" t="str">
        <f>Coins!J548</f>
        <v/>
      </c>
      <c r="K548" s="201" t="str">
        <f>Coins!K548</f>
        <v/>
      </c>
      <c r="L548" s="198" t="str">
        <f>Coins!L548</f>
        <v/>
      </c>
      <c r="M548" s="198"/>
      <c r="N548" s="198"/>
      <c r="P548" s="66" t="str">
        <f t="shared" si="4"/>
        <v/>
      </c>
    </row>
    <row r="549">
      <c r="A549" s="198" t="str">
        <f>Coins!A549</f>
        <v/>
      </c>
      <c r="B549" s="199" t="str">
        <f>Coins!B549</f>
        <v/>
      </c>
      <c r="C549" s="198" t="str">
        <f>Coins!C549</f>
        <v/>
      </c>
      <c r="D549" s="198" t="str">
        <f>Coins!D549</f>
        <v/>
      </c>
      <c r="E549" s="198" t="str">
        <f>Coins!E549</f>
        <v/>
      </c>
      <c r="F549" s="198" t="str">
        <f>Coins!F549</f>
        <v/>
      </c>
      <c r="G549" s="198" t="str">
        <f>Coins!G549</f>
        <v/>
      </c>
      <c r="H549" s="201" t="str">
        <f>if(Coins!H549="N/A",0,Coins!H549)</f>
        <v/>
      </c>
      <c r="I549" s="202" t="str">
        <f>Coins!I549</f>
        <v/>
      </c>
      <c r="J549" s="198" t="str">
        <f>Coins!J549</f>
        <v/>
      </c>
      <c r="K549" s="201" t="str">
        <f>Coins!K549</f>
        <v/>
      </c>
      <c r="L549" s="198" t="str">
        <f>Coins!L549</f>
        <v/>
      </c>
      <c r="M549" s="198"/>
      <c r="N549" s="198"/>
      <c r="P549" s="66" t="str">
        <f t="shared" si="4"/>
        <v/>
      </c>
    </row>
    <row r="550">
      <c r="A550" s="198" t="str">
        <f>Coins!A550</f>
        <v/>
      </c>
      <c r="B550" s="199" t="str">
        <f>Coins!B550</f>
        <v/>
      </c>
      <c r="C550" s="198" t="str">
        <f>Coins!C550</f>
        <v/>
      </c>
      <c r="D550" s="198" t="str">
        <f>Coins!D550</f>
        <v/>
      </c>
      <c r="E550" s="198" t="str">
        <f>Coins!E550</f>
        <v/>
      </c>
      <c r="F550" s="198" t="str">
        <f>Coins!F550</f>
        <v/>
      </c>
      <c r="G550" s="198" t="str">
        <f>Coins!G550</f>
        <v/>
      </c>
      <c r="H550" s="201" t="str">
        <f>if(Coins!H550="N/A",0,Coins!H550)</f>
        <v/>
      </c>
      <c r="I550" s="202" t="str">
        <f>Coins!I550</f>
        <v/>
      </c>
      <c r="J550" s="198" t="str">
        <f>Coins!J550</f>
        <v/>
      </c>
      <c r="K550" s="201" t="str">
        <f>Coins!K550</f>
        <v/>
      </c>
      <c r="L550" s="198" t="str">
        <f>Coins!L550</f>
        <v/>
      </c>
      <c r="M550" s="198"/>
      <c r="N550" s="198"/>
      <c r="P550" s="66" t="str">
        <f t="shared" si="4"/>
        <v/>
      </c>
    </row>
    <row r="551">
      <c r="A551" s="198" t="str">
        <f>Coins!A551</f>
        <v/>
      </c>
      <c r="B551" s="199" t="str">
        <f>Coins!B551</f>
        <v/>
      </c>
      <c r="C551" s="198" t="str">
        <f>Coins!C551</f>
        <v/>
      </c>
      <c r="D551" s="198" t="str">
        <f>Coins!D551</f>
        <v/>
      </c>
      <c r="E551" s="198" t="str">
        <f>Coins!E551</f>
        <v/>
      </c>
      <c r="F551" s="198" t="str">
        <f>Coins!F551</f>
        <v/>
      </c>
      <c r="G551" s="198" t="str">
        <f>Coins!G551</f>
        <v/>
      </c>
      <c r="H551" s="201" t="str">
        <f>if(Coins!H551="N/A",0,Coins!H551)</f>
        <v/>
      </c>
      <c r="I551" s="202" t="str">
        <f>Coins!I551</f>
        <v/>
      </c>
      <c r="J551" s="198" t="str">
        <f>Coins!J551</f>
        <v/>
      </c>
      <c r="K551" s="201" t="str">
        <f>Coins!K551</f>
        <v/>
      </c>
      <c r="L551" s="198" t="str">
        <f>Coins!L551</f>
        <v/>
      </c>
      <c r="M551" s="198"/>
      <c r="N551" s="198"/>
      <c r="P551" s="66" t="str">
        <f t="shared" si="4"/>
        <v/>
      </c>
    </row>
    <row r="552">
      <c r="A552" s="198" t="str">
        <f>Coins!A552</f>
        <v/>
      </c>
      <c r="B552" s="199" t="str">
        <f>Coins!B552</f>
        <v/>
      </c>
      <c r="C552" s="198" t="str">
        <f>Coins!C552</f>
        <v/>
      </c>
      <c r="D552" s="198" t="str">
        <f>Coins!D552</f>
        <v/>
      </c>
      <c r="E552" s="198" t="str">
        <f>Coins!E552</f>
        <v/>
      </c>
      <c r="F552" s="198" t="str">
        <f>Coins!F552</f>
        <v/>
      </c>
      <c r="G552" s="198" t="str">
        <f>Coins!G552</f>
        <v/>
      </c>
      <c r="H552" s="201" t="str">
        <f>if(Coins!H552="N/A",0,Coins!H552)</f>
        <v/>
      </c>
      <c r="I552" s="202" t="str">
        <f>Coins!I552</f>
        <v/>
      </c>
      <c r="J552" s="198" t="str">
        <f>Coins!J552</f>
        <v/>
      </c>
      <c r="K552" s="201" t="str">
        <f>Coins!K552</f>
        <v/>
      </c>
      <c r="L552" s="198" t="str">
        <f>Coins!L552</f>
        <v/>
      </c>
      <c r="M552" s="198"/>
      <c r="N552" s="198"/>
      <c r="P552" s="66" t="str">
        <f t="shared" si="4"/>
        <v/>
      </c>
    </row>
    <row r="553">
      <c r="A553" s="198" t="str">
        <f>Coins!A553</f>
        <v/>
      </c>
      <c r="B553" s="199" t="str">
        <f>Coins!B553</f>
        <v/>
      </c>
      <c r="C553" s="198" t="str">
        <f>Coins!C553</f>
        <v/>
      </c>
      <c r="D553" s="198" t="str">
        <f>Coins!D553</f>
        <v/>
      </c>
      <c r="E553" s="198" t="str">
        <f>Coins!E553</f>
        <v/>
      </c>
      <c r="F553" s="198" t="str">
        <f>Coins!F553</f>
        <v/>
      </c>
      <c r="G553" s="198" t="str">
        <f>Coins!G553</f>
        <v/>
      </c>
      <c r="H553" s="201" t="str">
        <f>if(Coins!H553="N/A",0,Coins!H553)</f>
        <v/>
      </c>
      <c r="I553" s="202" t="str">
        <f>Coins!I553</f>
        <v/>
      </c>
      <c r="J553" s="198" t="str">
        <f>Coins!J553</f>
        <v/>
      </c>
      <c r="K553" s="201" t="str">
        <f>Coins!K553</f>
        <v/>
      </c>
      <c r="L553" s="198" t="str">
        <f>Coins!L553</f>
        <v/>
      </c>
      <c r="M553" s="198"/>
      <c r="N553" s="198"/>
      <c r="P553" s="66" t="str">
        <f t="shared" si="4"/>
        <v/>
      </c>
    </row>
    <row r="554">
      <c r="A554" s="198" t="str">
        <f>Coins!A554</f>
        <v/>
      </c>
      <c r="B554" s="199" t="str">
        <f>Coins!B554</f>
        <v/>
      </c>
      <c r="C554" s="198" t="str">
        <f>Coins!C554</f>
        <v/>
      </c>
      <c r="D554" s="198" t="str">
        <f>Coins!D554</f>
        <v/>
      </c>
      <c r="E554" s="198" t="str">
        <f>Coins!E554</f>
        <v/>
      </c>
      <c r="F554" s="198" t="str">
        <f>Coins!F554</f>
        <v/>
      </c>
      <c r="G554" s="198" t="str">
        <f>Coins!G554</f>
        <v/>
      </c>
      <c r="H554" s="201" t="str">
        <f>if(Coins!H554="N/A",0,Coins!H554)</f>
        <v/>
      </c>
      <c r="I554" s="202" t="str">
        <f>Coins!I554</f>
        <v/>
      </c>
      <c r="J554" s="198" t="str">
        <f>Coins!J554</f>
        <v/>
      </c>
      <c r="K554" s="201" t="str">
        <f>Coins!K554</f>
        <v/>
      </c>
      <c r="L554" s="198" t="str">
        <f>Coins!L554</f>
        <v/>
      </c>
      <c r="M554" s="198"/>
      <c r="N554" s="198"/>
      <c r="P554" s="66" t="str">
        <f t="shared" si="4"/>
        <v/>
      </c>
    </row>
    <row r="555">
      <c r="A555" s="198" t="str">
        <f>Coins!A555</f>
        <v/>
      </c>
      <c r="B555" s="199" t="str">
        <f>Coins!B555</f>
        <v/>
      </c>
      <c r="C555" s="198" t="str">
        <f>Coins!C555</f>
        <v/>
      </c>
      <c r="D555" s="198" t="str">
        <f>Coins!D555</f>
        <v/>
      </c>
      <c r="E555" s="198" t="str">
        <f>Coins!E555</f>
        <v/>
      </c>
      <c r="F555" s="198" t="str">
        <f>Coins!F555</f>
        <v/>
      </c>
      <c r="G555" s="198" t="str">
        <f>Coins!G555</f>
        <v/>
      </c>
      <c r="H555" s="201" t="str">
        <f>if(Coins!H555="N/A",0,Coins!H555)</f>
        <v/>
      </c>
      <c r="I555" s="202" t="str">
        <f>Coins!I555</f>
        <v/>
      </c>
      <c r="J555" s="198" t="str">
        <f>Coins!J555</f>
        <v/>
      </c>
      <c r="K555" s="201" t="str">
        <f>Coins!K555</f>
        <v/>
      </c>
      <c r="L555" s="198" t="str">
        <f>Coins!L555</f>
        <v/>
      </c>
      <c r="M555" s="198"/>
      <c r="N555" s="198"/>
      <c r="P555" s="66" t="str">
        <f t="shared" si="4"/>
        <v/>
      </c>
    </row>
    <row r="556">
      <c r="A556" s="198" t="str">
        <f>Coins!A556</f>
        <v/>
      </c>
      <c r="B556" s="199" t="str">
        <f>Coins!B556</f>
        <v/>
      </c>
      <c r="C556" s="198" t="str">
        <f>Coins!C556</f>
        <v/>
      </c>
      <c r="D556" s="198" t="str">
        <f>Coins!D556</f>
        <v/>
      </c>
      <c r="E556" s="198" t="str">
        <f>Coins!E556</f>
        <v/>
      </c>
      <c r="F556" s="198" t="str">
        <f>Coins!F556</f>
        <v/>
      </c>
      <c r="G556" s="198" t="str">
        <f>Coins!G556</f>
        <v/>
      </c>
      <c r="H556" s="201" t="str">
        <f>if(Coins!H556="N/A",0,Coins!H556)</f>
        <v/>
      </c>
      <c r="I556" s="202" t="str">
        <f>Coins!I556</f>
        <v/>
      </c>
      <c r="J556" s="198" t="str">
        <f>Coins!J556</f>
        <v/>
      </c>
      <c r="K556" s="201" t="str">
        <f>Coins!K556</f>
        <v/>
      </c>
      <c r="L556" s="198" t="str">
        <f>Coins!L556</f>
        <v/>
      </c>
      <c r="M556" s="198"/>
      <c r="N556" s="198"/>
      <c r="P556" s="66" t="str">
        <f t="shared" si="4"/>
        <v/>
      </c>
    </row>
    <row r="557">
      <c r="A557" s="198" t="str">
        <f>Coins!A557</f>
        <v/>
      </c>
      <c r="B557" s="199" t="str">
        <f>Coins!B557</f>
        <v/>
      </c>
      <c r="C557" s="198" t="str">
        <f>Coins!C557</f>
        <v/>
      </c>
      <c r="D557" s="198" t="str">
        <f>Coins!D557</f>
        <v/>
      </c>
      <c r="E557" s="198" t="str">
        <f>Coins!E557</f>
        <v/>
      </c>
      <c r="F557" s="198" t="str">
        <f>Coins!F557</f>
        <v/>
      </c>
      <c r="G557" s="198" t="str">
        <f>Coins!G557</f>
        <v/>
      </c>
      <c r="H557" s="201" t="str">
        <f>if(Coins!H557="N/A",0,Coins!H557)</f>
        <v/>
      </c>
      <c r="I557" s="202" t="str">
        <f>Coins!I557</f>
        <v/>
      </c>
      <c r="J557" s="198" t="str">
        <f>Coins!J557</f>
        <v/>
      </c>
      <c r="K557" s="201" t="str">
        <f>Coins!K557</f>
        <v/>
      </c>
      <c r="L557" s="198" t="str">
        <f>Coins!L557</f>
        <v/>
      </c>
      <c r="M557" s="198"/>
      <c r="N557" s="198"/>
      <c r="P557" s="66" t="str">
        <f t="shared" si="4"/>
        <v/>
      </c>
    </row>
    <row r="558">
      <c r="A558" s="198" t="str">
        <f>Coins!A558</f>
        <v/>
      </c>
      <c r="B558" s="199" t="str">
        <f>Coins!B558</f>
        <v/>
      </c>
      <c r="C558" s="198" t="str">
        <f>Coins!C558</f>
        <v/>
      </c>
      <c r="D558" s="198" t="str">
        <f>Coins!D558</f>
        <v/>
      </c>
      <c r="E558" s="198" t="str">
        <f>Coins!E558</f>
        <v/>
      </c>
      <c r="F558" s="198" t="str">
        <f>Coins!F558</f>
        <v/>
      </c>
      <c r="G558" s="198" t="str">
        <f>Coins!G558</f>
        <v/>
      </c>
      <c r="H558" s="201" t="str">
        <f>if(Coins!H558="N/A",0,Coins!H558)</f>
        <v/>
      </c>
      <c r="I558" s="202" t="str">
        <f>Coins!I558</f>
        <v/>
      </c>
      <c r="J558" s="198" t="str">
        <f>Coins!J558</f>
        <v/>
      </c>
      <c r="K558" s="201" t="str">
        <f>Coins!K558</f>
        <v/>
      </c>
      <c r="L558" s="198" t="str">
        <f>Coins!L558</f>
        <v/>
      </c>
      <c r="M558" s="198"/>
      <c r="N558" s="198"/>
      <c r="P558" s="66" t="str">
        <f t="shared" si="4"/>
        <v/>
      </c>
    </row>
    <row r="559">
      <c r="A559" s="198" t="str">
        <f>Coins!A559</f>
        <v/>
      </c>
      <c r="B559" s="199" t="str">
        <f>Coins!B559</f>
        <v/>
      </c>
      <c r="C559" s="198" t="str">
        <f>Coins!C559</f>
        <v/>
      </c>
      <c r="D559" s="198" t="str">
        <f>Coins!D559</f>
        <v/>
      </c>
      <c r="E559" s="198" t="str">
        <f>Coins!E559</f>
        <v/>
      </c>
      <c r="F559" s="198" t="str">
        <f>Coins!F559</f>
        <v/>
      </c>
      <c r="G559" s="198" t="str">
        <f>Coins!G559</f>
        <v/>
      </c>
      <c r="H559" s="201" t="str">
        <f>if(Coins!H559="N/A",0,Coins!H559)</f>
        <v/>
      </c>
      <c r="I559" s="202" t="str">
        <f>Coins!I559</f>
        <v/>
      </c>
      <c r="J559" s="198" t="str">
        <f>Coins!J559</f>
        <v/>
      </c>
      <c r="K559" s="201" t="str">
        <f>Coins!K559</f>
        <v/>
      </c>
      <c r="L559" s="198" t="str">
        <f>Coins!L559</f>
        <v/>
      </c>
      <c r="M559" s="198"/>
      <c r="N559" s="198"/>
      <c r="P559" s="66" t="str">
        <f t="shared" si="4"/>
        <v/>
      </c>
    </row>
    <row r="560">
      <c r="A560" s="198" t="str">
        <f>Coins!A560</f>
        <v/>
      </c>
      <c r="B560" s="199" t="str">
        <f>Coins!B560</f>
        <v/>
      </c>
      <c r="C560" s="198" t="str">
        <f>Coins!C560</f>
        <v/>
      </c>
      <c r="D560" s="198" t="str">
        <f>Coins!D560</f>
        <v/>
      </c>
      <c r="E560" s="198" t="str">
        <f>Coins!E560</f>
        <v/>
      </c>
      <c r="F560" s="198" t="str">
        <f>Coins!F560</f>
        <v/>
      </c>
      <c r="G560" s="198" t="str">
        <f>Coins!G560</f>
        <v/>
      </c>
      <c r="H560" s="201" t="str">
        <f>if(Coins!H560="N/A",0,Coins!H560)</f>
        <v/>
      </c>
      <c r="I560" s="202" t="str">
        <f>Coins!I560</f>
        <v/>
      </c>
      <c r="J560" s="198" t="str">
        <f>Coins!J560</f>
        <v/>
      </c>
      <c r="K560" s="201" t="str">
        <f>Coins!K560</f>
        <v/>
      </c>
      <c r="L560" s="198" t="str">
        <f>Coins!L560</f>
        <v/>
      </c>
      <c r="M560" s="198"/>
      <c r="N560" s="198"/>
      <c r="P560" s="66" t="str">
        <f t="shared" si="4"/>
        <v/>
      </c>
    </row>
    <row r="561">
      <c r="A561" s="198" t="str">
        <f>Coins!A561</f>
        <v/>
      </c>
      <c r="B561" s="199" t="str">
        <f>Coins!B561</f>
        <v/>
      </c>
      <c r="C561" s="198" t="str">
        <f>Coins!C561</f>
        <v/>
      </c>
      <c r="D561" s="198" t="str">
        <f>Coins!D561</f>
        <v/>
      </c>
      <c r="E561" s="198" t="str">
        <f>Coins!E561</f>
        <v/>
      </c>
      <c r="F561" s="198" t="str">
        <f>Coins!F561</f>
        <v/>
      </c>
      <c r="G561" s="198" t="str">
        <f>Coins!G561</f>
        <v/>
      </c>
      <c r="H561" s="201" t="str">
        <f>if(Coins!H561="N/A",0,Coins!H561)</f>
        <v/>
      </c>
      <c r="I561" s="202" t="str">
        <f>Coins!I561</f>
        <v/>
      </c>
      <c r="J561" s="198" t="str">
        <f>Coins!J561</f>
        <v/>
      </c>
      <c r="K561" s="201" t="str">
        <f>Coins!K561</f>
        <v/>
      </c>
      <c r="L561" s="198" t="str">
        <f>Coins!L561</f>
        <v/>
      </c>
      <c r="M561" s="198"/>
      <c r="N561" s="198"/>
      <c r="P561" s="66" t="str">
        <f t="shared" si="4"/>
        <v/>
      </c>
    </row>
    <row r="562">
      <c r="A562" s="198" t="str">
        <f>Coins!A562</f>
        <v/>
      </c>
      <c r="B562" s="199" t="str">
        <f>Coins!B562</f>
        <v/>
      </c>
      <c r="C562" s="198" t="str">
        <f>Coins!C562</f>
        <v/>
      </c>
      <c r="D562" s="198" t="str">
        <f>Coins!D562</f>
        <v/>
      </c>
      <c r="E562" s="198" t="str">
        <f>Coins!E562</f>
        <v/>
      </c>
      <c r="F562" s="198" t="str">
        <f>Coins!F562</f>
        <v/>
      </c>
      <c r="G562" s="198" t="str">
        <f>Coins!G562</f>
        <v/>
      </c>
      <c r="H562" s="201" t="str">
        <f>if(Coins!H562="N/A",0,Coins!H562)</f>
        <v/>
      </c>
      <c r="I562" s="202" t="str">
        <f>Coins!I562</f>
        <v/>
      </c>
      <c r="J562" s="198" t="str">
        <f>Coins!J562</f>
        <v/>
      </c>
      <c r="K562" s="201" t="str">
        <f>Coins!K562</f>
        <v/>
      </c>
      <c r="L562" s="198" t="str">
        <f>Coins!L562</f>
        <v/>
      </c>
      <c r="M562" s="198"/>
      <c r="N562" s="198"/>
      <c r="P562" s="66" t="str">
        <f t="shared" si="4"/>
        <v/>
      </c>
    </row>
    <row r="563">
      <c r="A563" s="198" t="str">
        <f>Coins!A563</f>
        <v/>
      </c>
      <c r="B563" s="199" t="str">
        <f>Coins!B563</f>
        <v/>
      </c>
      <c r="C563" s="198" t="str">
        <f>Coins!C563</f>
        <v/>
      </c>
      <c r="D563" s="198" t="str">
        <f>Coins!D563</f>
        <v/>
      </c>
      <c r="E563" s="198" t="str">
        <f>Coins!E563</f>
        <v/>
      </c>
      <c r="F563" s="198" t="str">
        <f>Coins!F563</f>
        <v/>
      </c>
      <c r="G563" s="198" t="str">
        <f>Coins!G563</f>
        <v/>
      </c>
      <c r="H563" s="201" t="str">
        <f>if(Coins!H563="N/A",0,Coins!H563)</f>
        <v/>
      </c>
      <c r="I563" s="202" t="str">
        <f>Coins!I563</f>
        <v/>
      </c>
      <c r="J563" s="198" t="str">
        <f>Coins!J563</f>
        <v/>
      </c>
      <c r="K563" s="201" t="str">
        <f>Coins!K563</f>
        <v/>
      </c>
      <c r="L563" s="198" t="str">
        <f>Coins!L563</f>
        <v/>
      </c>
      <c r="M563" s="198"/>
      <c r="N563" s="198"/>
      <c r="P563" s="66" t="str">
        <f t="shared" si="4"/>
        <v/>
      </c>
    </row>
    <row r="564">
      <c r="A564" s="198" t="str">
        <f>Coins!A564</f>
        <v/>
      </c>
      <c r="B564" s="199" t="str">
        <f>Coins!B564</f>
        <v/>
      </c>
      <c r="C564" s="198" t="str">
        <f>Coins!C564</f>
        <v/>
      </c>
      <c r="D564" s="198" t="str">
        <f>Coins!D564</f>
        <v/>
      </c>
      <c r="E564" s="198" t="str">
        <f>Coins!E564</f>
        <v/>
      </c>
      <c r="F564" s="198" t="str">
        <f>Coins!F564</f>
        <v/>
      </c>
      <c r="G564" s="198" t="str">
        <f>Coins!G564</f>
        <v/>
      </c>
      <c r="H564" s="201" t="str">
        <f>if(Coins!H564="N/A",0,Coins!H564)</f>
        <v/>
      </c>
      <c r="I564" s="202" t="str">
        <f>Coins!I564</f>
        <v/>
      </c>
      <c r="J564" s="198" t="str">
        <f>Coins!J564</f>
        <v/>
      </c>
      <c r="K564" s="201" t="str">
        <f>Coins!K564</f>
        <v/>
      </c>
      <c r="L564" s="198" t="str">
        <f>Coins!L564</f>
        <v/>
      </c>
      <c r="M564" s="198"/>
      <c r="N564" s="198"/>
      <c r="P564" s="66" t="str">
        <f t="shared" si="4"/>
        <v/>
      </c>
    </row>
    <row r="565">
      <c r="A565" s="198" t="str">
        <f>Coins!A565</f>
        <v/>
      </c>
      <c r="B565" s="199" t="str">
        <f>Coins!B565</f>
        <v/>
      </c>
      <c r="C565" s="198" t="str">
        <f>Coins!C565</f>
        <v/>
      </c>
      <c r="D565" s="198" t="str">
        <f>Coins!D565</f>
        <v/>
      </c>
      <c r="E565" s="198" t="str">
        <f>Coins!E565</f>
        <v/>
      </c>
      <c r="F565" s="198" t="str">
        <f>Coins!F565</f>
        <v/>
      </c>
      <c r="G565" s="198" t="str">
        <f>Coins!G565</f>
        <v/>
      </c>
      <c r="H565" s="201" t="str">
        <f>if(Coins!H565="N/A",0,Coins!H565)</f>
        <v/>
      </c>
      <c r="I565" s="202" t="str">
        <f>Coins!I565</f>
        <v/>
      </c>
      <c r="J565" s="198" t="str">
        <f>Coins!J565</f>
        <v/>
      </c>
      <c r="K565" s="201" t="str">
        <f>Coins!K565</f>
        <v/>
      </c>
      <c r="L565" s="198" t="str">
        <f>Coins!L565</f>
        <v/>
      </c>
      <c r="M565" s="198"/>
      <c r="N565" s="198"/>
      <c r="P565" s="66" t="str">
        <f t="shared" si="4"/>
        <v/>
      </c>
    </row>
    <row r="566">
      <c r="A566" s="198" t="str">
        <f>Coins!A566</f>
        <v/>
      </c>
      <c r="B566" s="199" t="str">
        <f>Coins!B566</f>
        <v/>
      </c>
      <c r="C566" s="198" t="str">
        <f>Coins!C566</f>
        <v/>
      </c>
      <c r="D566" s="198" t="str">
        <f>Coins!D566</f>
        <v/>
      </c>
      <c r="E566" s="198" t="str">
        <f>Coins!E566</f>
        <v/>
      </c>
      <c r="F566" s="198" t="str">
        <f>Coins!F566</f>
        <v/>
      </c>
      <c r="G566" s="198" t="str">
        <f>Coins!G566</f>
        <v/>
      </c>
      <c r="H566" s="201" t="str">
        <f>if(Coins!H566="N/A",0,Coins!H566)</f>
        <v/>
      </c>
      <c r="I566" s="202" t="str">
        <f>Coins!I566</f>
        <v/>
      </c>
      <c r="J566" s="198" t="str">
        <f>Coins!J566</f>
        <v/>
      </c>
      <c r="K566" s="201" t="str">
        <f>Coins!K566</f>
        <v/>
      </c>
      <c r="L566" s="198" t="str">
        <f>Coins!L566</f>
        <v/>
      </c>
      <c r="M566" s="198"/>
      <c r="N566" s="198"/>
      <c r="P566" s="66" t="str">
        <f t="shared" si="4"/>
        <v/>
      </c>
    </row>
    <row r="567">
      <c r="A567" s="198" t="str">
        <f>Coins!A567</f>
        <v/>
      </c>
      <c r="B567" s="199" t="str">
        <f>Coins!B567</f>
        <v/>
      </c>
      <c r="C567" s="198" t="str">
        <f>Coins!C567</f>
        <v/>
      </c>
      <c r="D567" s="198" t="str">
        <f>Coins!D567</f>
        <v/>
      </c>
      <c r="E567" s="198" t="str">
        <f>Coins!E567</f>
        <v/>
      </c>
      <c r="F567" s="198" t="str">
        <f>Coins!F567</f>
        <v/>
      </c>
      <c r="G567" s="198" t="str">
        <f>Coins!G567</f>
        <v/>
      </c>
      <c r="H567" s="201" t="str">
        <f>if(Coins!H567="N/A",0,Coins!H567)</f>
        <v/>
      </c>
      <c r="I567" s="202" t="str">
        <f>Coins!I567</f>
        <v/>
      </c>
      <c r="J567" s="198" t="str">
        <f>Coins!J567</f>
        <v/>
      </c>
      <c r="K567" s="201" t="str">
        <f>Coins!K567</f>
        <v/>
      </c>
      <c r="L567" s="198" t="str">
        <f>Coins!L567</f>
        <v/>
      </c>
      <c r="M567" s="198"/>
      <c r="N567" s="198"/>
      <c r="P567" s="66" t="str">
        <f t="shared" si="4"/>
        <v/>
      </c>
    </row>
    <row r="568">
      <c r="A568" s="198" t="str">
        <f>Coins!A568</f>
        <v/>
      </c>
      <c r="B568" s="199" t="str">
        <f>Coins!B568</f>
        <v/>
      </c>
      <c r="C568" s="198" t="str">
        <f>Coins!C568</f>
        <v/>
      </c>
      <c r="D568" s="198" t="str">
        <f>Coins!D568</f>
        <v/>
      </c>
      <c r="E568" s="198" t="str">
        <f>Coins!E568</f>
        <v/>
      </c>
      <c r="F568" s="198" t="str">
        <f>Coins!F568</f>
        <v/>
      </c>
      <c r="G568" s="198" t="str">
        <f>Coins!G568</f>
        <v/>
      </c>
      <c r="H568" s="201" t="str">
        <f>if(Coins!H568="N/A",0,Coins!H568)</f>
        <v/>
      </c>
      <c r="I568" s="202" t="str">
        <f>Coins!I568</f>
        <v/>
      </c>
      <c r="J568" s="198" t="str">
        <f>Coins!J568</f>
        <v/>
      </c>
      <c r="K568" s="201" t="str">
        <f>Coins!K568</f>
        <v/>
      </c>
      <c r="L568" s="198" t="str">
        <f>Coins!L568</f>
        <v/>
      </c>
      <c r="M568" s="198"/>
      <c r="N568" s="198"/>
      <c r="P568" s="66" t="str">
        <f t="shared" si="4"/>
        <v/>
      </c>
    </row>
    <row r="569">
      <c r="A569" s="198" t="str">
        <f>Coins!A569</f>
        <v/>
      </c>
      <c r="B569" s="199" t="str">
        <f>Coins!B569</f>
        <v/>
      </c>
      <c r="C569" s="198" t="str">
        <f>Coins!C569</f>
        <v/>
      </c>
      <c r="D569" s="198" t="str">
        <f>Coins!D569</f>
        <v/>
      </c>
      <c r="E569" s="198" t="str">
        <f>Coins!E569</f>
        <v/>
      </c>
      <c r="F569" s="198" t="str">
        <f>Coins!F569</f>
        <v/>
      </c>
      <c r="G569" s="198" t="str">
        <f>Coins!G569</f>
        <v/>
      </c>
      <c r="H569" s="201" t="str">
        <f>if(Coins!H569="N/A",0,Coins!H569)</f>
        <v/>
      </c>
      <c r="I569" s="202" t="str">
        <f>Coins!I569</f>
        <v/>
      </c>
      <c r="J569" s="198" t="str">
        <f>Coins!J569</f>
        <v/>
      </c>
      <c r="K569" s="201" t="str">
        <f>Coins!K569</f>
        <v/>
      </c>
      <c r="L569" s="198" t="str">
        <f>Coins!L569</f>
        <v/>
      </c>
      <c r="M569" s="198"/>
      <c r="N569" s="198"/>
      <c r="P569" s="66" t="str">
        <f t="shared" si="4"/>
        <v/>
      </c>
    </row>
    <row r="570">
      <c r="A570" s="198" t="str">
        <f>Coins!A570</f>
        <v/>
      </c>
      <c r="B570" s="199" t="str">
        <f>Coins!B570</f>
        <v/>
      </c>
      <c r="C570" s="198" t="str">
        <f>Coins!C570</f>
        <v/>
      </c>
      <c r="D570" s="198" t="str">
        <f>Coins!D570</f>
        <v/>
      </c>
      <c r="E570" s="198" t="str">
        <f>Coins!E570</f>
        <v/>
      </c>
      <c r="F570" s="198" t="str">
        <f>Coins!F570</f>
        <v/>
      </c>
      <c r="G570" s="198" t="str">
        <f>Coins!G570</f>
        <v/>
      </c>
      <c r="H570" s="201" t="str">
        <f>if(Coins!H570="N/A",0,Coins!H570)</f>
        <v/>
      </c>
      <c r="I570" s="202" t="str">
        <f>Coins!I570</f>
        <v/>
      </c>
      <c r="J570" s="198" t="str">
        <f>Coins!J570</f>
        <v/>
      </c>
      <c r="K570" s="201" t="str">
        <f>Coins!K570</f>
        <v/>
      </c>
      <c r="L570" s="198" t="str">
        <f>Coins!L570</f>
        <v/>
      </c>
      <c r="M570" s="198"/>
      <c r="N570" s="198"/>
      <c r="P570" s="66" t="str">
        <f t="shared" si="4"/>
        <v/>
      </c>
    </row>
    <row r="571">
      <c r="A571" s="198" t="str">
        <f>Coins!A571</f>
        <v/>
      </c>
      <c r="B571" s="199" t="str">
        <f>Coins!B571</f>
        <v/>
      </c>
      <c r="C571" s="198" t="str">
        <f>Coins!C571</f>
        <v/>
      </c>
      <c r="D571" s="198" t="str">
        <f>Coins!D571</f>
        <v/>
      </c>
      <c r="E571" s="198" t="str">
        <f>Coins!E571</f>
        <v/>
      </c>
      <c r="F571" s="198" t="str">
        <f>Coins!F571</f>
        <v/>
      </c>
      <c r="G571" s="198" t="str">
        <f>Coins!G571</f>
        <v/>
      </c>
      <c r="H571" s="201" t="str">
        <f>if(Coins!H571="N/A",0,Coins!H571)</f>
        <v/>
      </c>
      <c r="I571" s="202" t="str">
        <f>Coins!I571</f>
        <v/>
      </c>
      <c r="J571" s="198" t="str">
        <f>Coins!J571</f>
        <v/>
      </c>
      <c r="K571" s="201" t="str">
        <f>Coins!K571</f>
        <v/>
      </c>
      <c r="L571" s="198" t="str">
        <f>Coins!L571</f>
        <v/>
      </c>
      <c r="M571" s="198"/>
      <c r="N571" s="198"/>
      <c r="P571" s="66" t="str">
        <f t="shared" si="4"/>
        <v/>
      </c>
    </row>
    <row r="572">
      <c r="A572" s="198" t="str">
        <f>Coins!A572</f>
        <v/>
      </c>
      <c r="B572" s="199" t="str">
        <f>Coins!B572</f>
        <v/>
      </c>
      <c r="C572" s="198" t="str">
        <f>Coins!C572</f>
        <v/>
      </c>
      <c r="D572" s="198" t="str">
        <f>Coins!D572</f>
        <v/>
      </c>
      <c r="E572" s="198" t="str">
        <f>Coins!E572</f>
        <v/>
      </c>
      <c r="F572" s="198" t="str">
        <f>Coins!F572</f>
        <v/>
      </c>
      <c r="G572" s="198" t="str">
        <f>Coins!G572</f>
        <v/>
      </c>
      <c r="H572" s="201" t="str">
        <f>if(Coins!H572="N/A",0,Coins!H572)</f>
        <v/>
      </c>
      <c r="I572" s="202" t="str">
        <f>Coins!I572</f>
        <v/>
      </c>
      <c r="J572" s="198" t="str">
        <f>Coins!J572</f>
        <v/>
      </c>
      <c r="K572" s="201" t="str">
        <f>Coins!K572</f>
        <v/>
      </c>
      <c r="L572" s="198" t="str">
        <f>Coins!L572</f>
        <v/>
      </c>
      <c r="M572" s="198"/>
      <c r="N572" s="198"/>
      <c r="P572" s="66" t="str">
        <f t="shared" si="4"/>
        <v/>
      </c>
    </row>
    <row r="573">
      <c r="A573" s="198" t="str">
        <f>Coins!A573</f>
        <v/>
      </c>
      <c r="B573" s="199" t="str">
        <f>Coins!B573</f>
        <v/>
      </c>
      <c r="C573" s="198" t="str">
        <f>Coins!C573</f>
        <v/>
      </c>
      <c r="D573" s="198" t="str">
        <f>Coins!D573</f>
        <v/>
      </c>
      <c r="E573" s="198" t="str">
        <f>Coins!E573</f>
        <v/>
      </c>
      <c r="F573" s="198" t="str">
        <f>Coins!F573</f>
        <v/>
      </c>
      <c r="G573" s="198" t="str">
        <f>Coins!G573</f>
        <v/>
      </c>
      <c r="H573" s="201" t="str">
        <f>if(Coins!H573="N/A",0,Coins!H573)</f>
        <v/>
      </c>
      <c r="I573" s="202" t="str">
        <f>Coins!I573</f>
        <v/>
      </c>
      <c r="J573" s="198" t="str">
        <f>Coins!J573</f>
        <v/>
      </c>
      <c r="K573" s="201" t="str">
        <f>Coins!K573</f>
        <v/>
      </c>
      <c r="L573" s="198" t="str">
        <f>Coins!L573</f>
        <v/>
      </c>
      <c r="M573" s="198"/>
      <c r="N573" s="198"/>
      <c r="P573" s="66" t="str">
        <f t="shared" si="4"/>
        <v/>
      </c>
    </row>
    <row r="574">
      <c r="A574" s="198" t="str">
        <f>Coins!A574</f>
        <v/>
      </c>
      <c r="B574" s="199" t="str">
        <f>Coins!B574</f>
        <v/>
      </c>
      <c r="C574" s="198" t="str">
        <f>Coins!C574</f>
        <v/>
      </c>
      <c r="D574" s="198" t="str">
        <f>Coins!D574</f>
        <v/>
      </c>
      <c r="E574" s="198" t="str">
        <f>Coins!E574</f>
        <v/>
      </c>
      <c r="F574" s="198" t="str">
        <f>Coins!F574</f>
        <v/>
      </c>
      <c r="G574" s="198" t="str">
        <f>Coins!G574</f>
        <v/>
      </c>
      <c r="H574" s="201" t="str">
        <f>if(Coins!H574="N/A",0,Coins!H574)</f>
        <v/>
      </c>
      <c r="I574" s="202" t="str">
        <f>Coins!I574</f>
        <v/>
      </c>
      <c r="J574" s="198" t="str">
        <f>Coins!J574</f>
        <v/>
      </c>
      <c r="K574" s="201" t="str">
        <f>Coins!K574</f>
        <v/>
      </c>
      <c r="L574" s="198" t="str">
        <f>Coins!L574</f>
        <v/>
      </c>
      <c r="M574" s="198"/>
      <c r="N574" s="198"/>
      <c r="P574" s="66" t="str">
        <f t="shared" si="4"/>
        <v/>
      </c>
    </row>
    <row r="575">
      <c r="A575" s="198" t="str">
        <f>Coins!A575</f>
        <v/>
      </c>
      <c r="B575" s="199" t="str">
        <f>Coins!B575</f>
        <v/>
      </c>
      <c r="C575" s="198" t="str">
        <f>Coins!C575</f>
        <v/>
      </c>
      <c r="D575" s="198" t="str">
        <f>Coins!D575</f>
        <v/>
      </c>
      <c r="E575" s="198" t="str">
        <f>Coins!E575</f>
        <v/>
      </c>
      <c r="F575" s="198" t="str">
        <f>Coins!F575</f>
        <v/>
      </c>
      <c r="G575" s="198" t="str">
        <f>Coins!G575</f>
        <v/>
      </c>
      <c r="H575" s="201" t="str">
        <f>if(Coins!H575="N/A",0,Coins!H575)</f>
        <v/>
      </c>
      <c r="I575" s="202" t="str">
        <f>Coins!I575</f>
        <v/>
      </c>
      <c r="J575" s="198" t="str">
        <f>Coins!J575</f>
        <v/>
      </c>
      <c r="K575" s="201" t="str">
        <f>Coins!K575</f>
        <v/>
      </c>
      <c r="L575" s="198" t="str">
        <f>Coins!L575</f>
        <v/>
      </c>
      <c r="M575" s="198"/>
      <c r="N575" s="198"/>
      <c r="P575" s="66" t="str">
        <f t="shared" si="4"/>
        <v/>
      </c>
    </row>
    <row r="576">
      <c r="A576" s="198" t="str">
        <f>Coins!A576</f>
        <v/>
      </c>
      <c r="B576" s="199" t="str">
        <f>Coins!B576</f>
        <v/>
      </c>
      <c r="C576" s="198" t="str">
        <f>Coins!C576</f>
        <v/>
      </c>
      <c r="D576" s="198" t="str">
        <f>Coins!D576</f>
        <v/>
      </c>
      <c r="E576" s="198" t="str">
        <f>Coins!E576</f>
        <v/>
      </c>
      <c r="F576" s="198" t="str">
        <f>Coins!F576</f>
        <v/>
      </c>
      <c r="G576" s="198" t="str">
        <f>Coins!G576</f>
        <v/>
      </c>
      <c r="H576" s="201" t="str">
        <f>if(Coins!H576="N/A",0,Coins!H576)</f>
        <v/>
      </c>
      <c r="I576" s="202" t="str">
        <f>Coins!I576</f>
        <v/>
      </c>
      <c r="J576" s="198" t="str">
        <f>Coins!J576</f>
        <v/>
      </c>
      <c r="K576" s="201" t="str">
        <f>Coins!K576</f>
        <v/>
      </c>
      <c r="L576" s="198" t="str">
        <f>Coins!L576</f>
        <v/>
      </c>
      <c r="M576" s="198"/>
      <c r="N576" s="198"/>
      <c r="P576" s="66" t="str">
        <f t="shared" si="4"/>
        <v/>
      </c>
    </row>
    <row r="577">
      <c r="A577" s="198" t="str">
        <f>Coins!A577</f>
        <v/>
      </c>
      <c r="B577" s="199" t="str">
        <f>Coins!B577</f>
        <v/>
      </c>
      <c r="C577" s="198" t="str">
        <f>Coins!C577</f>
        <v/>
      </c>
      <c r="D577" s="198" t="str">
        <f>Coins!D577</f>
        <v/>
      </c>
      <c r="E577" s="198" t="str">
        <f>Coins!E577</f>
        <v/>
      </c>
      <c r="F577" s="198" t="str">
        <f>Coins!F577</f>
        <v/>
      </c>
      <c r="G577" s="198" t="str">
        <f>Coins!G577</f>
        <v/>
      </c>
      <c r="H577" s="201" t="str">
        <f>if(Coins!H577="N/A",0,Coins!H577)</f>
        <v/>
      </c>
      <c r="I577" s="202" t="str">
        <f>Coins!I577</f>
        <v/>
      </c>
      <c r="J577" s="198" t="str">
        <f>Coins!J577</f>
        <v/>
      </c>
      <c r="K577" s="201" t="str">
        <f>Coins!K577</f>
        <v/>
      </c>
      <c r="L577" s="198" t="str">
        <f>Coins!L577</f>
        <v/>
      </c>
      <c r="M577" s="198"/>
      <c r="N577" s="198"/>
      <c r="P577" s="66" t="str">
        <f t="shared" si="4"/>
        <v/>
      </c>
    </row>
    <row r="578">
      <c r="A578" s="198" t="str">
        <f>Coins!A578</f>
        <v/>
      </c>
      <c r="B578" s="199" t="str">
        <f>Coins!B578</f>
        <v/>
      </c>
      <c r="C578" s="198" t="str">
        <f>Coins!C578</f>
        <v/>
      </c>
      <c r="D578" s="198" t="str">
        <f>Coins!D578</f>
        <v/>
      </c>
      <c r="E578" s="198" t="str">
        <f>Coins!E578</f>
        <v/>
      </c>
      <c r="F578" s="198" t="str">
        <f>Coins!F578</f>
        <v/>
      </c>
      <c r="G578" s="198" t="str">
        <f>Coins!G578</f>
        <v/>
      </c>
      <c r="H578" s="201" t="str">
        <f>if(Coins!H578="N/A",0,Coins!H578)</f>
        <v/>
      </c>
      <c r="I578" s="202" t="str">
        <f>Coins!I578</f>
        <v/>
      </c>
      <c r="J578" s="198" t="str">
        <f>Coins!J578</f>
        <v/>
      </c>
      <c r="K578" s="201" t="str">
        <f>Coins!K578</f>
        <v/>
      </c>
      <c r="L578" s="198" t="str">
        <f>Coins!L578</f>
        <v/>
      </c>
      <c r="M578" s="198"/>
      <c r="N578" s="198"/>
      <c r="P578" s="66" t="str">
        <f t="shared" si="4"/>
        <v/>
      </c>
    </row>
    <row r="579">
      <c r="A579" s="198" t="str">
        <f>Coins!A579</f>
        <v/>
      </c>
      <c r="B579" s="199" t="str">
        <f>Coins!B579</f>
        <v/>
      </c>
      <c r="C579" s="198" t="str">
        <f>Coins!C579</f>
        <v/>
      </c>
      <c r="D579" s="198" t="str">
        <f>Coins!D579</f>
        <v/>
      </c>
      <c r="E579" s="198" t="str">
        <f>Coins!E579</f>
        <v/>
      </c>
      <c r="F579" s="198" t="str">
        <f>Coins!F579</f>
        <v/>
      </c>
      <c r="G579" s="198" t="str">
        <f>Coins!G579</f>
        <v/>
      </c>
      <c r="H579" s="201" t="str">
        <f>if(Coins!H579="N/A",0,Coins!H579)</f>
        <v/>
      </c>
      <c r="I579" s="202" t="str">
        <f>Coins!I579</f>
        <v/>
      </c>
      <c r="J579" s="198" t="str">
        <f>Coins!J579</f>
        <v/>
      </c>
      <c r="K579" s="201" t="str">
        <f>Coins!K579</f>
        <v/>
      </c>
      <c r="L579" s="198" t="str">
        <f>Coins!L579</f>
        <v/>
      </c>
      <c r="M579" s="198"/>
      <c r="N579" s="198"/>
      <c r="P579" s="66" t="str">
        <f t="shared" si="4"/>
        <v/>
      </c>
    </row>
    <row r="580">
      <c r="A580" s="198" t="str">
        <f>Coins!A580</f>
        <v/>
      </c>
      <c r="B580" s="199" t="str">
        <f>Coins!B580</f>
        <v/>
      </c>
      <c r="C580" s="198" t="str">
        <f>Coins!C580</f>
        <v/>
      </c>
      <c r="D580" s="198" t="str">
        <f>Coins!D580</f>
        <v/>
      </c>
      <c r="E580" s="198" t="str">
        <f>Coins!E580</f>
        <v/>
      </c>
      <c r="F580" s="198" t="str">
        <f>Coins!F580</f>
        <v/>
      </c>
      <c r="G580" s="198" t="str">
        <f>Coins!G580</f>
        <v/>
      </c>
      <c r="H580" s="201" t="str">
        <f>if(Coins!H580="N/A",0,Coins!H580)</f>
        <v/>
      </c>
      <c r="I580" s="202" t="str">
        <f>Coins!I580</f>
        <v/>
      </c>
      <c r="J580" s="198" t="str">
        <f>Coins!J580</f>
        <v/>
      </c>
      <c r="K580" s="201" t="str">
        <f>Coins!K580</f>
        <v/>
      </c>
      <c r="L580" s="198" t="str">
        <f>Coins!L580</f>
        <v/>
      </c>
      <c r="M580" s="198"/>
      <c r="N580" s="198"/>
      <c r="P580" s="66" t="str">
        <f t="shared" si="4"/>
        <v/>
      </c>
    </row>
    <row r="581">
      <c r="A581" s="198" t="str">
        <f>Coins!A581</f>
        <v/>
      </c>
      <c r="B581" s="199" t="str">
        <f>Coins!B581</f>
        <v/>
      </c>
      <c r="C581" s="198" t="str">
        <f>Coins!C581</f>
        <v/>
      </c>
      <c r="D581" s="198" t="str">
        <f>Coins!D581</f>
        <v/>
      </c>
      <c r="E581" s="198" t="str">
        <f>Coins!E581</f>
        <v/>
      </c>
      <c r="F581" s="198" t="str">
        <f>Coins!F581</f>
        <v/>
      </c>
      <c r="G581" s="198" t="str">
        <f>Coins!G581</f>
        <v/>
      </c>
      <c r="H581" s="201" t="str">
        <f>if(Coins!H581="N/A",0,Coins!H581)</f>
        <v/>
      </c>
      <c r="I581" s="202" t="str">
        <f>Coins!I581</f>
        <v/>
      </c>
      <c r="J581" s="198" t="str">
        <f>Coins!J581</f>
        <v/>
      </c>
      <c r="K581" s="201" t="str">
        <f>Coins!K581</f>
        <v/>
      </c>
      <c r="L581" s="198" t="str">
        <f>Coins!L581</f>
        <v/>
      </c>
      <c r="M581" s="198"/>
      <c r="N581" s="198"/>
      <c r="P581" s="66" t="str">
        <f t="shared" si="4"/>
        <v/>
      </c>
    </row>
    <row r="582">
      <c r="A582" s="198" t="str">
        <f>Coins!A582</f>
        <v/>
      </c>
      <c r="B582" s="199" t="str">
        <f>Coins!B582</f>
        <v/>
      </c>
      <c r="C582" s="198" t="str">
        <f>Coins!C582</f>
        <v/>
      </c>
      <c r="D582" s="198" t="str">
        <f>Coins!D582</f>
        <v/>
      </c>
      <c r="E582" s="198" t="str">
        <f>Coins!E582</f>
        <v/>
      </c>
      <c r="F582" s="198" t="str">
        <f>Coins!F582</f>
        <v/>
      </c>
      <c r="G582" s="198" t="str">
        <f>Coins!G582</f>
        <v/>
      </c>
      <c r="H582" s="201" t="str">
        <f>if(Coins!H582="N/A",0,Coins!H582)</f>
        <v/>
      </c>
      <c r="I582" s="202" t="str">
        <f>Coins!I582</f>
        <v/>
      </c>
      <c r="J582" s="198" t="str">
        <f>Coins!J582</f>
        <v/>
      </c>
      <c r="K582" s="201" t="str">
        <f>Coins!K582</f>
        <v/>
      </c>
      <c r="L582" s="198" t="str">
        <f>Coins!L582</f>
        <v/>
      </c>
      <c r="M582" s="198"/>
      <c r="N582" s="198"/>
      <c r="P582" s="66" t="str">
        <f t="shared" si="4"/>
        <v/>
      </c>
    </row>
    <row r="583">
      <c r="A583" s="198" t="str">
        <f>Coins!A583</f>
        <v/>
      </c>
      <c r="B583" s="199" t="str">
        <f>Coins!B583</f>
        <v/>
      </c>
      <c r="C583" s="198" t="str">
        <f>Coins!C583</f>
        <v/>
      </c>
      <c r="D583" s="198" t="str">
        <f>Coins!D583</f>
        <v/>
      </c>
      <c r="E583" s="198" t="str">
        <f>Coins!E583</f>
        <v/>
      </c>
      <c r="F583" s="198" t="str">
        <f>Coins!F583</f>
        <v/>
      </c>
      <c r="G583" s="198" t="str">
        <f>Coins!G583</f>
        <v/>
      </c>
      <c r="H583" s="201" t="str">
        <f>if(Coins!H583="N/A",0,Coins!H583)</f>
        <v/>
      </c>
      <c r="I583" s="202" t="str">
        <f>Coins!I583</f>
        <v/>
      </c>
      <c r="J583" s="198" t="str">
        <f>Coins!J583</f>
        <v/>
      </c>
      <c r="K583" s="201" t="str">
        <f>Coins!K583</f>
        <v/>
      </c>
      <c r="L583" s="198" t="str">
        <f>Coins!L583</f>
        <v/>
      </c>
      <c r="M583" s="198"/>
      <c r="N583" s="198"/>
      <c r="P583" s="66" t="str">
        <f t="shared" si="4"/>
        <v/>
      </c>
    </row>
    <row r="584">
      <c r="A584" s="198" t="str">
        <f>Coins!A584</f>
        <v/>
      </c>
      <c r="B584" s="199" t="str">
        <f>Coins!B584</f>
        <v/>
      </c>
      <c r="C584" s="198" t="str">
        <f>Coins!C584</f>
        <v/>
      </c>
      <c r="D584" s="198" t="str">
        <f>Coins!D584</f>
        <v/>
      </c>
      <c r="E584" s="198" t="str">
        <f>Coins!E584</f>
        <v/>
      </c>
      <c r="F584" s="198" t="str">
        <f>Coins!F584</f>
        <v/>
      </c>
      <c r="G584" s="198" t="str">
        <f>Coins!G584</f>
        <v/>
      </c>
      <c r="H584" s="201" t="str">
        <f>if(Coins!H584="N/A",0,Coins!H584)</f>
        <v/>
      </c>
      <c r="I584" s="202" t="str">
        <f>Coins!I584</f>
        <v/>
      </c>
      <c r="J584" s="198" t="str">
        <f>Coins!J584</f>
        <v/>
      </c>
      <c r="K584" s="201" t="str">
        <f>Coins!K584</f>
        <v/>
      </c>
      <c r="L584" s="198" t="str">
        <f>Coins!L584</f>
        <v/>
      </c>
      <c r="M584" s="198"/>
      <c r="N584" s="198"/>
      <c r="P584" s="66" t="str">
        <f t="shared" si="4"/>
        <v/>
      </c>
    </row>
    <row r="585">
      <c r="A585" s="198" t="str">
        <f>Coins!A585</f>
        <v/>
      </c>
      <c r="B585" s="199" t="str">
        <f>Coins!B585</f>
        <v/>
      </c>
      <c r="C585" s="198" t="str">
        <f>Coins!C585</f>
        <v/>
      </c>
      <c r="D585" s="198" t="str">
        <f>Coins!D585</f>
        <v/>
      </c>
      <c r="E585" s="198" t="str">
        <f>Coins!E585</f>
        <v/>
      </c>
      <c r="F585" s="198" t="str">
        <f>Coins!F585</f>
        <v/>
      </c>
      <c r="G585" s="198" t="str">
        <f>Coins!G585</f>
        <v/>
      </c>
      <c r="H585" s="201" t="str">
        <f>if(Coins!H585="N/A",0,Coins!H585)</f>
        <v/>
      </c>
      <c r="I585" s="202" t="str">
        <f>Coins!I585</f>
        <v/>
      </c>
      <c r="J585" s="198" t="str">
        <f>Coins!J585</f>
        <v/>
      </c>
      <c r="K585" s="201" t="str">
        <f>Coins!K585</f>
        <v/>
      </c>
      <c r="L585" s="198" t="str">
        <f>Coins!L585</f>
        <v/>
      </c>
      <c r="M585" s="198"/>
      <c r="N585" s="198"/>
      <c r="P585" s="66" t="str">
        <f t="shared" si="4"/>
        <v/>
      </c>
    </row>
    <row r="586">
      <c r="A586" s="198" t="str">
        <f>Coins!A586</f>
        <v/>
      </c>
      <c r="B586" s="199" t="str">
        <f>Coins!B586</f>
        <v/>
      </c>
      <c r="C586" s="198" t="str">
        <f>Coins!C586</f>
        <v/>
      </c>
      <c r="D586" s="198" t="str">
        <f>Coins!D586</f>
        <v/>
      </c>
      <c r="E586" s="198" t="str">
        <f>Coins!E586</f>
        <v/>
      </c>
      <c r="F586" s="198" t="str">
        <f>Coins!F586</f>
        <v/>
      </c>
      <c r="G586" s="198" t="str">
        <f>Coins!G586</f>
        <v/>
      </c>
      <c r="H586" s="201" t="str">
        <f>if(Coins!H586="N/A",0,Coins!H586)</f>
        <v/>
      </c>
      <c r="I586" s="202" t="str">
        <f>Coins!I586</f>
        <v/>
      </c>
      <c r="J586" s="198" t="str">
        <f>Coins!J586</f>
        <v/>
      </c>
      <c r="K586" s="201" t="str">
        <f>Coins!K586</f>
        <v/>
      </c>
      <c r="L586" s="198" t="str">
        <f>Coins!L586</f>
        <v/>
      </c>
      <c r="M586" s="198"/>
      <c r="N586" s="198"/>
      <c r="P586" s="66" t="str">
        <f t="shared" si="4"/>
        <v/>
      </c>
    </row>
    <row r="587">
      <c r="A587" s="198" t="str">
        <f>Coins!A587</f>
        <v/>
      </c>
      <c r="B587" s="199" t="str">
        <f>Coins!B587</f>
        <v/>
      </c>
      <c r="C587" s="198" t="str">
        <f>Coins!C587</f>
        <v/>
      </c>
      <c r="D587" s="198" t="str">
        <f>Coins!D587</f>
        <v/>
      </c>
      <c r="E587" s="198" t="str">
        <f>Coins!E587</f>
        <v/>
      </c>
      <c r="F587" s="198" t="str">
        <f>Coins!F587</f>
        <v/>
      </c>
      <c r="G587" s="198" t="str">
        <f>Coins!G587</f>
        <v/>
      </c>
      <c r="H587" s="201" t="str">
        <f>if(Coins!H587="N/A",0,Coins!H587)</f>
        <v/>
      </c>
      <c r="I587" s="202" t="str">
        <f>Coins!I587</f>
        <v/>
      </c>
      <c r="J587" s="198" t="str">
        <f>Coins!J587</f>
        <v/>
      </c>
      <c r="K587" s="201" t="str">
        <f>Coins!K587</f>
        <v/>
      </c>
      <c r="L587" s="198" t="str">
        <f>Coins!L587</f>
        <v/>
      </c>
      <c r="M587" s="198"/>
      <c r="N587" s="198"/>
      <c r="P587" s="66" t="str">
        <f t="shared" si="4"/>
        <v/>
      </c>
    </row>
    <row r="588">
      <c r="A588" s="198" t="str">
        <f>Coins!A588</f>
        <v/>
      </c>
      <c r="B588" s="199" t="str">
        <f>Coins!B588</f>
        <v/>
      </c>
      <c r="C588" s="198" t="str">
        <f>Coins!C588</f>
        <v/>
      </c>
      <c r="D588" s="198" t="str">
        <f>Coins!D588</f>
        <v/>
      </c>
      <c r="E588" s="198" t="str">
        <f>Coins!E588</f>
        <v/>
      </c>
      <c r="F588" s="198" t="str">
        <f>Coins!F588</f>
        <v/>
      </c>
      <c r="G588" s="198" t="str">
        <f>Coins!G588</f>
        <v/>
      </c>
      <c r="H588" s="201" t="str">
        <f>if(Coins!H588="N/A",0,Coins!H588)</f>
        <v/>
      </c>
      <c r="I588" s="202" t="str">
        <f>Coins!I588</f>
        <v/>
      </c>
      <c r="J588" s="198" t="str">
        <f>Coins!J588</f>
        <v/>
      </c>
      <c r="K588" s="201" t="str">
        <f>Coins!K588</f>
        <v/>
      </c>
      <c r="L588" s="198" t="str">
        <f>Coins!L588</f>
        <v/>
      </c>
      <c r="M588" s="198"/>
      <c r="N588" s="198"/>
      <c r="P588" s="66" t="str">
        <f t="shared" si="4"/>
        <v/>
      </c>
    </row>
    <row r="589">
      <c r="A589" s="198" t="str">
        <f>Coins!A589</f>
        <v/>
      </c>
      <c r="B589" s="199" t="str">
        <f>Coins!B589</f>
        <v/>
      </c>
      <c r="C589" s="198" t="str">
        <f>Coins!C589</f>
        <v/>
      </c>
      <c r="D589" s="198" t="str">
        <f>Coins!D589</f>
        <v/>
      </c>
      <c r="E589" s="198" t="str">
        <f>Coins!E589</f>
        <v/>
      </c>
      <c r="F589" s="198" t="str">
        <f>Coins!F589</f>
        <v/>
      </c>
      <c r="G589" s="198" t="str">
        <f>Coins!G589</f>
        <v/>
      </c>
      <c r="H589" s="201" t="str">
        <f>if(Coins!H589="N/A",0,Coins!H589)</f>
        <v/>
      </c>
      <c r="I589" s="202" t="str">
        <f>Coins!I589</f>
        <v/>
      </c>
      <c r="J589" s="198" t="str">
        <f>Coins!J589</f>
        <v/>
      </c>
      <c r="K589" s="201" t="str">
        <f>Coins!K589</f>
        <v/>
      </c>
      <c r="L589" s="198" t="str">
        <f>Coins!L589</f>
        <v/>
      </c>
      <c r="M589" s="198"/>
      <c r="N589" s="198"/>
      <c r="P589" s="66" t="str">
        <f t="shared" si="4"/>
        <v/>
      </c>
    </row>
    <row r="590">
      <c r="A590" s="198" t="str">
        <f>Coins!A590</f>
        <v/>
      </c>
      <c r="B590" s="199" t="str">
        <f>Coins!B590</f>
        <v/>
      </c>
      <c r="C590" s="198" t="str">
        <f>Coins!C590</f>
        <v/>
      </c>
      <c r="D590" s="198" t="str">
        <f>Coins!D590</f>
        <v/>
      </c>
      <c r="E590" s="198" t="str">
        <f>Coins!E590</f>
        <v/>
      </c>
      <c r="F590" s="198" t="str">
        <f>Coins!F590</f>
        <v/>
      </c>
      <c r="G590" s="198" t="str">
        <f>Coins!G590</f>
        <v/>
      </c>
      <c r="H590" s="201" t="str">
        <f>if(Coins!H590="N/A",0,Coins!H590)</f>
        <v/>
      </c>
      <c r="I590" s="202" t="str">
        <f>Coins!I590</f>
        <v/>
      </c>
      <c r="J590" s="198" t="str">
        <f>Coins!J590</f>
        <v/>
      </c>
      <c r="K590" s="201" t="str">
        <f>Coins!K590</f>
        <v/>
      </c>
      <c r="L590" s="198" t="str">
        <f>Coins!L590</f>
        <v/>
      </c>
      <c r="M590" s="198"/>
      <c r="N590" s="198"/>
      <c r="P590" s="66" t="str">
        <f t="shared" si="4"/>
        <v/>
      </c>
    </row>
    <row r="591">
      <c r="A591" s="198" t="str">
        <f>Coins!A591</f>
        <v/>
      </c>
      <c r="B591" s="199" t="str">
        <f>Coins!B591</f>
        <v/>
      </c>
      <c r="C591" s="198" t="str">
        <f>Coins!C591</f>
        <v/>
      </c>
      <c r="D591" s="198" t="str">
        <f>Coins!D591</f>
        <v/>
      </c>
      <c r="E591" s="198" t="str">
        <f>Coins!E591</f>
        <v/>
      </c>
      <c r="F591" s="198" t="str">
        <f>Coins!F591</f>
        <v/>
      </c>
      <c r="G591" s="198" t="str">
        <f>Coins!G591</f>
        <v/>
      </c>
      <c r="H591" s="201" t="str">
        <f>if(Coins!H591="N/A",0,Coins!H591)</f>
        <v/>
      </c>
      <c r="I591" s="202" t="str">
        <f>Coins!I591</f>
        <v/>
      </c>
      <c r="J591" s="198" t="str">
        <f>Coins!J591</f>
        <v/>
      </c>
      <c r="K591" s="201" t="str">
        <f>Coins!K591</f>
        <v/>
      </c>
      <c r="L591" s="198" t="str">
        <f>Coins!L591</f>
        <v/>
      </c>
      <c r="M591" s="198"/>
      <c r="N591" s="198"/>
      <c r="P591" s="66" t="str">
        <f t="shared" si="4"/>
        <v/>
      </c>
    </row>
    <row r="592">
      <c r="A592" s="198" t="str">
        <f>Coins!A592</f>
        <v/>
      </c>
      <c r="B592" s="199" t="str">
        <f>Coins!B592</f>
        <v/>
      </c>
      <c r="C592" s="198" t="str">
        <f>Coins!C592</f>
        <v/>
      </c>
      <c r="D592" s="198" t="str">
        <f>Coins!D592</f>
        <v/>
      </c>
      <c r="E592" s="198" t="str">
        <f>Coins!E592</f>
        <v/>
      </c>
      <c r="F592" s="198" t="str">
        <f>Coins!F592</f>
        <v/>
      </c>
      <c r="G592" s="198" t="str">
        <f>Coins!G592</f>
        <v/>
      </c>
      <c r="H592" s="201" t="str">
        <f>if(Coins!H592="N/A",0,Coins!H592)</f>
        <v/>
      </c>
      <c r="I592" s="202" t="str">
        <f>Coins!I592</f>
        <v/>
      </c>
      <c r="J592" s="198" t="str">
        <f>Coins!J592</f>
        <v/>
      </c>
      <c r="K592" s="201" t="str">
        <f>Coins!K592</f>
        <v/>
      </c>
      <c r="L592" s="198" t="str">
        <f>Coins!L592</f>
        <v/>
      </c>
      <c r="M592" s="198"/>
      <c r="N592" s="198"/>
      <c r="P592" s="66" t="str">
        <f t="shared" si="4"/>
        <v/>
      </c>
    </row>
    <row r="593">
      <c r="A593" s="198" t="str">
        <f>Coins!A593</f>
        <v/>
      </c>
      <c r="B593" s="199" t="str">
        <f>Coins!B593</f>
        <v/>
      </c>
      <c r="C593" s="198" t="str">
        <f>Coins!C593</f>
        <v/>
      </c>
      <c r="D593" s="198" t="str">
        <f>Coins!D593</f>
        <v/>
      </c>
      <c r="E593" s="198" t="str">
        <f>Coins!E593</f>
        <v/>
      </c>
      <c r="F593" s="198" t="str">
        <f>Coins!F593</f>
        <v/>
      </c>
      <c r="G593" s="198" t="str">
        <f>Coins!G593</f>
        <v/>
      </c>
      <c r="H593" s="201" t="str">
        <f>if(Coins!H593="N/A",0,Coins!H593)</f>
        <v/>
      </c>
      <c r="I593" s="202" t="str">
        <f>Coins!I593</f>
        <v/>
      </c>
      <c r="J593" s="198" t="str">
        <f>Coins!J593</f>
        <v/>
      </c>
      <c r="K593" s="201" t="str">
        <f>Coins!K593</f>
        <v/>
      </c>
      <c r="L593" s="198" t="str">
        <f>Coins!L593</f>
        <v/>
      </c>
      <c r="M593" s="198"/>
      <c r="N593" s="198"/>
      <c r="P593" s="66" t="str">
        <f t="shared" si="4"/>
        <v/>
      </c>
    </row>
    <row r="594">
      <c r="A594" s="198" t="str">
        <f>Coins!A594</f>
        <v/>
      </c>
      <c r="B594" s="199" t="str">
        <f>Coins!B594</f>
        <v/>
      </c>
      <c r="C594" s="198" t="str">
        <f>Coins!C594</f>
        <v/>
      </c>
      <c r="D594" s="198" t="str">
        <f>Coins!D594</f>
        <v/>
      </c>
      <c r="E594" s="198" t="str">
        <f>Coins!E594</f>
        <v/>
      </c>
      <c r="F594" s="198" t="str">
        <f>Coins!F594</f>
        <v/>
      </c>
      <c r="G594" s="198" t="str">
        <f>Coins!G594</f>
        <v/>
      </c>
      <c r="H594" s="201" t="str">
        <f>if(Coins!H594="N/A",0,Coins!H594)</f>
        <v/>
      </c>
      <c r="I594" s="202" t="str">
        <f>Coins!I594</f>
        <v/>
      </c>
      <c r="J594" s="198" t="str">
        <f>Coins!J594</f>
        <v/>
      </c>
      <c r="K594" s="201" t="str">
        <f>Coins!K594</f>
        <v/>
      </c>
      <c r="L594" s="198" t="str">
        <f>Coins!L594</f>
        <v/>
      </c>
      <c r="M594" s="198"/>
      <c r="N594" s="198"/>
      <c r="P594" s="66" t="str">
        <f t="shared" si="4"/>
        <v/>
      </c>
    </row>
    <row r="595">
      <c r="A595" s="198" t="str">
        <f>Coins!A595</f>
        <v/>
      </c>
      <c r="B595" s="199" t="str">
        <f>Coins!B595</f>
        <v/>
      </c>
      <c r="C595" s="198" t="str">
        <f>Coins!C595</f>
        <v/>
      </c>
      <c r="D595" s="198" t="str">
        <f>Coins!D595</f>
        <v/>
      </c>
      <c r="E595" s="198" t="str">
        <f>Coins!E595</f>
        <v/>
      </c>
      <c r="F595" s="198" t="str">
        <f>Coins!F595</f>
        <v/>
      </c>
      <c r="G595" s="198" t="str">
        <f>Coins!G595</f>
        <v/>
      </c>
      <c r="H595" s="201" t="str">
        <f>if(Coins!H595="N/A",0,Coins!H595)</f>
        <v/>
      </c>
      <c r="I595" s="202" t="str">
        <f>Coins!I595</f>
        <v/>
      </c>
      <c r="J595" s="198" t="str">
        <f>Coins!J595</f>
        <v/>
      </c>
      <c r="K595" s="201" t="str">
        <f>Coins!K595</f>
        <v/>
      </c>
      <c r="L595" s="198" t="str">
        <f>Coins!L595</f>
        <v/>
      </c>
      <c r="M595" s="198"/>
      <c r="N595" s="198"/>
      <c r="P595" s="66" t="str">
        <f t="shared" si="4"/>
        <v/>
      </c>
    </row>
    <row r="596">
      <c r="A596" s="198" t="str">
        <f>Coins!A596</f>
        <v/>
      </c>
      <c r="B596" s="199" t="str">
        <f>Coins!B596</f>
        <v/>
      </c>
      <c r="C596" s="198" t="str">
        <f>Coins!C596</f>
        <v/>
      </c>
      <c r="D596" s="198" t="str">
        <f>Coins!D596</f>
        <v/>
      </c>
      <c r="E596" s="198" t="str">
        <f>Coins!E596</f>
        <v/>
      </c>
      <c r="F596" s="198" t="str">
        <f>Coins!F596</f>
        <v/>
      </c>
      <c r="G596" s="198" t="str">
        <f>Coins!G596</f>
        <v/>
      </c>
      <c r="H596" s="201" t="str">
        <f>if(Coins!H596="N/A",0,Coins!H596)</f>
        <v/>
      </c>
      <c r="I596" s="202" t="str">
        <f>Coins!I596</f>
        <v/>
      </c>
      <c r="J596" s="198" t="str">
        <f>Coins!J596</f>
        <v/>
      </c>
      <c r="K596" s="201" t="str">
        <f>Coins!K596</f>
        <v/>
      </c>
      <c r="L596" s="198" t="str">
        <f>Coins!L596</f>
        <v/>
      </c>
      <c r="M596" s="198"/>
      <c r="N596" s="198"/>
      <c r="P596" s="66" t="str">
        <f t="shared" si="4"/>
        <v/>
      </c>
    </row>
    <row r="597">
      <c r="A597" s="198" t="str">
        <f>Coins!A597</f>
        <v/>
      </c>
      <c r="B597" s="199" t="str">
        <f>Coins!B597</f>
        <v/>
      </c>
      <c r="C597" s="198" t="str">
        <f>Coins!C597</f>
        <v/>
      </c>
      <c r="D597" s="198" t="str">
        <f>Coins!D597</f>
        <v/>
      </c>
      <c r="E597" s="198" t="str">
        <f>Coins!E597</f>
        <v/>
      </c>
      <c r="F597" s="198" t="str">
        <f>Coins!F597</f>
        <v/>
      </c>
      <c r="G597" s="198" t="str">
        <f>Coins!G597</f>
        <v/>
      </c>
      <c r="H597" s="201" t="str">
        <f>if(Coins!H597="N/A",0,Coins!H597)</f>
        <v/>
      </c>
      <c r="I597" s="202" t="str">
        <f>Coins!I597</f>
        <v/>
      </c>
      <c r="J597" s="198" t="str">
        <f>Coins!J597</f>
        <v/>
      </c>
      <c r="K597" s="201" t="str">
        <f>Coins!K597</f>
        <v/>
      </c>
      <c r="L597" s="198" t="str">
        <f>Coins!L597</f>
        <v/>
      </c>
      <c r="M597" s="198"/>
      <c r="N597" s="198"/>
      <c r="P597" s="66" t="str">
        <f t="shared" si="4"/>
        <v/>
      </c>
    </row>
    <row r="598">
      <c r="A598" s="198" t="str">
        <f>Coins!A598</f>
        <v/>
      </c>
      <c r="B598" s="199" t="str">
        <f>Coins!B598</f>
        <v/>
      </c>
      <c r="C598" s="198" t="str">
        <f>Coins!C598</f>
        <v/>
      </c>
      <c r="D598" s="198" t="str">
        <f>Coins!D598</f>
        <v/>
      </c>
      <c r="E598" s="198" t="str">
        <f>Coins!E598</f>
        <v/>
      </c>
      <c r="F598" s="198" t="str">
        <f>Coins!F598</f>
        <v/>
      </c>
      <c r="G598" s="198" t="str">
        <f>Coins!G598</f>
        <v/>
      </c>
      <c r="H598" s="201" t="str">
        <f>if(Coins!H598="N/A",0,Coins!H598)</f>
        <v/>
      </c>
      <c r="I598" s="202" t="str">
        <f>Coins!I598</f>
        <v/>
      </c>
      <c r="J598" s="198" t="str">
        <f>Coins!J598</f>
        <v/>
      </c>
      <c r="K598" s="201" t="str">
        <f>Coins!K598</f>
        <v/>
      </c>
      <c r="L598" s="198" t="str">
        <f>Coins!L598</f>
        <v/>
      </c>
      <c r="M598" s="198"/>
      <c r="N598" s="198"/>
      <c r="P598" s="66" t="str">
        <f t="shared" si="4"/>
        <v/>
      </c>
    </row>
    <row r="599">
      <c r="A599" s="198" t="str">
        <f>Coins!A599</f>
        <v/>
      </c>
      <c r="B599" s="199" t="str">
        <f>Coins!B599</f>
        <v/>
      </c>
      <c r="C599" s="198" t="str">
        <f>Coins!C599</f>
        <v/>
      </c>
      <c r="D599" s="198" t="str">
        <f>Coins!D599</f>
        <v/>
      </c>
      <c r="E599" s="198" t="str">
        <f>Coins!E599</f>
        <v/>
      </c>
      <c r="F599" s="198" t="str">
        <f>Coins!F599</f>
        <v/>
      </c>
      <c r="G599" s="198" t="str">
        <f>Coins!G599</f>
        <v/>
      </c>
      <c r="H599" s="201" t="str">
        <f>if(Coins!H599="N/A",0,Coins!H599)</f>
        <v/>
      </c>
      <c r="I599" s="202" t="str">
        <f>Coins!I599</f>
        <v/>
      </c>
      <c r="J599" s="198" t="str">
        <f>Coins!J599</f>
        <v/>
      </c>
      <c r="K599" s="201" t="str">
        <f>Coins!K599</f>
        <v/>
      </c>
      <c r="L599" s="198" t="str">
        <f>Coins!L599</f>
        <v/>
      </c>
      <c r="M599" s="198"/>
      <c r="N599" s="198"/>
      <c r="P599" s="66" t="str">
        <f t="shared" si="4"/>
        <v/>
      </c>
    </row>
    <row r="600">
      <c r="A600" s="198" t="str">
        <f>Coins!A600</f>
        <v/>
      </c>
      <c r="B600" s="199" t="str">
        <f>Coins!B600</f>
        <v/>
      </c>
      <c r="C600" s="198" t="str">
        <f>Coins!C600</f>
        <v/>
      </c>
      <c r="D600" s="198" t="str">
        <f>Coins!D600</f>
        <v/>
      </c>
      <c r="E600" s="198" t="str">
        <f>Coins!E600</f>
        <v/>
      </c>
      <c r="F600" s="198" t="str">
        <f>Coins!F600</f>
        <v/>
      </c>
      <c r="G600" s="198" t="str">
        <f>Coins!G600</f>
        <v/>
      </c>
      <c r="H600" s="201" t="str">
        <f>if(Coins!H600="N/A",0,Coins!H600)</f>
        <v/>
      </c>
      <c r="I600" s="202" t="str">
        <f>Coins!I600</f>
        <v/>
      </c>
      <c r="J600" s="198" t="str">
        <f>Coins!J600</f>
        <v/>
      </c>
      <c r="K600" s="201" t="str">
        <f>Coins!K600</f>
        <v/>
      </c>
      <c r="L600" s="198" t="str">
        <f>Coins!L600</f>
        <v/>
      </c>
      <c r="M600" s="198"/>
      <c r="N600" s="198"/>
      <c r="P600" s="66" t="str">
        <f t="shared" si="4"/>
        <v/>
      </c>
    </row>
    <row r="601">
      <c r="A601" s="198" t="str">
        <f>Coins!A601</f>
        <v/>
      </c>
      <c r="B601" s="199" t="str">
        <f>Coins!B601</f>
        <v/>
      </c>
      <c r="C601" s="198" t="str">
        <f>Coins!C601</f>
        <v/>
      </c>
      <c r="D601" s="198" t="str">
        <f>Coins!D601</f>
        <v/>
      </c>
      <c r="E601" s="198" t="str">
        <f>Coins!E601</f>
        <v/>
      </c>
      <c r="F601" s="198" t="str">
        <f>Coins!F601</f>
        <v/>
      </c>
      <c r="G601" s="198" t="str">
        <f>Coins!G601</f>
        <v/>
      </c>
      <c r="H601" s="201" t="str">
        <f>if(Coins!H601="N/A",0,Coins!H601)</f>
        <v/>
      </c>
      <c r="I601" s="202" t="str">
        <f>Coins!I601</f>
        <v/>
      </c>
      <c r="J601" s="198" t="str">
        <f>Coins!J601</f>
        <v/>
      </c>
      <c r="K601" s="201" t="str">
        <f>Coins!K601</f>
        <v/>
      </c>
      <c r="L601" s="198" t="str">
        <f>Coins!L601</f>
        <v/>
      </c>
      <c r="M601" s="198"/>
      <c r="N601" s="198"/>
      <c r="P601" s="66" t="str">
        <f t="shared" si="4"/>
        <v/>
      </c>
    </row>
    <row r="602">
      <c r="A602" s="198" t="str">
        <f>Coins!A602</f>
        <v/>
      </c>
      <c r="B602" s="199" t="str">
        <f>Coins!B602</f>
        <v/>
      </c>
      <c r="C602" s="198" t="str">
        <f>Coins!C602</f>
        <v/>
      </c>
      <c r="D602" s="198" t="str">
        <f>Coins!D602</f>
        <v/>
      </c>
      <c r="E602" s="198" t="str">
        <f>Coins!E602</f>
        <v/>
      </c>
      <c r="F602" s="198" t="str">
        <f>Coins!F602</f>
        <v/>
      </c>
      <c r="G602" s="198" t="str">
        <f>Coins!G602</f>
        <v/>
      </c>
      <c r="H602" s="201" t="str">
        <f>if(Coins!H602="N/A",0,Coins!H602)</f>
        <v/>
      </c>
      <c r="I602" s="202" t="str">
        <f>Coins!I602</f>
        <v/>
      </c>
      <c r="J602" s="198" t="str">
        <f>Coins!J602</f>
        <v/>
      </c>
      <c r="K602" s="201" t="str">
        <f>Coins!K602</f>
        <v/>
      </c>
      <c r="L602" s="198" t="str">
        <f>Coins!L602</f>
        <v/>
      </c>
      <c r="M602" s="198"/>
      <c r="N602" s="198"/>
      <c r="P602" s="66" t="str">
        <f t="shared" si="4"/>
        <v/>
      </c>
    </row>
    <row r="603">
      <c r="A603" s="198" t="str">
        <f>Coins!A603</f>
        <v/>
      </c>
      <c r="B603" s="199" t="str">
        <f>Coins!B603</f>
        <v/>
      </c>
      <c r="C603" s="198" t="str">
        <f>Coins!C603</f>
        <v/>
      </c>
      <c r="D603" s="198" t="str">
        <f>Coins!D603</f>
        <v/>
      </c>
      <c r="E603" s="198" t="str">
        <f>Coins!E603</f>
        <v/>
      </c>
      <c r="F603" s="198" t="str">
        <f>Coins!F603</f>
        <v/>
      </c>
      <c r="G603" s="198" t="str">
        <f>Coins!G603</f>
        <v/>
      </c>
      <c r="H603" s="201" t="str">
        <f>if(Coins!H603="N/A",0,Coins!H603)</f>
        <v/>
      </c>
      <c r="I603" s="202" t="str">
        <f>Coins!I603</f>
        <v/>
      </c>
      <c r="J603" s="198" t="str">
        <f>Coins!J603</f>
        <v/>
      </c>
      <c r="K603" s="201" t="str">
        <f>Coins!K603</f>
        <v/>
      </c>
      <c r="L603" s="198" t="str">
        <f>Coins!L603</f>
        <v/>
      </c>
      <c r="M603" s="198"/>
      <c r="N603" s="198"/>
      <c r="P603" s="66" t="str">
        <f t="shared" si="4"/>
        <v/>
      </c>
    </row>
    <row r="604">
      <c r="A604" s="198" t="str">
        <f>Coins!A604</f>
        <v/>
      </c>
      <c r="B604" s="199" t="str">
        <f>Coins!B604</f>
        <v/>
      </c>
      <c r="C604" s="198" t="str">
        <f>Coins!C604</f>
        <v/>
      </c>
      <c r="D604" s="198" t="str">
        <f>Coins!D604</f>
        <v/>
      </c>
      <c r="E604" s="198" t="str">
        <f>Coins!E604</f>
        <v/>
      </c>
      <c r="F604" s="198" t="str">
        <f>Coins!F604</f>
        <v/>
      </c>
      <c r="G604" s="198" t="str">
        <f>Coins!G604</f>
        <v/>
      </c>
      <c r="H604" s="201" t="str">
        <f>if(Coins!H604="N/A",0,Coins!H604)</f>
        <v/>
      </c>
      <c r="I604" s="202" t="str">
        <f>Coins!I604</f>
        <v/>
      </c>
      <c r="J604" s="198" t="str">
        <f>Coins!J604</f>
        <v/>
      </c>
      <c r="K604" s="201" t="str">
        <f>Coins!K604</f>
        <v/>
      </c>
      <c r="L604" s="198" t="str">
        <f>Coins!L604</f>
        <v/>
      </c>
      <c r="M604" s="198"/>
      <c r="N604" s="198"/>
      <c r="P604" s="66" t="str">
        <f t="shared" si="4"/>
        <v/>
      </c>
    </row>
    <row r="605">
      <c r="A605" s="198" t="str">
        <f>Coins!A605</f>
        <v/>
      </c>
      <c r="B605" s="199" t="str">
        <f>Coins!B605</f>
        <v/>
      </c>
      <c r="C605" s="198" t="str">
        <f>Coins!C605</f>
        <v/>
      </c>
      <c r="D605" s="198" t="str">
        <f>Coins!D605</f>
        <v/>
      </c>
      <c r="E605" s="198" t="str">
        <f>Coins!E605</f>
        <v/>
      </c>
      <c r="F605" s="198" t="str">
        <f>Coins!F605</f>
        <v/>
      </c>
      <c r="G605" s="198" t="str">
        <f>Coins!G605</f>
        <v/>
      </c>
      <c r="H605" s="201" t="str">
        <f>if(Coins!H605="N/A",0,Coins!H605)</f>
        <v/>
      </c>
      <c r="I605" s="202" t="str">
        <f>Coins!I605</f>
        <v/>
      </c>
      <c r="J605" s="198" t="str">
        <f>Coins!J605</f>
        <v/>
      </c>
      <c r="K605" s="201" t="str">
        <f>Coins!K605</f>
        <v/>
      </c>
      <c r="L605" s="198" t="str">
        <f>Coins!L605</f>
        <v/>
      </c>
      <c r="M605" s="198"/>
      <c r="N605" s="198"/>
      <c r="P605" s="66" t="str">
        <f t="shared" si="4"/>
        <v/>
      </c>
    </row>
    <row r="606">
      <c r="A606" s="198" t="str">
        <f>Coins!A606</f>
        <v/>
      </c>
      <c r="B606" s="199" t="str">
        <f>Coins!B606</f>
        <v/>
      </c>
      <c r="C606" s="198" t="str">
        <f>Coins!C606</f>
        <v/>
      </c>
      <c r="D606" s="198" t="str">
        <f>Coins!D606</f>
        <v/>
      </c>
      <c r="E606" s="198" t="str">
        <f>Coins!E606</f>
        <v/>
      </c>
      <c r="F606" s="198" t="str">
        <f>Coins!F606</f>
        <v/>
      </c>
      <c r="G606" s="198" t="str">
        <f>Coins!G606</f>
        <v/>
      </c>
      <c r="H606" s="201" t="str">
        <f>if(Coins!H606="N/A",0,Coins!H606)</f>
        <v/>
      </c>
      <c r="I606" s="202" t="str">
        <f>Coins!I606</f>
        <v/>
      </c>
      <c r="J606" s="198" t="str">
        <f>Coins!J606</f>
        <v/>
      </c>
      <c r="K606" s="201" t="str">
        <f>Coins!K606</f>
        <v/>
      </c>
      <c r="L606" s="198" t="str">
        <f>Coins!L606</f>
        <v/>
      </c>
      <c r="M606" s="198"/>
      <c r="N606" s="198"/>
      <c r="P606" s="66" t="str">
        <f t="shared" si="4"/>
        <v/>
      </c>
    </row>
    <row r="607">
      <c r="A607" s="198" t="str">
        <f>Coins!A607</f>
        <v/>
      </c>
      <c r="B607" s="199" t="str">
        <f>Coins!B607</f>
        <v/>
      </c>
      <c r="C607" s="198" t="str">
        <f>Coins!C607</f>
        <v/>
      </c>
      <c r="D607" s="198" t="str">
        <f>Coins!D607</f>
        <v/>
      </c>
      <c r="E607" s="198" t="str">
        <f>Coins!E607</f>
        <v/>
      </c>
      <c r="F607" s="198" t="str">
        <f>Coins!F607</f>
        <v/>
      </c>
      <c r="G607" s="198" t="str">
        <f>Coins!G607</f>
        <v/>
      </c>
      <c r="H607" s="201" t="str">
        <f>if(Coins!H607="N/A",0,Coins!H607)</f>
        <v/>
      </c>
      <c r="I607" s="202" t="str">
        <f>Coins!I607</f>
        <v/>
      </c>
      <c r="J607" s="198" t="str">
        <f>Coins!J607</f>
        <v/>
      </c>
      <c r="K607" s="201" t="str">
        <f>Coins!K607</f>
        <v/>
      </c>
      <c r="L607" s="198" t="str">
        <f>Coins!L607</f>
        <v/>
      </c>
      <c r="M607" s="198"/>
      <c r="N607" s="198"/>
      <c r="P607" s="66" t="str">
        <f t="shared" si="4"/>
        <v/>
      </c>
    </row>
    <row r="608">
      <c r="A608" s="198" t="str">
        <f>Coins!A608</f>
        <v/>
      </c>
      <c r="B608" s="199" t="str">
        <f>Coins!B608</f>
        <v/>
      </c>
      <c r="C608" s="198" t="str">
        <f>Coins!C608</f>
        <v/>
      </c>
      <c r="D608" s="198" t="str">
        <f>Coins!D608</f>
        <v/>
      </c>
      <c r="E608" s="198" t="str">
        <f>Coins!E608</f>
        <v/>
      </c>
      <c r="F608" s="198" t="str">
        <f>Coins!F608</f>
        <v/>
      </c>
      <c r="G608" s="198" t="str">
        <f>Coins!G608</f>
        <v/>
      </c>
      <c r="H608" s="201" t="str">
        <f>if(Coins!H608="N/A",0,Coins!H608)</f>
        <v/>
      </c>
      <c r="I608" s="202" t="str">
        <f>Coins!I608</f>
        <v/>
      </c>
      <c r="J608" s="198" t="str">
        <f>Coins!J608</f>
        <v/>
      </c>
      <c r="K608" s="201" t="str">
        <f>Coins!K608</f>
        <v/>
      </c>
      <c r="L608" s="198" t="str">
        <f>Coins!L608</f>
        <v/>
      </c>
      <c r="M608" s="198"/>
      <c r="N608" s="198"/>
      <c r="P608" s="66" t="str">
        <f t="shared" si="4"/>
        <v/>
      </c>
    </row>
    <row r="609">
      <c r="A609" s="198" t="str">
        <f>Coins!A609</f>
        <v/>
      </c>
      <c r="B609" s="199" t="str">
        <f>Coins!B609</f>
        <v/>
      </c>
      <c r="C609" s="198" t="str">
        <f>Coins!C609</f>
        <v/>
      </c>
      <c r="D609" s="198" t="str">
        <f>Coins!D609</f>
        <v/>
      </c>
      <c r="E609" s="198" t="str">
        <f>Coins!E609</f>
        <v/>
      </c>
      <c r="F609" s="198" t="str">
        <f>Coins!F609</f>
        <v/>
      </c>
      <c r="G609" s="198" t="str">
        <f>Coins!G609</f>
        <v/>
      </c>
      <c r="H609" s="201" t="str">
        <f>if(Coins!H609="N/A",0,Coins!H609)</f>
        <v/>
      </c>
      <c r="I609" s="202" t="str">
        <f>Coins!I609</f>
        <v/>
      </c>
      <c r="J609" s="198" t="str">
        <f>Coins!J609</f>
        <v/>
      </c>
      <c r="K609" s="201" t="str">
        <f>Coins!K609</f>
        <v/>
      </c>
      <c r="L609" s="198" t="str">
        <f>Coins!L609</f>
        <v/>
      </c>
      <c r="M609" s="198"/>
      <c r="N609" s="198"/>
      <c r="P609" s="66" t="str">
        <f t="shared" si="4"/>
        <v/>
      </c>
    </row>
    <row r="610">
      <c r="A610" s="198" t="str">
        <f>Coins!A610</f>
        <v/>
      </c>
      <c r="B610" s="199" t="str">
        <f>Coins!B610</f>
        <v/>
      </c>
      <c r="C610" s="198" t="str">
        <f>Coins!C610</f>
        <v/>
      </c>
      <c r="D610" s="198" t="str">
        <f>Coins!D610</f>
        <v/>
      </c>
      <c r="E610" s="198" t="str">
        <f>Coins!E610</f>
        <v/>
      </c>
      <c r="F610" s="198" t="str">
        <f>Coins!F610</f>
        <v/>
      </c>
      <c r="G610" s="198" t="str">
        <f>Coins!G610</f>
        <v/>
      </c>
      <c r="H610" s="201" t="str">
        <f>if(Coins!H610="N/A",0,Coins!H610)</f>
        <v/>
      </c>
      <c r="I610" s="202" t="str">
        <f>Coins!I610</f>
        <v/>
      </c>
      <c r="J610" s="198" t="str">
        <f>Coins!J610</f>
        <v/>
      </c>
      <c r="K610" s="201" t="str">
        <f>Coins!K610</f>
        <v/>
      </c>
      <c r="L610" s="198" t="str">
        <f>Coins!L610</f>
        <v/>
      </c>
      <c r="M610" s="198"/>
      <c r="N610" s="198"/>
      <c r="P610" s="66" t="str">
        <f t="shared" si="4"/>
        <v/>
      </c>
    </row>
    <row r="611">
      <c r="A611" s="198" t="str">
        <f>Coins!A611</f>
        <v/>
      </c>
      <c r="B611" s="199" t="str">
        <f>Coins!B611</f>
        <v/>
      </c>
      <c r="C611" s="198" t="str">
        <f>Coins!C611</f>
        <v/>
      </c>
      <c r="D611" s="198" t="str">
        <f>Coins!D611</f>
        <v/>
      </c>
      <c r="E611" s="198" t="str">
        <f>Coins!E611</f>
        <v/>
      </c>
      <c r="F611" s="198" t="str">
        <f>Coins!F611</f>
        <v/>
      </c>
      <c r="G611" s="198" t="str">
        <f>Coins!G611</f>
        <v/>
      </c>
      <c r="H611" s="201" t="str">
        <f>if(Coins!H611="N/A",0,Coins!H611)</f>
        <v/>
      </c>
      <c r="I611" s="202" t="str">
        <f>Coins!I611</f>
        <v/>
      </c>
      <c r="J611" s="198" t="str">
        <f>Coins!J611</f>
        <v/>
      </c>
      <c r="K611" s="201" t="str">
        <f>Coins!K611</f>
        <v/>
      </c>
      <c r="L611" s="198" t="str">
        <f>Coins!L611</f>
        <v/>
      </c>
      <c r="M611" s="198"/>
      <c r="N611" s="198"/>
      <c r="P611" s="66" t="str">
        <f t="shared" si="4"/>
        <v/>
      </c>
    </row>
    <row r="612">
      <c r="A612" s="198" t="str">
        <f>Coins!A612</f>
        <v/>
      </c>
      <c r="B612" s="199" t="str">
        <f>Coins!B612</f>
        <v/>
      </c>
      <c r="C612" s="198" t="str">
        <f>Coins!C612</f>
        <v/>
      </c>
      <c r="D612" s="198" t="str">
        <f>Coins!D612</f>
        <v/>
      </c>
      <c r="E612" s="198" t="str">
        <f>Coins!E612</f>
        <v/>
      </c>
      <c r="F612" s="198" t="str">
        <f>Coins!F612</f>
        <v/>
      </c>
      <c r="G612" s="198" t="str">
        <f>Coins!G612</f>
        <v/>
      </c>
      <c r="H612" s="201" t="str">
        <f>if(Coins!H612="N/A",0,Coins!H612)</f>
        <v/>
      </c>
      <c r="I612" s="202" t="str">
        <f>Coins!I612</f>
        <v/>
      </c>
      <c r="J612" s="198" t="str">
        <f>Coins!J612</f>
        <v/>
      </c>
      <c r="K612" s="201" t="str">
        <f>Coins!K612</f>
        <v/>
      </c>
      <c r="L612" s="198" t="str">
        <f>Coins!L612</f>
        <v/>
      </c>
      <c r="M612" s="198"/>
      <c r="N612" s="198"/>
      <c r="P612" s="66" t="str">
        <f t="shared" si="4"/>
        <v/>
      </c>
    </row>
    <row r="613">
      <c r="A613" s="198" t="str">
        <f>Coins!A613</f>
        <v/>
      </c>
      <c r="B613" s="199" t="str">
        <f>Coins!B613</f>
        <v/>
      </c>
      <c r="C613" s="198" t="str">
        <f>Coins!C613</f>
        <v/>
      </c>
      <c r="D613" s="198" t="str">
        <f>Coins!D613</f>
        <v/>
      </c>
      <c r="E613" s="198" t="str">
        <f>Coins!E613</f>
        <v/>
      </c>
      <c r="F613" s="198" t="str">
        <f>Coins!F613</f>
        <v/>
      </c>
      <c r="G613" s="198" t="str">
        <f>Coins!G613</f>
        <v/>
      </c>
      <c r="H613" s="201" t="str">
        <f>if(Coins!H613="N/A",0,Coins!H613)</f>
        <v/>
      </c>
      <c r="I613" s="202" t="str">
        <f>Coins!I613</f>
        <v/>
      </c>
      <c r="J613" s="198" t="str">
        <f>Coins!J613</f>
        <v/>
      </c>
      <c r="K613" s="201" t="str">
        <f>Coins!K613</f>
        <v/>
      </c>
      <c r="L613" s="198" t="str">
        <f>Coins!L613</f>
        <v/>
      </c>
      <c r="M613" s="198"/>
      <c r="N613" s="198"/>
      <c r="P613" s="66" t="str">
        <f t="shared" si="4"/>
        <v/>
      </c>
    </row>
    <row r="614">
      <c r="A614" s="198" t="str">
        <f>Coins!A614</f>
        <v/>
      </c>
      <c r="B614" s="199" t="str">
        <f>Coins!B614</f>
        <v/>
      </c>
      <c r="C614" s="198" t="str">
        <f>Coins!C614</f>
        <v/>
      </c>
      <c r="D614" s="198" t="str">
        <f>Coins!D614</f>
        <v/>
      </c>
      <c r="E614" s="198" t="str">
        <f>Coins!E614</f>
        <v/>
      </c>
      <c r="F614" s="198" t="str">
        <f>Coins!F614</f>
        <v/>
      </c>
      <c r="G614" s="198" t="str">
        <f>Coins!G614</f>
        <v/>
      </c>
      <c r="H614" s="201" t="str">
        <f>if(Coins!H614="N/A",0,Coins!H614)</f>
        <v/>
      </c>
      <c r="I614" s="202" t="str">
        <f>Coins!I614</f>
        <v/>
      </c>
      <c r="J614" s="198" t="str">
        <f>Coins!J614</f>
        <v/>
      </c>
      <c r="K614" s="201" t="str">
        <f>Coins!K614</f>
        <v/>
      </c>
      <c r="L614" s="198" t="str">
        <f>Coins!L614</f>
        <v/>
      </c>
      <c r="M614" s="198"/>
      <c r="N614" s="198"/>
      <c r="P614" s="66" t="str">
        <f t="shared" si="4"/>
        <v/>
      </c>
    </row>
    <row r="615">
      <c r="A615" s="198" t="str">
        <f>Coins!A615</f>
        <v/>
      </c>
      <c r="B615" s="199" t="str">
        <f>Coins!B615</f>
        <v/>
      </c>
      <c r="C615" s="198" t="str">
        <f>Coins!C615</f>
        <v/>
      </c>
      <c r="D615" s="198" t="str">
        <f>Coins!D615</f>
        <v/>
      </c>
      <c r="E615" s="198" t="str">
        <f>Coins!E615</f>
        <v/>
      </c>
      <c r="F615" s="198" t="str">
        <f>Coins!F615</f>
        <v/>
      </c>
      <c r="G615" s="198" t="str">
        <f>Coins!G615</f>
        <v/>
      </c>
      <c r="H615" s="201" t="str">
        <f>if(Coins!H615="N/A",0,Coins!H615)</f>
        <v/>
      </c>
      <c r="I615" s="202" t="str">
        <f>Coins!I615</f>
        <v/>
      </c>
      <c r="J615" s="198" t="str">
        <f>Coins!J615</f>
        <v/>
      </c>
      <c r="K615" s="201" t="str">
        <f>Coins!K615</f>
        <v/>
      </c>
      <c r="L615" s="198" t="str">
        <f>Coins!L615</f>
        <v/>
      </c>
      <c r="M615" s="198"/>
      <c r="N615" s="198"/>
      <c r="P615" s="66" t="str">
        <f t="shared" si="4"/>
        <v/>
      </c>
    </row>
    <row r="616">
      <c r="A616" s="198" t="str">
        <f>Coins!A616</f>
        <v/>
      </c>
      <c r="B616" s="199" t="str">
        <f>Coins!B616</f>
        <v/>
      </c>
      <c r="C616" s="198" t="str">
        <f>Coins!C616</f>
        <v/>
      </c>
      <c r="D616" s="198" t="str">
        <f>Coins!D616</f>
        <v/>
      </c>
      <c r="E616" s="198" t="str">
        <f>Coins!E616</f>
        <v/>
      </c>
      <c r="F616" s="198" t="str">
        <f>Coins!F616</f>
        <v/>
      </c>
      <c r="G616" s="198" t="str">
        <f>Coins!G616</f>
        <v/>
      </c>
      <c r="H616" s="201" t="str">
        <f>if(Coins!H616="N/A",0,Coins!H616)</f>
        <v/>
      </c>
      <c r="I616" s="202" t="str">
        <f>Coins!I616</f>
        <v/>
      </c>
      <c r="J616" s="198" t="str">
        <f>Coins!J616</f>
        <v/>
      </c>
      <c r="K616" s="201" t="str">
        <f>Coins!K616</f>
        <v/>
      </c>
      <c r="L616" s="198" t="str">
        <f>Coins!L616</f>
        <v/>
      </c>
      <c r="M616" s="198"/>
      <c r="N616" s="198"/>
      <c r="P616" s="66" t="str">
        <f t="shared" si="4"/>
        <v/>
      </c>
    </row>
    <row r="617">
      <c r="A617" s="198" t="str">
        <f>Coins!A617</f>
        <v/>
      </c>
      <c r="B617" s="199" t="str">
        <f>Coins!B617</f>
        <v/>
      </c>
      <c r="C617" s="198" t="str">
        <f>Coins!C617</f>
        <v/>
      </c>
      <c r="D617" s="198" t="str">
        <f>Coins!D617</f>
        <v/>
      </c>
      <c r="E617" s="198" t="str">
        <f>Coins!E617</f>
        <v/>
      </c>
      <c r="F617" s="198" t="str">
        <f>Coins!F617</f>
        <v/>
      </c>
      <c r="G617" s="198" t="str">
        <f>Coins!G617</f>
        <v/>
      </c>
      <c r="H617" s="201" t="str">
        <f>if(Coins!H617="N/A",0,Coins!H617)</f>
        <v/>
      </c>
      <c r="I617" s="202" t="str">
        <f>Coins!I617</f>
        <v/>
      </c>
      <c r="J617" s="198" t="str">
        <f>Coins!J617</f>
        <v/>
      </c>
      <c r="K617" s="201" t="str">
        <f>Coins!K617</f>
        <v/>
      </c>
      <c r="L617" s="198" t="str">
        <f>Coins!L617</f>
        <v/>
      </c>
      <c r="M617" s="198"/>
      <c r="N617" s="198"/>
      <c r="P617" s="66" t="str">
        <f t="shared" si="4"/>
        <v/>
      </c>
    </row>
    <row r="618">
      <c r="A618" s="198" t="str">
        <f>Coins!A618</f>
        <v/>
      </c>
      <c r="B618" s="199" t="str">
        <f>Coins!B618</f>
        <v/>
      </c>
      <c r="C618" s="198" t="str">
        <f>Coins!C618</f>
        <v/>
      </c>
      <c r="D618" s="198" t="str">
        <f>Coins!D618</f>
        <v/>
      </c>
      <c r="E618" s="198" t="str">
        <f>Coins!E618</f>
        <v/>
      </c>
      <c r="F618" s="198" t="str">
        <f>Coins!F618</f>
        <v/>
      </c>
      <c r="G618" s="198" t="str">
        <f>Coins!G618</f>
        <v/>
      </c>
      <c r="H618" s="201" t="str">
        <f>if(Coins!H618="N/A",0,Coins!H618)</f>
        <v/>
      </c>
      <c r="I618" s="202" t="str">
        <f>Coins!I618</f>
        <v/>
      </c>
      <c r="J618" s="198" t="str">
        <f>Coins!J618</f>
        <v/>
      </c>
      <c r="K618" s="201" t="str">
        <f>Coins!K618</f>
        <v/>
      </c>
      <c r="L618" s="198" t="str">
        <f>Coins!L618</f>
        <v/>
      </c>
      <c r="M618" s="198"/>
      <c r="N618" s="198"/>
      <c r="P618" s="66" t="str">
        <f t="shared" si="4"/>
        <v/>
      </c>
    </row>
    <row r="619">
      <c r="A619" s="198" t="str">
        <f>Coins!A619</f>
        <v/>
      </c>
      <c r="B619" s="199" t="str">
        <f>Coins!B619</f>
        <v/>
      </c>
      <c r="C619" s="198" t="str">
        <f>Coins!C619</f>
        <v/>
      </c>
      <c r="D619" s="198" t="str">
        <f>Coins!D619</f>
        <v/>
      </c>
      <c r="E619" s="198" t="str">
        <f>Coins!E619</f>
        <v/>
      </c>
      <c r="F619" s="198" t="str">
        <f>Coins!F619</f>
        <v/>
      </c>
      <c r="G619" s="198" t="str">
        <f>Coins!G619</f>
        <v/>
      </c>
      <c r="H619" s="201" t="str">
        <f>if(Coins!H619="N/A",0,Coins!H619)</f>
        <v/>
      </c>
      <c r="I619" s="202" t="str">
        <f>Coins!I619</f>
        <v/>
      </c>
      <c r="J619" s="198" t="str">
        <f>Coins!J619</f>
        <v/>
      </c>
      <c r="K619" s="201" t="str">
        <f>Coins!K619</f>
        <v/>
      </c>
      <c r="L619" s="198" t="str">
        <f>Coins!L619</f>
        <v/>
      </c>
      <c r="M619" s="198"/>
      <c r="N619" s="198"/>
      <c r="P619" s="66" t="str">
        <f t="shared" si="4"/>
        <v/>
      </c>
    </row>
    <row r="620">
      <c r="A620" s="198" t="str">
        <f>Coins!A620</f>
        <v/>
      </c>
      <c r="B620" s="199" t="str">
        <f>Coins!B620</f>
        <v/>
      </c>
      <c r="C620" s="198" t="str">
        <f>Coins!C620</f>
        <v/>
      </c>
      <c r="D620" s="198" t="str">
        <f>Coins!D620</f>
        <v/>
      </c>
      <c r="E620" s="198" t="str">
        <f>Coins!E620</f>
        <v/>
      </c>
      <c r="F620" s="198" t="str">
        <f>Coins!F620</f>
        <v/>
      </c>
      <c r="G620" s="198" t="str">
        <f>Coins!G620</f>
        <v/>
      </c>
      <c r="H620" s="201" t="str">
        <f>if(Coins!H620="N/A",0,Coins!H620)</f>
        <v/>
      </c>
      <c r="I620" s="202" t="str">
        <f>Coins!I620</f>
        <v/>
      </c>
      <c r="J620" s="198" t="str">
        <f>Coins!J620</f>
        <v/>
      </c>
      <c r="K620" s="201" t="str">
        <f>Coins!K620</f>
        <v/>
      </c>
      <c r="L620" s="198" t="str">
        <f>Coins!L620</f>
        <v/>
      </c>
      <c r="M620" s="198"/>
      <c r="N620" s="198"/>
      <c r="P620" s="66" t="str">
        <f t="shared" si="4"/>
        <v/>
      </c>
    </row>
    <row r="621">
      <c r="A621" s="198" t="str">
        <f>Coins!A621</f>
        <v/>
      </c>
      <c r="B621" s="199" t="str">
        <f>Coins!B621</f>
        <v/>
      </c>
      <c r="C621" s="198" t="str">
        <f>Coins!C621</f>
        <v/>
      </c>
      <c r="D621" s="198" t="str">
        <f>Coins!D621</f>
        <v/>
      </c>
      <c r="E621" s="198" t="str">
        <f>Coins!E621</f>
        <v/>
      </c>
      <c r="F621" s="198" t="str">
        <f>Coins!F621</f>
        <v/>
      </c>
      <c r="G621" s="198" t="str">
        <f>Coins!G621</f>
        <v/>
      </c>
      <c r="H621" s="201" t="str">
        <f>if(Coins!H621="N/A",0,Coins!H621)</f>
        <v/>
      </c>
      <c r="I621" s="202" t="str">
        <f>Coins!I621</f>
        <v/>
      </c>
      <c r="J621" s="198" t="str">
        <f>Coins!J621</f>
        <v/>
      </c>
      <c r="K621" s="201" t="str">
        <f>Coins!K621</f>
        <v/>
      </c>
      <c r="L621" s="198" t="str">
        <f>Coins!L621</f>
        <v/>
      </c>
      <c r="M621" s="198"/>
      <c r="N621" s="198"/>
      <c r="P621" s="66" t="str">
        <f t="shared" si="4"/>
        <v/>
      </c>
    </row>
    <row r="622">
      <c r="A622" s="198" t="str">
        <f>Coins!A622</f>
        <v/>
      </c>
      <c r="B622" s="199" t="str">
        <f>Coins!B622</f>
        <v/>
      </c>
      <c r="C622" s="198" t="str">
        <f>Coins!C622</f>
        <v/>
      </c>
      <c r="D622" s="198" t="str">
        <f>Coins!D622</f>
        <v/>
      </c>
      <c r="E622" s="198" t="str">
        <f>Coins!E622</f>
        <v/>
      </c>
      <c r="F622" s="198" t="str">
        <f>Coins!F622</f>
        <v/>
      </c>
      <c r="G622" s="198" t="str">
        <f>Coins!G622</f>
        <v/>
      </c>
      <c r="H622" s="201" t="str">
        <f>if(Coins!H622="N/A",0,Coins!H622)</f>
        <v/>
      </c>
      <c r="I622" s="202" t="str">
        <f>Coins!I622</f>
        <v/>
      </c>
      <c r="J622" s="198" t="str">
        <f>Coins!J622</f>
        <v/>
      </c>
      <c r="K622" s="201" t="str">
        <f>Coins!K622</f>
        <v/>
      </c>
      <c r="L622" s="198" t="str">
        <f>Coins!L622</f>
        <v/>
      </c>
      <c r="M622" s="198"/>
      <c r="N622" s="198"/>
      <c r="P622" s="66" t="str">
        <f t="shared" si="4"/>
        <v/>
      </c>
    </row>
    <row r="623">
      <c r="A623" s="198" t="str">
        <f>Coins!A623</f>
        <v/>
      </c>
      <c r="B623" s="199" t="str">
        <f>Coins!B623</f>
        <v/>
      </c>
      <c r="C623" s="198" t="str">
        <f>Coins!C623</f>
        <v/>
      </c>
      <c r="D623" s="198" t="str">
        <f>Coins!D623</f>
        <v/>
      </c>
      <c r="E623" s="198" t="str">
        <f>Coins!E623</f>
        <v/>
      </c>
      <c r="F623" s="198" t="str">
        <f>Coins!F623</f>
        <v/>
      </c>
      <c r="G623" s="198" t="str">
        <f>Coins!G623</f>
        <v/>
      </c>
      <c r="H623" s="201" t="str">
        <f>if(Coins!H623="N/A",0,Coins!H623)</f>
        <v/>
      </c>
      <c r="I623" s="202" t="str">
        <f>Coins!I623</f>
        <v/>
      </c>
      <c r="J623" s="198" t="str">
        <f>Coins!J623</f>
        <v/>
      </c>
      <c r="K623" s="201" t="str">
        <f>Coins!K623</f>
        <v/>
      </c>
      <c r="L623" s="198" t="str">
        <f>Coins!L623</f>
        <v/>
      </c>
      <c r="M623" s="198"/>
      <c r="N623" s="198"/>
      <c r="P623" s="66" t="str">
        <f t="shared" si="4"/>
        <v/>
      </c>
    </row>
    <row r="624">
      <c r="A624" s="198" t="str">
        <f>Coins!A624</f>
        <v/>
      </c>
      <c r="B624" s="199" t="str">
        <f>Coins!B624</f>
        <v/>
      </c>
      <c r="C624" s="198" t="str">
        <f>Coins!C624</f>
        <v/>
      </c>
      <c r="D624" s="198" t="str">
        <f>Coins!D624</f>
        <v/>
      </c>
      <c r="E624" s="198" t="str">
        <f>Coins!E624</f>
        <v/>
      </c>
      <c r="F624" s="198" t="str">
        <f>Coins!F624</f>
        <v/>
      </c>
      <c r="G624" s="198" t="str">
        <f>Coins!G624</f>
        <v/>
      </c>
      <c r="H624" s="201" t="str">
        <f>if(Coins!H624="N/A",0,Coins!H624)</f>
        <v/>
      </c>
      <c r="I624" s="202" t="str">
        <f>Coins!I624</f>
        <v/>
      </c>
      <c r="J624" s="198" t="str">
        <f>Coins!J624</f>
        <v/>
      </c>
      <c r="K624" s="201" t="str">
        <f>Coins!K624</f>
        <v/>
      </c>
      <c r="L624" s="198" t="str">
        <f>Coins!L624</f>
        <v/>
      </c>
      <c r="M624" s="198"/>
      <c r="N624" s="198"/>
      <c r="P624" s="66" t="str">
        <f t="shared" si="4"/>
        <v/>
      </c>
    </row>
    <row r="625">
      <c r="A625" s="198" t="str">
        <f>Coins!A625</f>
        <v/>
      </c>
      <c r="B625" s="199" t="str">
        <f>Coins!B625</f>
        <v/>
      </c>
      <c r="C625" s="198" t="str">
        <f>Coins!C625</f>
        <v/>
      </c>
      <c r="D625" s="198" t="str">
        <f>Coins!D625</f>
        <v/>
      </c>
      <c r="E625" s="198" t="str">
        <f>Coins!E625</f>
        <v/>
      </c>
      <c r="F625" s="198" t="str">
        <f>Coins!F625</f>
        <v/>
      </c>
      <c r="G625" s="198" t="str">
        <f>Coins!G625</f>
        <v/>
      </c>
      <c r="H625" s="201" t="str">
        <f>if(Coins!H625="N/A",0,Coins!H625)</f>
        <v/>
      </c>
      <c r="I625" s="202" t="str">
        <f>Coins!I625</f>
        <v/>
      </c>
      <c r="J625" s="198" t="str">
        <f>Coins!J625</f>
        <v/>
      </c>
      <c r="K625" s="201" t="str">
        <f>Coins!K625</f>
        <v/>
      </c>
      <c r="L625" s="198" t="str">
        <f>Coins!L625</f>
        <v/>
      </c>
      <c r="M625" s="198"/>
      <c r="N625" s="198"/>
      <c r="P625" s="66" t="str">
        <f t="shared" si="4"/>
        <v/>
      </c>
    </row>
    <row r="626">
      <c r="A626" s="198" t="str">
        <f>Coins!A626</f>
        <v/>
      </c>
      <c r="B626" s="199" t="str">
        <f>Coins!B626</f>
        <v/>
      </c>
      <c r="C626" s="198" t="str">
        <f>Coins!C626</f>
        <v/>
      </c>
      <c r="D626" s="198" t="str">
        <f>Coins!D626</f>
        <v/>
      </c>
      <c r="E626" s="198" t="str">
        <f>Coins!E626</f>
        <v/>
      </c>
      <c r="F626" s="198" t="str">
        <f>Coins!F626</f>
        <v/>
      </c>
      <c r="G626" s="198" t="str">
        <f>Coins!G626</f>
        <v/>
      </c>
      <c r="H626" s="201" t="str">
        <f>if(Coins!H626="N/A",0,Coins!H626)</f>
        <v/>
      </c>
      <c r="I626" s="202" t="str">
        <f>Coins!I626</f>
        <v/>
      </c>
      <c r="J626" s="198" t="str">
        <f>Coins!J626</f>
        <v/>
      </c>
      <c r="K626" s="201" t="str">
        <f>Coins!K626</f>
        <v/>
      </c>
      <c r="L626" s="198" t="str">
        <f>Coins!L626</f>
        <v/>
      </c>
      <c r="M626" s="198"/>
      <c r="N626" s="198"/>
      <c r="P626" s="66" t="str">
        <f t="shared" si="4"/>
        <v/>
      </c>
    </row>
    <row r="627">
      <c r="A627" s="198" t="str">
        <f>Coins!A627</f>
        <v/>
      </c>
      <c r="B627" s="199" t="str">
        <f>Coins!B627</f>
        <v/>
      </c>
      <c r="C627" s="198" t="str">
        <f>Coins!C627</f>
        <v/>
      </c>
      <c r="D627" s="198" t="str">
        <f>Coins!D627</f>
        <v/>
      </c>
      <c r="E627" s="198" t="str">
        <f>Coins!E627</f>
        <v/>
      </c>
      <c r="F627" s="198" t="str">
        <f>Coins!F627</f>
        <v/>
      </c>
      <c r="G627" s="198" t="str">
        <f>Coins!G627</f>
        <v/>
      </c>
      <c r="H627" s="201" t="str">
        <f>if(Coins!H627="N/A",0,Coins!H627)</f>
        <v/>
      </c>
      <c r="I627" s="202" t="str">
        <f>Coins!I627</f>
        <v/>
      </c>
      <c r="J627" s="198" t="str">
        <f>Coins!J627</f>
        <v/>
      </c>
      <c r="K627" s="201" t="str">
        <f>Coins!K627</f>
        <v/>
      </c>
      <c r="L627" s="198" t="str">
        <f>Coins!L627</f>
        <v/>
      </c>
      <c r="M627" s="198"/>
      <c r="N627" s="198"/>
      <c r="P627" s="66" t="str">
        <f t="shared" si="4"/>
        <v/>
      </c>
    </row>
    <row r="628">
      <c r="A628" s="198" t="str">
        <f>Coins!A628</f>
        <v/>
      </c>
      <c r="B628" s="199" t="str">
        <f>Coins!B628</f>
        <v/>
      </c>
      <c r="C628" s="198" t="str">
        <f>Coins!C628</f>
        <v/>
      </c>
      <c r="D628" s="198" t="str">
        <f>Coins!D628</f>
        <v/>
      </c>
      <c r="E628" s="198" t="str">
        <f>Coins!E628</f>
        <v/>
      </c>
      <c r="F628" s="198" t="str">
        <f>Coins!F628</f>
        <v/>
      </c>
      <c r="G628" s="198" t="str">
        <f>Coins!G628</f>
        <v/>
      </c>
      <c r="H628" s="201" t="str">
        <f>if(Coins!H628="N/A",0,Coins!H628)</f>
        <v/>
      </c>
      <c r="I628" s="202" t="str">
        <f>Coins!I628</f>
        <v/>
      </c>
      <c r="J628" s="198" t="str">
        <f>Coins!J628</f>
        <v/>
      </c>
      <c r="K628" s="201" t="str">
        <f>Coins!K628</f>
        <v/>
      </c>
      <c r="L628" s="198" t="str">
        <f>Coins!L628</f>
        <v/>
      </c>
      <c r="M628" s="198"/>
      <c r="N628" s="198"/>
      <c r="P628" s="66" t="str">
        <f t="shared" si="4"/>
        <v/>
      </c>
    </row>
    <row r="629">
      <c r="A629" s="198" t="str">
        <f>Coins!A629</f>
        <v/>
      </c>
      <c r="B629" s="199" t="str">
        <f>Coins!B629</f>
        <v/>
      </c>
      <c r="C629" s="198" t="str">
        <f>Coins!C629</f>
        <v/>
      </c>
      <c r="D629" s="198" t="str">
        <f>Coins!D629</f>
        <v/>
      </c>
      <c r="E629" s="198" t="str">
        <f>Coins!E629</f>
        <v/>
      </c>
      <c r="F629" s="198" t="str">
        <f>Coins!F629</f>
        <v/>
      </c>
      <c r="G629" s="198" t="str">
        <f>Coins!G629</f>
        <v/>
      </c>
      <c r="H629" s="201" t="str">
        <f>if(Coins!H629="N/A",0,Coins!H629)</f>
        <v/>
      </c>
      <c r="I629" s="202" t="str">
        <f>Coins!I629</f>
        <v/>
      </c>
      <c r="J629" s="198" t="str">
        <f>Coins!J629</f>
        <v/>
      </c>
      <c r="K629" s="201" t="str">
        <f>Coins!K629</f>
        <v/>
      </c>
      <c r="L629" s="198" t="str">
        <f>Coins!L629</f>
        <v/>
      </c>
      <c r="M629" s="198"/>
      <c r="N629" s="198"/>
      <c r="P629" s="66" t="str">
        <f t="shared" si="4"/>
        <v/>
      </c>
    </row>
    <row r="630">
      <c r="A630" s="198" t="str">
        <f>Coins!A630</f>
        <v/>
      </c>
      <c r="B630" s="199" t="str">
        <f>Coins!B630</f>
        <v/>
      </c>
      <c r="C630" s="198" t="str">
        <f>Coins!C630</f>
        <v/>
      </c>
      <c r="D630" s="198" t="str">
        <f>Coins!D630</f>
        <v/>
      </c>
      <c r="E630" s="198" t="str">
        <f>Coins!E630</f>
        <v/>
      </c>
      <c r="F630" s="198" t="str">
        <f>Coins!F630</f>
        <v/>
      </c>
      <c r="G630" s="198" t="str">
        <f>Coins!G630</f>
        <v/>
      </c>
      <c r="H630" s="201" t="str">
        <f>if(Coins!H630="N/A",0,Coins!H630)</f>
        <v/>
      </c>
      <c r="I630" s="202" t="str">
        <f>Coins!I630</f>
        <v/>
      </c>
      <c r="J630" s="198" t="str">
        <f>Coins!J630</f>
        <v/>
      </c>
      <c r="K630" s="201" t="str">
        <f>Coins!K630</f>
        <v/>
      </c>
      <c r="L630" s="198" t="str">
        <f>Coins!L630</f>
        <v/>
      </c>
      <c r="M630" s="198"/>
      <c r="N630" s="198"/>
      <c r="P630" s="66" t="str">
        <f t="shared" si="4"/>
        <v/>
      </c>
    </row>
    <row r="631">
      <c r="A631" s="198" t="str">
        <f>Coins!A631</f>
        <v/>
      </c>
      <c r="B631" s="199" t="str">
        <f>Coins!B631</f>
        <v/>
      </c>
      <c r="C631" s="198" t="str">
        <f>Coins!C631</f>
        <v/>
      </c>
      <c r="D631" s="198" t="str">
        <f>Coins!D631</f>
        <v/>
      </c>
      <c r="E631" s="198" t="str">
        <f>Coins!E631</f>
        <v/>
      </c>
      <c r="F631" s="198" t="str">
        <f>Coins!F631</f>
        <v/>
      </c>
      <c r="G631" s="198" t="str">
        <f>Coins!G631</f>
        <v/>
      </c>
      <c r="H631" s="201" t="str">
        <f>if(Coins!H631="N/A",0,Coins!H631)</f>
        <v/>
      </c>
      <c r="I631" s="202" t="str">
        <f>Coins!I631</f>
        <v/>
      </c>
      <c r="J631" s="198" t="str">
        <f>Coins!J631</f>
        <v/>
      </c>
      <c r="K631" s="201" t="str">
        <f>Coins!K631</f>
        <v/>
      </c>
      <c r="L631" s="198" t="str">
        <f>Coins!L631</f>
        <v/>
      </c>
      <c r="M631" s="198"/>
      <c r="N631" s="198"/>
      <c r="P631" s="66" t="str">
        <f t="shared" si="4"/>
        <v/>
      </c>
    </row>
    <row r="632">
      <c r="A632" s="198" t="str">
        <f>Coins!A632</f>
        <v/>
      </c>
      <c r="B632" s="199" t="str">
        <f>Coins!B632</f>
        <v/>
      </c>
      <c r="C632" s="198" t="str">
        <f>Coins!C632</f>
        <v/>
      </c>
      <c r="D632" s="198" t="str">
        <f>Coins!D632</f>
        <v/>
      </c>
      <c r="E632" s="198" t="str">
        <f>Coins!E632</f>
        <v/>
      </c>
      <c r="F632" s="198" t="str">
        <f>Coins!F632</f>
        <v/>
      </c>
      <c r="G632" s="198" t="str">
        <f>Coins!G632</f>
        <v/>
      </c>
      <c r="H632" s="201" t="str">
        <f>if(Coins!H632="N/A",0,Coins!H632)</f>
        <v/>
      </c>
      <c r="I632" s="202" t="str">
        <f>Coins!I632</f>
        <v/>
      </c>
      <c r="J632" s="198" t="str">
        <f>Coins!J632</f>
        <v/>
      </c>
      <c r="K632" s="201" t="str">
        <f>Coins!K632</f>
        <v/>
      </c>
      <c r="L632" s="198" t="str">
        <f>Coins!L632</f>
        <v/>
      </c>
      <c r="M632" s="198"/>
      <c r="N632" s="198"/>
      <c r="P632" s="66" t="str">
        <f t="shared" si="4"/>
        <v/>
      </c>
    </row>
    <row r="633">
      <c r="A633" s="198" t="str">
        <f>Coins!A633</f>
        <v/>
      </c>
      <c r="B633" s="199" t="str">
        <f>Coins!B633</f>
        <v/>
      </c>
      <c r="C633" s="198" t="str">
        <f>Coins!C633</f>
        <v/>
      </c>
      <c r="D633" s="198" t="str">
        <f>Coins!D633</f>
        <v/>
      </c>
      <c r="E633" s="198" t="str">
        <f>Coins!E633</f>
        <v/>
      </c>
      <c r="F633" s="198" t="str">
        <f>Coins!F633</f>
        <v/>
      </c>
      <c r="G633" s="198" t="str">
        <f>Coins!G633</f>
        <v/>
      </c>
      <c r="H633" s="201" t="str">
        <f>if(Coins!H633="N/A",0,Coins!H633)</f>
        <v/>
      </c>
      <c r="I633" s="202" t="str">
        <f>Coins!I633</f>
        <v/>
      </c>
      <c r="J633" s="198" t="str">
        <f>Coins!J633</f>
        <v/>
      </c>
      <c r="K633" s="201" t="str">
        <f>Coins!K633</f>
        <v/>
      </c>
      <c r="L633" s="198" t="str">
        <f>Coins!L633</f>
        <v/>
      </c>
      <c r="M633" s="198"/>
      <c r="N633" s="198"/>
      <c r="P633" s="66" t="str">
        <f t="shared" si="4"/>
        <v/>
      </c>
    </row>
    <row r="634">
      <c r="A634" s="198" t="str">
        <f>Coins!A634</f>
        <v/>
      </c>
      <c r="B634" s="199" t="str">
        <f>Coins!B634</f>
        <v/>
      </c>
      <c r="C634" s="198" t="str">
        <f>Coins!C634</f>
        <v/>
      </c>
      <c r="D634" s="198" t="str">
        <f>Coins!D634</f>
        <v/>
      </c>
      <c r="E634" s="198" t="str">
        <f>Coins!E634</f>
        <v/>
      </c>
      <c r="F634" s="198" t="str">
        <f>Coins!F634</f>
        <v/>
      </c>
      <c r="G634" s="198" t="str">
        <f>Coins!G634</f>
        <v/>
      </c>
      <c r="H634" s="201" t="str">
        <f>if(Coins!H634="N/A",0,Coins!H634)</f>
        <v/>
      </c>
      <c r="I634" s="202" t="str">
        <f>Coins!I634</f>
        <v/>
      </c>
      <c r="J634" s="198" t="str">
        <f>Coins!J634</f>
        <v/>
      </c>
      <c r="K634" s="201" t="str">
        <f>Coins!K634</f>
        <v/>
      </c>
      <c r="L634" s="198" t="str">
        <f>Coins!L634</f>
        <v/>
      </c>
      <c r="M634" s="198"/>
      <c r="N634" s="198"/>
      <c r="P634" s="66" t="str">
        <f t="shared" si="4"/>
        <v/>
      </c>
    </row>
    <row r="635">
      <c r="A635" s="198" t="str">
        <f>Coins!A635</f>
        <v/>
      </c>
      <c r="B635" s="199" t="str">
        <f>Coins!B635</f>
        <v/>
      </c>
      <c r="C635" s="198" t="str">
        <f>Coins!C635</f>
        <v/>
      </c>
      <c r="D635" s="198" t="str">
        <f>Coins!D635</f>
        <v/>
      </c>
      <c r="E635" s="198" t="str">
        <f>Coins!E635</f>
        <v/>
      </c>
      <c r="F635" s="198" t="str">
        <f>Coins!F635</f>
        <v/>
      </c>
      <c r="G635" s="198" t="str">
        <f>Coins!G635</f>
        <v/>
      </c>
      <c r="H635" s="201" t="str">
        <f>if(Coins!H635="N/A",0,Coins!H635)</f>
        <v/>
      </c>
      <c r="I635" s="202" t="str">
        <f>Coins!I635</f>
        <v/>
      </c>
      <c r="J635" s="198" t="str">
        <f>Coins!J635</f>
        <v/>
      </c>
      <c r="K635" s="201" t="str">
        <f>Coins!K635</f>
        <v/>
      </c>
      <c r="L635" s="198" t="str">
        <f>Coins!L635</f>
        <v/>
      </c>
      <c r="M635" s="198"/>
      <c r="N635" s="198"/>
      <c r="P635" s="66" t="str">
        <f t="shared" si="4"/>
        <v/>
      </c>
    </row>
    <row r="636">
      <c r="A636" s="198" t="str">
        <f>Coins!A636</f>
        <v/>
      </c>
      <c r="B636" s="199" t="str">
        <f>Coins!B636</f>
        <v/>
      </c>
      <c r="C636" s="198" t="str">
        <f>Coins!C636</f>
        <v/>
      </c>
      <c r="D636" s="198" t="str">
        <f>Coins!D636</f>
        <v/>
      </c>
      <c r="E636" s="198" t="str">
        <f>Coins!E636</f>
        <v/>
      </c>
      <c r="F636" s="198" t="str">
        <f>Coins!F636</f>
        <v/>
      </c>
      <c r="G636" s="198" t="str">
        <f>Coins!G636</f>
        <v/>
      </c>
      <c r="H636" s="201" t="str">
        <f>if(Coins!H636="N/A",0,Coins!H636)</f>
        <v/>
      </c>
      <c r="I636" s="202" t="str">
        <f>Coins!I636</f>
        <v/>
      </c>
      <c r="J636" s="198" t="str">
        <f>Coins!J636</f>
        <v/>
      </c>
      <c r="K636" s="201" t="str">
        <f>Coins!K636</f>
        <v/>
      </c>
      <c r="L636" s="198" t="str">
        <f>Coins!L636</f>
        <v/>
      </c>
      <c r="M636" s="198"/>
      <c r="N636" s="198"/>
      <c r="P636" s="66" t="str">
        <f t="shared" si="4"/>
        <v/>
      </c>
    </row>
    <row r="637">
      <c r="A637" s="198" t="str">
        <f>Coins!A637</f>
        <v/>
      </c>
      <c r="B637" s="199" t="str">
        <f>Coins!B637</f>
        <v/>
      </c>
      <c r="C637" s="198" t="str">
        <f>Coins!C637</f>
        <v/>
      </c>
      <c r="D637" s="198" t="str">
        <f>Coins!D637</f>
        <v/>
      </c>
      <c r="E637" s="198" t="str">
        <f>Coins!E637</f>
        <v/>
      </c>
      <c r="F637" s="198" t="str">
        <f>Coins!F637</f>
        <v/>
      </c>
      <c r="G637" s="198" t="str">
        <f>Coins!G637</f>
        <v/>
      </c>
      <c r="H637" s="201" t="str">
        <f>if(Coins!H637="N/A",0,Coins!H637)</f>
        <v/>
      </c>
      <c r="I637" s="202" t="str">
        <f>Coins!I637</f>
        <v/>
      </c>
      <c r="J637" s="198" t="str">
        <f>Coins!J637</f>
        <v/>
      </c>
      <c r="K637" s="201" t="str">
        <f>Coins!K637</f>
        <v/>
      </c>
      <c r="L637" s="198" t="str">
        <f>Coins!L637</f>
        <v/>
      </c>
      <c r="M637" s="198"/>
      <c r="N637" s="198"/>
      <c r="P637" s="66" t="str">
        <f t="shared" si="4"/>
        <v/>
      </c>
    </row>
    <row r="638">
      <c r="A638" s="198" t="str">
        <f>Coins!A638</f>
        <v/>
      </c>
      <c r="B638" s="199" t="str">
        <f>Coins!B638</f>
        <v/>
      </c>
      <c r="C638" s="198" t="str">
        <f>Coins!C638</f>
        <v/>
      </c>
      <c r="D638" s="198" t="str">
        <f>Coins!D638</f>
        <v/>
      </c>
      <c r="E638" s="198" t="str">
        <f>Coins!E638</f>
        <v/>
      </c>
      <c r="F638" s="198" t="str">
        <f>Coins!F638</f>
        <v/>
      </c>
      <c r="G638" s="198" t="str">
        <f>Coins!G638</f>
        <v/>
      </c>
      <c r="H638" s="201" t="str">
        <f>if(Coins!H638="N/A",0,Coins!H638)</f>
        <v/>
      </c>
      <c r="I638" s="202" t="str">
        <f>Coins!I638</f>
        <v/>
      </c>
      <c r="J638" s="198" t="str">
        <f>Coins!J638</f>
        <v/>
      </c>
      <c r="K638" s="201" t="str">
        <f>Coins!K638</f>
        <v/>
      </c>
      <c r="L638" s="198" t="str">
        <f>Coins!L638</f>
        <v/>
      </c>
      <c r="M638" s="198"/>
      <c r="N638" s="198"/>
      <c r="P638" s="66" t="str">
        <f t="shared" si="4"/>
        <v/>
      </c>
    </row>
    <row r="639">
      <c r="A639" s="198" t="str">
        <f>Coins!A639</f>
        <v/>
      </c>
      <c r="B639" s="199" t="str">
        <f>Coins!B639</f>
        <v/>
      </c>
      <c r="C639" s="198" t="str">
        <f>Coins!C639</f>
        <v/>
      </c>
      <c r="D639" s="198" t="str">
        <f>Coins!D639</f>
        <v/>
      </c>
      <c r="E639" s="198" t="str">
        <f>Coins!E639</f>
        <v/>
      </c>
      <c r="F639" s="198" t="str">
        <f>Coins!F639</f>
        <v/>
      </c>
      <c r="G639" s="198" t="str">
        <f>Coins!G639</f>
        <v/>
      </c>
      <c r="H639" s="201" t="str">
        <f>if(Coins!H639="N/A",0,Coins!H639)</f>
        <v/>
      </c>
      <c r="I639" s="202" t="str">
        <f>Coins!I639</f>
        <v/>
      </c>
      <c r="J639" s="198" t="str">
        <f>Coins!J639</f>
        <v/>
      </c>
      <c r="K639" s="201" t="str">
        <f>Coins!K639</f>
        <v/>
      </c>
      <c r="L639" s="198" t="str">
        <f>Coins!L639</f>
        <v/>
      </c>
      <c r="M639" s="198"/>
      <c r="N639" s="198"/>
      <c r="P639" s="66" t="str">
        <f t="shared" si="4"/>
        <v/>
      </c>
    </row>
    <row r="640">
      <c r="A640" s="198" t="str">
        <f>Coins!A640</f>
        <v/>
      </c>
      <c r="B640" s="199" t="str">
        <f>Coins!B640</f>
        <v/>
      </c>
      <c r="C640" s="198" t="str">
        <f>Coins!C640</f>
        <v/>
      </c>
      <c r="D640" s="198" t="str">
        <f>Coins!D640</f>
        <v/>
      </c>
      <c r="E640" s="198" t="str">
        <f>Coins!E640</f>
        <v/>
      </c>
      <c r="F640" s="198" t="str">
        <f>Coins!F640</f>
        <v/>
      </c>
      <c r="G640" s="198" t="str">
        <f>Coins!G640</f>
        <v/>
      </c>
      <c r="H640" s="201" t="str">
        <f>if(Coins!H640="N/A",0,Coins!H640)</f>
        <v/>
      </c>
      <c r="I640" s="202" t="str">
        <f>Coins!I640</f>
        <v/>
      </c>
      <c r="J640" s="198" t="str">
        <f>Coins!J640</f>
        <v/>
      </c>
      <c r="K640" s="201" t="str">
        <f>Coins!K640</f>
        <v/>
      </c>
      <c r="L640" s="198" t="str">
        <f>Coins!L640</f>
        <v/>
      </c>
      <c r="M640" s="198"/>
      <c r="N640" s="198"/>
      <c r="P640" s="66" t="str">
        <f t="shared" si="4"/>
        <v/>
      </c>
    </row>
    <row r="641">
      <c r="A641" s="198" t="str">
        <f>Coins!A641</f>
        <v/>
      </c>
      <c r="B641" s="199" t="str">
        <f>Coins!B641</f>
        <v/>
      </c>
      <c r="C641" s="198" t="str">
        <f>Coins!C641</f>
        <v/>
      </c>
      <c r="D641" s="198" t="str">
        <f>Coins!D641</f>
        <v/>
      </c>
      <c r="E641" s="198" t="str">
        <f>Coins!E641</f>
        <v/>
      </c>
      <c r="F641" s="198" t="str">
        <f>Coins!F641</f>
        <v/>
      </c>
      <c r="G641" s="198" t="str">
        <f>Coins!G641</f>
        <v/>
      </c>
      <c r="H641" s="201" t="str">
        <f>if(Coins!H641="N/A",0,Coins!H641)</f>
        <v/>
      </c>
      <c r="I641" s="202" t="str">
        <f>Coins!I641</f>
        <v/>
      </c>
      <c r="J641" s="198" t="str">
        <f>Coins!J641</f>
        <v/>
      </c>
      <c r="K641" s="201" t="str">
        <f>Coins!K641</f>
        <v/>
      </c>
      <c r="L641" s="198" t="str">
        <f>Coins!L641</f>
        <v/>
      </c>
      <c r="M641" s="198"/>
      <c r="N641" s="198"/>
      <c r="P641" s="66" t="str">
        <f t="shared" si="4"/>
        <v/>
      </c>
    </row>
    <row r="642">
      <c r="A642" s="198" t="str">
        <f>Coins!A642</f>
        <v/>
      </c>
      <c r="B642" s="199" t="str">
        <f>Coins!B642</f>
        <v/>
      </c>
      <c r="C642" s="198" t="str">
        <f>Coins!C642</f>
        <v/>
      </c>
      <c r="D642" s="198" t="str">
        <f>Coins!D642</f>
        <v/>
      </c>
      <c r="E642" s="198" t="str">
        <f>Coins!E642</f>
        <v/>
      </c>
      <c r="F642" s="198" t="str">
        <f>Coins!F642</f>
        <v/>
      </c>
      <c r="G642" s="198" t="str">
        <f>Coins!G642</f>
        <v/>
      </c>
      <c r="H642" s="201" t="str">
        <f>if(Coins!H642="N/A",0,Coins!H642)</f>
        <v/>
      </c>
      <c r="I642" s="202" t="str">
        <f>Coins!I642</f>
        <v/>
      </c>
      <c r="J642" s="198" t="str">
        <f>Coins!J642</f>
        <v/>
      </c>
      <c r="K642" s="201" t="str">
        <f>Coins!K642</f>
        <v/>
      </c>
      <c r="L642" s="198" t="str">
        <f>Coins!L642</f>
        <v/>
      </c>
      <c r="M642" s="198"/>
      <c r="N642" s="198"/>
      <c r="P642" s="66" t="str">
        <f t="shared" si="4"/>
        <v/>
      </c>
    </row>
    <row r="643">
      <c r="A643" s="198" t="str">
        <f>Coins!A643</f>
        <v/>
      </c>
      <c r="B643" s="199" t="str">
        <f>Coins!B643</f>
        <v/>
      </c>
      <c r="C643" s="198" t="str">
        <f>Coins!C643</f>
        <v/>
      </c>
      <c r="D643" s="198" t="str">
        <f>Coins!D643</f>
        <v/>
      </c>
      <c r="E643" s="198" t="str">
        <f>Coins!E643</f>
        <v/>
      </c>
      <c r="F643" s="198" t="str">
        <f>Coins!F643</f>
        <v/>
      </c>
      <c r="G643" s="198" t="str">
        <f>Coins!G643</f>
        <v/>
      </c>
      <c r="H643" s="201" t="str">
        <f>if(Coins!H643="N/A",0,Coins!H643)</f>
        <v/>
      </c>
      <c r="I643" s="202" t="str">
        <f>Coins!I643</f>
        <v/>
      </c>
      <c r="J643" s="198" t="str">
        <f>Coins!J643</f>
        <v/>
      </c>
      <c r="K643" s="201" t="str">
        <f>Coins!K643</f>
        <v/>
      </c>
      <c r="L643" s="198" t="str">
        <f>Coins!L643</f>
        <v/>
      </c>
      <c r="M643" s="198"/>
      <c r="N643" s="198"/>
      <c r="P643" s="66" t="str">
        <f t="shared" si="4"/>
        <v/>
      </c>
    </row>
    <row r="644">
      <c r="A644" s="198" t="str">
        <f>Coins!A644</f>
        <v/>
      </c>
      <c r="B644" s="199" t="str">
        <f>Coins!B644</f>
        <v/>
      </c>
      <c r="C644" s="198" t="str">
        <f>Coins!C644</f>
        <v/>
      </c>
      <c r="D644" s="198" t="str">
        <f>Coins!D644</f>
        <v/>
      </c>
      <c r="E644" s="198" t="str">
        <f>Coins!E644</f>
        <v/>
      </c>
      <c r="F644" s="198" t="str">
        <f>Coins!F644</f>
        <v/>
      </c>
      <c r="G644" s="198" t="str">
        <f>Coins!G644</f>
        <v/>
      </c>
      <c r="H644" s="201" t="str">
        <f>if(Coins!H644="N/A",0,Coins!H644)</f>
        <v/>
      </c>
      <c r="I644" s="202" t="str">
        <f>Coins!I644</f>
        <v/>
      </c>
      <c r="J644" s="198" t="str">
        <f>Coins!J644</f>
        <v/>
      </c>
      <c r="K644" s="201" t="str">
        <f>Coins!K644</f>
        <v/>
      </c>
      <c r="L644" s="198" t="str">
        <f>Coins!L644</f>
        <v/>
      </c>
      <c r="M644" s="198"/>
      <c r="N644" s="198"/>
      <c r="P644" s="66" t="str">
        <f t="shared" si="4"/>
        <v/>
      </c>
    </row>
    <row r="645">
      <c r="A645" s="198" t="str">
        <f>Coins!A645</f>
        <v/>
      </c>
      <c r="B645" s="199" t="str">
        <f>Coins!B645</f>
        <v/>
      </c>
      <c r="C645" s="198" t="str">
        <f>Coins!C645</f>
        <v/>
      </c>
      <c r="D645" s="198" t="str">
        <f>Coins!D645</f>
        <v/>
      </c>
      <c r="E645" s="198" t="str">
        <f>Coins!E645</f>
        <v/>
      </c>
      <c r="F645" s="198" t="str">
        <f>Coins!F645</f>
        <v/>
      </c>
      <c r="G645" s="198" t="str">
        <f>Coins!G645</f>
        <v/>
      </c>
      <c r="H645" s="201" t="str">
        <f>if(Coins!H645="N/A",0,Coins!H645)</f>
        <v/>
      </c>
      <c r="I645" s="202" t="str">
        <f>Coins!I645</f>
        <v/>
      </c>
      <c r="J645" s="198" t="str">
        <f>Coins!J645</f>
        <v/>
      </c>
      <c r="K645" s="201" t="str">
        <f>Coins!K645</f>
        <v/>
      </c>
      <c r="L645" s="198" t="str">
        <f>Coins!L645</f>
        <v/>
      </c>
      <c r="M645" s="198"/>
      <c r="N645" s="198"/>
      <c r="P645" s="66" t="str">
        <f t="shared" si="4"/>
        <v/>
      </c>
    </row>
    <row r="646">
      <c r="A646" s="198" t="str">
        <f>Coins!A646</f>
        <v/>
      </c>
      <c r="B646" s="199" t="str">
        <f>Coins!B646</f>
        <v/>
      </c>
      <c r="C646" s="198" t="str">
        <f>Coins!C646</f>
        <v/>
      </c>
      <c r="D646" s="198" t="str">
        <f>Coins!D646</f>
        <v/>
      </c>
      <c r="E646" s="198" t="str">
        <f>Coins!E646</f>
        <v/>
      </c>
      <c r="F646" s="198" t="str">
        <f>Coins!F646</f>
        <v/>
      </c>
      <c r="G646" s="198" t="str">
        <f>Coins!G646</f>
        <v/>
      </c>
      <c r="H646" s="201" t="str">
        <f>if(Coins!H646="N/A",0,Coins!H646)</f>
        <v/>
      </c>
      <c r="I646" s="202" t="str">
        <f>Coins!I646</f>
        <v/>
      </c>
      <c r="J646" s="198" t="str">
        <f>Coins!J646</f>
        <v/>
      </c>
      <c r="K646" s="201" t="str">
        <f>Coins!K646</f>
        <v/>
      </c>
      <c r="L646" s="198" t="str">
        <f>Coins!L646</f>
        <v/>
      </c>
      <c r="M646" s="198"/>
      <c r="N646" s="198"/>
      <c r="P646" s="66" t="str">
        <f t="shared" si="4"/>
        <v/>
      </c>
    </row>
    <row r="647">
      <c r="A647" s="198" t="str">
        <f>Coins!A647</f>
        <v/>
      </c>
      <c r="B647" s="199" t="str">
        <f>Coins!B647</f>
        <v/>
      </c>
      <c r="C647" s="198" t="str">
        <f>Coins!C647</f>
        <v/>
      </c>
      <c r="D647" s="198" t="str">
        <f>Coins!D647</f>
        <v/>
      </c>
      <c r="E647" s="198" t="str">
        <f>Coins!E647</f>
        <v/>
      </c>
      <c r="F647" s="198" t="str">
        <f>Coins!F647</f>
        <v/>
      </c>
      <c r="G647" s="198" t="str">
        <f>Coins!G647</f>
        <v/>
      </c>
      <c r="H647" s="201" t="str">
        <f>if(Coins!H647="N/A",0,Coins!H647)</f>
        <v/>
      </c>
      <c r="I647" s="202" t="str">
        <f>Coins!I647</f>
        <v/>
      </c>
      <c r="J647" s="198" t="str">
        <f>Coins!J647</f>
        <v/>
      </c>
      <c r="K647" s="201" t="str">
        <f>Coins!K647</f>
        <v/>
      </c>
      <c r="L647" s="198" t="str">
        <f>Coins!L647</f>
        <v/>
      </c>
      <c r="M647" s="198"/>
      <c r="N647" s="198"/>
      <c r="P647" s="66" t="str">
        <f t="shared" si="4"/>
        <v/>
      </c>
    </row>
    <row r="648">
      <c r="A648" s="198" t="str">
        <f>Coins!A648</f>
        <v/>
      </c>
      <c r="B648" s="199" t="str">
        <f>Coins!B648</f>
        <v/>
      </c>
      <c r="C648" s="198" t="str">
        <f>Coins!C648</f>
        <v/>
      </c>
      <c r="D648" s="198" t="str">
        <f>Coins!D648</f>
        <v/>
      </c>
      <c r="E648" s="198" t="str">
        <f>Coins!E648</f>
        <v/>
      </c>
      <c r="F648" s="198" t="str">
        <f>Coins!F648</f>
        <v/>
      </c>
      <c r="G648" s="198" t="str">
        <f>Coins!G648</f>
        <v/>
      </c>
      <c r="H648" s="201" t="str">
        <f>if(Coins!H648="N/A",0,Coins!H648)</f>
        <v/>
      </c>
      <c r="I648" s="202" t="str">
        <f>Coins!I648</f>
        <v/>
      </c>
      <c r="J648" s="198" t="str">
        <f>Coins!J648</f>
        <v/>
      </c>
      <c r="K648" s="201" t="str">
        <f>Coins!K648</f>
        <v/>
      </c>
      <c r="L648" s="198" t="str">
        <f>Coins!L648</f>
        <v/>
      </c>
      <c r="M648" s="198"/>
      <c r="N648" s="198"/>
      <c r="P648" s="66" t="str">
        <f t="shared" si="4"/>
        <v/>
      </c>
    </row>
    <row r="649">
      <c r="A649" s="198" t="str">
        <f>Coins!A649</f>
        <v/>
      </c>
      <c r="B649" s="199" t="str">
        <f>Coins!B649</f>
        <v/>
      </c>
      <c r="C649" s="198" t="str">
        <f>Coins!C649</f>
        <v/>
      </c>
      <c r="D649" s="198" t="str">
        <f>Coins!D649</f>
        <v/>
      </c>
      <c r="E649" s="198" t="str">
        <f>Coins!E649</f>
        <v/>
      </c>
      <c r="F649" s="198" t="str">
        <f>Coins!F649</f>
        <v/>
      </c>
      <c r="G649" s="198" t="str">
        <f>Coins!G649</f>
        <v/>
      </c>
      <c r="H649" s="201" t="str">
        <f>if(Coins!H649="N/A",0,Coins!H649)</f>
        <v/>
      </c>
      <c r="I649" s="202" t="str">
        <f>Coins!I649</f>
        <v/>
      </c>
      <c r="J649" s="198" t="str">
        <f>Coins!J649</f>
        <v/>
      </c>
      <c r="K649" s="201" t="str">
        <f>Coins!K649</f>
        <v/>
      </c>
      <c r="L649" s="198" t="str">
        <f>Coins!L649</f>
        <v/>
      </c>
      <c r="M649" s="198"/>
      <c r="N649" s="198"/>
      <c r="P649" s="66" t="str">
        <f t="shared" si="4"/>
        <v/>
      </c>
    </row>
    <row r="650">
      <c r="A650" s="198" t="str">
        <f>Coins!A650</f>
        <v/>
      </c>
      <c r="B650" s="199" t="str">
        <f>Coins!B650</f>
        <v/>
      </c>
      <c r="C650" s="198" t="str">
        <f>Coins!C650</f>
        <v/>
      </c>
      <c r="D650" s="198" t="str">
        <f>Coins!D650</f>
        <v/>
      </c>
      <c r="E650" s="198" t="str">
        <f>Coins!E650</f>
        <v/>
      </c>
      <c r="F650" s="198" t="str">
        <f>Coins!F650</f>
        <v/>
      </c>
      <c r="G650" s="198" t="str">
        <f>Coins!G650</f>
        <v/>
      </c>
      <c r="H650" s="201" t="str">
        <f>if(Coins!H650="N/A",0,Coins!H650)</f>
        <v/>
      </c>
      <c r="I650" s="202" t="str">
        <f>Coins!I650</f>
        <v/>
      </c>
      <c r="J650" s="198" t="str">
        <f>Coins!J650</f>
        <v/>
      </c>
      <c r="K650" s="201" t="str">
        <f>Coins!K650</f>
        <v/>
      </c>
      <c r="L650" s="198" t="str">
        <f>Coins!L650</f>
        <v/>
      </c>
      <c r="M650" s="198"/>
      <c r="N650" s="198"/>
      <c r="P650" s="66" t="str">
        <f t="shared" si="4"/>
        <v/>
      </c>
    </row>
    <row r="651">
      <c r="A651" s="198" t="str">
        <f>Coins!A651</f>
        <v/>
      </c>
      <c r="B651" s="199" t="str">
        <f>Coins!B651</f>
        <v/>
      </c>
      <c r="C651" s="198" t="str">
        <f>Coins!C651</f>
        <v/>
      </c>
      <c r="D651" s="198" t="str">
        <f>Coins!D651</f>
        <v/>
      </c>
      <c r="E651" s="198" t="str">
        <f>Coins!E651</f>
        <v/>
      </c>
      <c r="F651" s="198" t="str">
        <f>Coins!F651</f>
        <v/>
      </c>
      <c r="G651" s="198" t="str">
        <f>Coins!G651</f>
        <v/>
      </c>
      <c r="H651" s="201" t="str">
        <f>if(Coins!H651="N/A",0,Coins!H651)</f>
        <v/>
      </c>
      <c r="I651" s="202" t="str">
        <f>Coins!I651</f>
        <v/>
      </c>
      <c r="J651" s="198" t="str">
        <f>Coins!J651</f>
        <v/>
      </c>
      <c r="K651" s="201" t="str">
        <f>Coins!K651</f>
        <v/>
      </c>
      <c r="L651" s="198" t="str">
        <f>Coins!L651</f>
        <v/>
      </c>
      <c r="M651" s="198"/>
      <c r="N651" s="198"/>
      <c r="P651" s="66" t="str">
        <f t="shared" si="4"/>
        <v/>
      </c>
    </row>
    <row r="652">
      <c r="A652" s="198" t="str">
        <f>Coins!A652</f>
        <v/>
      </c>
      <c r="B652" s="199" t="str">
        <f>Coins!B652</f>
        <v/>
      </c>
      <c r="C652" s="198" t="str">
        <f>Coins!C652</f>
        <v/>
      </c>
      <c r="D652" s="198" t="str">
        <f>Coins!D652</f>
        <v/>
      </c>
      <c r="E652" s="198" t="str">
        <f>Coins!E652</f>
        <v/>
      </c>
      <c r="F652" s="198" t="str">
        <f>Coins!F652</f>
        <v/>
      </c>
      <c r="G652" s="198" t="str">
        <f>Coins!G652</f>
        <v/>
      </c>
      <c r="H652" s="201" t="str">
        <f>if(Coins!H652="N/A",0,Coins!H652)</f>
        <v/>
      </c>
      <c r="I652" s="202" t="str">
        <f>Coins!I652</f>
        <v/>
      </c>
      <c r="J652" s="198" t="str">
        <f>Coins!J652</f>
        <v/>
      </c>
      <c r="K652" s="201" t="str">
        <f>Coins!K652</f>
        <v/>
      </c>
      <c r="L652" s="198" t="str">
        <f>Coins!L652</f>
        <v/>
      </c>
      <c r="M652" s="198"/>
      <c r="N652" s="198"/>
      <c r="P652" s="66" t="str">
        <f t="shared" si="4"/>
        <v/>
      </c>
    </row>
    <row r="653">
      <c r="A653" s="198" t="str">
        <f>Coins!A653</f>
        <v/>
      </c>
      <c r="B653" s="199" t="str">
        <f>Coins!B653</f>
        <v/>
      </c>
      <c r="C653" s="198" t="str">
        <f>Coins!C653</f>
        <v/>
      </c>
      <c r="D653" s="198" t="str">
        <f>Coins!D653</f>
        <v/>
      </c>
      <c r="E653" s="198" t="str">
        <f>Coins!E653</f>
        <v/>
      </c>
      <c r="F653" s="198" t="str">
        <f>Coins!F653</f>
        <v/>
      </c>
      <c r="G653" s="198" t="str">
        <f>Coins!G653</f>
        <v/>
      </c>
      <c r="H653" s="201" t="str">
        <f>if(Coins!H653="N/A",0,Coins!H653)</f>
        <v/>
      </c>
      <c r="I653" s="202" t="str">
        <f>Coins!I653</f>
        <v/>
      </c>
      <c r="J653" s="198" t="str">
        <f>Coins!J653</f>
        <v/>
      </c>
      <c r="K653" s="201" t="str">
        <f>Coins!K653</f>
        <v/>
      </c>
      <c r="L653" s="198" t="str">
        <f>Coins!L653</f>
        <v/>
      </c>
      <c r="M653" s="198"/>
      <c r="N653" s="198"/>
      <c r="P653" s="66" t="str">
        <f t="shared" si="4"/>
        <v/>
      </c>
    </row>
    <row r="654">
      <c r="A654" s="198" t="str">
        <f>Coins!A654</f>
        <v/>
      </c>
      <c r="B654" s="199" t="str">
        <f>Coins!B654</f>
        <v/>
      </c>
      <c r="C654" s="198" t="str">
        <f>Coins!C654</f>
        <v/>
      </c>
      <c r="D654" s="198" t="str">
        <f>Coins!D654</f>
        <v/>
      </c>
      <c r="E654" s="198" t="str">
        <f>Coins!E654</f>
        <v/>
      </c>
      <c r="F654" s="198" t="str">
        <f>Coins!F654</f>
        <v/>
      </c>
      <c r="G654" s="198" t="str">
        <f>Coins!G654</f>
        <v/>
      </c>
      <c r="H654" s="201" t="str">
        <f>if(Coins!H654="N/A",0,Coins!H654)</f>
        <v/>
      </c>
      <c r="I654" s="202" t="str">
        <f>Coins!I654</f>
        <v/>
      </c>
      <c r="J654" s="198" t="str">
        <f>Coins!J654</f>
        <v/>
      </c>
      <c r="K654" s="201" t="str">
        <f>Coins!K654</f>
        <v/>
      </c>
      <c r="L654" s="198" t="str">
        <f>Coins!L654</f>
        <v/>
      </c>
      <c r="M654" s="198"/>
      <c r="N654" s="198"/>
      <c r="P654" s="66" t="str">
        <f t="shared" si="4"/>
        <v/>
      </c>
    </row>
    <row r="655">
      <c r="A655" s="198" t="str">
        <f>Coins!A655</f>
        <v/>
      </c>
      <c r="B655" s="199" t="str">
        <f>Coins!B655</f>
        <v/>
      </c>
      <c r="C655" s="198" t="str">
        <f>Coins!C655</f>
        <v/>
      </c>
      <c r="D655" s="198" t="str">
        <f>Coins!D655</f>
        <v/>
      </c>
      <c r="E655" s="198" t="str">
        <f>Coins!E655</f>
        <v/>
      </c>
      <c r="F655" s="198" t="str">
        <f>Coins!F655</f>
        <v/>
      </c>
      <c r="G655" s="198" t="str">
        <f>Coins!G655</f>
        <v/>
      </c>
      <c r="H655" s="201" t="str">
        <f>if(Coins!H655="N/A",0,Coins!H655)</f>
        <v/>
      </c>
      <c r="I655" s="202" t="str">
        <f>Coins!I655</f>
        <v/>
      </c>
      <c r="J655" s="198" t="str">
        <f>Coins!J655</f>
        <v/>
      </c>
      <c r="K655" s="201" t="str">
        <f>Coins!K655</f>
        <v/>
      </c>
      <c r="L655" s="198" t="str">
        <f>Coins!L655</f>
        <v/>
      </c>
      <c r="M655" s="198"/>
      <c r="N655" s="198"/>
      <c r="P655" s="66" t="str">
        <f t="shared" si="4"/>
        <v/>
      </c>
    </row>
    <row r="656">
      <c r="A656" s="198" t="str">
        <f>Coins!A656</f>
        <v/>
      </c>
      <c r="B656" s="199" t="str">
        <f>Coins!B656</f>
        <v/>
      </c>
      <c r="C656" s="198" t="str">
        <f>Coins!C656</f>
        <v/>
      </c>
      <c r="D656" s="198" t="str">
        <f>Coins!D656</f>
        <v/>
      </c>
      <c r="E656" s="198" t="str">
        <f>Coins!E656</f>
        <v/>
      </c>
      <c r="F656" s="198" t="str">
        <f>Coins!F656</f>
        <v/>
      </c>
      <c r="G656" s="198" t="str">
        <f>Coins!G656</f>
        <v/>
      </c>
      <c r="H656" s="201" t="str">
        <f>if(Coins!H656="N/A",0,Coins!H656)</f>
        <v/>
      </c>
      <c r="I656" s="202" t="str">
        <f>Coins!I656</f>
        <v/>
      </c>
      <c r="J656" s="198" t="str">
        <f>Coins!J656</f>
        <v/>
      </c>
      <c r="K656" s="201" t="str">
        <f>Coins!K656</f>
        <v/>
      </c>
      <c r="L656" s="198" t="str">
        <f>Coins!L656</f>
        <v/>
      </c>
      <c r="M656" s="198"/>
      <c r="N656" s="198"/>
      <c r="P656" s="66" t="str">
        <f t="shared" si="4"/>
        <v/>
      </c>
    </row>
    <row r="657">
      <c r="A657" s="198" t="str">
        <f>Coins!A657</f>
        <v/>
      </c>
      <c r="B657" s="199" t="str">
        <f>Coins!B657</f>
        <v/>
      </c>
      <c r="C657" s="198" t="str">
        <f>Coins!C657</f>
        <v/>
      </c>
      <c r="D657" s="198" t="str">
        <f>Coins!D657</f>
        <v/>
      </c>
      <c r="E657" s="198" t="str">
        <f>Coins!E657</f>
        <v/>
      </c>
      <c r="F657" s="198" t="str">
        <f>Coins!F657</f>
        <v/>
      </c>
      <c r="G657" s="198" t="str">
        <f>Coins!G657</f>
        <v/>
      </c>
      <c r="H657" s="201" t="str">
        <f>if(Coins!H657="N/A",0,Coins!H657)</f>
        <v/>
      </c>
      <c r="I657" s="202" t="str">
        <f>Coins!I657</f>
        <v/>
      </c>
      <c r="J657" s="198" t="str">
        <f>Coins!J657</f>
        <v/>
      </c>
      <c r="K657" s="201" t="str">
        <f>Coins!K657</f>
        <v/>
      </c>
      <c r="L657" s="198" t="str">
        <f>Coins!L657</f>
        <v/>
      </c>
      <c r="M657" s="198"/>
      <c r="N657" s="198"/>
      <c r="P657" s="66" t="str">
        <f t="shared" si="4"/>
        <v/>
      </c>
    </row>
    <row r="658">
      <c r="A658" s="198" t="str">
        <f>Coins!A658</f>
        <v/>
      </c>
      <c r="B658" s="199" t="str">
        <f>Coins!B658</f>
        <v/>
      </c>
      <c r="C658" s="198" t="str">
        <f>Coins!C658</f>
        <v/>
      </c>
      <c r="D658" s="198" t="str">
        <f>Coins!D658</f>
        <v/>
      </c>
      <c r="E658" s="198" t="str">
        <f>Coins!E658</f>
        <v/>
      </c>
      <c r="F658" s="198" t="str">
        <f>Coins!F658</f>
        <v/>
      </c>
      <c r="G658" s="198" t="str">
        <f>Coins!G658</f>
        <v/>
      </c>
      <c r="H658" s="201" t="str">
        <f>if(Coins!H658="N/A",0,Coins!H658)</f>
        <v/>
      </c>
      <c r="I658" s="202" t="str">
        <f>Coins!I658</f>
        <v/>
      </c>
      <c r="J658" s="198" t="str">
        <f>Coins!J658</f>
        <v/>
      </c>
      <c r="K658" s="201" t="str">
        <f>Coins!K658</f>
        <v/>
      </c>
      <c r="L658" s="198" t="str">
        <f>Coins!L658</f>
        <v/>
      </c>
      <c r="M658" s="198"/>
      <c r="N658" s="198"/>
      <c r="P658" s="66" t="str">
        <f t="shared" si="4"/>
        <v/>
      </c>
    </row>
    <row r="659">
      <c r="A659" s="198" t="str">
        <f>Coins!A659</f>
        <v/>
      </c>
      <c r="B659" s="199" t="str">
        <f>Coins!B659</f>
        <v/>
      </c>
      <c r="C659" s="198" t="str">
        <f>Coins!C659</f>
        <v/>
      </c>
      <c r="D659" s="198" t="str">
        <f>Coins!D659</f>
        <v/>
      </c>
      <c r="E659" s="198" t="str">
        <f>Coins!E659</f>
        <v/>
      </c>
      <c r="F659" s="198" t="str">
        <f>Coins!F659</f>
        <v/>
      </c>
      <c r="G659" s="198" t="str">
        <f>Coins!G659</f>
        <v/>
      </c>
      <c r="H659" s="201" t="str">
        <f>if(Coins!H659="N/A",0,Coins!H659)</f>
        <v/>
      </c>
      <c r="I659" s="202" t="str">
        <f>Coins!I659</f>
        <v/>
      </c>
      <c r="J659" s="198" t="str">
        <f>Coins!J659</f>
        <v/>
      </c>
      <c r="K659" s="201" t="str">
        <f>Coins!K659</f>
        <v/>
      </c>
      <c r="L659" s="198" t="str">
        <f>Coins!L659</f>
        <v/>
      </c>
      <c r="M659" s="198"/>
      <c r="N659" s="198"/>
      <c r="P659" s="66" t="str">
        <f t="shared" si="4"/>
        <v/>
      </c>
    </row>
    <row r="660">
      <c r="A660" s="198" t="str">
        <f>Coins!A660</f>
        <v/>
      </c>
      <c r="B660" s="199" t="str">
        <f>Coins!B660</f>
        <v/>
      </c>
      <c r="C660" s="198" t="str">
        <f>Coins!C660</f>
        <v/>
      </c>
      <c r="D660" s="198" t="str">
        <f>Coins!D660</f>
        <v/>
      </c>
      <c r="E660" s="198" t="str">
        <f>Coins!E660</f>
        <v/>
      </c>
      <c r="F660" s="198" t="str">
        <f>Coins!F660</f>
        <v/>
      </c>
      <c r="G660" s="198" t="str">
        <f>Coins!G660</f>
        <v/>
      </c>
      <c r="H660" s="201" t="str">
        <f>if(Coins!H660="N/A",0,Coins!H660)</f>
        <v/>
      </c>
      <c r="I660" s="202" t="str">
        <f>Coins!I660</f>
        <v/>
      </c>
      <c r="J660" s="198" t="str">
        <f>Coins!J660</f>
        <v/>
      </c>
      <c r="K660" s="201" t="str">
        <f>Coins!K660</f>
        <v/>
      </c>
      <c r="L660" s="198" t="str">
        <f>Coins!L660</f>
        <v/>
      </c>
      <c r="M660" s="198"/>
      <c r="N660" s="198"/>
      <c r="P660" s="66" t="str">
        <f t="shared" si="4"/>
        <v/>
      </c>
    </row>
    <row r="661">
      <c r="A661" s="198" t="str">
        <f>Coins!A661</f>
        <v/>
      </c>
      <c r="B661" s="199" t="str">
        <f>Coins!B661</f>
        <v/>
      </c>
      <c r="C661" s="198" t="str">
        <f>Coins!C661</f>
        <v/>
      </c>
      <c r="D661" s="198" t="str">
        <f>Coins!D661</f>
        <v/>
      </c>
      <c r="E661" s="198" t="str">
        <f>Coins!E661</f>
        <v/>
      </c>
      <c r="F661" s="198" t="str">
        <f>Coins!F661</f>
        <v/>
      </c>
      <c r="G661" s="198" t="str">
        <f>Coins!G661</f>
        <v/>
      </c>
      <c r="H661" s="201" t="str">
        <f>if(Coins!H661="N/A",0,Coins!H661)</f>
        <v/>
      </c>
      <c r="I661" s="202" t="str">
        <f>Coins!I661</f>
        <v/>
      </c>
      <c r="J661" s="198" t="str">
        <f>Coins!J661</f>
        <v/>
      </c>
      <c r="K661" s="201" t="str">
        <f>Coins!K661</f>
        <v/>
      </c>
      <c r="L661" s="198" t="str">
        <f>Coins!L661</f>
        <v/>
      </c>
      <c r="M661" s="198"/>
      <c r="N661" s="198"/>
      <c r="P661" s="66" t="str">
        <f t="shared" si="4"/>
        <v/>
      </c>
    </row>
    <row r="662">
      <c r="A662" s="198" t="str">
        <f>Coins!A662</f>
        <v/>
      </c>
      <c r="B662" s="199" t="str">
        <f>Coins!B662</f>
        <v/>
      </c>
      <c r="C662" s="198" t="str">
        <f>Coins!C662</f>
        <v/>
      </c>
      <c r="D662" s="198" t="str">
        <f>Coins!D662</f>
        <v/>
      </c>
      <c r="E662" s="198" t="str">
        <f>Coins!E662</f>
        <v/>
      </c>
      <c r="F662" s="198" t="str">
        <f>Coins!F662</f>
        <v/>
      </c>
      <c r="G662" s="198" t="str">
        <f>Coins!G662</f>
        <v/>
      </c>
      <c r="H662" s="201" t="str">
        <f>if(Coins!H662="N/A",0,Coins!H662)</f>
        <v/>
      </c>
      <c r="I662" s="202" t="str">
        <f>Coins!I662</f>
        <v/>
      </c>
      <c r="J662" s="198" t="str">
        <f>Coins!J662</f>
        <v/>
      </c>
      <c r="K662" s="201" t="str">
        <f>Coins!K662</f>
        <v/>
      </c>
      <c r="L662" s="198" t="str">
        <f>Coins!L662</f>
        <v/>
      </c>
      <c r="M662" s="198"/>
      <c r="N662" s="198"/>
      <c r="P662" s="66" t="str">
        <f t="shared" si="4"/>
        <v/>
      </c>
    </row>
    <row r="663">
      <c r="A663" s="198" t="str">
        <f>Coins!A663</f>
        <v/>
      </c>
      <c r="B663" s="199" t="str">
        <f>Coins!B663</f>
        <v/>
      </c>
      <c r="C663" s="198" t="str">
        <f>Coins!C663</f>
        <v/>
      </c>
      <c r="D663" s="198" t="str">
        <f>Coins!D663</f>
        <v/>
      </c>
      <c r="E663" s="198" t="str">
        <f>Coins!E663</f>
        <v/>
      </c>
      <c r="F663" s="198" t="str">
        <f>Coins!F663</f>
        <v/>
      </c>
      <c r="G663" s="198" t="str">
        <f>Coins!G663</f>
        <v/>
      </c>
      <c r="H663" s="201" t="str">
        <f>if(Coins!H663="N/A",0,Coins!H663)</f>
        <v/>
      </c>
      <c r="I663" s="202" t="str">
        <f>Coins!I663</f>
        <v/>
      </c>
      <c r="J663" s="198" t="str">
        <f>Coins!J663</f>
        <v/>
      </c>
      <c r="K663" s="201" t="str">
        <f>Coins!K663</f>
        <v/>
      </c>
      <c r="L663" s="198" t="str">
        <f>Coins!L663</f>
        <v/>
      </c>
      <c r="M663" s="198"/>
      <c r="N663" s="198"/>
      <c r="P663" s="66" t="str">
        <f t="shared" si="4"/>
        <v/>
      </c>
    </row>
    <row r="664">
      <c r="A664" s="198" t="str">
        <f>Coins!A664</f>
        <v/>
      </c>
      <c r="B664" s="199" t="str">
        <f>Coins!B664</f>
        <v/>
      </c>
      <c r="C664" s="198" t="str">
        <f>Coins!C664</f>
        <v/>
      </c>
      <c r="D664" s="198" t="str">
        <f>Coins!D664</f>
        <v/>
      </c>
      <c r="E664" s="198" t="str">
        <f>Coins!E664</f>
        <v/>
      </c>
      <c r="F664" s="198" t="str">
        <f>Coins!F664</f>
        <v/>
      </c>
      <c r="G664" s="198" t="str">
        <f>Coins!G664</f>
        <v/>
      </c>
      <c r="H664" s="201" t="str">
        <f>if(Coins!H664="N/A",0,Coins!H664)</f>
        <v/>
      </c>
      <c r="I664" s="202" t="str">
        <f>Coins!I664</f>
        <v/>
      </c>
      <c r="J664" s="198" t="str">
        <f>Coins!J664</f>
        <v/>
      </c>
      <c r="K664" s="201" t="str">
        <f>Coins!K664</f>
        <v/>
      </c>
      <c r="L664" s="198" t="str">
        <f>Coins!L664</f>
        <v/>
      </c>
      <c r="M664" s="198"/>
      <c r="N664" s="198"/>
      <c r="P664" s="66" t="str">
        <f t="shared" si="4"/>
        <v/>
      </c>
    </row>
    <row r="665">
      <c r="A665" s="198" t="str">
        <f>Coins!A665</f>
        <v/>
      </c>
      <c r="B665" s="199" t="str">
        <f>Coins!B665</f>
        <v/>
      </c>
      <c r="C665" s="198" t="str">
        <f>Coins!C665</f>
        <v/>
      </c>
      <c r="D665" s="198" t="str">
        <f>Coins!D665</f>
        <v/>
      </c>
      <c r="E665" s="198" t="str">
        <f>Coins!E665</f>
        <v/>
      </c>
      <c r="F665" s="198" t="str">
        <f>Coins!F665</f>
        <v/>
      </c>
      <c r="G665" s="198" t="str">
        <f>Coins!G665</f>
        <v/>
      </c>
      <c r="H665" s="201" t="str">
        <f>if(Coins!H665="N/A",0,Coins!H665)</f>
        <v/>
      </c>
      <c r="I665" s="202" t="str">
        <f>Coins!I665</f>
        <v/>
      </c>
      <c r="J665" s="198" t="str">
        <f>Coins!J665</f>
        <v/>
      </c>
      <c r="K665" s="201" t="str">
        <f>Coins!K665</f>
        <v/>
      </c>
      <c r="L665" s="198" t="str">
        <f>Coins!L665</f>
        <v/>
      </c>
      <c r="M665" s="198"/>
      <c r="N665" s="198"/>
      <c r="P665" s="66" t="str">
        <f t="shared" si="4"/>
        <v/>
      </c>
    </row>
    <row r="666">
      <c r="A666" s="198" t="str">
        <f>Coins!A666</f>
        <v/>
      </c>
      <c r="B666" s="199" t="str">
        <f>Coins!B666</f>
        <v/>
      </c>
      <c r="C666" s="198" t="str">
        <f>Coins!C666</f>
        <v/>
      </c>
      <c r="D666" s="198" t="str">
        <f>Coins!D666</f>
        <v/>
      </c>
      <c r="E666" s="198" t="str">
        <f>Coins!E666</f>
        <v/>
      </c>
      <c r="F666" s="198" t="str">
        <f>Coins!F666</f>
        <v/>
      </c>
      <c r="G666" s="198" t="str">
        <f>Coins!G666</f>
        <v/>
      </c>
      <c r="H666" s="201" t="str">
        <f>if(Coins!H666="N/A",0,Coins!H666)</f>
        <v/>
      </c>
      <c r="I666" s="202" t="str">
        <f>Coins!I666</f>
        <v/>
      </c>
      <c r="J666" s="198" t="str">
        <f>Coins!J666</f>
        <v/>
      </c>
      <c r="K666" s="201" t="str">
        <f>Coins!K666</f>
        <v/>
      </c>
      <c r="L666" s="198" t="str">
        <f>Coins!L666</f>
        <v/>
      </c>
      <c r="M666" s="198"/>
      <c r="N666" s="198"/>
      <c r="P666" s="66" t="str">
        <f t="shared" si="4"/>
        <v/>
      </c>
    </row>
    <row r="667">
      <c r="A667" s="198" t="str">
        <f>Coins!A667</f>
        <v/>
      </c>
      <c r="B667" s="199" t="str">
        <f>Coins!B667</f>
        <v/>
      </c>
      <c r="C667" s="198" t="str">
        <f>Coins!C667</f>
        <v/>
      </c>
      <c r="D667" s="198" t="str">
        <f>Coins!D667</f>
        <v/>
      </c>
      <c r="E667" s="198" t="str">
        <f>Coins!E667</f>
        <v/>
      </c>
      <c r="F667" s="198" t="str">
        <f>Coins!F667</f>
        <v/>
      </c>
      <c r="G667" s="198" t="str">
        <f>Coins!G667</f>
        <v/>
      </c>
      <c r="H667" s="201" t="str">
        <f>if(Coins!H667="N/A",0,Coins!H667)</f>
        <v/>
      </c>
      <c r="I667" s="202" t="str">
        <f>Coins!I667</f>
        <v/>
      </c>
      <c r="J667" s="198" t="str">
        <f>Coins!J667</f>
        <v/>
      </c>
      <c r="K667" s="201" t="str">
        <f>Coins!K667</f>
        <v/>
      </c>
      <c r="L667" s="198" t="str">
        <f>Coins!L667</f>
        <v/>
      </c>
      <c r="M667" s="198"/>
      <c r="N667" s="198"/>
      <c r="P667" s="66" t="str">
        <f t="shared" si="4"/>
        <v/>
      </c>
    </row>
    <row r="668">
      <c r="A668" s="198" t="str">
        <f>Coins!A668</f>
        <v/>
      </c>
      <c r="B668" s="199" t="str">
        <f>Coins!B668</f>
        <v/>
      </c>
      <c r="C668" s="198" t="str">
        <f>Coins!C668</f>
        <v/>
      </c>
      <c r="D668" s="198" t="str">
        <f>Coins!D668</f>
        <v/>
      </c>
      <c r="E668" s="198" t="str">
        <f>Coins!E668</f>
        <v/>
      </c>
      <c r="F668" s="198" t="str">
        <f>Coins!F668</f>
        <v/>
      </c>
      <c r="G668" s="198" t="str">
        <f>Coins!G668</f>
        <v/>
      </c>
      <c r="H668" s="201" t="str">
        <f>if(Coins!H668="N/A",0,Coins!H668)</f>
        <v/>
      </c>
      <c r="I668" s="202" t="str">
        <f>Coins!I668</f>
        <v/>
      </c>
      <c r="J668" s="198" t="str">
        <f>Coins!J668</f>
        <v/>
      </c>
      <c r="K668" s="201" t="str">
        <f>Coins!K668</f>
        <v/>
      </c>
      <c r="L668" s="198" t="str">
        <f>Coins!L668</f>
        <v/>
      </c>
      <c r="M668" s="198"/>
      <c r="N668" s="198"/>
      <c r="P668" s="66" t="str">
        <f t="shared" si="4"/>
        <v/>
      </c>
    </row>
    <row r="669">
      <c r="A669" s="198" t="str">
        <f>Coins!A669</f>
        <v/>
      </c>
      <c r="B669" s="199" t="str">
        <f>Coins!B669</f>
        <v/>
      </c>
      <c r="C669" s="198" t="str">
        <f>Coins!C669</f>
        <v/>
      </c>
      <c r="D669" s="198" t="str">
        <f>Coins!D669</f>
        <v/>
      </c>
      <c r="E669" s="198" t="str">
        <f>Coins!E669</f>
        <v/>
      </c>
      <c r="F669" s="198" t="str">
        <f>Coins!F669</f>
        <v/>
      </c>
      <c r="G669" s="198" t="str">
        <f>Coins!G669</f>
        <v/>
      </c>
      <c r="H669" s="201" t="str">
        <f>if(Coins!H669="N/A",0,Coins!H669)</f>
        <v/>
      </c>
      <c r="I669" s="202" t="str">
        <f>Coins!I669</f>
        <v/>
      </c>
      <c r="J669" s="198" t="str">
        <f>Coins!J669</f>
        <v/>
      </c>
      <c r="K669" s="201" t="str">
        <f>Coins!K669</f>
        <v/>
      </c>
      <c r="L669" s="198" t="str">
        <f>Coins!L669</f>
        <v/>
      </c>
      <c r="M669" s="198"/>
      <c r="N669" s="198"/>
      <c r="P669" s="66" t="str">
        <f t="shared" si="4"/>
        <v/>
      </c>
    </row>
    <row r="670">
      <c r="A670" s="198" t="str">
        <f>Coins!A670</f>
        <v/>
      </c>
      <c r="B670" s="199" t="str">
        <f>Coins!B670</f>
        <v/>
      </c>
      <c r="C670" s="198" t="str">
        <f>Coins!C670</f>
        <v/>
      </c>
      <c r="D670" s="198" t="str">
        <f>Coins!D670</f>
        <v/>
      </c>
      <c r="E670" s="198" t="str">
        <f>Coins!E670</f>
        <v/>
      </c>
      <c r="F670" s="198" t="str">
        <f>Coins!F670</f>
        <v/>
      </c>
      <c r="G670" s="198" t="str">
        <f>Coins!G670</f>
        <v/>
      </c>
      <c r="H670" s="201" t="str">
        <f>if(Coins!H670="N/A",0,Coins!H670)</f>
        <v/>
      </c>
      <c r="I670" s="202" t="str">
        <f>Coins!I670</f>
        <v/>
      </c>
      <c r="J670" s="198" t="str">
        <f>Coins!J670</f>
        <v/>
      </c>
      <c r="K670" s="201" t="str">
        <f>Coins!K670</f>
        <v/>
      </c>
      <c r="L670" s="198" t="str">
        <f>Coins!L670</f>
        <v/>
      </c>
      <c r="M670" s="198"/>
      <c r="N670" s="198"/>
      <c r="P670" s="66" t="str">
        <f t="shared" si="4"/>
        <v/>
      </c>
    </row>
    <row r="671">
      <c r="A671" s="198" t="str">
        <f>Coins!A671</f>
        <v/>
      </c>
      <c r="B671" s="199" t="str">
        <f>Coins!B671</f>
        <v/>
      </c>
      <c r="C671" s="198" t="str">
        <f>Coins!C671</f>
        <v/>
      </c>
      <c r="D671" s="198" t="str">
        <f>Coins!D671</f>
        <v/>
      </c>
      <c r="E671" s="198" t="str">
        <f>Coins!E671</f>
        <v/>
      </c>
      <c r="F671" s="198" t="str">
        <f>Coins!F671</f>
        <v/>
      </c>
      <c r="G671" s="198" t="str">
        <f>Coins!G671</f>
        <v/>
      </c>
      <c r="H671" s="201" t="str">
        <f>if(Coins!H671="N/A",0,Coins!H671)</f>
        <v/>
      </c>
      <c r="I671" s="202" t="str">
        <f>Coins!I671</f>
        <v/>
      </c>
      <c r="J671" s="198" t="str">
        <f>Coins!J671</f>
        <v/>
      </c>
      <c r="K671" s="201" t="str">
        <f>Coins!K671</f>
        <v/>
      </c>
      <c r="L671" s="198" t="str">
        <f>Coins!L671</f>
        <v/>
      </c>
      <c r="M671" s="198"/>
      <c r="N671" s="198"/>
      <c r="P671" s="66" t="str">
        <f t="shared" si="4"/>
        <v/>
      </c>
    </row>
    <row r="672">
      <c r="A672" s="198" t="str">
        <f>Coins!A672</f>
        <v/>
      </c>
      <c r="B672" s="199" t="str">
        <f>Coins!B672</f>
        <v/>
      </c>
      <c r="C672" s="198" t="str">
        <f>Coins!C672</f>
        <v/>
      </c>
      <c r="D672" s="198" t="str">
        <f>Coins!D672</f>
        <v/>
      </c>
      <c r="E672" s="198" t="str">
        <f>Coins!E672</f>
        <v/>
      </c>
      <c r="F672" s="198" t="str">
        <f>Coins!F672</f>
        <v/>
      </c>
      <c r="G672" s="198" t="str">
        <f>Coins!G672</f>
        <v/>
      </c>
      <c r="H672" s="201" t="str">
        <f>if(Coins!H672="N/A",0,Coins!H672)</f>
        <v/>
      </c>
      <c r="I672" s="202" t="str">
        <f>Coins!I672</f>
        <v/>
      </c>
      <c r="J672" s="198" t="str">
        <f>Coins!J672</f>
        <v/>
      </c>
      <c r="K672" s="201" t="str">
        <f>Coins!K672</f>
        <v/>
      </c>
      <c r="L672" s="198" t="str">
        <f>Coins!L672</f>
        <v/>
      </c>
      <c r="M672" s="198"/>
      <c r="N672" s="198"/>
      <c r="P672" s="66" t="str">
        <f t="shared" si="4"/>
        <v/>
      </c>
    </row>
    <row r="673">
      <c r="A673" s="198" t="str">
        <f>Coins!A673</f>
        <v/>
      </c>
      <c r="B673" s="199" t="str">
        <f>Coins!B673</f>
        <v/>
      </c>
      <c r="C673" s="198" t="str">
        <f>Coins!C673</f>
        <v/>
      </c>
      <c r="D673" s="198" t="str">
        <f>Coins!D673</f>
        <v/>
      </c>
      <c r="E673" s="198" t="str">
        <f>Coins!E673</f>
        <v/>
      </c>
      <c r="F673" s="198" t="str">
        <f>Coins!F673</f>
        <v/>
      </c>
      <c r="G673" s="198" t="str">
        <f>Coins!G673</f>
        <v/>
      </c>
      <c r="H673" s="201" t="str">
        <f>if(Coins!H673="N/A",0,Coins!H673)</f>
        <v/>
      </c>
      <c r="I673" s="202" t="str">
        <f>Coins!I673</f>
        <v/>
      </c>
      <c r="J673" s="198" t="str">
        <f>Coins!J673</f>
        <v/>
      </c>
      <c r="K673" s="201" t="str">
        <f>Coins!K673</f>
        <v/>
      </c>
      <c r="L673" s="198" t="str">
        <f>Coins!L673</f>
        <v/>
      </c>
      <c r="M673" s="198"/>
      <c r="N673" s="198"/>
      <c r="P673" s="66" t="str">
        <f t="shared" si="4"/>
        <v/>
      </c>
    </row>
    <row r="674">
      <c r="A674" s="198" t="str">
        <f>Coins!A674</f>
        <v/>
      </c>
      <c r="B674" s="199" t="str">
        <f>Coins!B674</f>
        <v/>
      </c>
      <c r="C674" s="198" t="str">
        <f>Coins!C674</f>
        <v/>
      </c>
      <c r="D674" s="198" t="str">
        <f>Coins!D674</f>
        <v/>
      </c>
      <c r="E674" s="198" t="str">
        <f>Coins!E674</f>
        <v/>
      </c>
      <c r="F674" s="198" t="str">
        <f>Coins!F674</f>
        <v/>
      </c>
      <c r="G674" s="198" t="str">
        <f>Coins!G674</f>
        <v/>
      </c>
      <c r="H674" s="201" t="str">
        <f>if(Coins!H674="N/A",0,Coins!H674)</f>
        <v/>
      </c>
      <c r="I674" s="202" t="str">
        <f>Coins!I674</f>
        <v/>
      </c>
      <c r="J674" s="198" t="str">
        <f>Coins!J674</f>
        <v/>
      </c>
      <c r="K674" s="201" t="str">
        <f>Coins!K674</f>
        <v/>
      </c>
      <c r="L674" s="198" t="str">
        <f>Coins!L674</f>
        <v/>
      </c>
      <c r="M674" s="198"/>
      <c r="N674" s="198"/>
      <c r="P674" s="66" t="str">
        <f t="shared" si="4"/>
        <v/>
      </c>
    </row>
    <row r="675">
      <c r="A675" s="198" t="str">
        <f>Coins!A675</f>
        <v/>
      </c>
      <c r="B675" s="199" t="str">
        <f>Coins!B675</f>
        <v/>
      </c>
      <c r="C675" s="198" t="str">
        <f>Coins!C675</f>
        <v/>
      </c>
      <c r="D675" s="198" t="str">
        <f>Coins!D675</f>
        <v/>
      </c>
      <c r="E675" s="198" t="str">
        <f>Coins!E675</f>
        <v/>
      </c>
      <c r="F675" s="198" t="str">
        <f>Coins!F675</f>
        <v/>
      </c>
      <c r="G675" s="198" t="str">
        <f>Coins!G675</f>
        <v/>
      </c>
      <c r="H675" s="201" t="str">
        <f>if(Coins!H675="N/A",0,Coins!H675)</f>
        <v/>
      </c>
      <c r="I675" s="202" t="str">
        <f>Coins!I675</f>
        <v/>
      </c>
      <c r="J675" s="198" t="str">
        <f>Coins!J675</f>
        <v/>
      </c>
      <c r="K675" s="201" t="str">
        <f>Coins!K675</f>
        <v/>
      </c>
      <c r="L675" s="198" t="str">
        <f>Coins!L675</f>
        <v/>
      </c>
      <c r="M675" s="198"/>
      <c r="N675" s="198"/>
      <c r="P675" s="66" t="str">
        <f t="shared" si="4"/>
        <v/>
      </c>
    </row>
    <row r="676">
      <c r="A676" s="198" t="str">
        <f>Coins!A676</f>
        <v/>
      </c>
      <c r="B676" s="199" t="str">
        <f>Coins!B676</f>
        <v/>
      </c>
      <c r="C676" s="198" t="str">
        <f>Coins!C676</f>
        <v/>
      </c>
      <c r="D676" s="198" t="str">
        <f>Coins!D676</f>
        <v/>
      </c>
      <c r="E676" s="198" t="str">
        <f>Coins!E676</f>
        <v/>
      </c>
      <c r="F676" s="198" t="str">
        <f>Coins!F676</f>
        <v/>
      </c>
      <c r="G676" s="198" t="str">
        <f>Coins!G676</f>
        <v/>
      </c>
      <c r="H676" s="201" t="str">
        <f>if(Coins!H676="N/A",0,Coins!H676)</f>
        <v/>
      </c>
      <c r="I676" s="202" t="str">
        <f>Coins!I676</f>
        <v/>
      </c>
      <c r="J676" s="198" t="str">
        <f>Coins!J676</f>
        <v/>
      </c>
      <c r="K676" s="201" t="str">
        <f>Coins!K676</f>
        <v/>
      </c>
      <c r="L676" s="198" t="str">
        <f>Coins!L676</f>
        <v/>
      </c>
      <c r="M676" s="198"/>
      <c r="N676" s="198"/>
      <c r="P676" s="66" t="str">
        <f t="shared" si="4"/>
        <v/>
      </c>
    </row>
    <row r="677">
      <c r="A677" s="198" t="str">
        <f>Coins!A677</f>
        <v/>
      </c>
      <c r="B677" s="199" t="str">
        <f>Coins!B677</f>
        <v/>
      </c>
      <c r="C677" s="198" t="str">
        <f>Coins!C677</f>
        <v/>
      </c>
      <c r="D677" s="198" t="str">
        <f>Coins!D677</f>
        <v/>
      </c>
      <c r="E677" s="198" t="str">
        <f>Coins!E677</f>
        <v/>
      </c>
      <c r="F677" s="198" t="str">
        <f>Coins!F677</f>
        <v/>
      </c>
      <c r="G677" s="198" t="str">
        <f>Coins!G677</f>
        <v/>
      </c>
      <c r="H677" s="201" t="str">
        <f>if(Coins!H677="N/A",0,Coins!H677)</f>
        <v/>
      </c>
      <c r="I677" s="202" t="str">
        <f>Coins!I677</f>
        <v/>
      </c>
      <c r="J677" s="198" t="str">
        <f>Coins!J677</f>
        <v/>
      </c>
      <c r="K677" s="201" t="str">
        <f>Coins!K677</f>
        <v/>
      </c>
      <c r="L677" s="198" t="str">
        <f>Coins!L677</f>
        <v/>
      </c>
      <c r="M677" s="198"/>
      <c r="N677" s="198"/>
      <c r="P677" s="66" t="str">
        <f t="shared" si="4"/>
        <v/>
      </c>
    </row>
    <row r="678">
      <c r="A678" s="198" t="str">
        <f>Coins!A678</f>
        <v/>
      </c>
      <c r="B678" s="199" t="str">
        <f>Coins!B678</f>
        <v/>
      </c>
      <c r="C678" s="198" t="str">
        <f>Coins!C678</f>
        <v/>
      </c>
      <c r="D678" s="198" t="str">
        <f>Coins!D678</f>
        <v/>
      </c>
      <c r="E678" s="198" t="str">
        <f>Coins!E678</f>
        <v/>
      </c>
      <c r="F678" s="198" t="str">
        <f>Coins!F678</f>
        <v/>
      </c>
      <c r="G678" s="198" t="str">
        <f>Coins!G678</f>
        <v/>
      </c>
      <c r="H678" s="201" t="str">
        <f>if(Coins!H678="N/A",0,Coins!H678)</f>
        <v/>
      </c>
      <c r="I678" s="202" t="str">
        <f>Coins!I678</f>
        <v/>
      </c>
      <c r="J678" s="198" t="str">
        <f>Coins!J678</f>
        <v/>
      </c>
      <c r="K678" s="201" t="str">
        <f>Coins!K678</f>
        <v/>
      </c>
      <c r="L678" s="198" t="str">
        <f>Coins!L678</f>
        <v/>
      </c>
      <c r="M678" s="198"/>
      <c r="N678" s="198"/>
      <c r="P678" s="66" t="str">
        <f t="shared" si="4"/>
        <v/>
      </c>
    </row>
    <row r="679">
      <c r="A679" s="198" t="str">
        <f>Coins!A679</f>
        <v/>
      </c>
      <c r="B679" s="199" t="str">
        <f>Coins!B679</f>
        <v/>
      </c>
      <c r="C679" s="198" t="str">
        <f>Coins!C679</f>
        <v/>
      </c>
      <c r="D679" s="198" t="str">
        <f>Coins!D679</f>
        <v/>
      </c>
      <c r="E679" s="198" t="str">
        <f>Coins!E679</f>
        <v/>
      </c>
      <c r="F679" s="198" t="str">
        <f>Coins!F679</f>
        <v/>
      </c>
      <c r="G679" s="198" t="str">
        <f>Coins!G679</f>
        <v/>
      </c>
      <c r="H679" s="201" t="str">
        <f>if(Coins!H679="N/A",0,Coins!H679)</f>
        <v/>
      </c>
      <c r="I679" s="202" t="str">
        <f>Coins!I679</f>
        <v/>
      </c>
      <c r="J679" s="198" t="str">
        <f>Coins!J679</f>
        <v/>
      </c>
      <c r="K679" s="201" t="str">
        <f>Coins!K679</f>
        <v/>
      </c>
      <c r="L679" s="198" t="str">
        <f>Coins!L679</f>
        <v/>
      </c>
      <c r="M679" s="198"/>
      <c r="N679" s="198"/>
      <c r="P679" s="66" t="str">
        <f t="shared" si="4"/>
        <v/>
      </c>
    </row>
    <row r="680">
      <c r="A680" s="198" t="str">
        <f>Coins!A680</f>
        <v/>
      </c>
      <c r="B680" s="199" t="str">
        <f>Coins!B680</f>
        <v/>
      </c>
      <c r="C680" s="198" t="str">
        <f>Coins!C680</f>
        <v/>
      </c>
      <c r="D680" s="198" t="str">
        <f>Coins!D680</f>
        <v/>
      </c>
      <c r="E680" s="198" t="str">
        <f>Coins!E680</f>
        <v/>
      </c>
      <c r="F680" s="198" t="str">
        <f>Coins!F680</f>
        <v/>
      </c>
      <c r="G680" s="198" t="str">
        <f>Coins!G680</f>
        <v/>
      </c>
      <c r="H680" s="201" t="str">
        <f>if(Coins!H680="N/A",0,Coins!H680)</f>
        <v/>
      </c>
      <c r="I680" s="202" t="str">
        <f>Coins!I680</f>
        <v/>
      </c>
      <c r="J680" s="198" t="str">
        <f>Coins!J680</f>
        <v/>
      </c>
      <c r="K680" s="201" t="str">
        <f>Coins!K680</f>
        <v/>
      </c>
      <c r="L680" s="198" t="str">
        <f>Coins!L680</f>
        <v/>
      </c>
      <c r="M680" s="198"/>
      <c r="N680" s="198"/>
      <c r="P680" s="66" t="str">
        <f t="shared" si="4"/>
        <v/>
      </c>
    </row>
    <row r="681">
      <c r="A681" s="198" t="str">
        <f>Coins!A681</f>
        <v/>
      </c>
      <c r="B681" s="199" t="str">
        <f>Coins!B681</f>
        <v/>
      </c>
      <c r="C681" s="198" t="str">
        <f>Coins!C681</f>
        <v/>
      </c>
      <c r="D681" s="198" t="str">
        <f>Coins!D681</f>
        <v/>
      </c>
      <c r="E681" s="198" t="str">
        <f>Coins!E681</f>
        <v/>
      </c>
      <c r="F681" s="198" t="str">
        <f>Coins!F681</f>
        <v/>
      </c>
      <c r="G681" s="198" t="str">
        <f>Coins!G681</f>
        <v/>
      </c>
      <c r="H681" s="201" t="str">
        <f>if(Coins!H681="N/A",0,Coins!H681)</f>
        <v/>
      </c>
      <c r="I681" s="202" t="str">
        <f>Coins!I681</f>
        <v/>
      </c>
      <c r="J681" s="198" t="str">
        <f>Coins!J681</f>
        <v/>
      </c>
      <c r="K681" s="201" t="str">
        <f>Coins!K681</f>
        <v/>
      </c>
      <c r="L681" s="198" t="str">
        <f>Coins!L681</f>
        <v/>
      </c>
      <c r="M681" s="198"/>
      <c r="N681" s="198"/>
      <c r="P681" s="66" t="str">
        <f t="shared" si="4"/>
        <v/>
      </c>
    </row>
    <row r="682">
      <c r="A682" s="198" t="str">
        <f>Coins!A682</f>
        <v/>
      </c>
      <c r="B682" s="199" t="str">
        <f>Coins!B682</f>
        <v/>
      </c>
      <c r="C682" s="198" t="str">
        <f>Coins!C682</f>
        <v/>
      </c>
      <c r="D682" s="198" t="str">
        <f>Coins!D682</f>
        <v/>
      </c>
      <c r="E682" s="198" t="str">
        <f>Coins!E682</f>
        <v/>
      </c>
      <c r="F682" s="198" t="str">
        <f>Coins!F682</f>
        <v/>
      </c>
      <c r="G682" s="198" t="str">
        <f>Coins!G682</f>
        <v/>
      </c>
      <c r="H682" s="201" t="str">
        <f>if(Coins!H682="N/A",0,Coins!H682)</f>
        <v/>
      </c>
      <c r="I682" s="202" t="str">
        <f>Coins!I682</f>
        <v/>
      </c>
      <c r="J682" s="198" t="str">
        <f>Coins!J682</f>
        <v/>
      </c>
      <c r="K682" s="201" t="str">
        <f>Coins!K682</f>
        <v/>
      </c>
      <c r="L682" s="198" t="str">
        <f>Coins!L682</f>
        <v/>
      </c>
      <c r="M682" s="198"/>
      <c r="N682" s="198"/>
      <c r="P682" s="66" t="str">
        <f t="shared" si="4"/>
        <v/>
      </c>
    </row>
    <row r="683">
      <c r="A683" s="198" t="str">
        <f>Coins!A683</f>
        <v/>
      </c>
      <c r="B683" s="199" t="str">
        <f>Coins!B683</f>
        <v/>
      </c>
      <c r="C683" s="198" t="str">
        <f>Coins!C683</f>
        <v/>
      </c>
      <c r="D683" s="198" t="str">
        <f>Coins!D683</f>
        <v/>
      </c>
      <c r="E683" s="198" t="str">
        <f>Coins!E683</f>
        <v/>
      </c>
      <c r="F683" s="198" t="str">
        <f>Coins!F683</f>
        <v/>
      </c>
      <c r="G683" s="198" t="str">
        <f>Coins!G683</f>
        <v/>
      </c>
      <c r="H683" s="201" t="str">
        <f>if(Coins!H683="N/A",0,Coins!H683)</f>
        <v/>
      </c>
      <c r="I683" s="202" t="str">
        <f>Coins!I683</f>
        <v/>
      </c>
      <c r="J683" s="198" t="str">
        <f>Coins!J683</f>
        <v/>
      </c>
      <c r="K683" s="201" t="str">
        <f>Coins!K683</f>
        <v/>
      </c>
      <c r="L683" s="198" t="str">
        <f>Coins!L683</f>
        <v/>
      </c>
      <c r="M683" s="198"/>
      <c r="N683" s="198"/>
      <c r="P683" s="66" t="str">
        <f t="shared" si="4"/>
        <v/>
      </c>
    </row>
    <row r="684">
      <c r="A684" s="198" t="str">
        <f>Coins!A684</f>
        <v/>
      </c>
      <c r="B684" s="199" t="str">
        <f>Coins!B684</f>
        <v/>
      </c>
      <c r="C684" s="198" t="str">
        <f>Coins!C684</f>
        <v/>
      </c>
      <c r="D684" s="198" t="str">
        <f>Coins!D684</f>
        <v/>
      </c>
      <c r="E684" s="198" t="str">
        <f>Coins!E684</f>
        <v/>
      </c>
      <c r="F684" s="198" t="str">
        <f>Coins!F684</f>
        <v/>
      </c>
      <c r="G684" s="198" t="str">
        <f>Coins!G684</f>
        <v/>
      </c>
      <c r="H684" s="201" t="str">
        <f>if(Coins!H684="N/A",0,Coins!H684)</f>
        <v/>
      </c>
      <c r="I684" s="202" t="str">
        <f>Coins!I684</f>
        <v/>
      </c>
      <c r="J684" s="198" t="str">
        <f>Coins!J684</f>
        <v/>
      </c>
      <c r="K684" s="201" t="str">
        <f>Coins!K684</f>
        <v/>
      </c>
      <c r="L684" s="198" t="str">
        <f>Coins!L684</f>
        <v/>
      </c>
      <c r="M684" s="198"/>
      <c r="N684" s="198"/>
      <c r="P684" s="66" t="str">
        <f t="shared" si="4"/>
        <v/>
      </c>
    </row>
    <row r="685">
      <c r="A685" s="198" t="str">
        <f>Coins!A685</f>
        <v/>
      </c>
      <c r="B685" s="199" t="str">
        <f>Coins!B685</f>
        <v/>
      </c>
      <c r="C685" s="198" t="str">
        <f>Coins!C685</f>
        <v/>
      </c>
      <c r="D685" s="198" t="str">
        <f>Coins!D685</f>
        <v/>
      </c>
      <c r="E685" s="198" t="str">
        <f>Coins!E685</f>
        <v/>
      </c>
      <c r="F685" s="198" t="str">
        <f>Coins!F685</f>
        <v/>
      </c>
      <c r="G685" s="198" t="str">
        <f>Coins!G685</f>
        <v/>
      </c>
      <c r="H685" s="201" t="str">
        <f>if(Coins!H685="N/A",0,Coins!H685)</f>
        <v/>
      </c>
      <c r="I685" s="202" t="str">
        <f>Coins!I685</f>
        <v/>
      </c>
      <c r="J685" s="198" t="str">
        <f>Coins!J685</f>
        <v/>
      </c>
      <c r="K685" s="201" t="str">
        <f>Coins!K685</f>
        <v/>
      </c>
      <c r="L685" s="198" t="str">
        <f>Coins!L685</f>
        <v/>
      </c>
      <c r="M685" s="198"/>
      <c r="N685" s="198"/>
      <c r="P685" s="66" t="str">
        <f t="shared" si="4"/>
        <v/>
      </c>
    </row>
    <row r="686">
      <c r="A686" s="198" t="str">
        <f>Coins!A686</f>
        <v/>
      </c>
      <c r="B686" s="199" t="str">
        <f>Coins!B686</f>
        <v/>
      </c>
      <c r="C686" s="198" t="str">
        <f>Coins!C686</f>
        <v/>
      </c>
      <c r="D686" s="198" t="str">
        <f>Coins!D686</f>
        <v/>
      </c>
      <c r="E686" s="198" t="str">
        <f>Coins!E686</f>
        <v/>
      </c>
      <c r="F686" s="198" t="str">
        <f>Coins!F686</f>
        <v/>
      </c>
      <c r="G686" s="198" t="str">
        <f>Coins!G686</f>
        <v/>
      </c>
      <c r="H686" s="201" t="str">
        <f>if(Coins!H686="N/A",0,Coins!H686)</f>
        <v/>
      </c>
      <c r="I686" s="202" t="str">
        <f>Coins!I686</f>
        <v/>
      </c>
      <c r="J686" s="198" t="str">
        <f>Coins!J686</f>
        <v/>
      </c>
      <c r="K686" s="201" t="str">
        <f>Coins!K686</f>
        <v/>
      </c>
      <c r="L686" s="198" t="str">
        <f>Coins!L686</f>
        <v/>
      </c>
      <c r="M686" s="198"/>
      <c r="N686" s="198"/>
      <c r="P686" s="66" t="str">
        <f t="shared" si="4"/>
        <v/>
      </c>
    </row>
    <row r="687">
      <c r="A687" s="198" t="str">
        <f>Coins!A687</f>
        <v/>
      </c>
      <c r="B687" s="199" t="str">
        <f>Coins!B687</f>
        <v/>
      </c>
      <c r="C687" s="198" t="str">
        <f>Coins!C687</f>
        <v/>
      </c>
      <c r="D687" s="198" t="str">
        <f>Coins!D687</f>
        <v/>
      </c>
      <c r="E687" s="198" t="str">
        <f>Coins!E687</f>
        <v/>
      </c>
      <c r="F687" s="198" t="str">
        <f>Coins!F687</f>
        <v/>
      </c>
      <c r="G687" s="198" t="str">
        <f>Coins!G687</f>
        <v/>
      </c>
      <c r="H687" s="201" t="str">
        <f>if(Coins!H687="N/A",0,Coins!H687)</f>
        <v/>
      </c>
      <c r="I687" s="202" t="str">
        <f>Coins!I687</f>
        <v/>
      </c>
      <c r="J687" s="198" t="str">
        <f>Coins!J687</f>
        <v/>
      </c>
      <c r="K687" s="201" t="str">
        <f>Coins!K687</f>
        <v/>
      </c>
      <c r="L687" s="198" t="str">
        <f>Coins!L687</f>
        <v/>
      </c>
      <c r="M687" s="198"/>
      <c r="N687" s="198"/>
      <c r="P687" s="66" t="str">
        <f t="shared" si="4"/>
        <v/>
      </c>
    </row>
    <row r="688">
      <c r="A688" s="198" t="str">
        <f>Coins!A688</f>
        <v/>
      </c>
      <c r="B688" s="199" t="str">
        <f>Coins!B688</f>
        <v/>
      </c>
      <c r="C688" s="198" t="str">
        <f>Coins!C688</f>
        <v/>
      </c>
      <c r="D688" s="198" t="str">
        <f>Coins!D688</f>
        <v/>
      </c>
      <c r="E688" s="198" t="str">
        <f>Coins!E688</f>
        <v/>
      </c>
      <c r="F688" s="198" t="str">
        <f>Coins!F688</f>
        <v/>
      </c>
      <c r="G688" s="198" t="str">
        <f>Coins!G688</f>
        <v/>
      </c>
      <c r="H688" s="201" t="str">
        <f>if(Coins!H688="N/A",0,Coins!H688)</f>
        <v/>
      </c>
      <c r="I688" s="202" t="str">
        <f>Coins!I688</f>
        <v/>
      </c>
      <c r="J688" s="198" t="str">
        <f>Coins!J688</f>
        <v/>
      </c>
      <c r="K688" s="201" t="str">
        <f>Coins!K688</f>
        <v/>
      </c>
      <c r="L688" s="198" t="str">
        <f>Coins!L688</f>
        <v/>
      </c>
      <c r="M688" s="198"/>
      <c r="N688" s="198"/>
      <c r="P688" s="66" t="str">
        <f t="shared" si="4"/>
        <v/>
      </c>
    </row>
    <row r="689">
      <c r="A689" s="198" t="str">
        <f>Coins!A689</f>
        <v/>
      </c>
      <c r="B689" s="199" t="str">
        <f>Coins!B689</f>
        <v/>
      </c>
      <c r="C689" s="198" t="str">
        <f>Coins!C689</f>
        <v/>
      </c>
      <c r="D689" s="198" t="str">
        <f>Coins!D689</f>
        <v/>
      </c>
      <c r="E689" s="198" t="str">
        <f>Coins!E689</f>
        <v/>
      </c>
      <c r="F689" s="198" t="str">
        <f>Coins!F689</f>
        <v/>
      </c>
      <c r="G689" s="198" t="str">
        <f>Coins!G689</f>
        <v/>
      </c>
      <c r="H689" s="201" t="str">
        <f>if(Coins!H689="N/A",0,Coins!H689)</f>
        <v/>
      </c>
      <c r="I689" s="202" t="str">
        <f>Coins!I689</f>
        <v/>
      </c>
      <c r="J689" s="198" t="str">
        <f>Coins!J689</f>
        <v/>
      </c>
      <c r="K689" s="201" t="str">
        <f>Coins!K689</f>
        <v/>
      </c>
      <c r="L689" s="198" t="str">
        <f>Coins!L689</f>
        <v/>
      </c>
      <c r="M689" s="198"/>
      <c r="N689" s="198"/>
      <c r="P689" s="66" t="str">
        <f t="shared" si="4"/>
        <v/>
      </c>
    </row>
    <row r="690">
      <c r="A690" s="198" t="str">
        <f>Coins!A690</f>
        <v/>
      </c>
      <c r="B690" s="199" t="str">
        <f>Coins!B690</f>
        <v/>
      </c>
      <c r="C690" s="198" t="str">
        <f>Coins!C690</f>
        <v/>
      </c>
      <c r="D690" s="198" t="str">
        <f>Coins!D690</f>
        <v/>
      </c>
      <c r="E690" s="198" t="str">
        <f>Coins!E690</f>
        <v/>
      </c>
      <c r="F690" s="198" t="str">
        <f>Coins!F690</f>
        <v/>
      </c>
      <c r="G690" s="198" t="str">
        <f>Coins!G690</f>
        <v/>
      </c>
      <c r="H690" s="201" t="str">
        <f>if(Coins!H690="N/A",0,Coins!H690)</f>
        <v/>
      </c>
      <c r="I690" s="202" t="str">
        <f>Coins!I690</f>
        <v/>
      </c>
      <c r="J690" s="198" t="str">
        <f>Coins!J690</f>
        <v/>
      </c>
      <c r="K690" s="201" t="str">
        <f>Coins!K690</f>
        <v/>
      </c>
      <c r="L690" s="198" t="str">
        <f>Coins!L690</f>
        <v/>
      </c>
      <c r="M690" s="198"/>
      <c r="N690" s="198"/>
      <c r="P690" s="66" t="str">
        <f t="shared" si="4"/>
        <v/>
      </c>
    </row>
    <row r="691">
      <c r="A691" s="198" t="str">
        <f>Coins!A691</f>
        <v/>
      </c>
      <c r="B691" s="199" t="str">
        <f>Coins!B691</f>
        <v/>
      </c>
      <c r="C691" s="198" t="str">
        <f>Coins!C691</f>
        <v/>
      </c>
      <c r="D691" s="198" t="str">
        <f>Coins!D691</f>
        <v/>
      </c>
      <c r="E691" s="198" t="str">
        <f>Coins!E691</f>
        <v/>
      </c>
      <c r="F691" s="198" t="str">
        <f>Coins!F691</f>
        <v/>
      </c>
      <c r="G691" s="198" t="str">
        <f>Coins!G691</f>
        <v/>
      </c>
      <c r="H691" s="201" t="str">
        <f>if(Coins!H691="N/A",0,Coins!H691)</f>
        <v/>
      </c>
      <c r="I691" s="202" t="str">
        <f>Coins!I691</f>
        <v/>
      </c>
      <c r="J691" s="198" t="str">
        <f>Coins!J691</f>
        <v/>
      </c>
      <c r="K691" s="201" t="str">
        <f>Coins!K691</f>
        <v/>
      </c>
      <c r="L691" s="198" t="str">
        <f>Coins!L691</f>
        <v/>
      </c>
      <c r="M691" s="198"/>
      <c r="N691" s="198"/>
      <c r="P691" s="66" t="str">
        <f t="shared" si="4"/>
        <v/>
      </c>
    </row>
    <row r="692">
      <c r="A692" s="198" t="str">
        <f>Coins!A692</f>
        <v/>
      </c>
      <c r="B692" s="199" t="str">
        <f>Coins!B692</f>
        <v/>
      </c>
      <c r="C692" s="198" t="str">
        <f>Coins!C692</f>
        <v/>
      </c>
      <c r="D692" s="198" t="str">
        <f>Coins!D692</f>
        <v/>
      </c>
      <c r="E692" s="198" t="str">
        <f>Coins!E692</f>
        <v/>
      </c>
      <c r="F692" s="198" t="str">
        <f>Coins!F692</f>
        <v/>
      </c>
      <c r="G692" s="198" t="str">
        <f>Coins!G692</f>
        <v/>
      </c>
      <c r="H692" s="201" t="str">
        <f>if(Coins!H692="N/A",0,Coins!H692)</f>
        <v/>
      </c>
      <c r="I692" s="202" t="str">
        <f>Coins!I692</f>
        <v/>
      </c>
      <c r="J692" s="198" t="str">
        <f>Coins!J692</f>
        <v/>
      </c>
      <c r="K692" s="201" t="str">
        <f>Coins!K692</f>
        <v/>
      </c>
      <c r="L692" s="198" t="str">
        <f>Coins!L692</f>
        <v/>
      </c>
      <c r="M692" s="198"/>
      <c r="N692" s="198"/>
      <c r="P692" s="66" t="str">
        <f t="shared" si="4"/>
        <v/>
      </c>
    </row>
    <row r="693">
      <c r="A693" s="198" t="str">
        <f>Coins!A693</f>
        <v/>
      </c>
      <c r="B693" s="199" t="str">
        <f>Coins!B693</f>
        <v/>
      </c>
      <c r="C693" s="198" t="str">
        <f>Coins!C693</f>
        <v/>
      </c>
      <c r="D693" s="198" t="str">
        <f>Coins!D693</f>
        <v/>
      </c>
      <c r="E693" s="198" t="str">
        <f>Coins!E693</f>
        <v/>
      </c>
      <c r="F693" s="198" t="str">
        <f>Coins!F693</f>
        <v/>
      </c>
      <c r="G693" s="198" t="str">
        <f>Coins!G693</f>
        <v/>
      </c>
      <c r="H693" s="201" t="str">
        <f>if(Coins!H693="N/A",0,Coins!H693)</f>
        <v/>
      </c>
      <c r="I693" s="202" t="str">
        <f>Coins!I693</f>
        <v/>
      </c>
      <c r="J693" s="198" t="str">
        <f>Coins!J693</f>
        <v/>
      </c>
      <c r="K693" s="201" t="str">
        <f>Coins!K693</f>
        <v/>
      </c>
      <c r="L693" s="198" t="str">
        <f>Coins!L693</f>
        <v/>
      </c>
      <c r="M693" s="198"/>
      <c r="N693" s="198"/>
      <c r="P693" s="66" t="str">
        <f t="shared" si="4"/>
        <v/>
      </c>
    </row>
    <row r="694">
      <c r="A694" s="198" t="str">
        <f>Coins!A694</f>
        <v/>
      </c>
      <c r="B694" s="199" t="str">
        <f>Coins!B694</f>
        <v/>
      </c>
      <c r="C694" s="198" t="str">
        <f>Coins!C694</f>
        <v/>
      </c>
      <c r="D694" s="198" t="str">
        <f>Coins!D694</f>
        <v/>
      </c>
      <c r="E694" s="198" t="str">
        <f>Coins!E694</f>
        <v/>
      </c>
      <c r="F694" s="198" t="str">
        <f>Coins!F694</f>
        <v/>
      </c>
      <c r="G694" s="198" t="str">
        <f>Coins!G694</f>
        <v/>
      </c>
      <c r="H694" s="201" t="str">
        <f>if(Coins!H694="N/A",0,Coins!H694)</f>
        <v/>
      </c>
      <c r="I694" s="202" t="str">
        <f>Coins!I694</f>
        <v/>
      </c>
      <c r="J694" s="198" t="str">
        <f>Coins!J694</f>
        <v/>
      </c>
      <c r="K694" s="201" t="str">
        <f>Coins!K694</f>
        <v/>
      </c>
      <c r="L694" s="198" t="str">
        <f>Coins!L694</f>
        <v/>
      </c>
      <c r="M694" s="198"/>
      <c r="N694" s="198"/>
      <c r="P694" s="66" t="str">
        <f t="shared" si="4"/>
        <v/>
      </c>
    </row>
    <row r="695">
      <c r="A695" s="198" t="str">
        <f>Coins!A695</f>
        <v/>
      </c>
      <c r="B695" s="199" t="str">
        <f>Coins!B695</f>
        <v/>
      </c>
      <c r="C695" s="198" t="str">
        <f>Coins!C695</f>
        <v/>
      </c>
      <c r="D695" s="198" t="str">
        <f>Coins!D695</f>
        <v/>
      </c>
      <c r="E695" s="198" t="str">
        <f>Coins!E695</f>
        <v/>
      </c>
      <c r="F695" s="198" t="str">
        <f>Coins!F695</f>
        <v/>
      </c>
      <c r="G695" s="198" t="str">
        <f>Coins!G695</f>
        <v/>
      </c>
      <c r="H695" s="201" t="str">
        <f>if(Coins!H695="N/A",0,Coins!H695)</f>
        <v/>
      </c>
      <c r="I695" s="202" t="str">
        <f>Coins!I695</f>
        <v/>
      </c>
      <c r="J695" s="198" t="str">
        <f>Coins!J695</f>
        <v/>
      </c>
      <c r="K695" s="201" t="str">
        <f>Coins!K695</f>
        <v/>
      </c>
      <c r="L695" s="198" t="str">
        <f>Coins!L695</f>
        <v/>
      </c>
      <c r="M695" s="198"/>
      <c r="N695" s="198"/>
      <c r="P695" s="66" t="str">
        <f t="shared" si="4"/>
        <v/>
      </c>
    </row>
    <row r="696">
      <c r="A696" s="198" t="str">
        <f>Coins!A696</f>
        <v/>
      </c>
      <c r="B696" s="199" t="str">
        <f>Coins!B696</f>
        <v/>
      </c>
      <c r="C696" s="198" t="str">
        <f>Coins!C696</f>
        <v/>
      </c>
      <c r="D696" s="198" t="str">
        <f>Coins!D696</f>
        <v/>
      </c>
      <c r="E696" s="198" t="str">
        <f>Coins!E696</f>
        <v/>
      </c>
      <c r="F696" s="198" t="str">
        <f>Coins!F696</f>
        <v/>
      </c>
      <c r="G696" s="198" t="str">
        <f>Coins!G696</f>
        <v/>
      </c>
      <c r="H696" s="201" t="str">
        <f>if(Coins!H696="N/A",0,Coins!H696)</f>
        <v/>
      </c>
      <c r="I696" s="202" t="str">
        <f>Coins!I696</f>
        <v/>
      </c>
      <c r="J696" s="198" t="str">
        <f>Coins!J696</f>
        <v/>
      </c>
      <c r="K696" s="201" t="str">
        <f>Coins!K696</f>
        <v/>
      </c>
      <c r="L696" s="198" t="str">
        <f>Coins!L696</f>
        <v/>
      </c>
      <c r="M696" s="198"/>
      <c r="N696" s="198"/>
      <c r="P696" s="66" t="str">
        <f t="shared" si="4"/>
        <v/>
      </c>
    </row>
    <row r="697">
      <c r="A697" s="198" t="str">
        <f>Coins!A697</f>
        <v/>
      </c>
      <c r="B697" s="199" t="str">
        <f>Coins!B697</f>
        <v/>
      </c>
      <c r="C697" s="198" t="str">
        <f>Coins!C697</f>
        <v/>
      </c>
      <c r="D697" s="198" t="str">
        <f>Coins!D697</f>
        <v/>
      </c>
      <c r="E697" s="198" t="str">
        <f>Coins!E697</f>
        <v/>
      </c>
      <c r="F697" s="198" t="str">
        <f>Coins!F697</f>
        <v/>
      </c>
      <c r="G697" s="198" t="str">
        <f>Coins!G697</f>
        <v/>
      </c>
      <c r="H697" s="201" t="str">
        <f>if(Coins!H697="N/A",0,Coins!H697)</f>
        <v/>
      </c>
      <c r="I697" s="202" t="str">
        <f>Coins!I697</f>
        <v/>
      </c>
      <c r="J697" s="198" t="str">
        <f>Coins!J697</f>
        <v/>
      </c>
      <c r="K697" s="201" t="str">
        <f>Coins!K697</f>
        <v/>
      </c>
      <c r="L697" s="198" t="str">
        <f>Coins!L697</f>
        <v/>
      </c>
      <c r="M697" s="198"/>
      <c r="N697" s="198"/>
      <c r="P697" s="66" t="str">
        <f t="shared" si="4"/>
        <v/>
      </c>
    </row>
    <row r="698">
      <c r="A698" s="198" t="str">
        <f>Coins!A698</f>
        <v/>
      </c>
      <c r="B698" s="199" t="str">
        <f>Coins!B698</f>
        <v/>
      </c>
      <c r="C698" s="198" t="str">
        <f>Coins!C698</f>
        <v/>
      </c>
      <c r="D698" s="198" t="str">
        <f>Coins!D698</f>
        <v/>
      </c>
      <c r="E698" s="198" t="str">
        <f>Coins!E698</f>
        <v/>
      </c>
      <c r="F698" s="198" t="str">
        <f>Coins!F698</f>
        <v/>
      </c>
      <c r="G698" s="198" t="str">
        <f>Coins!G698</f>
        <v/>
      </c>
      <c r="H698" s="201" t="str">
        <f>if(Coins!H698="N/A",0,Coins!H698)</f>
        <v/>
      </c>
      <c r="I698" s="202" t="str">
        <f>Coins!I698</f>
        <v/>
      </c>
      <c r="J698" s="198" t="str">
        <f>Coins!J698</f>
        <v/>
      </c>
      <c r="K698" s="201" t="str">
        <f>Coins!K698</f>
        <v/>
      </c>
      <c r="L698" s="198" t="str">
        <f>Coins!L698</f>
        <v/>
      </c>
      <c r="M698" s="198"/>
      <c r="N698" s="198"/>
      <c r="P698" s="66" t="str">
        <f t="shared" si="4"/>
        <v/>
      </c>
    </row>
    <row r="699">
      <c r="A699" s="198" t="str">
        <f>Coins!A699</f>
        <v/>
      </c>
      <c r="B699" s="199" t="str">
        <f>Coins!B699</f>
        <v/>
      </c>
      <c r="C699" s="198" t="str">
        <f>Coins!C699</f>
        <v/>
      </c>
      <c r="D699" s="198" t="str">
        <f>Coins!D699</f>
        <v/>
      </c>
      <c r="E699" s="198" t="str">
        <f>Coins!E699</f>
        <v/>
      </c>
      <c r="F699" s="198" t="str">
        <f>Coins!F699</f>
        <v/>
      </c>
      <c r="G699" s="198" t="str">
        <f>Coins!G699</f>
        <v/>
      </c>
      <c r="H699" s="201" t="str">
        <f>if(Coins!H699="N/A",0,Coins!H699)</f>
        <v/>
      </c>
      <c r="I699" s="202" t="str">
        <f>Coins!I699</f>
        <v/>
      </c>
      <c r="J699" s="198" t="str">
        <f>Coins!J699</f>
        <v/>
      </c>
      <c r="K699" s="201" t="str">
        <f>Coins!K699</f>
        <v/>
      </c>
      <c r="L699" s="198" t="str">
        <f>Coins!L699</f>
        <v/>
      </c>
      <c r="M699" s="198"/>
      <c r="N699" s="198"/>
      <c r="P699" s="66" t="str">
        <f t="shared" si="4"/>
        <v/>
      </c>
    </row>
    <row r="700">
      <c r="A700" s="198" t="str">
        <f>Coins!A700</f>
        <v/>
      </c>
      <c r="B700" s="199" t="str">
        <f>Coins!B700</f>
        <v/>
      </c>
      <c r="C700" s="198" t="str">
        <f>Coins!C700</f>
        <v/>
      </c>
      <c r="D700" s="198" t="str">
        <f>Coins!D700</f>
        <v/>
      </c>
      <c r="E700" s="198" t="str">
        <f>Coins!E700</f>
        <v/>
      </c>
      <c r="F700" s="198" t="str">
        <f>Coins!F700</f>
        <v/>
      </c>
      <c r="G700" s="198" t="str">
        <f>Coins!G700</f>
        <v/>
      </c>
      <c r="H700" s="201" t="str">
        <f>if(Coins!H700="N/A",0,Coins!H700)</f>
        <v/>
      </c>
      <c r="I700" s="202" t="str">
        <f>Coins!I700</f>
        <v/>
      </c>
      <c r="J700" s="198" t="str">
        <f>Coins!J700</f>
        <v/>
      </c>
      <c r="K700" s="201" t="str">
        <f>Coins!K700</f>
        <v/>
      </c>
      <c r="L700" s="198" t="str">
        <f>Coins!L700</f>
        <v/>
      </c>
      <c r="M700" s="198"/>
      <c r="N700" s="198"/>
      <c r="P700" s="66" t="str">
        <f t="shared" si="4"/>
        <v/>
      </c>
    </row>
    <row r="701">
      <c r="A701" s="198" t="str">
        <f>Coins!A701</f>
        <v/>
      </c>
      <c r="B701" s="199" t="str">
        <f>Coins!B701</f>
        <v/>
      </c>
      <c r="C701" s="198" t="str">
        <f>Coins!C701</f>
        <v/>
      </c>
      <c r="D701" s="198" t="str">
        <f>Coins!D701</f>
        <v/>
      </c>
      <c r="E701" s="198" t="str">
        <f>Coins!E701</f>
        <v/>
      </c>
      <c r="F701" s="198" t="str">
        <f>Coins!F701</f>
        <v/>
      </c>
      <c r="G701" s="198" t="str">
        <f>Coins!G701</f>
        <v/>
      </c>
      <c r="H701" s="201" t="str">
        <f>if(Coins!H701="N/A",0,Coins!H701)</f>
        <v/>
      </c>
      <c r="I701" s="202" t="str">
        <f>Coins!I701</f>
        <v/>
      </c>
      <c r="J701" s="198" t="str">
        <f>Coins!J701</f>
        <v/>
      </c>
      <c r="K701" s="201" t="str">
        <f>Coins!K701</f>
        <v/>
      </c>
      <c r="L701" s="198" t="str">
        <f>Coins!L701</f>
        <v/>
      </c>
      <c r="M701" s="198"/>
      <c r="N701" s="198"/>
      <c r="P701" s="66" t="str">
        <f t="shared" si="4"/>
        <v/>
      </c>
    </row>
    <row r="702">
      <c r="A702" s="198" t="str">
        <f>Coins!A702</f>
        <v/>
      </c>
      <c r="B702" s="199" t="str">
        <f>Coins!B702</f>
        <v/>
      </c>
      <c r="C702" s="198" t="str">
        <f>Coins!C702</f>
        <v/>
      </c>
      <c r="D702" s="198" t="str">
        <f>Coins!D702</f>
        <v/>
      </c>
      <c r="E702" s="198" t="str">
        <f>Coins!E702</f>
        <v/>
      </c>
      <c r="F702" s="198" t="str">
        <f>Coins!F702</f>
        <v/>
      </c>
      <c r="G702" s="198" t="str">
        <f>Coins!G702</f>
        <v/>
      </c>
      <c r="H702" s="201" t="str">
        <f>if(Coins!H702="N/A",0,Coins!H702)</f>
        <v/>
      </c>
      <c r="I702" s="202" t="str">
        <f>Coins!I702</f>
        <v/>
      </c>
      <c r="J702" s="198" t="str">
        <f>Coins!J702</f>
        <v/>
      </c>
      <c r="K702" s="201" t="str">
        <f>Coins!K702</f>
        <v/>
      </c>
      <c r="L702" s="198" t="str">
        <f>Coins!L702</f>
        <v/>
      </c>
      <c r="M702" s="198"/>
      <c r="N702" s="198"/>
      <c r="P702" s="66" t="str">
        <f t="shared" si="4"/>
        <v/>
      </c>
    </row>
    <row r="703">
      <c r="A703" s="198" t="str">
        <f>Coins!A703</f>
        <v/>
      </c>
      <c r="B703" s="199" t="str">
        <f>Coins!B703</f>
        <v/>
      </c>
      <c r="C703" s="198" t="str">
        <f>Coins!C703</f>
        <v/>
      </c>
      <c r="D703" s="198" t="str">
        <f>Coins!D703</f>
        <v/>
      </c>
      <c r="E703" s="198" t="str">
        <f>Coins!E703</f>
        <v/>
      </c>
      <c r="F703" s="198" t="str">
        <f>Coins!F703</f>
        <v/>
      </c>
      <c r="G703" s="198" t="str">
        <f>Coins!G703</f>
        <v/>
      </c>
      <c r="H703" s="201" t="str">
        <f>if(Coins!H703="N/A",0,Coins!H703)</f>
        <v/>
      </c>
      <c r="I703" s="202" t="str">
        <f>Coins!I703</f>
        <v/>
      </c>
      <c r="J703" s="198" t="str">
        <f>Coins!J703</f>
        <v/>
      </c>
      <c r="K703" s="201" t="str">
        <f>Coins!K703</f>
        <v/>
      </c>
      <c r="L703" s="198" t="str">
        <f>Coins!L703</f>
        <v/>
      </c>
      <c r="M703" s="198"/>
      <c r="N703" s="198"/>
      <c r="P703" s="66" t="str">
        <f t="shared" si="4"/>
        <v/>
      </c>
    </row>
    <row r="704">
      <c r="A704" s="198" t="str">
        <f>Coins!A704</f>
        <v/>
      </c>
      <c r="B704" s="199" t="str">
        <f>Coins!B704</f>
        <v/>
      </c>
      <c r="C704" s="198" t="str">
        <f>Coins!C704</f>
        <v/>
      </c>
      <c r="D704" s="198" t="str">
        <f>Coins!D704</f>
        <v/>
      </c>
      <c r="E704" s="198" t="str">
        <f>Coins!E704</f>
        <v/>
      </c>
      <c r="F704" s="198" t="str">
        <f>Coins!F704</f>
        <v/>
      </c>
      <c r="G704" s="198" t="str">
        <f>Coins!G704</f>
        <v/>
      </c>
      <c r="H704" s="201" t="str">
        <f>if(Coins!H704="N/A",0,Coins!H704)</f>
        <v/>
      </c>
      <c r="I704" s="202" t="str">
        <f>Coins!I704</f>
        <v/>
      </c>
      <c r="J704" s="198" t="str">
        <f>Coins!J704</f>
        <v/>
      </c>
      <c r="K704" s="201" t="str">
        <f>Coins!K704</f>
        <v/>
      </c>
      <c r="L704" s="198" t="str">
        <f>Coins!L704</f>
        <v/>
      </c>
      <c r="M704" s="198"/>
      <c r="N704" s="198"/>
      <c r="P704" s="66" t="str">
        <f t="shared" si="4"/>
        <v/>
      </c>
    </row>
    <row r="705">
      <c r="A705" s="198" t="str">
        <f>Coins!A705</f>
        <v/>
      </c>
      <c r="B705" s="199" t="str">
        <f>Coins!B705</f>
        <v/>
      </c>
      <c r="C705" s="198" t="str">
        <f>Coins!C705</f>
        <v/>
      </c>
      <c r="D705" s="198" t="str">
        <f>Coins!D705</f>
        <v/>
      </c>
      <c r="E705" s="198" t="str">
        <f>Coins!E705</f>
        <v/>
      </c>
      <c r="F705" s="198" t="str">
        <f>Coins!F705</f>
        <v/>
      </c>
      <c r="G705" s="198" t="str">
        <f>Coins!G705</f>
        <v/>
      </c>
      <c r="H705" s="201" t="str">
        <f>if(Coins!H705="N/A",0,Coins!H705)</f>
        <v/>
      </c>
      <c r="I705" s="202" t="str">
        <f>Coins!I705</f>
        <v/>
      </c>
      <c r="J705" s="198" t="str">
        <f>Coins!J705</f>
        <v/>
      </c>
      <c r="K705" s="201" t="str">
        <f>Coins!K705</f>
        <v/>
      </c>
      <c r="L705" s="198" t="str">
        <f>Coins!L705</f>
        <v/>
      </c>
      <c r="M705" s="198"/>
      <c r="N705" s="198"/>
      <c r="P705" s="66" t="str">
        <f t="shared" si="4"/>
        <v/>
      </c>
    </row>
    <row r="706">
      <c r="A706" s="198" t="str">
        <f>Coins!A706</f>
        <v/>
      </c>
      <c r="B706" s="199" t="str">
        <f>Coins!B706</f>
        <v/>
      </c>
      <c r="C706" s="198" t="str">
        <f>Coins!C706</f>
        <v/>
      </c>
      <c r="D706" s="198" t="str">
        <f>Coins!D706</f>
        <v/>
      </c>
      <c r="E706" s="198" t="str">
        <f>Coins!E706</f>
        <v/>
      </c>
      <c r="F706" s="198" t="str">
        <f>Coins!F706</f>
        <v/>
      </c>
      <c r="G706" s="198" t="str">
        <f>Coins!G706</f>
        <v/>
      </c>
      <c r="H706" s="201" t="str">
        <f>if(Coins!H706="N/A",0,Coins!H706)</f>
        <v/>
      </c>
      <c r="I706" s="202" t="str">
        <f>Coins!I706</f>
        <v/>
      </c>
      <c r="J706" s="198" t="str">
        <f>Coins!J706</f>
        <v/>
      </c>
      <c r="K706" s="201" t="str">
        <f>Coins!K706</f>
        <v/>
      </c>
      <c r="L706" s="198" t="str">
        <f>Coins!L706</f>
        <v/>
      </c>
      <c r="M706" s="198"/>
      <c r="N706" s="198"/>
      <c r="P706" s="66" t="str">
        <f t="shared" si="4"/>
        <v/>
      </c>
    </row>
    <row r="707">
      <c r="A707" s="198" t="str">
        <f>Coins!A707</f>
        <v/>
      </c>
      <c r="B707" s="199" t="str">
        <f>Coins!B707</f>
        <v/>
      </c>
      <c r="C707" s="198" t="str">
        <f>Coins!C707</f>
        <v/>
      </c>
      <c r="D707" s="198" t="str">
        <f>Coins!D707</f>
        <v/>
      </c>
      <c r="E707" s="198" t="str">
        <f>Coins!E707</f>
        <v/>
      </c>
      <c r="F707" s="198" t="str">
        <f>Coins!F707</f>
        <v/>
      </c>
      <c r="G707" s="198" t="str">
        <f>Coins!G707</f>
        <v/>
      </c>
      <c r="H707" s="201" t="str">
        <f>if(Coins!H707="N/A",0,Coins!H707)</f>
        <v/>
      </c>
      <c r="I707" s="202" t="str">
        <f>Coins!I707</f>
        <v/>
      </c>
      <c r="J707" s="198" t="str">
        <f>Coins!J707</f>
        <v/>
      </c>
      <c r="K707" s="201" t="str">
        <f>Coins!K707</f>
        <v/>
      </c>
      <c r="L707" s="198" t="str">
        <f>Coins!L707</f>
        <v/>
      </c>
      <c r="M707" s="198"/>
      <c r="N707" s="198"/>
      <c r="P707" s="66" t="str">
        <f t="shared" si="4"/>
        <v/>
      </c>
    </row>
    <row r="708">
      <c r="A708" s="198" t="str">
        <f>Coins!A708</f>
        <v/>
      </c>
      <c r="B708" s="199" t="str">
        <f>Coins!B708</f>
        <v/>
      </c>
      <c r="C708" s="198" t="str">
        <f>Coins!C708</f>
        <v/>
      </c>
      <c r="D708" s="198" t="str">
        <f>Coins!D708</f>
        <v/>
      </c>
      <c r="E708" s="198" t="str">
        <f>Coins!E708</f>
        <v/>
      </c>
      <c r="F708" s="198" t="str">
        <f>Coins!F708</f>
        <v/>
      </c>
      <c r="G708" s="198" t="str">
        <f>Coins!G708</f>
        <v/>
      </c>
      <c r="H708" s="201" t="str">
        <f>if(Coins!H708="N/A",0,Coins!H708)</f>
        <v/>
      </c>
      <c r="I708" s="202" t="str">
        <f>Coins!I708</f>
        <v/>
      </c>
      <c r="J708" s="198" t="str">
        <f>Coins!J708</f>
        <v/>
      </c>
      <c r="K708" s="201" t="str">
        <f>Coins!K708</f>
        <v/>
      </c>
      <c r="L708" s="198" t="str">
        <f>Coins!L708</f>
        <v/>
      </c>
      <c r="M708" s="198"/>
      <c r="N708" s="198"/>
      <c r="P708" s="66" t="str">
        <f t="shared" si="4"/>
        <v/>
      </c>
    </row>
    <row r="709">
      <c r="A709" s="198" t="str">
        <f>Coins!A709</f>
        <v/>
      </c>
      <c r="B709" s="199" t="str">
        <f>Coins!B709</f>
        <v/>
      </c>
      <c r="C709" s="198" t="str">
        <f>Coins!C709</f>
        <v/>
      </c>
      <c r="D709" s="198" t="str">
        <f>Coins!D709</f>
        <v/>
      </c>
      <c r="E709" s="198" t="str">
        <f>Coins!E709</f>
        <v/>
      </c>
      <c r="F709" s="198" t="str">
        <f>Coins!F709</f>
        <v/>
      </c>
      <c r="G709" s="198" t="str">
        <f>Coins!G709</f>
        <v/>
      </c>
      <c r="H709" s="201" t="str">
        <f>if(Coins!H709="N/A",0,Coins!H709)</f>
        <v/>
      </c>
      <c r="I709" s="202" t="str">
        <f>Coins!I709</f>
        <v/>
      </c>
      <c r="J709" s="198" t="str">
        <f>Coins!J709</f>
        <v/>
      </c>
      <c r="K709" s="201" t="str">
        <f>Coins!K709</f>
        <v/>
      </c>
      <c r="L709" s="198" t="str">
        <f>Coins!L709</f>
        <v/>
      </c>
      <c r="M709" s="198"/>
      <c r="N709" s="198"/>
      <c r="P709" s="66" t="str">
        <f t="shared" si="4"/>
        <v/>
      </c>
    </row>
    <row r="710">
      <c r="A710" s="198" t="str">
        <f>Coins!A710</f>
        <v/>
      </c>
      <c r="B710" s="199" t="str">
        <f>Coins!B710</f>
        <v/>
      </c>
      <c r="C710" s="198" t="str">
        <f>Coins!C710</f>
        <v/>
      </c>
      <c r="D710" s="198" t="str">
        <f>Coins!D710</f>
        <v/>
      </c>
      <c r="E710" s="198" t="str">
        <f>Coins!E710</f>
        <v/>
      </c>
      <c r="F710" s="198" t="str">
        <f>Coins!F710</f>
        <v/>
      </c>
      <c r="G710" s="198" t="str">
        <f>Coins!G710</f>
        <v/>
      </c>
      <c r="H710" s="201" t="str">
        <f>if(Coins!H710="N/A",0,Coins!H710)</f>
        <v/>
      </c>
      <c r="I710" s="202" t="str">
        <f>Coins!I710</f>
        <v/>
      </c>
      <c r="J710" s="198" t="str">
        <f>Coins!J710</f>
        <v/>
      </c>
      <c r="K710" s="201" t="str">
        <f>Coins!K710</f>
        <v/>
      </c>
      <c r="L710" s="198" t="str">
        <f>Coins!L710</f>
        <v/>
      </c>
      <c r="M710" s="198"/>
      <c r="N710" s="198"/>
      <c r="P710" s="66" t="str">
        <f t="shared" si="4"/>
        <v/>
      </c>
    </row>
    <row r="711">
      <c r="A711" s="198" t="str">
        <f>Coins!A711</f>
        <v/>
      </c>
      <c r="B711" s="199" t="str">
        <f>Coins!B711</f>
        <v/>
      </c>
      <c r="C711" s="198" t="str">
        <f>Coins!C711</f>
        <v/>
      </c>
      <c r="D711" s="198" t="str">
        <f>Coins!D711</f>
        <v/>
      </c>
      <c r="E711" s="198" t="str">
        <f>Coins!E711</f>
        <v/>
      </c>
      <c r="F711" s="198" t="str">
        <f>Coins!F711</f>
        <v/>
      </c>
      <c r="G711" s="198" t="str">
        <f>Coins!G711</f>
        <v/>
      </c>
      <c r="H711" s="201" t="str">
        <f>if(Coins!H711="N/A",0,Coins!H711)</f>
        <v/>
      </c>
      <c r="I711" s="202" t="str">
        <f>Coins!I711</f>
        <v/>
      </c>
      <c r="J711" s="198" t="str">
        <f>Coins!J711</f>
        <v/>
      </c>
      <c r="K711" s="201" t="str">
        <f>Coins!K711</f>
        <v/>
      </c>
      <c r="L711" s="198" t="str">
        <f>Coins!L711</f>
        <v/>
      </c>
      <c r="M711" s="198"/>
      <c r="N711" s="198"/>
      <c r="P711" s="66" t="str">
        <f t="shared" si="4"/>
        <v/>
      </c>
    </row>
    <row r="712">
      <c r="A712" s="198" t="str">
        <f>Coins!A712</f>
        <v/>
      </c>
      <c r="B712" s="199" t="str">
        <f>Coins!B712</f>
        <v/>
      </c>
      <c r="C712" s="198" t="str">
        <f>Coins!C712</f>
        <v/>
      </c>
      <c r="D712" s="198" t="str">
        <f>Coins!D712</f>
        <v/>
      </c>
      <c r="E712" s="198" t="str">
        <f>Coins!E712</f>
        <v/>
      </c>
      <c r="F712" s="198" t="str">
        <f>Coins!F712</f>
        <v/>
      </c>
      <c r="G712" s="198" t="str">
        <f>Coins!G712</f>
        <v/>
      </c>
      <c r="H712" s="201" t="str">
        <f>if(Coins!H712="N/A",0,Coins!H712)</f>
        <v/>
      </c>
      <c r="I712" s="202" t="str">
        <f>Coins!I712</f>
        <v/>
      </c>
      <c r="J712" s="198" t="str">
        <f>Coins!J712</f>
        <v/>
      </c>
      <c r="K712" s="201" t="str">
        <f>Coins!K712</f>
        <v/>
      </c>
      <c r="L712" s="198" t="str">
        <f>Coins!L712</f>
        <v/>
      </c>
      <c r="M712" s="198"/>
      <c r="N712" s="198"/>
      <c r="P712" s="66" t="str">
        <f t="shared" si="4"/>
        <v/>
      </c>
    </row>
    <row r="713">
      <c r="A713" s="198" t="str">
        <f>Coins!A713</f>
        <v/>
      </c>
      <c r="B713" s="199" t="str">
        <f>Coins!B713</f>
        <v/>
      </c>
      <c r="C713" s="198" t="str">
        <f>Coins!C713</f>
        <v/>
      </c>
      <c r="D713" s="198" t="str">
        <f>Coins!D713</f>
        <v/>
      </c>
      <c r="E713" s="198" t="str">
        <f>Coins!E713</f>
        <v/>
      </c>
      <c r="F713" s="198" t="str">
        <f>Coins!F713</f>
        <v/>
      </c>
      <c r="G713" s="198" t="str">
        <f>Coins!G713</f>
        <v/>
      </c>
      <c r="H713" s="201" t="str">
        <f>if(Coins!H713="N/A",0,Coins!H713)</f>
        <v/>
      </c>
      <c r="I713" s="202" t="str">
        <f>Coins!I713</f>
        <v/>
      </c>
      <c r="J713" s="198" t="str">
        <f>Coins!J713</f>
        <v/>
      </c>
      <c r="K713" s="201" t="str">
        <f>Coins!K713</f>
        <v/>
      </c>
      <c r="L713" s="198" t="str">
        <f>Coins!L713</f>
        <v/>
      </c>
      <c r="M713" s="198"/>
      <c r="N713" s="198"/>
      <c r="P713" s="66" t="str">
        <f t="shared" si="4"/>
        <v/>
      </c>
    </row>
    <row r="714">
      <c r="A714" s="198" t="str">
        <f>Coins!A714</f>
        <v/>
      </c>
      <c r="B714" s="199" t="str">
        <f>Coins!B714</f>
        <v/>
      </c>
      <c r="C714" s="198" t="str">
        <f>Coins!C714</f>
        <v/>
      </c>
      <c r="D714" s="198" t="str">
        <f>Coins!D714</f>
        <v/>
      </c>
      <c r="E714" s="198" t="str">
        <f>Coins!E714</f>
        <v/>
      </c>
      <c r="F714" s="198" t="str">
        <f>Coins!F714</f>
        <v/>
      </c>
      <c r="G714" s="198" t="str">
        <f>Coins!G714</f>
        <v/>
      </c>
      <c r="H714" s="201" t="str">
        <f>if(Coins!H714="N/A",0,Coins!H714)</f>
        <v/>
      </c>
      <c r="I714" s="202" t="str">
        <f>Coins!I714</f>
        <v/>
      </c>
      <c r="J714" s="198" t="str">
        <f>Coins!J714</f>
        <v/>
      </c>
      <c r="K714" s="201" t="str">
        <f>Coins!K714</f>
        <v/>
      </c>
      <c r="L714" s="198" t="str">
        <f>Coins!L714</f>
        <v/>
      </c>
      <c r="M714" s="198"/>
      <c r="N714" s="198"/>
      <c r="P714" s="66" t="str">
        <f t="shared" si="4"/>
        <v/>
      </c>
    </row>
    <row r="715">
      <c r="A715" s="198" t="str">
        <f>Coins!A715</f>
        <v/>
      </c>
      <c r="B715" s="199" t="str">
        <f>Coins!B715</f>
        <v/>
      </c>
      <c r="C715" s="198" t="str">
        <f>Coins!C715</f>
        <v/>
      </c>
      <c r="D715" s="198" t="str">
        <f>Coins!D715</f>
        <v/>
      </c>
      <c r="E715" s="198" t="str">
        <f>Coins!E715</f>
        <v/>
      </c>
      <c r="F715" s="198" t="str">
        <f>Coins!F715</f>
        <v/>
      </c>
      <c r="G715" s="198" t="str">
        <f>Coins!G715</f>
        <v/>
      </c>
      <c r="H715" s="201" t="str">
        <f>if(Coins!H715="N/A",0,Coins!H715)</f>
        <v/>
      </c>
      <c r="I715" s="202" t="str">
        <f>Coins!I715</f>
        <v/>
      </c>
      <c r="J715" s="198" t="str">
        <f>Coins!J715</f>
        <v/>
      </c>
      <c r="K715" s="201" t="str">
        <f>Coins!K715</f>
        <v/>
      </c>
      <c r="L715" s="198" t="str">
        <f>Coins!L715</f>
        <v/>
      </c>
      <c r="M715" s="198"/>
      <c r="N715" s="198"/>
      <c r="P715" s="66" t="str">
        <f t="shared" si="4"/>
        <v/>
      </c>
    </row>
    <row r="716">
      <c r="A716" s="198" t="str">
        <f>Coins!A716</f>
        <v/>
      </c>
      <c r="B716" s="199" t="str">
        <f>Coins!B716</f>
        <v/>
      </c>
      <c r="C716" s="198" t="str">
        <f>Coins!C716</f>
        <v/>
      </c>
      <c r="D716" s="198" t="str">
        <f>Coins!D716</f>
        <v/>
      </c>
      <c r="E716" s="198" t="str">
        <f>Coins!E716</f>
        <v/>
      </c>
      <c r="F716" s="198" t="str">
        <f>Coins!F716</f>
        <v/>
      </c>
      <c r="G716" s="198" t="str">
        <f>Coins!G716</f>
        <v/>
      </c>
      <c r="H716" s="201" t="str">
        <f>if(Coins!H716="N/A",0,Coins!H716)</f>
        <v/>
      </c>
      <c r="I716" s="202" t="str">
        <f>Coins!I716</f>
        <v/>
      </c>
      <c r="J716" s="198" t="str">
        <f>Coins!J716</f>
        <v/>
      </c>
      <c r="K716" s="201" t="str">
        <f>Coins!K716</f>
        <v/>
      </c>
      <c r="L716" s="198" t="str">
        <f>Coins!L716</f>
        <v/>
      </c>
      <c r="M716" s="198"/>
      <c r="N716" s="198"/>
      <c r="P716" s="66" t="str">
        <f t="shared" si="4"/>
        <v/>
      </c>
    </row>
    <row r="717">
      <c r="A717" s="198" t="str">
        <f>Coins!A717</f>
        <v/>
      </c>
      <c r="B717" s="199" t="str">
        <f>Coins!B717</f>
        <v/>
      </c>
      <c r="C717" s="198" t="str">
        <f>Coins!C717</f>
        <v/>
      </c>
      <c r="D717" s="198" t="str">
        <f>Coins!D717</f>
        <v/>
      </c>
      <c r="E717" s="198" t="str">
        <f>Coins!E717</f>
        <v/>
      </c>
      <c r="F717" s="198" t="str">
        <f>Coins!F717</f>
        <v/>
      </c>
      <c r="G717" s="198" t="str">
        <f>Coins!G717</f>
        <v/>
      </c>
      <c r="H717" s="201" t="str">
        <f>if(Coins!H717="N/A",0,Coins!H717)</f>
        <v/>
      </c>
      <c r="I717" s="202" t="str">
        <f>Coins!I717</f>
        <v/>
      </c>
      <c r="J717" s="198" t="str">
        <f>Coins!J717</f>
        <v/>
      </c>
      <c r="K717" s="201" t="str">
        <f>Coins!K717</f>
        <v/>
      </c>
      <c r="L717" s="198" t="str">
        <f>Coins!L717</f>
        <v/>
      </c>
      <c r="M717" s="198"/>
      <c r="N717" s="198"/>
      <c r="P717" s="66" t="str">
        <f t="shared" si="4"/>
        <v/>
      </c>
    </row>
    <row r="718">
      <c r="A718" s="198" t="str">
        <f>Coins!A718</f>
        <v/>
      </c>
      <c r="B718" s="199" t="str">
        <f>Coins!B718</f>
        <v/>
      </c>
      <c r="C718" s="198" t="str">
        <f>Coins!C718</f>
        <v/>
      </c>
      <c r="D718" s="198" t="str">
        <f>Coins!D718</f>
        <v/>
      </c>
      <c r="E718" s="198" t="str">
        <f>Coins!E718</f>
        <v/>
      </c>
      <c r="F718" s="198" t="str">
        <f>Coins!F718</f>
        <v/>
      </c>
      <c r="G718" s="198" t="str">
        <f>Coins!G718</f>
        <v/>
      </c>
      <c r="H718" s="201" t="str">
        <f>if(Coins!H718="N/A",0,Coins!H718)</f>
        <v/>
      </c>
      <c r="I718" s="202" t="str">
        <f>Coins!I718</f>
        <v/>
      </c>
      <c r="J718" s="198" t="str">
        <f>Coins!J718</f>
        <v/>
      </c>
      <c r="K718" s="201" t="str">
        <f>Coins!K718</f>
        <v/>
      </c>
      <c r="L718" s="198" t="str">
        <f>Coins!L718</f>
        <v/>
      </c>
      <c r="M718" s="198"/>
      <c r="N718" s="198"/>
      <c r="P718" s="66" t="str">
        <f t="shared" si="4"/>
        <v/>
      </c>
    </row>
    <row r="719">
      <c r="A719" s="198" t="str">
        <f>Coins!A719</f>
        <v/>
      </c>
      <c r="B719" s="199" t="str">
        <f>Coins!B719</f>
        <v/>
      </c>
      <c r="C719" s="198" t="str">
        <f>Coins!C719</f>
        <v/>
      </c>
      <c r="D719" s="198" t="str">
        <f>Coins!D719</f>
        <v/>
      </c>
      <c r="E719" s="198" t="str">
        <f>Coins!E719</f>
        <v/>
      </c>
      <c r="F719" s="198" t="str">
        <f>Coins!F719</f>
        <v/>
      </c>
      <c r="G719" s="198" t="str">
        <f>Coins!G719</f>
        <v/>
      </c>
      <c r="H719" s="201" t="str">
        <f>if(Coins!H719="N/A",0,Coins!H719)</f>
        <v/>
      </c>
      <c r="I719" s="202" t="str">
        <f>Coins!I719</f>
        <v/>
      </c>
      <c r="J719" s="198" t="str">
        <f>Coins!J719</f>
        <v/>
      </c>
      <c r="K719" s="201" t="str">
        <f>Coins!K719</f>
        <v/>
      </c>
      <c r="L719" s="198" t="str">
        <f>Coins!L719</f>
        <v/>
      </c>
      <c r="M719" s="198"/>
      <c r="N719" s="198"/>
      <c r="P719" s="66" t="str">
        <f t="shared" si="4"/>
        <v/>
      </c>
    </row>
    <row r="720">
      <c r="A720" s="198" t="str">
        <f>Coins!A720</f>
        <v/>
      </c>
      <c r="B720" s="199" t="str">
        <f>Coins!B720</f>
        <v/>
      </c>
      <c r="C720" s="198" t="str">
        <f>Coins!C720</f>
        <v/>
      </c>
      <c r="D720" s="198" t="str">
        <f>Coins!D720</f>
        <v/>
      </c>
      <c r="E720" s="198" t="str">
        <f>Coins!E720</f>
        <v/>
      </c>
      <c r="F720" s="198" t="str">
        <f>Coins!F720</f>
        <v/>
      </c>
      <c r="G720" s="198" t="str">
        <f>Coins!G720</f>
        <v/>
      </c>
      <c r="H720" s="201" t="str">
        <f>if(Coins!H720="N/A",0,Coins!H720)</f>
        <v/>
      </c>
      <c r="I720" s="202" t="str">
        <f>Coins!I720</f>
        <v/>
      </c>
      <c r="J720" s="198" t="str">
        <f>Coins!J720</f>
        <v/>
      </c>
      <c r="K720" s="201" t="str">
        <f>Coins!K720</f>
        <v/>
      </c>
      <c r="L720" s="198" t="str">
        <f>Coins!L720</f>
        <v/>
      </c>
      <c r="M720" s="198"/>
      <c r="N720" s="198"/>
      <c r="P720" s="66" t="str">
        <f t="shared" si="4"/>
        <v/>
      </c>
    </row>
    <row r="721">
      <c r="A721" s="198" t="str">
        <f>Coins!A721</f>
        <v/>
      </c>
      <c r="B721" s="199" t="str">
        <f>Coins!B721</f>
        <v/>
      </c>
      <c r="C721" s="198" t="str">
        <f>Coins!C721</f>
        <v/>
      </c>
      <c r="D721" s="198" t="str">
        <f>Coins!D721</f>
        <v/>
      </c>
      <c r="E721" s="198" t="str">
        <f>Coins!E721</f>
        <v/>
      </c>
      <c r="F721" s="198" t="str">
        <f>Coins!F721</f>
        <v/>
      </c>
      <c r="G721" s="198" t="str">
        <f>Coins!G721</f>
        <v/>
      </c>
      <c r="H721" s="201" t="str">
        <f>if(Coins!H721="N/A",0,Coins!H721)</f>
        <v/>
      </c>
      <c r="I721" s="202" t="str">
        <f>Coins!I721</f>
        <v/>
      </c>
      <c r="J721" s="198" t="str">
        <f>Coins!J721</f>
        <v/>
      </c>
      <c r="K721" s="201" t="str">
        <f>Coins!K721</f>
        <v/>
      </c>
      <c r="L721" s="198" t="str">
        <f>Coins!L721</f>
        <v/>
      </c>
      <c r="M721" s="198"/>
      <c r="N721" s="198"/>
      <c r="P721" s="66" t="str">
        <f t="shared" si="4"/>
        <v/>
      </c>
    </row>
    <row r="722">
      <c r="A722" s="198" t="str">
        <f>Coins!A722</f>
        <v/>
      </c>
      <c r="B722" s="199" t="str">
        <f>Coins!B722</f>
        <v/>
      </c>
      <c r="C722" s="198" t="str">
        <f>Coins!C722</f>
        <v/>
      </c>
      <c r="D722" s="198" t="str">
        <f>Coins!D722</f>
        <v/>
      </c>
      <c r="E722" s="198" t="str">
        <f>Coins!E722</f>
        <v/>
      </c>
      <c r="F722" s="198" t="str">
        <f>Coins!F722</f>
        <v/>
      </c>
      <c r="G722" s="198" t="str">
        <f>Coins!G722</f>
        <v/>
      </c>
      <c r="H722" s="201" t="str">
        <f>if(Coins!H722="N/A",0,Coins!H722)</f>
        <v/>
      </c>
      <c r="I722" s="202" t="str">
        <f>Coins!I722</f>
        <v/>
      </c>
      <c r="J722" s="198" t="str">
        <f>Coins!J722</f>
        <v/>
      </c>
      <c r="K722" s="201" t="str">
        <f>Coins!K722</f>
        <v/>
      </c>
      <c r="L722" s="198" t="str">
        <f>Coins!L722</f>
        <v/>
      </c>
      <c r="M722" s="198"/>
      <c r="N722" s="198"/>
      <c r="P722" s="66" t="str">
        <f t="shared" si="4"/>
        <v/>
      </c>
    </row>
    <row r="723">
      <c r="A723" s="198" t="str">
        <f>Coins!A723</f>
        <v/>
      </c>
      <c r="B723" s="199" t="str">
        <f>Coins!B723</f>
        <v/>
      </c>
      <c r="C723" s="198" t="str">
        <f>Coins!C723</f>
        <v/>
      </c>
      <c r="D723" s="198" t="str">
        <f>Coins!D723</f>
        <v/>
      </c>
      <c r="E723" s="198" t="str">
        <f>Coins!E723</f>
        <v/>
      </c>
      <c r="F723" s="198" t="str">
        <f>Coins!F723</f>
        <v/>
      </c>
      <c r="G723" s="198" t="str">
        <f>Coins!G723</f>
        <v/>
      </c>
      <c r="H723" s="201" t="str">
        <f>if(Coins!H723="N/A",0,Coins!H723)</f>
        <v/>
      </c>
      <c r="I723" s="202" t="str">
        <f>Coins!I723</f>
        <v/>
      </c>
      <c r="J723" s="198" t="str">
        <f>Coins!J723</f>
        <v/>
      </c>
      <c r="K723" s="201" t="str">
        <f>Coins!K723</f>
        <v/>
      </c>
      <c r="L723" s="198" t="str">
        <f>Coins!L723</f>
        <v/>
      </c>
      <c r="M723" s="198"/>
      <c r="N723" s="198"/>
      <c r="P723" s="66" t="str">
        <f t="shared" si="4"/>
        <v/>
      </c>
    </row>
    <row r="724">
      <c r="A724" s="198" t="str">
        <f>Coins!A724</f>
        <v/>
      </c>
      <c r="B724" s="199" t="str">
        <f>Coins!B724</f>
        <v/>
      </c>
      <c r="C724" s="198" t="str">
        <f>Coins!C724</f>
        <v/>
      </c>
      <c r="D724" s="198" t="str">
        <f>Coins!D724</f>
        <v/>
      </c>
      <c r="E724" s="198" t="str">
        <f>Coins!E724</f>
        <v/>
      </c>
      <c r="F724" s="198" t="str">
        <f>Coins!F724</f>
        <v/>
      </c>
      <c r="G724" s="198" t="str">
        <f>Coins!G724</f>
        <v/>
      </c>
      <c r="H724" s="201" t="str">
        <f>if(Coins!H724="N/A",0,Coins!H724)</f>
        <v/>
      </c>
      <c r="I724" s="202" t="str">
        <f>Coins!I724</f>
        <v/>
      </c>
      <c r="J724" s="198" t="str">
        <f>Coins!J724</f>
        <v/>
      </c>
      <c r="K724" s="201" t="str">
        <f>Coins!K724</f>
        <v/>
      </c>
      <c r="L724" s="198" t="str">
        <f>Coins!L724</f>
        <v/>
      </c>
      <c r="M724" s="198"/>
      <c r="N724" s="198"/>
      <c r="P724" s="66" t="str">
        <f t="shared" si="4"/>
        <v/>
      </c>
    </row>
    <row r="725">
      <c r="A725" s="198" t="str">
        <f>Coins!A725</f>
        <v/>
      </c>
      <c r="B725" s="199" t="str">
        <f>Coins!B725</f>
        <v/>
      </c>
      <c r="C725" s="198" t="str">
        <f>Coins!C725</f>
        <v/>
      </c>
      <c r="D725" s="198" t="str">
        <f>Coins!D725</f>
        <v/>
      </c>
      <c r="E725" s="198" t="str">
        <f>Coins!E725</f>
        <v/>
      </c>
      <c r="F725" s="198" t="str">
        <f>Coins!F725</f>
        <v/>
      </c>
      <c r="G725" s="198" t="str">
        <f>Coins!G725</f>
        <v/>
      </c>
      <c r="H725" s="201" t="str">
        <f>if(Coins!H725="N/A",0,Coins!H725)</f>
        <v/>
      </c>
      <c r="I725" s="202" t="str">
        <f>Coins!I725</f>
        <v/>
      </c>
      <c r="J725" s="198" t="str">
        <f>Coins!J725</f>
        <v/>
      </c>
      <c r="K725" s="201" t="str">
        <f>Coins!K725</f>
        <v/>
      </c>
      <c r="L725" s="198" t="str">
        <f>Coins!L725</f>
        <v/>
      </c>
      <c r="M725" s="198"/>
      <c r="N725" s="198"/>
      <c r="P725" s="66" t="str">
        <f t="shared" si="4"/>
        <v/>
      </c>
    </row>
    <row r="726">
      <c r="A726" s="198" t="str">
        <f>Coins!A726</f>
        <v/>
      </c>
      <c r="B726" s="199" t="str">
        <f>Coins!B726</f>
        <v/>
      </c>
      <c r="C726" s="198" t="str">
        <f>Coins!C726</f>
        <v/>
      </c>
      <c r="D726" s="198" t="str">
        <f>Coins!D726</f>
        <v/>
      </c>
      <c r="E726" s="198" t="str">
        <f>Coins!E726</f>
        <v/>
      </c>
      <c r="F726" s="198" t="str">
        <f>Coins!F726</f>
        <v/>
      </c>
      <c r="G726" s="198" t="str">
        <f>Coins!G726</f>
        <v/>
      </c>
      <c r="H726" s="201" t="str">
        <f>if(Coins!H726="N/A",0,Coins!H726)</f>
        <v/>
      </c>
      <c r="I726" s="202" t="str">
        <f>Coins!I726</f>
        <v/>
      </c>
      <c r="J726" s="198" t="str">
        <f>Coins!J726</f>
        <v/>
      </c>
      <c r="K726" s="201" t="str">
        <f>Coins!K726</f>
        <v/>
      </c>
      <c r="L726" s="198" t="str">
        <f>Coins!L726</f>
        <v/>
      </c>
      <c r="M726" s="198"/>
      <c r="N726" s="198"/>
      <c r="P726" s="66" t="str">
        <f t="shared" si="4"/>
        <v/>
      </c>
    </row>
    <row r="727">
      <c r="A727" s="198" t="str">
        <f>Coins!A727</f>
        <v/>
      </c>
      <c r="B727" s="199" t="str">
        <f>Coins!B727</f>
        <v/>
      </c>
      <c r="C727" s="198" t="str">
        <f>Coins!C727</f>
        <v/>
      </c>
      <c r="D727" s="198" t="str">
        <f>Coins!D727</f>
        <v/>
      </c>
      <c r="E727" s="198" t="str">
        <f>Coins!E727</f>
        <v/>
      </c>
      <c r="F727" s="198" t="str">
        <f>Coins!F727</f>
        <v/>
      </c>
      <c r="G727" s="198" t="str">
        <f>Coins!G727</f>
        <v/>
      </c>
      <c r="H727" s="201" t="str">
        <f>if(Coins!H727="N/A",0,Coins!H727)</f>
        <v/>
      </c>
      <c r="I727" s="202" t="str">
        <f>Coins!I727</f>
        <v/>
      </c>
      <c r="J727" s="198" t="str">
        <f>Coins!J727</f>
        <v/>
      </c>
      <c r="K727" s="201" t="str">
        <f>Coins!K727</f>
        <v/>
      </c>
      <c r="L727" s="198" t="str">
        <f>Coins!L727</f>
        <v/>
      </c>
      <c r="M727" s="198"/>
      <c r="N727" s="198"/>
      <c r="P727" s="66" t="str">
        <f t="shared" si="4"/>
        <v/>
      </c>
    </row>
    <row r="728">
      <c r="A728" s="198" t="str">
        <f>Coins!A728</f>
        <v/>
      </c>
      <c r="B728" s="199" t="str">
        <f>Coins!B728</f>
        <v/>
      </c>
      <c r="C728" s="198" t="str">
        <f>Coins!C728</f>
        <v/>
      </c>
      <c r="D728" s="198" t="str">
        <f>Coins!D728</f>
        <v/>
      </c>
      <c r="E728" s="198" t="str">
        <f>Coins!E728</f>
        <v/>
      </c>
      <c r="F728" s="198" t="str">
        <f>Coins!F728</f>
        <v/>
      </c>
      <c r="G728" s="198" t="str">
        <f>Coins!G728</f>
        <v/>
      </c>
      <c r="H728" s="201" t="str">
        <f>if(Coins!H728="N/A",0,Coins!H728)</f>
        <v/>
      </c>
      <c r="I728" s="202" t="str">
        <f>Coins!I728</f>
        <v/>
      </c>
      <c r="J728" s="198" t="str">
        <f>Coins!J728</f>
        <v/>
      </c>
      <c r="K728" s="201" t="str">
        <f>Coins!K728</f>
        <v/>
      </c>
      <c r="L728" s="198" t="str">
        <f>Coins!L728</f>
        <v/>
      </c>
      <c r="M728" s="198"/>
      <c r="N728" s="198"/>
      <c r="P728" s="66" t="str">
        <f t="shared" si="4"/>
        <v/>
      </c>
    </row>
    <row r="729">
      <c r="A729" s="198" t="str">
        <f>Coins!A729</f>
        <v/>
      </c>
      <c r="B729" s="199" t="str">
        <f>Coins!B729</f>
        <v/>
      </c>
      <c r="C729" s="198" t="str">
        <f>Coins!C729</f>
        <v/>
      </c>
      <c r="D729" s="198" t="str">
        <f>Coins!D729</f>
        <v/>
      </c>
      <c r="E729" s="198" t="str">
        <f>Coins!E729</f>
        <v/>
      </c>
      <c r="F729" s="198" t="str">
        <f>Coins!F729</f>
        <v/>
      </c>
      <c r="G729" s="198" t="str">
        <f>Coins!G729</f>
        <v/>
      </c>
      <c r="H729" s="201" t="str">
        <f>if(Coins!H729="N/A",0,Coins!H729)</f>
        <v/>
      </c>
      <c r="I729" s="202" t="str">
        <f>Coins!I729</f>
        <v/>
      </c>
      <c r="J729" s="198" t="str">
        <f>Coins!J729</f>
        <v/>
      </c>
      <c r="K729" s="201" t="str">
        <f>Coins!K729</f>
        <v/>
      </c>
      <c r="L729" s="198" t="str">
        <f>Coins!L729</f>
        <v/>
      </c>
      <c r="M729" s="198"/>
      <c r="N729" s="198"/>
      <c r="P729" s="66" t="str">
        <f t="shared" si="4"/>
        <v/>
      </c>
    </row>
    <row r="730">
      <c r="A730" s="198" t="str">
        <f>Coins!A730</f>
        <v/>
      </c>
      <c r="B730" s="199" t="str">
        <f>Coins!B730</f>
        <v/>
      </c>
      <c r="C730" s="198" t="str">
        <f>Coins!C730</f>
        <v/>
      </c>
      <c r="D730" s="198" t="str">
        <f>Coins!D730</f>
        <v/>
      </c>
      <c r="E730" s="198" t="str">
        <f>Coins!E730</f>
        <v/>
      </c>
      <c r="F730" s="198" t="str">
        <f>Coins!F730</f>
        <v/>
      </c>
      <c r="G730" s="198" t="str">
        <f>Coins!G730</f>
        <v/>
      </c>
      <c r="H730" s="201" t="str">
        <f>if(Coins!H730="N/A",0,Coins!H730)</f>
        <v/>
      </c>
      <c r="I730" s="202" t="str">
        <f>Coins!I730</f>
        <v/>
      </c>
      <c r="J730" s="198" t="str">
        <f>Coins!J730</f>
        <v/>
      </c>
      <c r="K730" s="201" t="str">
        <f>Coins!K730</f>
        <v/>
      </c>
      <c r="L730" s="198" t="str">
        <f>Coins!L730</f>
        <v/>
      </c>
      <c r="M730" s="198"/>
      <c r="N730" s="198"/>
      <c r="P730" s="66" t="str">
        <f t="shared" si="4"/>
        <v/>
      </c>
    </row>
    <row r="731">
      <c r="A731" s="198" t="str">
        <f>Coins!A731</f>
        <v/>
      </c>
      <c r="B731" s="199" t="str">
        <f>Coins!B731</f>
        <v/>
      </c>
      <c r="C731" s="198" t="str">
        <f>Coins!C731</f>
        <v/>
      </c>
      <c r="D731" s="198" t="str">
        <f>Coins!D731</f>
        <v/>
      </c>
      <c r="E731" s="198" t="str">
        <f>Coins!E731</f>
        <v/>
      </c>
      <c r="F731" s="198" t="str">
        <f>Coins!F731</f>
        <v/>
      </c>
      <c r="G731" s="198" t="str">
        <f>Coins!G731</f>
        <v/>
      </c>
      <c r="H731" s="201" t="str">
        <f>if(Coins!H731="N/A",0,Coins!H731)</f>
        <v/>
      </c>
      <c r="I731" s="202" t="str">
        <f>Coins!I731</f>
        <v/>
      </c>
      <c r="J731" s="198" t="str">
        <f>Coins!J731</f>
        <v/>
      </c>
      <c r="K731" s="201" t="str">
        <f>Coins!K731</f>
        <v/>
      </c>
      <c r="L731" s="198" t="str">
        <f>Coins!L731</f>
        <v/>
      </c>
      <c r="M731" s="198"/>
      <c r="N731" s="198"/>
      <c r="P731" s="66" t="str">
        <f t="shared" si="4"/>
        <v/>
      </c>
    </row>
    <row r="732">
      <c r="A732" s="198" t="str">
        <f>Coins!A732</f>
        <v/>
      </c>
      <c r="B732" s="199" t="str">
        <f>Coins!B732</f>
        <v/>
      </c>
      <c r="C732" s="198" t="str">
        <f>Coins!C732</f>
        <v/>
      </c>
      <c r="D732" s="198" t="str">
        <f>Coins!D732</f>
        <v/>
      </c>
      <c r="E732" s="198" t="str">
        <f>Coins!E732</f>
        <v/>
      </c>
      <c r="F732" s="198" t="str">
        <f>Coins!F732</f>
        <v/>
      </c>
      <c r="G732" s="198" t="str">
        <f>Coins!G732</f>
        <v/>
      </c>
      <c r="H732" s="201" t="str">
        <f>if(Coins!H732="N/A",0,Coins!H732)</f>
        <v/>
      </c>
      <c r="I732" s="202" t="str">
        <f>Coins!I732</f>
        <v/>
      </c>
      <c r="J732" s="198" t="str">
        <f>Coins!J732</f>
        <v/>
      </c>
      <c r="K732" s="201" t="str">
        <f>Coins!K732</f>
        <v/>
      </c>
      <c r="L732" s="198" t="str">
        <f>Coins!L732</f>
        <v/>
      </c>
      <c r="M732" s="198"/>
      <c r="N732" s="198"/>
      <c r="P732" s="66" t="str">
        <f t="shared" si="4"/>
        <v/>
      </c>
    </row>
    <row r="733">
      <c r="A733" s="198" t="str">
        <f>Coins!A733</f>
        <v/>
      </c>
      <c r="B733" s="199" t="str">
        <f>Coins!B733</f>
        <v/>
      </c>
      <c r="C733" s="198" t="str">
        <f>Coins!C733</f>
        <v/>
      </c>
      <c r="D733" s="198" t="str">
        <f>Coins!D733</f>
        <v/>
      </c>
      <c r="E733" s="198" t="str">
        <f>Coins!E733</f>
        <v/>
      </c>
      <c r="F733" s="198" t="str">
        <f>Coins!F733</f>
        <v/>
      </c>
      <c r="G733" s="198" t="str">
        <f>Coins!G733</f>
        <v/>
      </c>
      <c r="H733" s="201" t="str">
        <f>if(Coins!H733="N/A",0,Coins!H733)</f>
        <v/>
      </c>
      <c r="I733" s="202" t="str">
        <f>Coins!I733</f>
        <v/>
      </c>
      <c r="J733" s="198" t="str">
        <f>Coins!J733</f>
        <v/>
      </c>
      <c r="K733" s="201" t="str">
        <f>Coins!K733</f>
        <v/>
      </c>
      <c r="L733" s="198" t="str">
        <f>Coins!L733</f>
        <v/>
      </c>
      <c r="M733" s="198"/>
      <c r="N733" s="198"/>
      <c r="P733" s="66" t="str">
        <f t="shared" si="4"/>
        <v/>
      </c>
    </row>
    <row r="734">
      <c r="A734" s="198" t="str">
        <f>Coins!A734</f>
        <v/>
      </c>
      <c r="B734" s="199" t="str">
        <f>Coins!B734</f>
        <v/>
      </c>
      <c r="C734" s="198" t="str">
        <f>Coins!C734</f>
        <v/>
      </c>
      <c r="D734" s="198" t="str">
        <f>Coins!D734</f>
        <v/>
      </c>
      <c r="E734" s="198" t="str">
        <f>Coins!E734</f>
        <v/>
      </c>
      <c r="F734" s="198" t="str">
        <f>Coins!F734</f>
        <v/>
      </c>
      <c r="G734" s="198" t="str">
        <f>Coins!G734</f>
        <v/>
      </c>
      <c r="H734" s="201" t="str">
        <f>if(Coins!H734="N/A",0,Coins!H734)</f>
        <v/>
      </c>
      <c r="I734" s="202" t="str">
        <f>Coins!I734</f>
        <v/>
      </c>
      <c r="J734" s="198" t="str">
        <f>Coins!J734</f>
        <v/>
      </c>
      <c r="K734" s="201" t="str">
        <f>Coins!K734</f>
        <v/>
      </c>
      <c r="L734" s="198" t="str">
        <f>Coins!L734</f>
        <v/>
      </c>
      <c r="M734" s="198"/>
      <c r="N734" s="198"/>
      <c r="P734" s="66" t="str">
        <f t="shared" si="4"/>
        <v/>
      </c>
    </row>
    <row r="735">
      <c r="A735" s="198" t="str">
        <f>Coins!A735</f>
        <v/>
      </c>
      <c r="B735" s="199" t="str">
        <f>Coins!B735</f>
        <v/>
      </c>
      <c r="C735" s="198" t="str">
        <f>Coins!C735</f>
        <v/>
      </c>
      <c r="D735" s="198" t="str">
        <f>Coins!D735</f>
        <v/>
      </c>
      <c r="E735" s="198" t="str">
        <f>Coins!E735</f>
        <v/>
      </c>
      <c r="F735" s="198" t="str">
        <f>Coins!F735</f>
        <v/>
      </c>
      <c r="G735" s="198" t="str">
        <f>Coins!G735</f>
        <v/>
      </c>
      <c r="H735" s="201" t="str">
        <f>if(Coins!H735="N/A",0,Coins!H735)</f>
        <v/>
      </c>
      <c r="I735" s="202" t="str">
        <f>Coins!I735</f>
        <v/>
      </c>
      <c r="J735" s="198" t="str">
        <f>Coins!J735</f>
        <v/>
      </c>
      <c r="K735" s="201" t="str">
        <f>Coins!K735</f>
        <v/>
      </c>
      <c r="L735" s="198" t="str">
        <f>Coins!L735</f>
        <v/>
      </c>
      <c r="M735" s="198"/>
      <c r="N735" s="198"/>
      <c r="P735" s="66" t="str">
        <f t="shared" si="4"/>
        <v/>
      </c>
    </row>
    <row r="736">
      <c r="A736" s="198" t="str">
        <f>Coins!A736</f>
        <v/>
      </c>
      <c r="B736" s="199" t="str">
        <f>Coins!B736</f>
        <v/>
      </c>
      <c r="C736" s="198" t="str">
        <f>Coins!C736</f>
        <v/>
      </c>
      <c r="D736" s="198" t="str">
        <f>Coins!D736</f>
        <v/>
      </c>
      <c r="E736" s="198" t="str">
        <f>Coins!E736</f>
        <v/>
      </c>
      <c r="F736" s="198" t="str">
        <f>Coins!F736</f>
        <v/>
      </c>
      <c r="G736" s="198" t="str">
        <f>Coins!G736</f>
        <v/>
      </c>
      <c r="H736" s="201" t="str">
        <f>if(Coins!H736="N/A",0,Coins!H736)</f>
        <v/>
      </c>
      <c r="I736" s="202" t="str">
        <f>Coins!I736</f>
        <v/>
      </c>
      <c r="J736" s="198" t="str">
        <f>Coins!J736</f>
        <v/>
      </c>
      <c r="K736" s="201" t="str">
        <f>Coins!K736</f>
        <v/>
      </c>
      <c r="L736" s="198" t="str">
        <f>Coins!L736</f>
        <v/>
      </c>
      <c r="M736" s="198"/>
      <c r="N736" s="198"/>
      <c r="P736" s="66" t="str">
        <f t="shared" si="4"/>
        <v/>
      </c>
    </row>
    <row r="737">
      <c r="A737" s="198" t="str">
        <f>Coins!A737</f>
        <v/>
      </c>
      <c r="B737" s="199" t="str">
        <f>Coins!B737</f>
        <v/>
      </c>
      <c r="C737" s="198" t="str">
        <f>Coins!C737</f>
        <v/>
      </c>
      <c r="D737" s="198" t="str">
        <f>Coins!D737</f>
        <v/>
      </c>
      <c r="E737" s="198" t="str">
        <f>Coins!E737</f>
        <v/>
      </c>
      <c r="F737" s="198" t="str">
        <f>Coins!F737</f>
        <v/>
      </c>
      <c r="G737" s="198" t="str">
        <f>Coins!G737</f>
        <v/>
      </c>
      <c r="H737" s="201" t="str">
        <f>if(Coins!H737="N/A",0,Coins!H737)</f>
        <v/>
      </c>
      <c r="I737" s="202" t="str">
        <f>Coins!I737</f>
        <v/>
      </c>
      <c r="J737" s="198" t="str">
        <f>Coins!J737</f>
        <v/>
      </c>
      <c r="K737" s="201" t="str">
        <f>Coins!K737</f>
        <v/>
      </c>
      <c r="L737" s="198" t="str">
        <f>Coins!L737</f>
        <v/>
      </c>
      <c r="M737" s="198"/>
      <c r="N737" s="198"/>
      <c r="P737" s="66" t="str">
        <f t="shared" si="4"/>
        <v/>
      </c>
    </row>
    <row r="738">
      <c r="A738" s="198" t="str">
        <f>Coins!A738</f>
        <v/>
      </c>
      <c r="B738" s="199" t="str">
        <f>Coins!B738</f>
        <v/>
      </c>
      <c r="C738" s="198" t="str">
        <f>Coins!C738</f>
        <v/>
      </c>
      <c r="D738" s="198" t="str">
        <f>Coins!D738</f>
        <v/>
      </c>
      <c r="E738" s="198" t="str">
        <f>Coins!E738</f>
        <v/>
      </c>
      <c r="F738" s="198" t="str">
        <f>Coins!F738</f>
        <v/>
      </c>
      <c r="G738" s="198" t="str">
        <f>Coins!G738</f>
        <v/>
      </c>
      <c r="H738" s="201" t="str">
        <f>if(Coins!H738="N/A",0,Coins!H738)</f>
        <v/>
      </c>
      <c r="I738" s="202" t="str">
        <f>Coins!I738</f>
        <v/>
      </c>
      <c r="J738" s="198" t="str">
        <f>Coins!J738</f>
        <v/>
      </c>
      <c r="K738" s="201" t="str">
        <f>Coins!K738</f>
        <v/>
      </c>
      <c r="L738" s="198" t="str">
        <f>Coins!L738</f>
        <v/>
      </c>
      <c r="M738" s="198"/>
      <c r="N738" s="198"/>
      <c r="P738" s="66" t="str">
        <f t="shared" si="4"/>
        <v/>
      </c>
    </row>
    <row r="739">
      <c r="A739" s="198" t="str">
        <f>Coins!A739</f>
        <v/>
      </c>
      <c r="B739" s="199" t="str">
        <f>Coins!B739</f>
        <v/>
      </c>
      <c r="C739" s="198" t="str">
        <f>Coins!C739</f>
        <v/>
      </c>
      <c r="D739" s="198" t="str">
        <f>Coins!D739</f>
        <v/>
      </c>
      <c r="E739" s="198" t="str">
        <f>Coins!E739</f>
        <v/>
      </c>
      <c r="F739" s="198" t="str">
        <f>Coins!F739</f>
        <v/>
      </c>
      <c r="G739" s="198" t="str">
        <f>Coins!G739</f>
        <v/>
      </c>
      <c r="H739" s="201" t="str">
        <f>if(Coins!H739="N/A",0,Coins!H739)</f>
        <v/>
      </c>
      <c r="I739" s="202" t="str">
        <f>Coins!I739</f>
        <v/>
      </c>
      <c r="J739" s="198" t="str">
        <f>Coins!J739</f>
        <v/>
      </c>
      <c r="K739" s="201" t="str">
        <f>Coins!K739</f>
        <v/>
      </c>
      <c r="L739" s="198" t="str">
        <f>Coins!L739</f>
        <v/>
      </c>
      <c r="M739" s="198"/>
      <c r="N739" s="198"/>
      <c r="P739" s="66" t="str">
        <f t="shared" si="4"/>
        <v/>
      </c>
    </row>
    <row r="740">
      <c r="A740" s="198" t="str">
        <f>Coins!A740</f>
        <v/>
      </c>
      <c r="B740" s="199" t="str">
        <f>Coins!B740</f>
        <v/>
      </c>
      <c r="C740" s="198" t="str">
        <f>Coins!C740</f>
        <v/>
      </c>
      <c r="D740" s="198" t="str">
        <f>Coins!D740</f>
        <v/>
      </c>
      <c r="E740" s="198" t="str">
        <f>Coins!E740</f>
        <v/>
      </c>
      <c r="F740" s="198" t="str">
        <f>Coins!F740</f>
        <v/>
      </c>
      <c r="G740" s="198" t="str">
        <f>Coins!G740</f>
        <v/>
      </c>
      <c r="H740" s="201" t="str">
        <f>if(Coins!H740="N/A",0,Coins!H740)</f>
        <v/>
      </c>
      <c r="I740" s="202" t="str">
        <f>Coins!I740</f>
        <v/>
      </c>
      <c r="J740" s="198" t="str">
        <f>Coins!J740</f>
        <v/>
      </c>
      <c r="K740" s="201" t="str">
        <f>Coins!K740</f>
        <v/>
      </c>
      <c r="L740" s="198" t="str">
        <f>Coins!L740</f>
        <v/>
      </c>
      <c r="M740" s="198"/>
      <c r="N740" s="198"/>
      <c r="P740" s="66" t="str">
        <f t="shared" si="4"/>
        <v/>
      </c>
    </row>
    <row r="741">
      <c r="A741" s="198" t="str">
        <f>Coins!A741</f>
        <v/>
      </c>
      <c r="B741" s="199" t="str">
        <f>Coins!B741</f>
        <v/>
      </c>
      <c r="C741" s="198" t="str">
        <f>Coins!C741</f>
        <v/>
      </c>
      <c r="D741" s="198" t="str">
        <f>Coins!D741</f>
        <v/>
      </c>
      <c r="E741" s="198" t="str">
        <f>Coins!E741</f>
        <v/>
      </c>
      <c r="F741" s="198" t="str">
        <f>Coins!F741</f>
        <v/>
      </c>
      <c r="G741" s="198" t="str">
        <f>Coins!G741</f>
        <v/>
      </c>
      <c r="H741" s="201" t="str">
        <f>if(Coins!H741="N/A",0,Coins!H741)</f>
        <v/>
      </c>
      <c r="I741" s="202" t="str">
        <f>Coins!I741</f>
        <v/>
      </c>
      <c r="J741" s="198" t="str">
        <f>Coins!J741</f>
        <v/>
      </c>
      <c r="K741" s="201" t="str">
        <f>Coins!K741</f>
        <v/>
      </c>
      <c r="L741" s="198" t="str">
        <f>Coins!L741</f>
        <v/>
      </c>
      <c r="M741" s="198"/>
      <c r="N741" s="198"/>
      <c r="P741" s="66" t="str">
        <f t="shared" si="4"/>
        <v/>
      </c>
    </row>
    <row r="742">
      <c r="A742" s="198" t="str">
        <f>Coins!A742</f>
        <v/>
      </c>
      <c r="B742" s="199" t="str">
        <f>Coins!B742</f>
        <v/>
      </c>
      <c r="C742" s="198" t="str">
        <f>Coins!C742</f>
        <v/>
      </c>
      <c r="D742" s="198" t="str">
        <f>Coins!D742</f>
        <v/>
      </c>
      <c r="E742" s="198" t="str">
        <f>Coins!E742</f>
        <v/>
      </c>
      <c r="F742" s="198" t="str">
        <f>Coins!F742</f>
        <v/>
      </c>
      <c r="G742" s="198" t="str">
        <f>Coins!G742</f>
        <v/>
      </c>
      <c r="H742" s="201" t="str">
        <f>if(Coins!H742="N/A",0,Coins!H742)</f>
        <v/>
      </c>
      <c r="I742" s="202" t="str">
        <f>Coins!I742</f>
        <v/>
      </c>
      <c r="J742" s="198" t="str">
        <f>Coins!J742</f>
        <v/>
      </c>
      <c r="K742" s="201" t="str">
        <f>Coins!K742</f>
        <v/>
      </c>
      <c r="L742" s="198" t="str">
        <f>Coins!L742</f>
        <v/>
      </c>
      <c r="M742" s="198"/>
      <c r="N742" s="198"/>
      <c r="P742" s="66" t="str">
        <f t="shared" si="4"/>
        <v/>
      </c>
    </row>
    <row r="743">
      <c r="A743" s="198" t="str">
        <f>Coins!A743</f>
        <v/>
      </c>
      <c r="B743" s="199" t="str">
        <f>Coins!B743</f>
        <v/>
      </c>
      <c r="C743" s="198" t="str">
        <f>Coins!C743</f>
        <v/>
      </c>
      <c r="D743" s="198" t="str">
        <f>Coins!D743</f>
        <v/>
      </c>
      <c r="E743" s="198" t="str">
        <f>Coins!E743</f>
        <v/>
      </c>
      <c r="F743" s="198" t="str">
        <f>Coins!F743</f>
        <v/>
      </c>
      <c r="G743" s="198" t="str">
        <f>Coins!G743</f>
        <v/>
      </c>
      <c r="H743" s="201" t="str">
        <f>if(Coins!H743="N/A",0,Coins!H743)</f>
        <v/>
      </c>
      <c r="I743" s="202" t="str">
        <f>Coins!I743</f>
        <v/>
      </c>
      <c r="J743" s="198" t="str">
        <f>Coins!J743</f>
        <v/>
      </c>
      <c r="K743" s="201" t="str">
        <f>Coins!K743</f>
        <v/>
      </c>
      <c r="L743" s="198" t="str">
        <f>Coins!L743</f>
        <v/>
      </c>
      <c r="M743" s="198"/>
      <c r="N743" s="198"/>
      <c r="P743" s="66" t="str">
        <f t="shared" si="4"/>
        <v/>
      </c>
    </row>
    <row r="744">
      <c r="A744" s="198" t="str">
        <f>Coins!A744</f>
        <v/>
      </c>
      <c r="B744" s="199" t="str">
        <f>Coins!B744</f>
        <v/>
      </c>
      <c r="C744" s="198" t="str">
        <f>Coins!C744</f>
        <v/>
      </c>
      <c r="D744" s="198" t="str">
        <f>Coins!D744</f>
        <v/>
      </c>
      <c r="E744" s="198" t="str">
        <f>Coins!E744</f>
        <v/>
      </c>
      <c r="F744" s="198" t="str">
        <f>Coins!F744</f>
        <v/>
      </c>
      <c r="G744" s="198" t="str">
        <f>Coins!G744</f>
        <v/>
      </c>
      <c r="H744" s="201" t="str">
        <f>if(Coins!H744="N/A",0,Coins!H744)</f>
        <v/>
      </c>
      <c r="I744" s="202" t="str">
        <f>Coins!I744</f>
        <v/>
      </c>
      <c r="J744" s="198" t="str">
        <f>Coins!J744</f>
        <v/>
      </c>
      <c r="K744" s="201" t="str">
        <f>Coins!K744</f>
        <v/>
      </c>
      <c r="L744" s="198" t="str">
        <f>Coins!L744</f>
        <v/>
      </c>
      <c r="M744" s="198"/>
      <c r="N744" s="198"/>
      <c r="P744" s="66" t="str">
        <f t="shared" si="4"/>
        <v/>
      </c>
    </row>
    <row r="745">
      <c r="A745" s="198" t="str">
        <f>Coins!A745</f>
        <v/>
      </c>
      <c r="B745" s="199" t="str">
        <f>Coins!B745</f>
        <v/>
      </c>
      <c r="C745" s="198" t="str">
        <f>Coins!C745</f>
        <v/>
      </c>
      <c r="D745" s="198" t="str">
        <f>Coins!D745</f>
        <v/>
      </c>
      <c r="E745" s="198" t="str">
        <f>Coins!E745</f>
        <v/>
      </c>
      <c r="F745" s="198" t="str">
        <f>Coins!F745</f>
        <v/>
      </c>
      <c r="G745" s="198" t="str">
        <f>Coins!G745</f>
        <v/>
      </c>
      <c r="H745" s="201" t="str">
        <f>if(Coins!H745="N/A",0,Coins!H745)</f>
        <v/>
      </c>
      <c r="I745" s="202" t="str">
        <f>Coins!I745</f>
        <v/>
      </c>
      <c r="J745" s="198" t="str">
        <f>Coins!J745</f>
        <v/>
      </c>
      <c r="K745" s="201" t="str">
        <f>Coins!K745</f>
        <v/>
      </c>
      <c r="L745" s="198" t="str">
        <f>Coins!L745</f>
        <v/>
      </c>
      <c r="M745" s="198"/>
      <c r="N745" s="198"/>
      <c r="P745" s="66" t="str">
        <f t="shared" si="4"/>
        <v/>
      </c>
    </row>
    <row r="746">
      <c r="A746" s="198" t="str">
        <f>Coins!A746</f>
        <v/>
      </c>
      <c r="B746" s="199" t="str">
        <f>Coins!B746</f>
        <v/>
      </c>
      <c r="C746" s="198" t="str">
        <f>Coins!C746</f>
        <v/>
      </c>
      <c r="D746" s="198" t="str">
        <f>Coins!D746</f>
        <v/>
      </c>
      <c r="E746" s="198" t="str">
        <f>Coins!E746</f>
        <v/>
      </c>
      <c r="F746" s="198" t="str">
        <f>Coins!F746</f>
        <v/>
      </c>
      <c r="G746" s="198" t="str">
        <f>Coins!G746</f>
        <v/>
      </c>
      <c r="H746" s="201" t="str">
        <f>if(Coins!H746="N/A",0,Coins!H746)</f>
        <v/>
      </c>
      <c r="I746" s="202" t="str">
        <f>Coins!I746</f>
        <v/>
      </c>
      <c r="J746" s="198" t="str">
        <f>Coins!J746</f>
        <v/>
      </c>
      <c r="K746" s="201" t="str">
        <f>Coins!K746</f>
        <v/>
      </c>
      <c r="L746" s="198" t="str">
        <f>Coins!L746</f>
        <v/>
      </c>
      <c r="M746" s="198"/>
      <c r="N746" s="198"/>
      <c r="P746" s="66" t="str">
        <f t="shared" si="4"/>
        <v/>
      </c>
    </row>
    <row r="747">
      <c r="A747" s="198" t="str">
        <f>Coins!A747</f>
        <v/>
      </c>
      <c r="B747" s="199" t="str">
        <f>Coins!B747</f>
        <v/>
      </c>
      <c r="C747" s="198" t="str">
        <f>Coins!C747</f>
        <v/>
      </c>
      <c r="D747" s="198" t="str">
        <f>Coins!D747</f>
        <v/>
      </c>
      <c r="E747" s="198" t="str">
        <f>Coins!E747</f>
        <v/>
      </c>
      <c r="F747" s="198" t="str">
        <f>Coins!F747</f>
        <v/>
      </c>
      <c r="G747" s="198" t="str">
        <f>Coins!G747</f>
        <v/>
      </c>
      <c r="H747" s="201" t="str">
        <f>if(Coins!H747="N/A",0,Coins!H747)</f>
        <v/>
      </c>
      <c r="I747" s="202" t="str">
        <f>Coins!I747</f>
        <v/>
      </c>
      <c r="J747" s="198" t="str">
        <f>Coins!J747</f>
        <v/>
      </c>
      <c r="K747" s="201" t="str">
        <f>Coins!K747</f>
        <v/>
      </c>
      <c r="L747" s="198" t="str">
        <f>Coins!L747</f>
        <v/>
      </c>
      <c r="M747" s="198"/>
      <c r="N747" s="198"/>
      <c r="P747" s="66" t="str">
        <f t="shared" si="4"/>
        <v/>
      </c>
    </row>
    <row r="748">
      <c r="A748" s="198" t="str">
        <f>Coins!A748</f>
        <v/>
      </c>
      <c r="B748" s="199" t="str">
        <f>Coins!B748</f>
        <v/>
      </c>
      <c r="C748" s="198" t="str">
        <f>Coins!C748</f>
        <v/>
      </c>
      <c r="D748" s="198" t="str">
        <f>Coins!D748</f>
        <v/>
      </c>
      <c r="E748" s="198" t="str">
        <f>Coins!E748</f>
        <v/>
      </c>
      <c r="F748" s="198" t="str">
        <f>Coins!F748</f>
        <v/>
      </c>
      <c r="G748" s="198" t="str">
        <f>Coins!G748</f>
        <v/>
      </c>
      <c r="H748" s="201" t="str">
        <f>if(Coins!H748="N/A",0,Coins!H748)</f>
        <v/>
      </c>
      <c r="I748" s="202" t="str">
        <f>Coins!I748</f>
        <v/>
      </c>
      <c r="J748" s="198" t="str">
        <f>Coins!J748</f>
        <v/>
      </c>
      <c r="K748" s="201" t="str">
        <f>Coins!K748</f>
        <v/>
      </c>
      <c r="L748" s="198" t="str">
        <f>Coins!L748</f>
        <v/>
      </c>
      <c r="M748" s="198"/>
      <c r="N748" s="198"/>
      <c r="P748" s="66" t="str">
        <f t="shared" si="4"/>
        <v/>
      </c>
    </row>
    <row r="749">
      <c r="A749" s="198" t="str">
        <f>Coins!A749</f>
        <v/>
      </c>
      <c r="B749" s="199" t="str">
        <f>Coins!B749</f>
        <v/>
      </c>
      <c r="C749" s="198" t="str">
        <f>Coins!C749</f>
        <v/>
      </c>
      <c r="D749" s="198" t="str">
        <f>Coins!D749</f>
        <v/>
      </c>
      <c r="E749" s="198" t="str">
        <f>Coins!E749</f>
        <v/>
      </c>
      <c r="F749" s="198" t="str">
        <f>Coins!F749</f>
        <v/>
      </c>
      <c r="G749" s="198" t="str">
        <f>Coins!G749</f>
        <v/>
      </c>
      <c r="H749" s="201" t="str">
        <f>if(Coins!H749="N/A",0,Coins!H749)</f>
        <v/>
      </c>
      <c r="I749" s="202" t="str">
        <f>Coins!I749</f>
        <v/>
      </c>
      <c r="J749" s="198" t="str">
        <f>Coins!J749</f>
        <v/>
      </c>
      <c r="K749" s="201" t="str">
        <f>Coins!K749</f>
        <v/>
      </c>
      <c r="L749" s="198" t="str">
        <f>Coins!L749</f>
        <v/>
      </c>
      <c r="M749" s="198"/>
      <c r="N749" s="198"/>
      <c r="P749" s="66" t="str">
        <f t="shared" si="4"/>
        <v/>
      </c>
    </row>
    <row r="750">
      <c r="A750" s="198" t="str">
        <f>Coins!A750</f>
        <v/>
      </c>
      <c r="B750" s="199" t="str">
        <f>Coins!B750</f>
        <v/>
      </c>
      <c r="C750" s="198" t="str">
        <f>Coins!C750</f>
        <v/>
      </c>
      <c r="D750" s="198" t="str">
        <f>Coins!D750</f>
        <v/>
      </c>
      <c r="E750" s="198" t="str">
        <f>Coins!E750</f>
        <v/>
      </c>
      <c r="F750" s="198" t="str">
        <f>Coins!F750</f>
        <v/>
      </c>
      <c r="G750" s="198" t="str">
        <f>Coins!G750</f>
        <v/>
      </c>
      <c r="H750" s="201" t="str">
        <f>if(Coins!H750="N/A",0,Coins!H750)</f>
        <v/>
      </c>
      <c r="I750" s="202" t="str">
        <f>Coins!I750</f>
        <v/>
      </c>
      <c r="J750" s="198" t="str">
        <f>Coins!J750</f>
        <v/>
      </c>
      <c r="K750" s="201" t="str">
        <f>Coins!K750</f>
        <v/>
      </c>
      <c r="L750" s="198" t="str">
        <f>Coins!L750</f>
        <v/>
      </c>
      <c r="M750" s="198"/>
      <c r="N750" s="198"/>
      <c r="P750" s="66" t="str">
        <f t="shared" si="4"/>
        <v/>
      </c>
    </row>
    <row r="751">
      <c r="A751" s="198" t="str">
        <f>Coins!A751</f>
        <v/>
      </c>
      <c r="B751" s="199" t="str">
        <f>Coins!B751</f>
        <v/>
      </c>
      <c r="C751" s="198" t="str">
        <f>Coins!C751</f>
        <v/>
      </c>
      <c r="D751" s="198" t="str">
        <f>Coins!D751</f>
        <v/>
      </c>
      <c r="E751" s="198" t="str">
        <f>Coins!E751</f>
        <v/>
      </c>
      <c r="F751" s="198" t="str">
        <f>Coins!F751</f>
        <v/>
      </c>
      <c r="G751" s="198" t="str">
        <f>Coins!G751</f>
        <v/>
      </c>
      <c r="H751" s="201" t="str">
        <f>if(Coins!H751="N/A",0,Coins!H751)</f>
        <v/>
      </c>
      <c r="I751" s="202" t="str">
        <f>Coins!I751</f>
        <v/>
      </c>
      <c r="J751" s="198" t="str">
        <f>Coins!J751</f>
        <v/>
      </c>
      <c r="K751" s="201" t="str">
        <f>Coins!K751</f>
        <v/>
      </c>
      <c r="L751" s="198" t="str">
        <f>Coins!L751</f>
        <v/>
      </c>
      <c r="M751" s="198"/>
      <c r="N751" s="198"/>
      <c r="P751" s="66" t="str">
        <f t="shared" si="4"/>
        <v/>
      </c>
    </row>
    <row r="752">
      <c r="A752" s="198" t="str">
        <f>Coins!A752</f>
        <v/>
      </c>
      <c r="B752" s="199" t="str">
        <f>Coins!B752</f>
        <v/>
      </c>
      <c r="C752" s="198" t="str">
        <f>Coins!C752</f>
        <v/>
      </c>
      <c r="D752" s="198" t="str">
        <f>Coins!D752</f>
        <v/>
      </c>
      <c r="E752" s="198" t="str">
        <f>Coins!E752</f>
        <v/>
      </c>
      <c r="F752" s="198" t="str">
        <f>Coins!F752</f>
        <v/>
      </c>
      <c r="G752" s="198" t="str">
        <f>Coins!G752</f>
        <v/>
      </c>
      <c r="H752" s="201" t="str">
        <f>if(Coins!H752="N/A",0,Coins!H752)</f>
        <v/>
      </c>
      <c r="I752" s="202" t="str">
        <f>Coins!I752</f>
        <v/>
      </c>
      <c r="J752" s="198" t="str">
        <f>Coins!J752</f>
        <v/>
      </c>
      <c r="K752" s="201" t="str">
        <f>Coins!K752</f>
        <v/>
      </c>
      <c r="L752" s="198" t="str">
        <f>Coins!L752</f>
        <v/>
      </c>
      <c r="M752" s="198"/>
      <c r="N752" s="198"/>
      <c r="P752" s="66" t="str">
        <f t="shared" si="4"/>
        <v/>
      </c>
    </row>
    <row r="753">
      <c r="A753" s="198" t="str">
        <f>Coins!A753</f>
        <v/>
      </c>
      <c r="B753" s="199" t="str">
        <f>Coins!B753</f>
        <v/>
      </c>
      <c r="C753" s="198" t="str">
        <f>Coins!C753</f>
        <v/>
      </c>
      <c r="D753" s="198" t="str">
        <f>Coins!D753</f>
        <v/>
      </c>
      <c r="E753" s="198" t="str">
        <f>Coins!E753</f>
        <v/>
      </c>
      <c r="F753" s="198" t="str">
        <f>Coins!F753</f>
        <v/>
      </c>
      <c r="G753" s="198" t="str">
        <f>Coins!G753</f>
        <v/>
      </c>
      <c r="H753" s="201" t="str">
        <f>if(Coins!H753="N/A",0,Coins!H753)</f>
        <v/>
      </c>
      <c r="I753" s="202" t="str">
        <f>Coins!I753</f>
        <v/>
      </c>
      <c r="J753" s="198" t="str">
        <f>Coins!J753</f>
        <v/>
      </c>
      <c r="K753" s="201" t="str">
        <f>Coins!K753</f>
        <v/>
      </c>
      <c r="L753" s="198" t="str">
        <f>Coins!L753</f>
        <v/>
      </c>
      <c r="M753" s="198"/>
      <c r="N753" s="198"/>
      <c r="P753" s="66" t="str">
        <f t="shared" si="4"/>
        <v/>
      </c>
    </row>
    <row r="754">
      <c r="A754" s="198" t="str">
        <f>Coins!A754</f>
        <v/>
      </c>
      <c r="B754" s="199" t="str">
        <f>Coins!B754</f>
        <v/>
      </c>
      <c r="C754" s="198" t="str">
        <f>Coins!C754</f>
        <v/>
      </c>
      <c r="D754" s="198" t="str">
        <f>Coins!D754</f>
        <v/>
      </c>
      <c r="E754" s="198" t="str">
        <f>Coins!E754</f>
        <v/>
      </c>
      <c r="F754" s="198" t="str">
        <f>Coins!F754</f>
        <v/>
      </c>
      <c r="G754" s="198" t="str">
        <f>Coins!G754</f>
        <v/>
      </c>
      <c r="H754" s="201" t="str">
        <f>if(Coins!H754="N/A",0,Coins!H754)</f>
        <v/>
      </c>
      <c r="I754" s="202" t="str">
        <f>Coins!I754</f>
        <v/>
      </c>
      <c r="J754" s="198" t="str">
        <f>Coins!J754</f>
        <v/>
      </c>
      <c r="K754" s="201" t="str">
        <f>Coins!K754</f>
        <v/>
      </c>
      <c r="L754" s="198" t="str">
        <f>Coins!L754</f>
        <v/>
      </c>
      <c r="M754" s="198"/>
      <c r="N754" s="198"/>
      <c r="P754" s="66" t="str">
        <f t="shared" si="4"/>
        <v/>
      </c>
    </row>
    <row r="755">
      <c r="A755" s="198" t="str">
        <f>Coins!A755</f>
        <v/>
      </c>
      <c r="B755" s="199" t="str">
        <f>Coins!B755</f>
        <v/>
      </c>
      <c r="C755" s="198" t="str">
        <f>Coins!C755</f>
        <v/>
      </c>
      <c r="D755" s="198" t="str">
        <f>Coins!D755</f>
        <v/>
      </c>
      <c r="E755" s="198" t="str">
        <f>Coins!E755</f>
        <v/>
      </c>
      <c r="F755" s="198" t="str">
        <f>Coins!F755</f>
        <v/>
      </c>
      <c r="G755" s="198" t="str">
        <f>Coins!G755</f>
        <v/>
      </c>
      <c r="H755" s="201" t="str">
        <f>if(Coins!H755="N/A",0,Coins!H755)</f>
        <v/>
      </c>
      <c r="I755" s="202" t="str">
        <f>Coins!I755</f>
        <v/>
      </c>
      <c r="J755" s="198" t="str">
        <f>Coins!J755</f>
        <v/>
      </c>
      <c r="K755" s="201" t="str">
        <f>Coins!K755</f>
        <v/>
      </c>
      <c r="L755" s="198" t="str">
        <f>Coins!L755</f>
        <v/>
      </c>
      <c r="M755" s="198"/>
      <c r="N755" s="198"/>
      <c r="P755" s="66" t="str">
        <f t="shared" si="4"/>
        <v/>
      </c>
    </row>
    <row r="756">
      <c r="A756" s="198" t="str">
        <f>Coins!A756</f>
        <v/>
      </c>
      <c r="B756" s="199" t="str">
        <f>Coins!B756</f>
        <v/>
      </c>
      <c r="C756" s="198" t="str">
        <f>Coins!C756</f>
        <v/>
      </c>
      <c r="D756" s="198" t="str">
        <f>Coins!D756</f>
        <v/>
      </c>
      <c r="E756" s="198" t="str">
        <f>Coins!E756</f>
        <v/>
      </c>
      <c r="F756" s="198" t="str">
        <f>Coins!F756</f>
        <v/>
      </c>
      <c r="G756" s="198" t="str">
        <f>Coins!G756</f>
        <v/>
      </c>
      <c r="H756" s="201" t="str">
        <f>if(Coins!H756="N/A",0,Coins!H756)</f>
        <v/>
      </c>
      <c r="I756" s="202" t="str">
        <f>Coins!I756</f>
        <v/>
      </c>
      <c r="J756" s="198" t="str">
        <f>Coins!J756</f>
        <v/>
      </c>
      <c r="K756" s="201" t="str">
        <f>Coins!K756</f>
        <v/>
      </c>
      <c r="L756" s="198" t="str">
        <f>Coins!L756</f>
        <v/>
      </c>
      <c r="M756" s="198"/>
      <c r="N756" s="198"/>
      <c r="P756" s="66" t="str">
        <f t="shared" si="4"/>
        <v/>
      </c>
    </row>
    <row r="757">
      <c r="A757" s="198" t="str">
        <f>Coins!A757</f>
        <v/>
      </c>
      <c r="B757" s="199" t="str">
        <f>Coins!B757</f>
        <v/>
      </c>
      <c r="C757" s="198" t="str">
        <f>Coins!C757</f>
        <v/>
      </c>
      <c r="D757" s="198" t="str">
        <f>Coins!D757</f>
        <v/>
      </c>
      <c r="E757" s="198" t="str">
        <f>Coins!E757</f>
        <v/>
      </c>
      <c r="F757" s="198" t="str">
        <f>Coins!F757</f>
        <v/>
      </c>
      <c r="G757" s="198" t="str">
        <f>Coins!G757</f>
        <v/>
      </c>
      <c r="H757" s="201" t="str">
        <f>if(Coins!H757="N/A",0,Coins!H757)</f>
        <v/>
      </c>
      <c r="I757" s="202" t="str">
        <f>Coins!I757</f>
        <v/>
      </c>
      <c r="J757" s="198" t="str">
        <f>Coins!J757</f>
        <v/>
      </c>
      <c r="K757" s="201" t="str">
        <f>Coins!K757</f>
        <v/>
      </c>
      <c r="L757" s="198" t="str">
        <f>Coins!L757</f>
        <v/>
      </c>
      <c r="M757" s="198"/>
      <c r="N757" s="198"/>
      <c r="P757" s="66" t="str">
        <f t="shared" si="4"/>
        <v/>
      </c>
    </row>
    <row r="758">
      <c r="A758" s="198" t="str">
        <f>Coins!A758</f>
        <v/>
      </c>
      <c r="B758" s="199" t="str">
        <f>Coins!B758</f>
        <v/>
      </c>
      <c r="C758" s="198" t="str">
        <f>Coins!C758</f>
        <v/>
      </c>
      <c r="D758" s="198" t="str">
        <f>Coins!D758</f>
        <v/>
      </c>
      <c r="E758" s="198" t="str">
        <f>Coins!E758</f>
        <v/>
      </c>
      <c r="F758" s="198" t="str">
        <f>Coins!F758</f>
        <v/>
      </c>
      <c r="G758" s="198" t="str">
        <f>Coins!G758</f>
        <v/>
      </c>
      <c r="H758" s="201" t="str">
        <f>if(Coins!H758="N/A",0,Coins!H758)</f>
        <v/>
      </c>
      <c r="I758" s="202" t="str">
        <f>Coins!I758</f>
        <v/>
      </c>
      <c r="J758" s="198" t="str">
        <f>Coins!J758</f>
        <v/>
      </c>
      <c r="K758" s="201" t="str">
        <f>Coins!K758</f>
        <v/>
      </c>
      <c r="L758" s="198" t="str">
        <f>Coins!L758</f>
        <v/>
      </c>
      <c r="M758" s="198"/>
      <c r="N758" s="198"/>
      <c r="P758" s="66" t="str">
        <f t="shared" si="4"/>
        <v/>
      </c>
    </row>
    <row r="759">
      <c r="A759" s="198" t="str">
        <f>Coins!A759</f>
        <v/>
      </c>
      <c r="B759" s="199" t="str">
        <f>Coins!B759</f>
        <v/>
      </c>
      <c r="C759" s="198" t="str">
        <f>Coins!C759</f>
        <v/>
      </c>
      <c r="D759" s="198" t="str">
        <f>Coins!D759</f>
        <v/>
      </c>
      <c r="E759" s="198" t="str">
        <f>Coins!E759</f>
        <v/>
      </c>
      <c r="F759" s="198" t="str">
        <f>Coins!F759</f>
        <v/>
      </c>
      <c r="G759" s="198" t="str">
        <f>Coins!G759</f>
        <v/>
      </c>
      <c r="H759" s="201" t="str">
        <f>if(Coins!H759="N/A",0,Coins!H759)</f>
        <v/>
      </c>
      <c r="I759" s="202" t="str">
        <f>Coins!I759</f>
        <v/>
      </c>
      <c r="J759" s="198" t="str">
        <f>Coins!J759</f>
        <v/>
      </c>
      <c r="K759" s="201" t="str">
        <f>Coins!K759</f>
        <v/>
      </c>
      <c r="L759" s="198" t="str">
        <f>Coins!L759</f>
        <v/>
      </c>
      <c r="M759" s="198"/>
      <c r="N759" s="198"/>
      <c r="P759" s="66" t="str">
        <f t="shared" si="4"/>
        <v/>
      </c>
    </row>
    <row r="760">
      <c r="A760" s="198" t="str">
        <f>Coins!A760</f>
        <v/>
      </c>
      <c r="B760" s="199" t="str">
        <f>Coins!B760</f>
        <v/>
      </c>
      <c r="C760" s="198" t="str">
        <f>Coins!C760</f>
        <v/>
      </c>
      <c r="D760" s="198" t="str">
        <f>Coins!D760</f>
        <v/>
      </c>
      <c r="E760" s="198" t="str">
        <f>Coins!E760</f>
        <v/>
      </c>
      <c r="F760" s="198" t="str">
        <f>Coins!F760</f>
        <v/>
      </c>
      <c r="G760" s="198" t="str">
        <f>Coins!G760</f>
        <v/>
      </c>
      <c r="H760" s="201" t="str">
        <f>if(Coins!H760="N/A",0,Coins!H760)</f>
        <v/>
      </c>
      <c r="I760" s="202" t="str">
        <f>Coins!I760</f>
        <v/>
      </c>
      <c r="J760" s="198" t="str">
        <f>Coins!J760</f>
        <v/>
      </c>
      <c r="K760" s="201" t="str">
        <f>Coins!K760</f>
        <v/>
      </c>
      <c r="L760" s="198" t="str">
        <f>Coins!L760</f>
        <v/>
      </c>
      <c r="M760" s="198"/>
      <c r="N760" s="198"/>
      <c r="P760" s="66" t="str">
        <f t="shared" si="4"/>
        <v/>
      </c>
    </row>
    <row r="761">
      <c r="A761" s="198" t="str">
        <f>Coins!A761</f>
        <v/>
      </c>
      <c r="B761" s="199" t="str">
        <f>Coins!B761</f>
        <v/>
      </c>
      <c r="C761" s="198" t="str">
        <f>Coins!C761</f>
        <v/>
      </c>
      <c r="D761" s="198" t="str">
        <f>Coins!D761</f>
        <v/>
      </c>
      <c r="E761" s="198" t="str">
        <f>Coins!E761</f>
        <v/>
      </c>
      <c r="F761" s="198" t="str">
        <f>Coins!F761</f>
        <v/>
      </c>
      <c r="G761" s="198" t="str">
        <f>Coins!G761</f>
        <v/>
      </c>
      <c r="H761" s="201" t="str">
        <f>if(Coins!H761="N/A",0,Coins!H761)</f>
        <v/>
      </c>
      <c r="I761" s="202" t="str">
        <f>Coins!I761</f>
        <v/>
      </c>
      <c r="J761" s="198" t="str">
        <f>Coins!J761</f>
        <v/>
      </c>
      <c r="K761" s="201" t="str">
        <f>Coins!K761</f>
        <v/>
      </c>
      <c r="L761" s="198" t="str">
        <f>Coins!L761</f>
        <v/>
      </c>
      <c r="M761" s="198"/>
      <c r="N761" s="198"/>
      <c r="P761" s="66" t="str">
        <f t="shared" si="4"/>
        <v/>
      </c>
    </row>
    <row r="762">
      <c r="A762" s="198" t="str">
        <f>Coins!A762</f>
        <v/>
      </c>
      <c r="B762" s="199" t="str">
        <f>Coins!B762</f>
        <v/>
      </c>
      <c r="C762" s="198" t="str">
        <f>Coins!C762</f>
        <v/>
      </c>
      <c r="D762" s="198" t="str">
        <f>Coins!D762</f>
        <v/>
      </c>
      <c r="E762" s="198" t="str">
        <f>Coins!E762</f>
        <v/>
      </c>
      <c r="F762" s="198" t="str">
        <f>Coins!F762</f>
        <v/>
      </c>
      <c r="G762" s="198" t="str">
        <f>Coins!G762</f>
        <v/>
      </c>
      <c r="H762" s="201" t="str">
        <f>if(Coins!H762="N/A",0,Coins!H762)</f>
        <v/>
      </c>
      <c r="I762" s="202" t="str">
        <f>Coins!I762</f>
        <v/>
      </c>
      <c r="J762" s="198" t="str">
        <f>Coins!J762</f>
        <v/>
      </c>
      <c r="K762" s="201" t="str">
        <f>Coins!K762</f>
        <v/>
      </c>
      <c r="L762" s="198" t="str">
        <f>Coins!L762</f>
        <v/>
      </c>
      <c r="M762" s="198"/>
      <c r="N762" s="198"/>
      <c r="P762" s="66" t="str">
        <f t="shared" si="4"/>
        <v/>
      </c>
    </row>
    <row r="763">
      <c r="A763" s="198" t="str">
        <f>Coins!A763</f>
        <v/>
      </c>
      <c r="B763" s="199" t="str">
        <f>Coins!B763</f>
        <v/>
      </c>
      <c r="C763" s="198" t="str">
        <f>Coins!C763</f>
        <v/>
      </c>
      <c r="D763" s="198" t="str">
        <f>Coins!D763</f>
        <v/>
      </c>
      <c r="E763" s="198" t="str">
        <f>Coins!E763</f>
        <v/>
      </c>
      <c r="F763" s="198" t="str">
        <f>Coins!F763</f>
        <v/>
      </c>
      <c r="G763" s="198" t="str">
        <f>Coins!G763</f>
        <v/>
      </c>
      <c r="H763" s="201" t="str">
        <f>if(Coins!H763="N/A",0,Coins!H763)</f>
        <v/>
      </c>
      <c r="I763" s="202" t="str">
        <f>Coins!I763</f>
        <v/>
      </c>
      <c r="J763" s="198" t="str">
        <f>Coins!J763</f>
        <v/>
      </c>
      <c r="K763" s="201" t="str">
        <f>Coins!K763</f>
        <v/>
      </c>
      <c r="L763" s="198" t="str">
        <f>Coins!L763</f>
        <v/>
      </c>
      <c r="M763" s="198"/>
      <c r="N763" s="198"/>
      <c r="P763" s="66" t="str">
        <f t="shared" si="4"/>
        <v/>
      </c>
    </row>
    <row r="764">
      <c r="A764" s="198" t="str">
        <f>Coins!A764</f>
        <v/>
      </c>
      <c r="B764" s="199" t="str">
        <f>Coins!B764</f>
        <v/>
      </c>
      <c r="C764" s="198" t="str">
        <f>Coins!C764</f>
        <v/>
      </c>
      <c r="D764" s="198" t="str">
        <f>Coins!D764</f>
        <v/>
      </c>
      <c r="E764" s="198" t="str">
        <f>Coins!E764</f>
        <v/>
      </c>
      <c r="F764" s="198" t="str">
        <f>Coins!F764</f>
        <v/>
      </c>
      <c r="G764" s="198" t="str">
        <f>Coins!G764</f>
        <v/>
      </c>
      <c r="H764" s="201" t="str">
        <f>if(Coins!H764="N/A",0,Coins!H764)</f>
        <v/>
      </c>
      <c r="I764" s="202" t="str">
        <f>Coins!I764</f>
        <v/>
      </c>
      <c r="J764" s="198" t="str">
        <f>Coins!J764</f>
        <v/>
      </c>
      <c r="K764" s="201" t="str">
        <f>Coins!K764</f>
        <v/>
      </c>
      <c r="L764" s="198" t="str">
        <f>Coins!L764</f>
        <v/>
      </c>
      <c r="M764" s="198"/>
      <c r="N764" s="198"/>
      <c r="P764" s="66" t="str">
        <f t="shared" si="4"/>
        <v/>
      </c>
    </row>
    <row r="765">
      <c r="A765" s="198" t="str">
        <f>Coins!A765</f>
        <v/>
      </c>
      <c r="B765" s="199" t="str">
        <f>Coins!B765</f>
        <v/>
      </c>
      <c r="C765" s="198" t="str">
        <f>Coins!C765</f>
        <v/>
      </c>
      <c r="D765" s="198" t="str">
        <f>Coins!D765</f>
        <v/>
      </c>
      <c r="E765" s="198" t="str">
        <f>Coins!E765</f>
        <v/>
      </c>
      <c r="F765" s="198" t="str">
        <f>Coins!F765</f>
        <v/>
      </c>
      <c r="G765" s="198" t="str">
        <f>Coins!G765</f>
        <v/>
      </c>
      <c r="H765" s="201" t="str">
        <f>if(Coins!H765="N/A",0,Coins!H765)</f>
        <v/>
      </c>
      <c r="I765" s="202" t="str">
        <f>Coins!I765</f>
        <v/>
      </c>
      <c r="J765" s="198" t="str">
        <f>Coins!J765</f>
        <v/>
      </c>
      <c r="K765" s="201" t="str">
        <f>Coins!K765</f>
        <v/>
      </c>
      <c r="L765" s="198" t="str">
        <f>Coins!L765</f>
        <v/>
      </c>
      <c r="M765" s="198"/>
      <c r="N765" s="198"/>
      <c r="P765" s="66" t="str">
        <f t="shared" si="4"/>
        <v/>
      </c>
    </row>
    <row r="766">
      <c r="A766" s="198" t="str">
        <f>Coins!A766</f>
        <v/>
      </c>
      <c r="B766" s="199" t="str">
        <f>Coins!B766</f>
        <v/>
      </c>
      <c r="C766" s="198" t="str">
        <f>Coins!C766</f>
        <v/>
      </c>
      <c r="D766" s="198" t="str">
        <f>Coins!D766</f>
        <v/>
      </c>
      <c r="E766" s="198" t="str">
        <f>Coins!E766</f>
        <v/>
      </c>
      <c r="F766" s="198" t="str">
        <f>Coins!F766</f>
        <v/>
      </c>
      <c r="G766" s="198" t="str">
        <f>Coins!G766</f>
        <v/>
      </c>
      <c r="H766" s="201" t="str">
        <f>if(Coins!H766="N/A",0,Coins!H766)</f>
        <v/>
      </c>
      <c r="I766" s="202" t="str">
        <f>Coins!I766</f>
        <v/>
      </c>
      <c r="J766" s="198" t="str">
        <f>Coins!J766</f>
        <v/>
      </c>
      <c r="K766" s="201" t="str">
        <f>Coins!K766</f>
        <v/>
      </c>
      <c r="L766" s="198" t="str">
        <f>Coins!L766</f>
        <v/>
      </c>
      <c r="M766" s="198"/>
      <c r="N766" s="198"/>
      <c r="P766" s="66" t="str">
        <f t="shared" si="4"/>
        <v/>
      </c>
    </row>
    <row r="767">
      <c r="A767" s="198" t="str">
        <f>Coins!A767</f>
        <v/>
      </c>
      <c r="B767" s="199" t="str">
        <f>Coins!B767</f>
        <v/>
      </c>
      <c r="C767" s="198" t="str">
        <f>Coins!C767</f>
        <v/>
      </c>
      <c r="D767" s="198" t="str">
        <f>Coins!D767</f>
        <v/>
      </c>
      <c r="E767" s="198" t="str">
        <f>Coins!E767</f>
        <v/>
      </c>
      <c r="F767" s="198" t="str">
        <f>Coins!F767</f>
        <v/>
      </c>
      <c r="G767" s="198" t="str">
        <f>Coins!G767</f>
        <v/>
      </c>
      <c r="H767" s="201" t="str">
        <f>if(Coins!H767="N/A",0,Coins!H767)</f>
        <v/>
      </c>
      <c r="I767" s="202" t="str">
        <f>Coins!I767</f>
        <v/>
      </c>
      <c r="J767" s="198" t="str">
        <f>Coins!J767</f>
        <v/>
      </c>
      <c r="K767" s="201" t="str">
        <f>Coins!K767</f>
        <v/>
      </c>
      <c r="L767" s="198" t="str">
        <f>Coins!L767</f>
        <v/>
      </c>
      <c r="M767" s="198"/>
      <c r="N767" s="198"/>
      <c r="P767" s="66" t="str">
        <f t="shared" si="4"/>
        <v/>
      </c>
    </row>
    <row r="768">
      <c r="A768" s="198" t="str">
        <f>Coins!A768</f>
        <v/>
      </c>
      <c r="B768" s="199" t="str">
        <f>Coins!B768</f>
        <v/>
      </c>
      <c r="C768" s="198" t="str">
        <f>Coins!C768</f>
        <v/>
      </c>
      <c r="D768" s="198" t="str">
        <f>Coins!D768</f>
        <v/>
      </c>
      <c r="E768" s="198" t="str">
        <f>Coins!E768</f>
        <v/>
      </c>
      <c r="F768" s="198" t="str">
        <f>Coins!F768</f>
        <v/>
      </c>
      <c r="G768" s="198" t="str">
        <f>Coins!G768</f>
        <v/>
      </c>
      <c r="H768" s="201" t="str">
        <f>if(Coins!H768="N/A",0,Coins!H768)</f>
        <v/>
      </c>
      <c r="I768" s="202" t="str">
        <f>Coins!I768</f>
        <v/>
      </c>
      <c r="J768" s="198" t="str">
        <f>Coins!J768</f>
        <v/>
      </c>
      <c r="K768" s="201" t="str">
        <f>Coins!K768</f>
        <v/>
      </c>
      <c r="L768" s="198" t="str">
        <f>Coins!L768</f>
        <v/>
      </c>
      <c r="M768" s="198"/>
      <c r="N768" s="198"/>
      <c r="P768" s="66" t="str">
        <f t="shared" si="4"/>
        <v/>
      </c>
    </row>
    <row r="769">
      <c r="A769" s="198" t="str">
        <f>Coins!A769</f>
        <v/>
      </c>
      <c r="B769" s="199" t="str">
        <f>Coins!B769</f>
        <v/>
      </c>
      <c r="C769" s="198" t="str">
        <f>Coins!C769</f>
        <v/>
      </c>
      <c r="D769" s="198" t="str">
        <f>Coins!D769</f>
        <v/>
      </c>
      <c r="E769" s="198" t="str">
        <f>Coins!E769</f>
        <v/>
      </c>
      <c r="F769" s="198" t="str">
        <f>Coins!F769</f>
        <v/>
      </c>
      <c r="G769" s="198" t="str">
        <f>Coins!G769</f>
        <v/>
      </c>
      <c r="H769" s="201" t="str">
        <f>if(Coins!H769="N/A",0,Coins!H769)</f>
        <v/>
      </c>
      <c r="I769" s="202" t="str">
        <f>Coins!I769</f>
        <v/>
      </c>
      <c r="J769" s="198" t="str">
        <f>Coins!J769</f>
        <v/>
      </c>
      <c r="K769" s="201" t="str">
        <f>Coins!K769</f>
        <v/>
      </c>
      <c r="L769" s="198" t="str">
        <f>Coins!L769</f>
        <v/>
      </c>
      <c r="M769" s="198"/>
      <c r="N769" s="198"/>
      <c r="P769" s="66" t="str">
        <f t="shared" si="4"/>
        <v/>
      </c>
    </row>
    <row r="770">
      <c r="A770" s="198" t="str">
        <f>Coins!A770</f>
        <v/>
      </c>
      <c r="B770" s="199" t="str">
        <f>Coins!B770</f>
        <v/>
      </c>
      <c r="C770" s="198" t="str">
        <f>Coins!C770</f>
        <v/>
      </c>
      <c r="D770" s="198" t="str">
        <f>Coins!D770</f>
        <v/>
      </c>
      <c r="E770" s="198" t="str">
        <f>Coins!E770</f>
        <v/>
      </c>
      <c r="F770" s="198" t="str">
        <f>Coins!F770</f>
        <v/>
      </c>
      <c r="G770" s="198" t="str">
        <f>Coins!G770</f>
        <v/>
      </c>
      <c r="H770" s="201" t="str">
        <f>if(Coins!H770="N/A",0,Coins!H770)</f>
        <v/>
      </c>
      <c r="I770" s="202" t="str">
        <f>Coins!I770</f>
        <v/>
      </c>
      <c r="J770" s="198" t="str">
        <f>Coins!J770</f>
        <v/>
      </c>
      <c r="K770" s="201" t="str">
        <f>Coins!K770</f>
        <v/>
      </c>
      <c r="L770" s="198" t="str">
        <f>Coins!L770</f>
        <v/>
      </c>
      <c r="M770" s="198"/>
      <c r="N770" s="198"/>
      <c r="P770" s="66" t="str">
        <f t="shared" si="4"/>
        <v/>
      </c>
    </row>
    <row r="771">
      <c r="A771" s="198" t="str">
        <f>Coins!A771</f>
        <v/>
      </c>
      <c r="B771" s="199" t="str">
        <f>Coins!B771</f>
        <v/>
      </c>
      <c r="C771" s="198" t="str">
        <f>Coins!C771</f>
        <v/>
      </c>
      <c r="D771" s="198" t="str">
        <f>Coins!D771</f>
        <v/>
      </c>
      <c r="E771" s="198" t="str">
        <f>Coins!E771</f>
        <v/>
      </c>
      <c r="F771" s="198" t="str">
        <f>Coins!F771</f>
        <v/>
      </c>
      <c r="G771" s="198" t="str">
        <f>Coins!G771</f>
        <v/>
      </c>
      <c r="H771" s="201" t="str">
        <f>if(Coins!H771="N/A",0,Coins!H771)</f>
        <v/>
      </c>
      <c r="I771" s="202" t="str">
        <f>Coins!I771</f>
        <v/>
      </c>
      <c r="J771" s="198" t="str">
        <f>Coins!J771</f>
        <v/>
      </c>
      <c r="K771" s="201" t="str">
        <f>Coins!K771</f>
        <v/>
      </c>
      <c r="L771" s="198" t="str">
        <f>Coins!L771</f>
        <v/>
      </c>
      <c r="M771" s="198"/>
      <c r="N771" s="198"/>
      <c r="P771" s="66" t="str">
        <f t="shared" si="4"/>
        <v/>
      </c>
    </row>
    <row r="772">
      <c r="A772" s="198" t="str">
        <f>Coins!A772</f>
        <v/>
      </c>
      <c r="B772" s="199" t="str">
        <f>Coins!B772</f>
        <v/>
      </c>
      <c r="C772" s="198" t="str">
        <f>Coins!C772</f>
        <v/>
      </c>
      <c r="D772" s="198" t="str">
        <f>Coins!D772</f>
        <v/>
      </c>
      <c r="E772" s="198" t="str">
        <f>Coins!E772</f>
        <v/>
      </c>
      <c r="F772" s="198" t="str">
        <f>Coins!F772</f>
        <v/>
      </c>
      <c r="G772" s="198" t="str">
        <f>Coins!G772</f>
        <v/>
      </c>
      <c r="H772" s="201" t="str">
        <f>if(Coins!H772="N/A",0,Coins!H772)</f>
        <v/>
      </c>
      <c r="I772" s="202" t="str">
        <f>Coins!I772</f>
        <v/>
      </c>
      <c r="J772" s="198" t="str">
        <f>Coins!J772</f>
        <v/>
      </c>
      <c r="K772" s="201" t="str">
        <f>Coins!K772</f>
        <v/>
      </c>
      <c r="L772" s="198" t="str">
        <f>Coins!L772</f>
        <v/>
      </c>
      <c r="M772" s="198"/>
      <c r="N772" s="198"/>
      <c r="P772" s="66" t="str">
        <f t="shared" si="4"/>
        <v/>
      </c>
    </row>
    <row r="773">
      <c r="A773" s="198" t="str">
        <f>Coins!A773</f>
        <v/>
      </c>
      <c r="B773" s="199" t="str">
        <f>Coins!B773</f>
        <v/>
      </c>
      <c r="C773" s="198" t="str">
        <f>Coins!C773</f>
        <v/>
      </c>
      <c r="D773" s="198" t="str">
        <f>Coins!D773</f>
        <v/>
      </c>
      <c r="E773" s="198" t="str">
        <f>Coins!E773</f>
        <v/>
      </c>
      <c r="F773" s="198" t="str">
        <f>Coins!F773</f>
        <v/>
      </c>
      <c r="G773" s="198" t="str">
        <f>Coins!G773</f>
        <v/>
      </c>
      <c r="H773" s="201" t="str">
        <f>if(Coins!H773="N/A",0,Coins!H773)</f>
        <v/>
      </c>
      <c r="I773" s="202" t="str">
        <f>Coins!I773</f>
        <v/>
      </c>
      <c r="J773" s="198" t="str">
        <f>Coins!J773</f>
        <v/>
      </c>
      <c r="K773" s="201" t="str">
        <f>Coins!K773</f>
        <v/>
      </c>
      <c r="L773" s="198" t="str">
        <f>Coins!L773</f>
        <v/>
      </c>
      <c r="M773" s="198"/>
      <c r="N773" s="198"/>
      <c r="P773" s="66" t="str">
        <f t="shared" si="4"/>
        <v/>
      </c>
    </row>
    <row r="774">
      <c r="A774" s="198" t="str">
        <f>Coins!A774</f>
        <v/>
      </c>
      <c r="B774" s="199" t="str">
        <f>Coins!B774</f>
        <v/>
      </c>
      <c r="C774" s="198" t="str">
        <f>Coins!C774</f>
        <v/>
      </c>
      <c r="D774" s="198" t="str">
        <f>Coins!D774</f>
        <v/>
      </c>
      <c r="E774" s="198" t="str">
        <f>Coins!E774</f>
        <v/>
      </c>
      <c r="F774" s="198" t="str">
        <f>Coins!F774</f>
        <v/>
      </c>
      <c r="G774" s="198" t="str">
        <f>Coins!G774</f>
        <v/>
      </c>
      <c r="H774" s="201" t="str">
        <f>if(Coins!H774="N/A",0,Coins!H774)</f>
        <v/>
      </c>
      <c r="I774" s="202" t="str">
        <f>Coins!I774</f>
        <v/>
      </c>
      <c r="J774" s="198" t="str">
        <f>Coins!J774</f>
        <v/>
      </c>
      <c r="K774" s="201" t="str">
        <f>Coins!K774</f>
        <v/>
      </c>
      <c r="L774" s="198" t="str">
        <f>Coins!L774</f>
        <v/>
      </c>
      <c r="M774" s="198"/>
      <c r="N774" s="198"/>
      <c r="P774" s="66" t="str">
        <f t="shared" si="4"/>
        <v/>
      </c>
    </row>
    <row r="775">
      <c r="A775" s="198" t="str">
        <f>Coins!A775</f>
        <v/>
      </c>
      <c r="B775" s="199" t="str">
        <f>Coins!B775</f>
        <v/>
      </c>
      <c r="C775" s="198" t="str">
        <f>Coins!C775</f>
        <v/>
      </c>
      <c r="D775" s="198" t="str">
        <f>Coins!D775</f>
        <v/>
      </c>
      <c r="E775" s="198" t="str">
        <f>Coins!E775</f>
        <v/>
      </c>
      <c r="F775" s="198" t="str">
        <f>Coins!F775</f>
        <v/>
      </c>
      <c r="G775" s="198" t="str">
        <f>Coins!G775</f>
        <v/>
      </c>
      <c r="H775" s="201" t="str">
        <f>if(Coins!H775="N/A",0,Coins!H775)</f>
        <v/>
      </c>
      <c r="I775" s="202" t="str">
        <f>Coins!I775</f>
        <v/>
      </c>
      <c r="J775" s="198" t="str">
        <f>Coins!J775</f>
        <v/>
      </c>
      <c r="K775" s="201" t="str">
        <f>Coins!K775</f>
        <v/>
      </c>
      <c r="L775" s="198" t="str">
        <f>Coins!L775</f>
        <v/>
      </c>
      <c r="M775" s="198"/>
      <c r="N775" s="198"/>
      <c r="P775" s="66" t="str">
        <f t="shared" si="4"/>
        <v/>
      </c>
    </row>
    <row r="776">
      <c r="A776" s="198" t="str">
        <f>Coins!A776</f>
        <v/>
      </c>
      <c r="B776" s="199" t="str">
        <f>Coins!B776</f>
        <v/>
      </c>
      <c r="C776" s="198" t="str">
        <f>Coins!C776</f>
        <v/>
      </c>
      <c r="D776" s="198" t="str">
        <f>Coins!D776</f>
        <v/>
      </c>
      <c r="E776" s="198" t="str">
        <f>Coins!E776</f>
        <v/>
      </c>
      <c r="F776" s="198" t="str">
        <f>Coins!F776</f>
        <v/>
      </c>
      <c r="G776" s="198" t="str">
        <f>Coins!G776</f>
        <v/>
      </c>
      <c r="H776" s="201" t="str">
        <f>if(Coins!H776="N/A",0,Coins!H776)</f>
        <v/>
      </c>
      <c r="I776" s="202" t="str">
        <f>Coins!I776</f>
        <v/>
      </c>
      <c r="J776" s="198" t="str">
        <f>Coins!J776</f>
        <v/>
      </c>
      <c r="K776" s="201" t="str">
        <f>Coins!K776</f>
        <v/>
      </c>
      <c r="L776" s="198" t="str">
        <f>Coins!L776</f>
        <v/>
      </c>
      <c r="M776" s="198"/>
      <c r="N776" s="198"/>
      <c r="P776" s="66" t="str">
        <f t="shared" si="4"/>
        <v/>
      </c>
    </row>
    <row r="777">
      <c r="A777" s="198" t="str">
        <f>Coins!A777</f>
        <v/>
      </c>
      <c r="B777" s="199" t="str">
        <f>Coins!B777</f>
        <v/>
      </c>
      <c r="C777" s="198" t="str">
        <f>Coins!C777</f>
        <v/>
      </c>
      <c r="D777" s="198" t="str">
        <f>Coins!D777</f>
        <v/>
      </c>
      <c r="E777" s="198" t="str">
        <f>Coins!E777</f>
        <v/>
      </c>
      <c r="F777" s="198" t="str">
        <f>Coins!F777</f>
        <v/>
      </c>
      <c r="G777" s="198" t="str">
        <f>Coins!G777</f>
        <v/>
      </c>
      <c r="H777" s="201" t="str">
        <f>if(Coins!H777="N/A",0,Coins!H777)</f>
        <v/>
      </c>
      <c r="I777" s="202" t="str">
        <f>Coins!I777</f>
        <v/>
      </c>
      <c r="J777" s="198" t="str">
        <f>Coins!J777</f>
        <v/>
      </c>
      <c r="K777" s="201" t="str">
        <f>Coins!K777</f>
        <v/>
      </c>
      <c r="L777" s="198" t="str">
        <f>Coins!L777</f>
        <v/>
      </c>
      <c r="M777" s="198"/>
      <c r="N777" s="198"/>
      <c r="P777" s="66" t="str">
        <f t="shared" si="4"/>
        <v/>
      </c>
    </row>
    <row r="778">
      <c r="A778" s="198" t="str">
        <f>Coins!A778</f>
        <v/>
      </c>
      <c r="B778" s="199" t="str">
        <f>Coins!B778</f>
        <v/>
      </c>
      <c r="C778" s="198" t="str">
        <f>Coins!C778</f>
        <v/>
      </c>
      <c r="D778" s="198" t="str">
        <f>Coins!D778</f>
        <v/>
      </c>
      <c r="E778" s="198" t="str">
        <f>Coins!E778</f>
        <v/>
      </c>
      <c r="F778" s="198" t="str">
        <f>Coins!F778</f>
        <v/>
      </c>
      <c r="G778" s="198" t="str">
        <f>Coins!G778</f>
        <v/>
      </c>
      <c r="H778" s="201" t="str">
        <f>if(Coins!H778="N/A",0,Coins!H778)</f>
        <v/>
      </c>
      <c r="I778" s="202" t="str">
        <f>Coins!I778</f>
        <v/>
      </c>
      <c r="J778" s="198" t="str">
        <f>Coins!J778</f>
        <v/>
      </c>
      <c r="K778" s="201" t="str">
        <f>Coins!K778</f>
        <v/>
      </c>
      <c r="L778" s="198" t="str">
        <f>Coins!L778</f>
        <v/>
      </c>
      <c r="M778" s="198"/>
      <c r="N778" s="198"/>
      <c r="P778" s="66" t="str">
        <f t="shared" si="4"/>
        <v/>
      </c>
    </row>
    <row r="779">
      <c r="A779" s="198" t="str">
        <f>Coins!A779</f>
        <v/>
      </c>
      <c r="B779" s="199" t="str">
        <f>Coins!B779</f>
        <v/>
      </c>
      <c r="C779" s="198" t="str">
        <f>Coins!C779</f>
        <v/>
      </c>
      <c r="D779" s="198" t="str">
        <f>Coins!D779</f>
        <v/>
      </c>
      <c r="E779" s="198" t="str">
        <f>Coins!E779</f>
        <v/>
      </c>
      <c r="F779" s="198" t="str">
        <f>Coins!F779</f>
        <v/>
      </c>
      <c r="G779" s="198" t="str">
        <f>Coins!G779</f>
        <v/>
      </c>
      <c r="H779" s="201" t="str">
        <f>if(Coins!H779="N/A",0,Coins!H779)</f>
        <v/>
      </c>
      <c r="I779" s="202" t="str">
        <f>Coins!I779</f>
        <v/>
      </c>
      <c r="J779" s="198" t="str">
        <f>Coins!J779</f>
        <v/>
      </c>
      <c r="K779" s="201" t="str">
        <f>Coins!K779</f>
        <v/>
      </c>
      <c r="L779" s="198" t="str">
        <f>Coins!L779</f>
        <v/>
      </c>
      <c r="M779" s="198"/>
      <c r="N779" s="198"/>
      <c r="P779" s="66" t="str">
        <f t="shared" si="4"/>
        <v/>
      </c>
    </row>
    <row r="780">
      <c r="A780" s="198" t="str">
        <f>Coins!A780</f>
        <v/>
      </c>
      <c r="B780" s="199" t="str">
        <f>Coins!B780</f>
        <v/>
      </c>
      <c r="C780" s="198" t="str">
        <f>Coins!C780</f>
        <v/>
      </c>
      <c r="D780" s="198" t="str">
        <f>Coins!D780</f>
        <v/>
      </c>
      <c r="E780" s="198" t="str">
        <f>Coins!E780</f>
        <v/>
      </c>
      <c r="F780" s="198" t="str">
        <f>Coins!F780</f>
        <v/>
      </c>
      <c r="G780" s="198" t="str">
        <f>Coins!G780</f>
        <v/>
      </c>
      <c r="H780" s="201" t="str">
        <f>if(Coins!H780="N/A",0,Coins!H780)</f>
        <v/>
      </c>
      <c r="I780" s="202" t="str">
        <f>Coins!I780</f>
        <v/>
      </c>
      <c r="J780" s="198" t="str">
        <f>Coins!J780</f>
        <v/>
      </c>
      <c r="K780" s="201" t="str">
        <f>Coins!K780</f>
        <v/>
      </c>
      <c r="L780" s="198" t="str">
        <f>Coins!L780</f>
        <v/>
      </c>
      <c r="M780" s="198"/>
      <c r="N780" s="198"/>
      <c r="P780" s="66" t="str">
        <f t="shared" si="4"/>
        <v/>
      </c>
    </row>
    <row r="781">
      <c r="A781" s="198" t="str">
        <f>Coins!A781</f>
        <v/>
      </c>
      <c r="B781" s="199" t="str">
        <f>Coins!B781</f>
        <v/>
      </c>
      <c r="C781" s="198" t="str">
        <f>Coins!C781</f>
        <v/>
      </c>
      <c r="D781" s="198" t="str">
        <f>Coins!D781</f>
        <v/>
      </c>
      <c r="E781" s="198" t="str">
        <f>Coins!E781</f>
        <v/>
      </c>
      <c r="F781" s="198" t="str">
        <f>Coins!F781</f>
        <v/>
      </c>
      <c r="G781" s="198" t="str">
        <f>Coins!G781</f>
        <v/>
      </c>
      <c r="H781" s="201" t="str">
        <f>if(Coins!H781="N/A",0,Coins!H781)</f>
        <v/>
      </c>
      <c r="I781" s="202" t="str">
        <f>Coins!I781</f>
        <v/>
      </c>
      <c r="J781" s="198" t="str">
        <f>Coins!J781</f>
        <v/>
      </c>
      <c r="K781" s="201" t="str">
        <f>Coins!K781</f>
        <v/>
      </c>
      <c r="L781" s="198" t="str">
        <f>Coins!L781</f>
        <v/>
      </c>
      <c r="M781" s="198"/>
      <c r="N781" s="198"/>
      <c r="P781" s="66" t="str">
        <f t="shared" si="4"/>
        <v/>
      </c>
    </row>
    <row r="782">
      <c r="A782" s="198" t="str">
        <f>Coins!A782</f>
        <v/>
      </c>
      <c r="B782" s="199" t="str">
        <f>Coins!B782</f>
        <v/>
      </c>
      <c r="C782" s="198" t="str">
        <f>Coins!C782</f>
        <v/>
      </c>
      <c r="D782" s="198" t="str">
        <f>Coins!D782</f>
        <v/>
      </c>
      <c r="E782" s="198" t="str">
        <f>Coins!E782</f>
        <v/>
      </c>
      <c r="F782" s="198" t="str">
        <f>Coins!F782</f>
        <v/>
      </c>
      <c r="G782" s="198" t="str">
        <f>Coins!G782</f>
        <v/>
      </c>
      <c r="H782" s="201" t="str">
        <f>if(Coins!H782="N/A",0,Coins!H782)</f>
        <v/>
      </c>
      <c r="I782" s="202" t="str">
        <f>Coins!I782</f>
        <v/>
      </c>
      <c r="J782" s="198" t="str">
        <f>Coins!J782</f>
        <v/>
      </c>
      <c r="K782" s="201" t="str">
        <f>Coins!K782</f>
        <v/>
      </c>
      <c r="L782" s="198" t="str">
        <f>Coins!L782</f>
        <v/>
      </c>
      <c r="M782" s="198"/>
      <c r="N782" s="198"/>
      <c r="P782" s="66" t="str">
        <f t="shared" si="4"/>
        <v/>
      </c>
    </row>
    <row r="783">
      <c r="A783" s="198" t="str">
        <f>Coins!A783</f>
        <v/>
      </c>
      <c r="B783" s="199" t="str">
        <f>Coins!B783</f>
        <v/>
      </c>
      <c r="C783" s="198" t="str">
        <f>Coins!C783</f>
        <v/>
      </c>
      <c r="D783" s="198" t="str">
        <f>Coins!D783</f>
        <v/>
      </c>
      <c r="E783" s="198" t="str">
        <f>Coins!E783</f>
        <v/>
      </c>
      <c r="F783" s="198" t="str">
        <f>Coins!F783</f>
        <v/>
      </c>
      <c r="G783" s="198" t="str">
        <f>Coins!G783</f>
        <v/>
      </c>
      <c r="H783" s="201" t="str">
        <f>if(Coins!H783="N/A",0,Coins!H783)</f>
        <v/>
      </c>
      <c r="I783" s="202" t="str">
        <f>Coins!I783</f>
        <v/>
      </c>
      <c r="J783" s="198" t="str">
        <f>Coins!J783</f>
        <v/>
      </c>
      <c r="K783" s="201" t="str">
        <f>Coins!K783</f>
        <v/>
      </c>
      <c r="L783" s="198" t="str">
        <f>Coins!L783</f>
        <v/>
      </c>
      <c r="M783" s="198"/>
      <c r="N783" s="198"/>
      <c r="P783" s="66" t="str">
        <f t="shared" si="4"/>
        <v/>
      </c>
    </row>
    <row r="784">
      <c r="A784" s="198" t="str">
        <f>Coins!A784</f>
        <v/>
      </c>
      <c r="B784" s="199" t="str">
        <f>Coins!B784</f>
        <v/>
      </c>
      <c r="C784" s="198" t="str">
        <f>Coins!C784</f>
        <v/>
      </c>
      <c r="D784" s="198" t="str">
        <f>Coins!D784</f>
        <v/>
      </c>
      <c r="E784" s="198" t="str">
        <f>Coins!E784</f>
        <v/>
      </c>
      <c r="F784" s="198" t="str">
        <f>Coins!F784</f>
        <v/>
      </c>
      <c r="G784" s="198" t="str">
        <f>Coins!G784</f>
        <v/>
      </c>
      <c r="H784" s="201" t="str">
        <f>if(Coins!H784="N/A",0,Coins!H784)</f>
        <v/>
      </c>
      <c r="I784" s="202" t="str">
        <f>Coins!I784</f>
        <v/>
      </c>
      <c r="J784" s="198" t="str">
        <f>Coins!J784</f>
        <v/>
      </c>
      <c r="K784" s="201" t="str">
        <f>Coins!K784</f>
        <v/>
      </c>
      <c r="L784" s="198" t="str">
        <f>Coins!L784</f>
        <v/>
      </c>
      <c r="M784" s="198"/>
      <c r="N784" s="198"/>
      <c r="P784" s="66" t="str">
        <f t="shared" si="4"/>
        <v/>
      </c>
    </row>
    <row r="785">
      <c r="A785" s="198" t="str">
        <f>Coins!A785</f>
        <v/>
      </c>
      <c r="B785" s="199" t="str">
        <f>Coins!B785</f>
        <v/>
      </c>
      <c r="C785" s="198" t="str">
        <f>Coins!C785</f>
        <v/>
      </c>
      <c r="D785" s="198" t="str">
        <f>Coins!D785</f>
        <v/>
      </c>
      <c r="E785" s="198" t="str">
        <f>Coins!E785</f>
        <v/>
      </c>
      <c r="F785" s="198" t="str">
        <f>Coins!F785</f>
        <v/>
      </c>
      <c r="G785" s="198" t="str">
        <f>Coins!G785</f>
        <v/>
      </c>
      <c r="H785" s="201" t="str">
        <f>if(Coins!H785="N/A",0,Coins!H785)</f>
        <v/>
      </c>
      <c r="I785" s="202" t="str">
        <f>Coins!I785</f>
        <v/>
      </c>
      <c r="J785" s="198" t="str">
        <f>Coins!J785</f>
        <v/>
      </c>
      <c r="K785" s="201" t="str">
        <f>Coins!K785</f>
        <v/>
      </c>
      <c r="L785" s="198" t="str">
        <f>Coins!L785</f>
        <v/>
      </c>
      <c r="M785" s="198"/>
      <c r="N785" s="198"/>
      <c r="P785" s="66" t="str">
        <f t="shared" si="4"/>
        <v/>
      </c>
    </row>
    <row r="786">
      <c r="A786" s="198" t="str">
        <f>Coins!A786</f>
        <v/>
      </c>
      <c r="B786" s="199" t="str">
        <f>Coins!B786</f>
        <v/>
      </c>
      <c r="C786" s="198" t="str">
        <f>Coins!C786</f>
        <v/>
      </c>
      <c r="D786" s="198" t="str">
        <f>Coins!D786</f>
        <v/>
      </c>
      <c r="E786" s="198" t="str">
        <f>Coins!E786</f>
        <v/>
      </c>
      <c r="F786" s="198" t="str">
        <f>Coins!F786</f>
        <v/>
      </c>
      <c r="G786" s="198" t="str">
        <f>Coins!G786</f>
        <v/>
      </c>
      <c r="H786" s="201" t="str">
        <f>if(Coins!H786="N/A",0,Coins!H786)</f>
        <v/>
      </c>
      <c r="I786" s="202" t="str">
        <f>Coins!I786</f>
        <v/>
      </c>
      <c r="J786" s="198" t="str">
        <f>Coins!J786</f>
        <v/>
      </c>
      <c r="K786" s="201" t="str">
        <f>Coins!K786</f>
        <v/>
      </c>
      <c r="L786" s="198" t="str">
        <f>Coins!L786</f>
        <v/>
      </c>
      <c r="M786" s="198"/>
      <c r="N786" s="198"/>
      <c r="P786" s="66" t="str">
        <f t="shared" si="4"/>
        <v/>
      </c>
    </row>
    <row r="787">
      <c r="A787" s="198" t="str">
        <f>Coins!A787</f>
        <v/>
      </c>
      <c r="B787" s="199" t="str">
        <f>Coins!B787</f>
        <v/>
      </c>
      <c r="C787" s="198" t="str">
        <f>Coins!C787</f>
        <v/>
      </c>
      <c r="D787" s="198" t="str">
        <f>Coins!D787</f>
        <v/>
      </c>
      <c r="E787" s="198" t="str">
        <f>Coins!E787</f>
        <v/>
      </c>
      <c r="F787" s="198" t="str">
        <f>Coins!F787</f>
        <v/>
      </c>
      <c r="G787" s="198" t="str">
        <f>Coins!G787</f>
        <v/>
      </c>
      <c r="H787" s="201" t="str">
        <f>if(Coins!H787="N/A",0,Coins!H787)</f>
        <v/>
      </c>
      <c r="I787" s="202" t="str">
        <f>Coins!I787</f>
        <v/>
      </c>
      <c r="J787" s="198" t="str">
        <f>Coins!J787</f>
        <v/>
      </c>
      <c r="K787" s="201" t="str">
        <f>Coins!K787</f>
        <v/>
      </c>
      <c r="L787" s="198" t="str">
        <f>Coins!L787</f>
        <v/>
      </c>
      <c r="M787" s="198"/>
      <c r="N787" s="198"/>
      <c r="P787" s="66" t="str">
        <f t="shared" si="4"/>
        <v/>
      </c>
    </row>
    <row r="788">
      <c r="A788" s="198" t="str">
        <f>Coins!A788</f>
        <v/>
      </c>
      <c r="B788" s="199" t="str">
        <f>Coins!B788</f>
        <v/>
      </c>
      <c r="C788" s="198" t="str">
        <f>Coins!C788</f>
        <v/>
      </c>
      <c r="D788" s="198" t="str">
        <f>Coins!D788</f>
        <v/>
      </c>
      <c r="E788" s="198" t="str">
        <f>Coins!E788</f>
        <v/>
      </c>
      <c r="F788" s="198" t="str">
        <f>Coins!F788</f>
        <v/>
      </c>
      <c r="G788" s="198" t="str">
        <f>Coins!G788</f>
        <v/>
      </c>
      <c r="H788" s="201" t="str">
        <f>if(Coins!H788="N/A",0,Coins!H788)</f>
        <v/>
      </c>
      <c r="I788" s="202" t="str">
        <f>Coins!I788</f>
        <v/>
      </c>
      <c r="J788" s="198" t="str">
        <f>Coins!J788</f>
        <v/>
      </c>
      <c r="K788" s="201" t="str">
        <f>Coins!K788</f>
        <v/>
      </c>
      <c r="L788" s="198" t="str">
        <f>Coins!L788</f>
        <v/>
      </c>
      <c r="M788" s="198"/>
      <c r="N788" s="198"/>
      <c r="P788" s="66" t="str">
        <f t="shared" si="4"/>
        <v/>
      </c>
    </row>
    <row r="789">
      <c r="A789" s="198" t="str">
        <f>Coins!A789</f>
        <v/>
      </c>
      <c r="B789" s="199" t="str">
        <f>Coins!B789</f>
        <v/>
      </c>
      <c r="C789" s="198" t="str">
        <f>Coins!C789</f>
        <v/>
      </c>
      <c r="D789" s="198" t="str">
        <f>Coins!D789</f>
        <v/>
      </c>
      <c r="E789" s="198" t="str">
        <f>Coins!E789</f>
        <v/>
      </c>
      <c r="F789" s="198" t="str">
        <f>Coins!F789</f>
        <v/>
      </c>
      <c r="G789" s="198" t="str">
        <f>Coins!G789</f>
        <v/>
      </c>
      <c r="H789" s="201" t="str">
        <f>if(Coins!H789="N/A",0,Coins!H789)</f>
        <v/>
      </c>
      <c r="I789" s="202" t="str">
        <f>Coins!I789</f>
        <v/>
      </c>
      <c r="J789" s="198" t="str">
        <f>Coins!J789</f>
        <v/>
      </c>
      <c r="K789" s="201" t="str">
        <f>Coins!K789</f>
        <v/>
      </c>
      <c r="L789" s="198" t="str">
        <f>Coins!L789</f>
        <v/>
      </c>
      <c r="M789" s="198"/>
      <c r="N789" s="198"/>
      <c r="P789" s="66" t="str">
        <f t="shared" si="4"/>
        <v/>
      </c>
    </row>
    <row r="790">
      <c r="A790" s="198" t="str">
        <f>Coins!A790</f>
        <v/>
      </c>
      <c r="B790" s="199" t="str">
        <f>Coins!B790</f>
        <v/>
      </c>
      <c r="C790" s="198" t="str">
        <f>Coins!C790</f>
        <v/>
      </c>
      <c r="D790" s="198" t="str">
        <f>Coins!D790</f>
        <v/>
      </c>
      <c r="E790" s="198" t="str">
        <f>Coins!E790</f>
        <v/>
      </c>
      <c r="F790" s="198" t="str">
        <f>Coins!F790</f>
        <v/>
      </c>
      <c r="G790" s="198" t="str">
        <f>Coins!G790</f>
        <v/>
      </c>
      <c r="H790" s="201" t="str">
        <f>if(Coins!H790="N/A",0,Coins!H790)</f>
        <v/>
      </c>
      <c r="I790" s="202" t="str">
        <f>Coins!I790</f>
        <v/>
      </c>
      <c r="J790" s="198" t="str">
        <f>Coins!J790</f>
        <v/>
      </c>
      <c r="K790" s="201" t="str">
        <f>Coins!K790</f>
        <v/>
      </c>
      <c r="L790" s="198" t="str">
        <f>Coins!L790</f>
        <v/>
      </c>
      <c r="M790" s="198"/>
      <c r="N790" s="198"/>
      <c r="P790" s="66" t="str">
        <f t="shared" si="4"/>
        <v/>
      </c>
    </row>
    <row r="791">
      <c r="A791" s="198" t="str">
        <f>Coins!A791</f>
        <v/>
      </c>
      <c r="B791" s="199" t="str">
        <f>Coins!B791</f>
        <v/>
      </c>
      <c r="C791" s="198" t="str">
        <f>Coins!C791</f>
        <v/>
      </c>
      <c r="D791" s="198" t="str">
        <f>Coins!D791</f>
        <v/>
      </c>
      <c r="E791" s="198" t="str">
        <f>Coins!E791</f>
        <v/>
      </c>
      <c r="F791" s="198" t="str">
        <f>Coins!F791</f>
        <v/>
      </c>
      <c r="G791" s="198" t="str">
        <f>Coins!G791</f>
        <v/>
      </c>
      <c r="H791" s="201" t="str">
        <f>if(Coins!H791="N/A",0,Coins!H791)</f>
        <v/>
      </c>
      <c r="I791" s="202" t="str">
        <f>Coins!I791</f>
        <v/>
      </c>
      <c r="J791" s="198" t="str">
        <f>Coins!J791</f>
        <v/>
      </c>
      <c r="K791" s="201" t="str">
        <f>Coins!K791</f>
        <v/>
      </c>
      <c r="L791" s="198" t="str">
        <f>Coins!L791</f>
        <v/>
      </c>
      <c r="M791" s="198"/>
      <c r="N791" s="198"/>
      <c r="P791" s="66" t="str">
        <f t="shared" si="4"/>
        <v/>
      </c>
    </row>
    <row r="792">
      <c r="A792" s="198" t="str">
        <f>Coins!A792</f>
        <v/>
      </c>
      <c r="B792" s="199" t="str">
        <f>Coins!B792</f>
        <v/>
      </c>
      <c r="C792" s="198" t="str">
        <f>Coins!C792</f>
        <v/>
      </c>
      <c r="D792" s="198" t="str">
        <f>Coins!D792</f>
        <v/>
      </c>
      <c r="E792" s="198" t="str">
        <f>Coins!E792</f>
        <v/>
      </c>
      <c r="F792" s="198" t="str">
        <f>Coins!F792</f>
        <v/>
      </c>
      <c r="G792" s="198" t="str">
        <f>Coins!G792</f>
        <v/>
      </c>
      <c r="H792" s="201" t="str">
        <f>if(Coins!H792="N/A",0,Coins!H792)</f>
        <v/>
      </c>
      <c r="I792" s="202" t="str">
        <f>Coins!I792</f>
        <v/>
      </c>
      <c r="J792" s="198" t="str">
        <f>Coins!J792</f>
        <v/>
      </c>
      <c r="K792" s="201" t="str">
        <f>Coins!K792</f>
        <v/>
      </c>
      <c r="L792" s="198" t="str">
        <f>Coins!L792</f>
        <v/>
      </c>
      <c r="M792" s="198"/>
      <c r="N792" s="198"/>
      <c r="P792" s="66" t="str">
        <f t="shared" si="4"/>
        <v/>
      </c>
    </row>
    <row r="793">
      <c r="A793" s="198" t="str">
        <f>Coins!A793</f>
        <v/>
      </c>
      <c r="B793" s="199" t="str">
        <f>Coins!B793</f>
        <v/>
      </c>
      <c r="C793" s="198" t="str">
        <f>Coins!C793</f>
        <v/>
      </c>
      <c r="D793" s="198" t="str">
        <f>Coins!D793</f>
        <v/>
      </c>
      <c r="E793" s="198" t="str">
        <f>Coins!E793</f>
        <v/>
      </c>
      <c r="F793" s="198" t="str">
        <f>Coins!F793</f>
        <v/>
      </c>
      <c r="G793" s="198" t="str">
        <f>Coins!G793</f>
        <v/>
      </c>
      <c r="H793" s="201" t="str">
        <f>if(Coins!H793="N/A",0,Coins!H793)</f>
        <v/>
      </c>
      <c r="I793" s="202" t="str">
        <f>Coins!I793</f>
        <v/>
      </c>
      <c r="J793" s="198" t="str">
        <f>Coins!J793</f>
        <v/>
      </c>
      <c r="K793" s="201" t="str">
        <f>Coins!K793</f>
        <v/>
      </c>
      <c r="L793" s="198" t="str">
        <f>Coins!L793</f>
        <v/>
      </c>
      <c r="M793" s="198"/>
      <c r="N793" s="198"/>
      <c r="P793" s="66" t="str">
        <f t="shared" si="4"/>
        <v/>
      </c>
    </row>
    <row r="794">
      <c r="A794" s="198" t="str">
        <f>Coins!A794</f>
        <v/>
      </c>
      <c r="B794" s="199" t="str">
        <f>Coins!B794</f>
        <v/>
      </c>
      <c r="C794" s="198" t="str">
        <f>Coins!C794</f>
        <v/>
      </c>
      <c r="D794" s="198" t="str">
        <f>Coins!D794</f>
        <v/>
      </c>
      <c r="E794" s="198" t="str">
        <f>Coins!E794</f>
        <v/>
      </c>
      <c r="F794" s="198" t="str">
        <f>Coins!F794</f>
        <v/>
      </c>
      <c r="G794" s="198" t="str">
        <f>Coins!G794</f>
        <v/>
      </c>
      <c r="H794" s="201" t="str">
        <f>if(Coins!H794="N/A",0,Coins!H794)</f>
        <v/>
      </c>
      <c r="I794" s="202" t="str">
        <f>Coins!I794</f>
        <v/>
      </c>
      <c r="J794" s="198" t="str">
        <f>Coins!J794</f>
        <v/>
      </c>
      <c r="K794" s="201" t="str">
        <f>Coins!K794</f>
        <v/>
      </c>
      <c r="L794" s="198" t="str">
        <f>Coins!L794</f>
        <v/>
      </c>
      <c r="M794" s="198"/>
      <c r="N794" s="198"/>
      <c r="P794" s="66" t="str">
        <f t="shared" si="4"/>
        <v/>
      </c>
    </row>
    <row r="795">
      <c r="A795" s="198" t="str">
        <f>Coins!A795</f>
        <v/>
      </c>
      <c r="B795" s="199" t="str">
        <f>Coins!B795</f>
        <v/>
      </c>
      <c r="C795" s="198" t="str">
        <f>Coins!C795</f>
        <v/>
      </c>
      <c r="D795" s="198" t="str">
        <f>Coins!D795</f>
        <v/>
      </c>
      <c r="E795" s="198" t="str">
        <f>Coins!E795</f>
        <v/>
      </c>
      <c r="F795" s="198" t="str">
        <f>Coins!F795</f>
        <v/>
      </c>
      <c r="G795" s="198" t="str">
        <f>Coins!G795</f>
        <v/>
      </c>
      <c r="H795" s="201" t="str">
        <f>if(Coins!H795="N/A",0,Coins!H795)</f>
        <v/>
      </c>
      <c r="I795" s="202" t="str">
        <f>Coins!I795</f>
        <v/>
      </c>
      <c r="J795" s="198" t="str">
        <f>Coins!J795</f>
        <v/>
      </c>
      <c r="K795" s="201" t="str">
        <f>Coins!K795</f>
        <v/>
      </c>
      <c r="L795" s="198" t="str">
        <f>Coins!L795</f>
        <v/>
      </c>
      <c r="M795" s="198"/>
      <c r="N795" s="198"/>
      <c r="P795" s="66" t="str">
        <f t="shared" si="4"/>
        <v/>
      </c>
    </row>
    <row r="796">
      <c r="A796" s="198" t="str">
        <f>Coins!A796</f>
        <v/>
      </c>
      <c r="B796" s="199" t="str">
        <f>Coins!B796</f>
        <v/>
      </c>
      <c r="C796" s="198" t="str">
        <f>Coins!C796</f>
        <v/>
      </c>
      <c r="D796" s="198" t="str">
        <f>Coins!D796</f>
        <v/>
      </c>
      <c r="E796" s="198" t="str">
        <f>Coins!E796</f>
        <v/>
      </c>
      <c r="F796" s="198" t="str">
        <f>Coins!F796</f>
        <v/>
      </c>
      <c r="G796" s="198" t="str">
        <f>Coins!G796</f>
        <v/>
      </c>
      <c r="H796" s="201" t="str">
        <f>if(Coins!H796="N/A",0,Coins!H796)</f>
        <v/>
      </c>
      <c r="I796" s="202" t="str">
        <f>Coins!I796</f>
        <v/>
      </c>
      <c r="J796" s="198" t="str">
        <f>Coins!J796</f>
        <v/>
      </c>
      <c r="K796" s="201" t="str">
        <f>Coins!K796</f>
        <v/>
      </c>
      <c r="L796" s="198" t="str">
        <f>Coins!L796</f>
        <v/>
      </c>
      <c r="M796" s="198"/>
      <c r="N796" s="198"/>
      <c r="P796" s="66" t="str">
        <f t="shared" si="4"/>
        <v/>
      </c>
    </row>
    <row r="797">
      <c r="A797" s="198" t="str">
        <f>Coins!A797</f>
        <v/>
      </c>
      <c r="B797" s="199" t="str">
        <f>Coins!B797</f>
        <v/>
      </c>
      <c r="C797" s="198" t="str">
        <f>Coins!C797</f>
        <v/>
      </c>
      <c r="D797" s="198" t="str">
        <f>Coins!D797</f>
        <v/>
      </c>
      <c r="E797" s="198" t="str">
        <f>Coins!E797</f>
        <v/>
      </c>
      <c r="F797" s="198" t="str">
        <f>Coins!F797</f>
        <v/>
      </c>
      <c r="G797" s="198" t="str">
        <f>Coins!G797</f>
        <v/>
      </c>
      <c r="H797" s="201" t="str">
        <f>if(Coins!H797="N/A",0,Coins!H797)</f>
        <v/>
      </c>
      <c r="I797" s="202" t="str">
        <f>Coins!I797</f>
        <v/>
      </c>
      <c r="J797" s="198" t="str">
        <f>Coins!J797</f>
        <v/>
      </c>
      <c r="K797" s="201" t="str">
        <f>Coins!K797</f>
        <v/>
      </c>
      <c r="L797" s="198" t="str">
        <f>Coins!L797</f>
        <v/>
      </c>
      <c r="M797" s="198"/>
      <c r="N797" s="198"/>
      <c r="P797" s="66" t="str">
        <f t="shared" si="4"/>
        <v/>
      </c>
    </row>
    <row r="798">
      <c r="A798" s="198" t="str">
        <f>Coins!A798</f>
        <v/>
      </c>
      <c r="B798" s="199" t="str">
        <f>Coins!B798</f>
        <v/>
      </c>
      <c r="C798" s="198" t="str">
        <f>Coins!C798</f>
        <v/>
      </c>
      <c r="D798" s="198" t="str">
        <f>Coins!D798</f>
        <v/>
      </c>
      <c r="E798" s="198" t="str">
        <f>Coins!E798</f>
        <v/>
      </c>
      <c r="F798" s="198" t="str">
        <f>Coins!F798</f>
        <v/>
      </c>
      <c r="G798" s="198" t="str">
        <f>Coins!G798</f>
        <v/>
      </c>
      <c r="H798" s="201" t="str">
        <f>if(Coins!H798="N/A",0,Coins!H798)</f>
        <v/>
      </c>
      <c r="I798" s="202" t="str">
        <f>Coins!I798</f>
        <v/>
      </c>
      <c r="J798" s="198" t="str">
        <f>Coins!J798</f>
        <v/>
      </c>
      <c r="K798" s="201" t="str">
        <f>Coins!K798</f>
        <v/>
      </c>
      <c r="L798" s="198" t="str">
        <f>Coins!L798</f>
        <v/>
      </c>
      <c r="M798" s="198"/>
      <c r="N798" s="198"/>
      <c r="P798" s="66" t="str">
        <f t="shared" si="4"/>
        <v/>
      </c>
    </row>
    <row r="799">
      <c r="A799" s="198" t="str">
        <f>Coins!A799</f>
        <v/>
      </c>
      <c r="B799" s="199" t="str">
        <f>Coins!B799</f>
        <v/>
      </c>
      <c r="C799" s="198" t="str">
        <f>Coins!C799</f>
        <v/>
      </c>
      <c r="D799" s="198" t="str">
        <f>Coins!D799</f>
        <v/>
      </c>
      <c r="E799" s="198" t="str">
        <f>Coins!E799</f>
        <v/>
      </c>
      <c r="F799" s="198" t="str">
        <f>Coins!F799</f>
        <v/>
      </c>
      <c r="G799" s="198" t="str">
        <f>Coins!G799</f>
        <v/>
      </c>
      <c r="H799" s="201" t="str">
        <f>if(Coins!H799="N/A",0,Coins!H799)</f>
        <v/>
      </c>
      <c r="I799" s="202" t="str">
        <f>Coins!I799</f>
        <v/>
      </c>
      <c r="J799" s="198" t="str">
        <f>Coins!J799</f>
        <v/>
      </c>
      <c r="K799" s="201" t="str">
        <f>Coins!K799</f>
        <v/>
      </c>
      <c r="L799" s="198" t="str">
        <f>Coins!L799</f>
        <v/>
      </c>
      <c r="M799" s="198"/>
      <c r="N799" s="198"/>
      <c r="P799" s="66" t="str">
        <f t="shared" si="4"/>
        <v/>
      </c>
    </row>
    <row r="800">
      <c r="A800" s="198" t="str">
        <f>Coins!A800</f>
        <v/>
      </c>
      <c r="B800" s="199" t="str">
        <f>Coins!B800</f>
        <v/>
      </c>
      <c r="C800" s="198" t="str">
        <f>Coins!C800</f>
        <v/>
      </c>
      <c r="D800" s="198" t="str">
        <f>Coins!D800</f>
        <v/>
      </c>
      <c r="E800" s="198" t="str">
        <f>Coins!E800</f>
        <v/>
      </c>
      <c r="F800" s="198" t="str">
        <f>Coins!F800</f>
        <v/>
      </c>
      <c r="G800" s="198" t="str">
        <f>Coins!G800</f>
        <v/>
      </c>
      <c r="H800" s="201" t="str">
        <f>if(Coins!H800="N/A",0,Coins!H800)</f>
        <v/>
      </c>
      <c r="I800" s="202" t="str">
        <f>Coins!I800</f>
        <v/>
      </c>
      <c r="J800" s="198" t="str">
        <f>Coins!J800</f>
        <v/>
      </c>
      <c r="K800" s="201" t="str">
        <f>Coins!K800</f>
        <v/>
      </c>
      <c r="L800" s="198" t="str">
        <f>Coins!L800</f>
        <v/>
      </c>
      <c r="M800" s="198"/>
      <c r="N800" s="198"/>
      <c r="P800" s="66" t="str">
        <f t="shared" si="4"/>
        <v/>
      </c>
    </row>
    <row r="801">
      <c r="A801" s="198" t="str">
        <f>Coins!A801</f>
        <v/>
      </c>
      <c r="B801" s="199" t="str">
        <f>Coins!B801</f>
        <v/>
      </c>
      <c r="C801" s="198" t="str">
        <f>Coins!C801</f>
        <v/>
      </c>
      <c r="D801" s="198" t="str">
        <f>Coins!D801</f>
        <v/>
      </c>
      <c r="E801" s="198" t="str">
        <f>Coins!E801</f>
        <v/>
      </c>
      <c r="F801" s="198" t="str">
        <f>Coins!F801</f>
        <v/>
      </c>
      <c r="G801" s="198" t="str">
        <f>Coins!G801</f>
        <v/>
      </c>
      <c r="H801" s="201" t="str">
        <f>if(Coins!H801="N/A",0,Coins!H801)</f>
        <v/>
      </c>
      <c r="I801" s="202" t="str">
        <f>Coins!I801</f>
        <v/>
      </c>
      <c r="J801" s="198" t="str">
        <f>Coins!J801</f>
        <v/>
      </c>
      <c r="K801" s="201" t="str">
        <f>Coins!K801</f>
        <v/>
      </c>
      <c r="L801" s="198" t="str">
        <f>Coins!L801</f>
        <v/>
      </c>
      <c r="M801" s="198"/>
      <c r="N801" s="198"/>
      <c r="P801" s="66" t="str">
        <f t="shared" si="4"/>
        <v/>
      </c>
    </row>
    <row r="802">
      <c r="A802" s="198" t="str">
        <f>Coins!A802</f>
        <v/>
      </c>
      <c r="B802" s="199" t="str">
        <f>Coins!B802</f>
        <v/>
      </c>
      <c r="C802" s="198" t="str">
        <f>Coins!C802</f>
        <v/>
      </c>
      <c r="D802" s="198" t="str">
        <f>Coins!D802</f>
        <v/>
      </c>
      <c r="E802" s="198" t="str">
        <f>Coins!E802</f>
        <v/>
      </c>
      <c r="F802" s="198" t="str">
        <f>Coins!F802</f>
        <v/>
      </c>
      <c r="G802" s="198" t="str">
        <f>Coins!G802</f>
        <v/>
      </c>
      <c r="H802" s="201" t="str">
        <f>if(Coins!H802="N/A",0,Coins!H802)</f>
        <v/>
      </c>
      <c r="I802" s="202" t="str">
        <f>Coins!I802</f>
        <v/>
      </c>
      <c r="J802" s="198" t="str">
        <f>Coins!J802</f>
        <v/>
      </c>
      <c r="K802" s="201" t="str">
        <f>Coins!K802</f>
        <v/>
      </c>
      <c r="L802" s="198" t="str">
        <f>Coins!L802</f>
        <v/>
      </c>
      <c r="M802" s="198"/>
      <c r="N802" s="198"/>
      <c r="P802" s="66" t="str">
        <f t="shared" si="4"/>
        <v/>
      </c>
    </row>
    <row r="803">
      <c r="A803" s="198" t="str">
        <f>Coins!A803</f>
        <v/>
      </c>
      <c r="B803" s="199" t="str">
        <f>Coins!B803</f>
        <v/>
      </c>
      <c r="C803" s="198" t="str">
        <f>Coins!C803</f>
        <v/>
      </c>
      <c r="D803" s="198" t="str">
        <f>Coins!D803</f>
        <v/>
      </c>
      <c r="E803" s="198" t="str">
        <f>Coins!E803</f>
        <v/>
      </c>
      <c r="F803" s="198" t="str">
        <f>Coins!F803</f>
        <v/>
      </c>
      <c r="G803" s="198" t="str">
        <f>Coins!G803</f>
        <v/>
      </c>
      <c r="H803" s="201" t="str">
        <f>if(Coins!H803="N/A",0,Coins!H803)</f>
        <v/>
      </c>
      <c r="I803" s="202" t="str">
        <f>Coins!I803</f>
        <v/>
      </c>
      <c r="J803" s="198" t="str">
        <f>Coins!J803</f>
        <v/>
      </c>
      <c r="K803" s="201" t="str">
        <f>Coins!K803</f>
        <v/>
      </c>
      <c r="L803" s="198" t="str">
        <f>Coins!L803</f>
        <v/>
      </c>
      <c r="M803" s="198"/>
      <c r="N803" s="198"/>
      <c r="P803" s="66" t="str">
        <f t="shared" si="4"/>
        <v/>
      </c>
    </row>
    <row r="804">
      <c r="A804" s="198" t="str">
        <f>Coins!A804</f>
        <v/>
      </c>
      <c r="B804" s="199" t="str">
        <f>Coins!B804</f>
        <v/>
      </c>
      <c r="C804" s="198" t="str">
        <f>Coins!C804</f>
        <v/>
      </c>
      <c r="D804" s="198" t="str">
        <f>Coins!D804</f>
        <v/>
      </c>
      <c r="E804" s="198" t="str">
        <f>Coins!E804</f>
        <v/>
      </c>
      <c r="F804" s="198" t="str">
        <f>Coins!F804</f>
        <v/>
      </c>
      <c r="G804" s="198" t="str">
        <f>Coins!G804</f>
        <v/>
      </c>
      <c r="H804" s="201" t="str">
        <f>if(Coins!H804="N/A",0,Coins!H804)</f>
        <v/>
      </c>
      <c r="I804" s="202" t="str">
        <f>Coins!I804</f>
        <v/>
      </c>
      <c r="J804" s="198" t="str">
        <f>Coins!J804</f>
        <v/>
      </c>
      <c r="K804" s="201" t="str">
        <f>Coins!K804</f>
        <v/>
      </c>
      <c r="L804" s="198" t="str">
        <f>Coins!L804</f>
        <v/>
      </c>
      <c r="M804" s="198"/>
      <c r="N804" s="198"/>
      <c r="P804" s="66" t="str">
        <f t="shared" si="4"/>
        <v/>
      </c>
    </row>
    <row r="805">
      <c r="A805" s="198" t="str">
        <f>Coins!A805</f>
        <v/>
      </c>
      <c r="B805" s="199" t="str">
        <f>Coins!B805</f>
        <v/>
      </c>
      <c r="C805" s="198" t="str">
        <f>Coins!C805</f>
        <v/>
      </c>
      <c r="D805" s="198" t="str">
        <f>Coins!D805</f>
        <v/>
      </c>
      <c r="E805" s="198" t="str">
        <f>Coins!E805</f>
        <v/>
      </c>
      <c r="F805" s="198" t="str">
        <f>Coins!F805</f>
        <v/>
      </c>
      <c r="G805" s="198" t="str">
        <f>Coins!G805</f>
        <v/>
      </c>
      <c r="H805" s="201" t="str">
        <f>if(Coins!H805="N/A",0,Coins!H805)</f>
        <v/>
      </c>
      <c r="I805" s="202" t="str">
        <f>Coins!I805</f>
        <v/>
      </c>
      <c r="J805" s="198" t="str">
        <f>Coins!J805</f>
        <v/>
      </c>
      <c r="K805" s="201" t="str">
        <f>Coins!K805</f>
        <v/>
      </c>
      <c r="L805" s="198" t="str">
        <f>Coins!L805</f>
        <v/>
      </c>
      <c r="M805" s="198"/>
      <c r="N805" s="198"/>
      <c r="P805" s="66" t="str">
        <f t="shared" si="4"/>
        <v/>
      </c>
    </row>
    <row r="806">
      <c r="A806" s="198" t="str">
        <f>Coins!A806</f>
        <v/>
      </c>
      <c r="B806" s="199" t="str">
        <f>Coins!B806</f>
        <v/>
      </c>
      <c r="C806" s="198" t="str">
        <f>Coins!C806</f>
        <v/>
      </c>
      <c r="D806" s="198" t="str">
        <f>Coins!D806</f>
        <v/>
      </c>
      <c r="E806" s="198" t="str">
        <f>Coins!E806</f>
        <v/>
      </c>
      <c r="F806" s="198" t="str">
        <f>Coins!F806</f>
        <v/>
      </c>
      <c r="G806" s="198" t="str">
        <f>Coins!G806</f>
        <v/>
      </c>
      <c r="H806" s="201" t="str">
        <f>if(Coins!H806="N/A",0,Coins!H806)</f>
        <v/>
      </c>
      <c r="I806" s="202" t="str">
        <f>Coins!I806</f>
        <v/>
      </c>
      <c r="J806" s="198" t="str">
        <f>Coins!J806</f>
        <v/>
      </c>
      <c r="K806" s="201" t="str">
        <f>Coins!K806</f>
        <v/>
      </c>
      <c r="L806" s="198" t="str">
        <f>Coins!L806</f>
        <v/>
      </c>
      <c r="M806" s="198"/>
      <c r="N806" s="198"/>
      <c r="P806" s="66" t="str">
        <f t="shared" si="4"/>
        <v/>
      </c>
    </row>
    <row r="807">
      <c r="A807" s="198" t="str">
        <f>Coins!A807</f>
        <v/>
      </c>
      <c r="B807" s="199" t="str">
        <f>Coins!B807</f>
        <v/>
      </c>
      <c r="C807" s="198" t="str">
        <f>Coins!C807</f>
        <v/>
      </c>
      <c r="D807" s="198" t="str">
        <f>Coins!D807</f>
        <v/>
      </c>
      <c r="E807" s="198" t="str">
        <f>Coins!E807</f>
        <v/>
      </c>
      <c r="F807" s="198" t="str">
        <f>Coins!F807</f>
        <v/>
      </c>
      <c r="G807" s="198" t="str">
        <f>Coins!G807</f>
        <v/>
      </c>
      <c r="H807" s="201" t="str">
        <f>if(Coins!H807="N/A",0,Coins!H807)</f>
        <v/>
      </c>
      <c r="I807" s="202" t="str">
        <f>Coins!I807</f>
        <v/>
      </c>
      <c r="J807" s="198" t="str">
        <f>Coins!J807</f>
        <v/>
      </c>
      <c r="K807" s="201" t="str">
        <f>Coins!K807</f>
        <v/>
      </c>
      <c r="L807" s="198" t="str">
        <f>Coins!L807</f>
        <v/>
      </c>
      <c r="M807" s="198"/>
      <c r="N807" s="198"/>
      <c r="P807" s="66" t="str">
        <f t="shared" si="4"/>
        <v/>
      </c>
    </row>
    <row r="808">
      <c r="A808" s="198" t="str">
        <f>Coins!A808</f>
        <v/>
      </c>
      <c r="B808" s="199" t="str">
        <f>Coins!B808</f>
        <v/>
      </c>
      <c r="C808" s="198" t="str">
        <f>Coins!C808</f>
        <v/>
      </c>
      <c r="D808" s="198" t="str">
        <f>Coins!D808</f>
        <v/>
      </c>
      <c r="E808" s="198" t="str">
        <f>Coins!E808</f>
        <v/>
      </c>
      <c r="F808" s="198" t="str">
        <f>Coins!F808</f>
        <v/>
      </c>
      <c r="G808" s="198" t="str">
        <f>Coins!G808</f>
        <v/>
      </c>
      <c r="H808" s="201" t="str">
        <f>if(Coins!H808="N/A",0,Coins!H808)</f>
        <v/>
      </c>
      <c r="I808" s="202" t="str">
        <f>Coins!I808</f>
        <v/>
      </c>
      <c r="J808" s="198" t="str">
        <f>Coins!J808</f>
        <v/>
      </c>
      <c r="K808" s="201" t="str">
        <f>Coins!K808</f>
        <v/>
      </c>
      <c r="L808" s="198" t="str">
        <f>Coins!L808</f>
        <v/>
      </c>
      <c r="M808" s="198"/>
      <c r="N808" s="198"/>
      <c r="P808" s="66" t="str">
        <f t="shared" si="4"/>
        <v/>
      </c>
    </row>
    <row r="809">
      <c r="A809" s="198" t="str">
        <f>Coins!A809</f>
        <v/>
      </c>
      <c r="B809" s="199" t="str">
        <f>Coins!B809</f>
        <v/>
      </c>
      <c r="C809" s="198" t="str">
        <f>Coins!C809</f>
        <v/>
      </c>
      <c r="D809" s="198" t="str">
        <f>Coins!D809</f>
        <v/>
      </c>
      <c r="E809" s="198" t="str">
        <f>Coins!E809</f>
        <v/>
      </c>
      <c r="F809" s="198" t="str">
        <f>Coins!F809</f>
        <v/>
      </c>
      <c r="G809" s="198" t="str">
        <f>Coins!G809</f>
        <v/>
      </c>
      <c r="H809" s="201" t="str">
        <f>if(Coins!H809="N/A",0,Coins!H809)</f>
        <v/>
      </c>
      <c r="I809" s="202" t="str">
        <f>Coins!I809</f>
        <v/>
      </c>
      <c r="J809" s="198" t="str">
        <f>Coins!J809</f>
        <v/>
      </c>
      <c r="K809" s="201" t="str">
        <f>Coins!K809</f>
        <v/>
      </c>
      <c r="L809" s="198" t="str">
        <f>Coins!L809</f>
        <v/>
      </c>
      <c r="M809" s="198"/>
      <c r="N809" s="198"/>
      <c r="P809" s="66" t="str">
        <f t="shared" si="4"/>
        <v/>
      </c>
    </row>
    <row r="810">
      <c r="A810" s="198" t="str">
        <f>Coins!A810</f>
        <v/>
      </c>
      <c r="B810" s="199" t="str">
        <f>Coins!B810</f>
        <v/>
      </c>
      <c r="C810" s="198" t="str">
        <f>Coins!C810</f>
        <v/>
      </c>
      <c r="D810" s="198" t="str">
        <f>Coins!D810</f>
        <v/>
      </c>
      <c r="E810" s="198" t="str">
        <f>Coins!E810</f>
        <v/>
      </c>
      <c r="F810" s="198" t="str">
        <f>Coins!F810</f>
        <v/>
      </c>
      <c r="G810" s="198" t="str">
        <f>Coins!G810</f>
        <v/>
      </c>
      <c r="H810" s="201" t="str">
        <f>if(Coins!H810="N/A",0,Coins!H810)</f>
        <v/>
      </c>
      <c r="I810" s="202" t="str">
        <f>Coins!I810</f>
        <v/>
      </c>
      <c r="J810" s="198" t="str">
        <f>Coins!J810</f>
        <v/>
      </c>
      <c r="K810" s="201" t="str">
        <f>Coins!K810</f>
        <v/>
      </c>
      <c r="L810" s="198" t="str">
        <f>Coins!L810</f>
        <v/>
      </c>
      <c r="M810" s="198"/>
      <c r="N810" s="198"/>
      <c r="P810" s="66" t="str">
        <f t="shared" si="4"/>
        <v/>
      </c>
    </row>
    <row r="811">
      <c r="A811" s="198" t="str">
        <f>Coins!A811</f>
        <v/>
      </c>
      <c r="B811" s="199" t="str">
        <f>Coins!B811</f>
        <v/>
      </c>
      <c r="C811" s="198" t="str">
        <f>Coins!C811</f>
        <v/>
      </c>
      <c r="D811" s="198" t="str">
        <f>Coins!D811</f>
        <v/>
      </c>
      <c r="E811" s="198" t="str">
        <f>Coins!E811</f>
        <v/>
      </c>
      <c r="F811" s="198" t="str">
        <f>Coins!F811</f>
        <v/>
      </c>
      <c r="G811" s="198" t="str">
        <f>Coins!G811</f>
        <v/>
      </c>
      <c r="H811" s="201" t="str">
        <f>if(Coins!H811="N/A",0,Coins!H811)</f>
        <v/>
      </c>
      <c r="I811" s="202" t="str">
        <f>Coins!I811</f>
        <v/>
      </c>
      <c r="J811" s="198" t="str">
        <f>Coins!J811</f>
        <v/>
      </c>
      <c r="K811" s="201" t="str">
        <f>Coins!K811</f>
        <v/>
      </c>
      <c r="L811" s="198" t="str">
        <f>Coins!L811</f>
        <v/>
      </c>
      <c r="M811" s="198"/>
      <c r="N811" s="198"/>
      <c r="P811" s="66" t="str">
        <f t="shared" si="4"/>
        <v/>
      </c>
    </row>
    <row r="812">
      <c r="A812" s="198" t="str">
        <f>Coins!A812</f>
        <v/>
      </c>
      <c r="B812" s="199" t="str">
        <f>Coins!B812</f>
        <v/>
      </c>
      <c r="C812" s="198" t="str">
        <f>Coins!C812</f>
        <v/>
      </c>
      <c r="D812" s="198" t="str">
        <f>Coins!D812</f>
        <v/>
      </c>
      <c r="E812" s="198" t="str">
        <f>Coins!E812</f>
        <v/>
      </c>
      <c r="F812" s="198" t="str">
        <f>Coins!F812</f>
        <v/>
      </c>
      <c r="G812" s="198" t="str">
        <f>Coins!G812</f>
        <v/>
      </c>
      <c r="H812" s="201" t="str">
        <f>if(Coins!H812="N/A",0,Coins!H812)</f>
        <v/>
      </c>
      <c r="I812" s="202" t="str">
        <f>Coins!I812</f>
        <v/>
      </c>
      <c r="J812" s="198" t="str">
        <f>Coins!J812</f>
        <v/>
      </c>
      <c r="K812" s="201" t="str">
        <f>Coins!K812</f>
        <v/>
      </c>
      <c r="L812" s="198" t="str">
        <f>Coins!L812</f>
        <v/>
      </c>
      <c r="M812" s="198"/>
      <c r="N812" s="198"/>
      <c r="P812" s="66" t="str">
        <f t="shared" si="4"/>
        <v/>
      </c>
    </row>
    <row r="813">
      <c r="A813" s="198" t="str">
        <f>Coins!A813</f>
        <v/>
      </c>
      <c r="B813" s="199" t="str">
        <f>Coins!B813</f>
        <v/>
      </c>
      <c r="C813" s="198" t="str">
        <f>Coins!C813</f>
        <v/>
      </c>
      <c r="D813" s="198" t="str">
        <f>Coins!D813</f>
        <v/>
      </c>
      <c r="E813" s="198" t="str">
        <f>Coins!E813</f>
        <v/>
      </c>
      <c r="F813" s="198" t="str">
        <f>Coins!F813</f>
        <v/>
      </c>
      <c r="G813" s="198" t="str">
        <f>Coins!G813</f>
        <v/>
      </c>
      <c r="H813" s="201" t="str">
        <f>if(Coins!H813="N/A",0,Coins!H813)</f>
        <v/>
      </c>
      <c r="I813" s="202" t="str">
        <f>Coins!I813</f>
        <v/>
      </c>
      <c r="J813" s="198" t="str">
        <f>Coins!J813</f>
        <v/>
      </c>
      <c r="K813" s="201" t="str">
        <f>Coins!K813</f>
        <v/>
      </c>
      <c r="L813" s="198" t="str">
        <f>Coins!L813</f>
        <v/>
      </c>
      <c r="M813" s="198"/>
      <c r="N813" s="198"/>
      <c r="P813" s="66" t="str">
        <f t="shared" si="4"/>
        <v/>
      </c>
    </row>
    <row r="814">
      <c r="A814" s="198" t="str">
        <f>Coins!A814</f>
        <v/>
      </c>
      <c r="B814" s="199" t="str">
        <f>Coins!B814</f>
        <v/>
      </c>
      <c r="C814" s="198" t="str">
        <f>Coins!C814</f>
        <v/>
      </c>
      <c r="D814" s="198" t="str">
        <f>Coins!D814</f>
        <v/>
      </c>
      <c r="E814" s="198" t="str">
        <f>Coins!E814</f>
        <v/>
      </c>
      <c r="F814" s="198" t="str">
        <f>Coins!F814</f>
        <v/>
      </c>
      <c r="G814" s="198" t="str">
        <f>Coins!G814</f>
        <v/>
      </c>
      <c r="H814" s="201" t="str">
        <f>if(Coins!H814="N/A",0,Coins!H814)</f>
        <v/>
      </c>
      <c r="I814" s="202" t="str">
        <f>Coins!I814</f>
        <v/>
      </c>
      <c r="J814" s="198" t="str">
        <f>Coins!J814</f>
        <v/>
      </c>
      <c r="K814" s="201" t="str">
        <f>Coins!K814</f>
        <v/>
      </c>
      <c r="L814" s="198" t="str">
        <f>Coins!L814</f>
        <v/>
      </c>
      <c r="M814" s="198"/>
      <c r="N814" s="198"/>
      <c r="P814" s="66" t="str">
        <f t="shared" si="4"/>
        <v/>
      </c>
    </row>
    <row r="815">
      <c r="A815" s="198" t="str">
        <f>Coins!A815</f>
        <v/>
      </c>
      <c r="B815" s="199" t="str">
        <f>Coins!B815</f>
        <v/>
      </c>
      <c r="C815" s="198" t="str">
        <f>Coins!C815</f>
        <v/>
      </c>
      <c r="D815" s="198" t="str">
        <f>Coins!D815</f>
        <v/>
      </c>
      <c r="E815" s="198" t="str">
        <f>Coins!E815</f>
        <v/>
      </c>
      <c r="F815" s="198" t="str">
        <f>Coins!F815</f>
        <v/>
      </c>
      <c r="G815" s="198" t="str">
        <f>Coins!G815</f>
        <v/>
      </c>
      <c r="H815" s="201" t="str">
        <f>if(Coins!H815="N/A",0,Coins!H815)</f>
        <v/>
      </c>
      <c r="I815" s="202" t="str">
        <f>Coins!I815</f>
        <v/>
      </c>
      <c r="J815" s="198" t="str">
        <f>Coins!J815</f>
        <v/>
      </c>
      <c r="K815" s="201" t="str">
        <f>Coins!K815</f>
        <v/>
      </c>
      <c r="L815" s="198" t="str">
        <f>Coins!L815</f>
        <v/>
      </c>
      <c r="M815" s="198"/>
      <c r="N815" s="198"/>
      <c r="P815" s="66" t="str">
        <f t="shared" si="4"/>
        <v/>
      </c>
    </row>
    <row r="816">
      <c r="A816" s="198" t="str">
        <f>Coins!A816</f>
        <v/>
      </c>
      <c r="B816" s="199" t="str">
        <f>Coins!B816</f>
        <v/>
      </c>
      <c r="C816" s="198" t="str">
        <f>Coins!C816</f>
        <v/>
      </c>
      <c r="D816" s="198" t="str">
        <f>Coins!D816</f>
        <v/>
      </c>
      <c r="E816" s="198" t="str">
        <f>Coins!E816</f>
        <v/>
      </c>
      <c r="F816" s="198" t="str">
        <f>Coins!F816</f>
        <v/>
      </c>
      <c r="G816" s="198" t="str">
        <f>Coins!G816</f>
        <v/>
      </c>
      <c r="H816" s="201" t="str">
        <f>if(Coins!H816="N/A",0,Coins!H816)</f>
        <v/>
      </c>
      <c r="I816" s="202" t="str">
        <f>Coins!I816</f>
        <v/>
      </c>
      <c r="J816" s="198" t="str">
        <f>Coins!J816</f>
        <v/>
      </c>
      <c r="K816" s="201" t="str">
        <f>Coins!K816</f>
        <v/>
      </c>
      <c r="L816" s="198" t="str">
        <f>Coins!L816</f>
        <v/>
      </c>
      <c r="M816" s="198"/>
      <c r="N816" s="198"/>
      <c r="P816" s="66" t="str">
        <f t="shared" si="4"/>
        <v/>
      </c>
    </row>
    <row r="817">
      <c r="A817" s="198" t="str">
        <f>Coins!A817</f>
        <v/>
      </c>
      <c r="B817" s="199" t="str">
        <f>Coins!B817</f>
        <v/>
      </c>
      <c r="C817" s="198" t="str">
        <f>Coins!C817</f>
        <v/>
      </c>
      <c r="D817" s="198" t="str">
        <f>Coins!D817</f>
        <v/>
      </c>
      <c r="E817" s="198" t="str">
        <f>Coins!E817</f>
        <v/>
      </c>
      <c r="F817" s="198" t="str">
        <f>Coins!F817</f>
        <v/>
      </c>
      <c r="G817" s="198" t="str">
        <f>Coins!G817</f>
        <v/>
      </c>
      <c r="H817" s="201" t="str">
        <f>if(Coins!H817="N/A",0,Coins!H817)</f>
        <v/>
      </c>
      <c r="I817" s="202" t="str">
        <f>Coins!I817</f>
        <v/>
      </c>
      <c r="J817" s="198" t="str">
        <f>Coins!J817</f>
        <v/>
      </c>
      <c r="K817" s="201" t="str">
        <f>Coins!K817</f>
        <v/>
      </c>
      <c r="L817" s="198" t="str">
        <f>Coins!L817</f>
        <v/>
      </c>
      <c r="M817" s="198"/>
      <c r="N817" s="198"/>
      <c r="P817" s="66" t="str">
        <f t="shared" si="4"/>
        <v/>
      </c>
    </row>
    <row r="818">
      <c r="A818" s="198" t="str">
        <f>Coins!A818</f>
        <v/>
      </c>
      <c r="B818" s="199" t="str">
        <f>Coins!B818</f>
        <v/>
      </c>
      <c r="C818" s="198" t="str">
        <f>Coins!C818</f>
        <v/>
      </c>
      <c r="D818" s="198" t="str">
        <f>Coins!D818</f>
        <v/>
      </c>
      <c r="E818" s="198" t="str">
        <f>Coins!E818</f>
        <v/>
      </c>
      <c r="F818" s="198" t="str">
        <f>Coins!F818</f>
        <v/>
      </c>
      <c r="G818" s="198" t="str">
        <f>Coins!G818</f>
        <v/>
      </c>
      <c r="H818" s="201" t="str">
        <f>if(Coins!H818="N/A",0,Coins!H818)</f>
        <v/>
      </c>
      <c r="I818" s="202" t="str">
        <f>Coins!I818</f>
        <v/>
      </c>
      <c r="J818" s="198" t="str">
        <f>Coins!J818</f>
        <v/>
      </c>
      <c r="K818" s="201" t="str">
        <f>Coins!K818</f>
        <v/>
      </c>
      <c r="L818" s="198" t="str">
        <f>Coins!L818</f>
        <v/>
      </c>
      <c r="M818" s="198"/>
      <c r="N818" s="198"/>
      <c r="P818" s="66" t="str">
        <f t="shared" si="4"/>
        <v/>
      </c>
    </row>
    <row r="819">
      <c r="A819" s="198" t="str">
        <f>Coins!A819</f>
        <v/>
      </c>
      <c r="B819" s="199" t="str">
        <f>Coins!B819</f>
        <v/>
      </c>
      <c r="C819" s="198" t="str">
        <f>Coins!C819</f>
        <v/>
      </c>
      <c r="D819" s="198" t="str">
        <f>Coins!D819</f>
        <v/>
      </c>
      <c r="E819" s="198" t="str">
        <f>Coins!E819</f>
        <v/>
      </c>
      <c r="F819" s="198" t="str">
        <f>Coins!F819</f>
        <v/>
      </c>
      <c r="G819" s="198" t="str">
        <f>Coins!G819</f>
        <v/>
      </c>
      <c r="H819" s="201" t="str">
        <f>if(Coins!H819="N/A",0,Coins!H819)</f>
        <v/>
      </c>
      <c r="I819" s="202" t="str">
        <f>Coins!I819</f>
        <v/>
      </c>
      <c r="J819" s="198" t="str">
        <f>Coins!J819</f>
        <v/>
      </c>
      <c r="K819" s="201" t="str">
        <f>Coins!K819</f>
        <v/>
      </c>
      <c r="L819" s="198" t="str">
        <f>Coins!L819</f>
        <v/>
      </c>
      <c r="M819" s="198"/>
      <c r="N819" s="198"/>
      <c r="P819" s="66" t="str">
        <f t="shared" si="4"/>
        <v/>
      </c>
    </row>
    <row r="820">
      <c r="A820" s="198" t="str">
        <f>Coins!A820</f>
        <v/>
      </c>
      <c r="B820" s="199" t="str">
        <f>Coins!B820</f>
        <v/>
      </c>
      <c r="C820" s="198" t="str">
        <f>Coins!C820</f>
        <v/>
      </c>
      <c r="D820" s="198" t="str">
        <f>Coins!D820</f>
        <v/>
      </c>
      <c r="E820" s="198" t="str">
        <f>Coins!E820</f>
        <v/>
      </c>
      <c r="F820" s="198" t="str">
        <f>Coins!F820</f>
        <v/>
      </c>
      <c r="G820" s="198" t="str">
        <f>Coins!G820</f>
        <v/>
      </c>
      <c r="H820" s="201" t="str">
        <f>if(Coins!H820="N/A",0,Coins!H820)</f>
        <v/>
      </c>
      <c r="I820" s="202" t="str">
        <f>Coins!I820</f>
        <v/>
      </c>
      <c r="J820" s="198" t="str">
        <f>Coins!J820</f>
        <v/>
      </c>
      <c r="K820" s="201" t="str">
        <f>Coins!K820</f>
        <v/>
      </c>
      <c r="L820" s="198" t="str">
        <f>Coins!L820</f>
        <v/>
      </c>
      <c r="M820" s="198"/>
      <c r="N820" s="198"/>
      <c r="P820" s="66" t="str">
        <f t="shared" si="4"/>
        <v/>
      </c>
    </row>
    <row r="821">
      <c r="A821" s="198" t="str">
        <f>Coins!A821</f>
        <v/>
      </c>
      <c r="B821" s="199" t="str">
        <f>Coins!B821</f>
        <v/>
      </c>
      <c r="C821" s="198" t="str">
        <f>Coins!C821</f>
        <v/>
      </c>
      <c r="D821" s="198" t="str">
        <f>Coins!D821</f>
        <v/>
      </c>
      <c r="E821" s="198" t="str">
        <f>Coins!E821</f>
        <v/>
      </c>
      <c r="F821" s="198" t="str">
        <f>Coins!F821</f>
        <v/>
      </c>
      <c r="G821" s="198" t="str">
        <f>Coins!G821</f>
        <v/>
      </c>
      <c r="H821" s="201" t="str">
        <f>if(Coins!H821="N/A",0,Coins!H821)</f>
        <v/>
      </c>
      <c r="I821" s="202" t="str">
        <f>Coins!I821</f>
        <v/>
      </c>
      <c r="J821" s="198" t="str">
        <f>Coins!J821</f>
        <v/>
      </c>
      <c r="K821" s="201" t="str">
        <f>Coins!K821</f>
        <v/>
      </c>
      <c r="L821" s="198" t="str">
        <f>Coins!L821</f>
        <v/>
      </c>
      <c r="M821" s="198"/>
      <c r="N821" s="198"/>
      <c r="P821" s="66" t="str">
        <f t="shared" si="4"/>
        <v/>
      </c>
    </row>
    <row r="822">
      <c r="A822" s="198" t="str">
        <f>Coins!A822</f>
        <v/>
      </c>
      <c r="B822" s="199" t="str">
        <f>Coins!B822</f>
        <v/>
      </c>
      <c r="C822" s="198" t="str">
        <f>Coins!C822</f>
        <v/>
      </c>
      <c r="D822" s="198" t="str">
        <f>Coins!D822</f>
        <v/>
      </c>
      <c r="E822" s="198" t="str">
        <f>Coins!E822</f>
        <v/>
      </c>
      <c r="F822" s="198" t="str">
        <f>Coins!F822</f>
        <v/>
      </c>
      <c r="G822" s="198" t="str">
        <f>Coins!G822</f>
        <v/>
      </c>
      <c r="H822" s="201" t="str">
        <f>if(Coins!H822="N/A",0,Coins!H822)</f>
        <v/>
      </c>
      <c r="I822" s="202" t="str">
        <f>Coins!I822</f>
        <v/>
      </c>
      <c r="J822" s="198" t="str">
        <f>Coins!J822</f>
        <v/>
      </c>
      <c r="K822" s="201" t="str">
        <f>Coins!K822</f>
        <v/>
      </c>
      <c r="L822" s="198" t="str">
        <f>Coins!L822</f>
        <v/>
      </c>
      <c r="M822" s="198"/>
      <c r="N822" s="198"/>
      <c r="P822" s="66" t="str">
        <f t="shared" si="4"/>
        <v/>
      </c>
    </row>
    <row r="823">
      <c r="A823" s="198" t="str">
        <f>Coins!A823</f>
        <v/>
      </c>
      <c r="B823" s="199" t="str">
        <f>Coins!B823</f>
        <v/>
      </c>
      <c r="C823" s="198" t="str">
        <f>Coins!C823</f>
        <v/>
      </c>
      <c r="D823" s="198" t="str">
        <f>Coins!D823</f>
        <v/>
      </c>
      <c r="E823" s="198" t="str">
        <f>Coins!E823</f>
        <v/>
      </c>
      <c r="F823" s="198" t="str">
        <f>Coins!F823</f>
        <v/>
      </c>
      <c r="G823" s="198" t="str">
        <f>Coins!G823</f>
        <v/>
      </c>
      <c r="H823" s="201" t="str">
        <f>if(Coins!H823="N/A",0,Coins!H823)</f>
        <v/>
      </c>
      <c r="I823" s="202" t="str">
        <f>Coins!I823</f>
        <v/>
      </c>
      <c r="J823" s="198" t="str">
        <f>Coins!J823</f>
        <v/>
      </c>
      <c r="K823" s="201" t="str">
        <f>Coins!K823</f>
        <v/>
      </c>
      <c r="L823" s="198" t="str">
        <f>Coins!L823</f>
        <v/>
      </c>
      <c r="M823" s="198"/>
      <c r="N823" s="198"/>
      <c r="P823" s="66" t="str">
        <f t="shared" si="4"/>
        <v/>
      </c>
    </row>
    <row r="824">
      <c r="A824" s="198" t="str">
        <f>Coins!A824</f>
        <v/>
      </c>
      <c r="B824" s="199" t="str">
        <f>Coins!B824</f>
        <v/>
      </c>
      <c r="C824" s="198" t="str">
        <f>Coins!C824</f>
        <v/>
      </c>
      <c r="D824" s="198" t="str">
        <f>Coins!D824</f>
        <v/>
      </c>
      <c r="E824" s="198" t="str">
        <f>Coins!E824</f>
        <v/>
      </c>
      <c r="F824" s="198" t="str">
        <f>Coins!F824</f>
        <v/>
      </c>
      <c r="G824" s="198" t="str">
        <f>Coins!G824</f>
        <v/>
      </c>
      <c r="H824" s="201" t="str">
        <f>if(Coins!H824="N/A",0,Coins!H824)</f>
        <v/>
      </c>
      <c r="I824" s="202" t="str">
        <f>Coins!I824</f>
        <v/>
      </c>
      <c r="J824" s="198" t="str">
        <f>Coins!J824</f>
        <v/>
      </c>
      <c r="K824" s="201" t="str">
        <f>Coins!K824</f>
        <v/>
      </c>
      <c r="L824" s="198" t="str">
        <f>Coins!L824</f>
        <v/>
      </c>
      <c r="M824" s="198"/>
      <c r="N824" s="198"/>
      <c r="P824" s="66" t="str">
        <f t="shared" si="4"/>
        <v/>
      </c>
    </row>
    <row r="825">
      <c r="A825" s="198" t="str">
        <f>Coins!A825</f>
        <v/>
      </c>
      <c r="B825" s="199" t="str">
        <f>Coins!B825</f>
        <v/>
      </c>
      <c r="C825" s="198" t="str">
        <f>Coins!C825</f>
        <v/>
      </c>
      <c r="D825" s="198" t="str">
        <f>Coins!D825</f>
        <v/>
      </c>
      <c r="E825" s="198" t="str">
        <f>Coins!E825</f>
        <v/>
      </c>
      <c r="F825" s="198" t="str">
        <f>Coins!F825</f>
        <v/>
      </c>
      <c r="G825" s="198" t="str">
        <f>Coins!G825</f>
        <v/>
      </c>
      <c r="H825" s="201" t="str">
        <f>if(Coins!H825="N/A",0,Coins!H825)</f>
        <v/>
      </c>
      <c r="I825" s="202" t="str">
        <f>Coins!I825</f>
        <v/>
      </c>
      <c r="J825" s="198" t="str">
        <f>Coins!J825</f>
        <v/>
      </c>
      <c r="K825" s="201" t="str">
        <f>Coins!K825</f>
        <v/>
      </c>
      <c r="L825" s="198" t="str">
        <f>Coins!L825</f>
        <v/>
      </c>
      <c r="M825" s="198"/>
      <c r="N825" s="198"/>
      <c r="P825" s="66" t="str">
        <f t="shared" si="4"/>
        <v/>
      </c>
    </row>
    <row r="826">
      <c r="A826" s="198" t="str">
        <f>Coins!A826</f>
        <v/>
      </c>
      <c r="B826" s="199" t="str">
        <f>Coins!B826</f>
        <v/>
      </c>
      <c r="C826" s="198" t="str">
        <f>Coins!C826</f>
        <v/>
      </c>
      <c r="D826" s="198" t="str">
        <f>Coins!D826</f>
        <v/>
      </c>
      <c r="E826" s="198" t="str">
        <f>Coins!E826</f>
        <v/>
      </c>
      <c r="F826" s="198" t="str">
        <f>Coins!F826</f>
        <v/>
      </c>
      <c r="G826" s="198" t="str">
        <f>Coins!G826</f>
        <v/>
      </c>
      <c r="H826" s="201" t="str">
        <f>if(Coins!H826="N/A",0,Coins!H826)</f>
        <v/>
      </c>
      <c r="I826" s="202" t="str">
        <f>Coins!I826</f>
        <v/>
      </c>
      <c r="J826" s="198" t="str">
        <f>Coins!J826</f>
        <v/>
      </c>
      <c r="K826" s="201" t="str">
        <f>Coins!K826</f>
        <v/>
      </c>
      <c r="L826" s="198" t="str">
        <f>Coins!L826</f>
        <v/>
      </c>
      <c r="M826" s="198"/>
      <c r="N826" s="198"/>
      <c r="P826" s="66" t="str">
        <f t="shared" si="4"/>
        <v/>
      </c>
    </row>
    <row r="827">
      <c r="A827" s="198" t="str">
        <f>Coins!A827</f>
        <v/>
      </c>
      <c r="B827" s="199" t="str">
        <f>Coins!B827</f>
        <v/>
      </c>
      <c r="C827" s="198" t="str">
        <f>Coins!C827</f>
        <v/>
      </c>
      <c r="D827" s="198" t="str">
        <f>Coins!D827</f>
        <v/>
      </c>
      <c r="E827" s="198" t="str">
        <f>Coins!E827</f>
        <v/>
      </c>
      <c r="F827" s="198" t="str">
        <f>Coins!F827</f>
        <v/>
      </c>
      <c r="G827" s="198" t="str">
        <f>Coins!G827</f>
        <v/>
      </c>
      <c r="H827" s="201" t="str">
        <f>if(Coins!H827="N/A",0,Coins!H827)</f>
        <v/>
      </c>
      <c r="I827" s="202" t="str">
        <f>Coins!I827</f>
        <v/>
      </c>
      <c r="J827" s="198" t="str">
        <f>Coins!J827</f>
        <v/>
      </c>
      <c r="K827" s="201" t="str">
        <f>Coins!K827</f>
        <v/>
      </c>
      <c r="L827" s="198" t="str">
        <f>Coins!L827</f>
        <v/>
      </c>
      <c r="M827" s="198"/>
      <c r="N827" s="198"/>
      <c r="P827" s="66" t="str">
        <f t="shared" si="4"/>
        <v/>
      </c>
    </row>
    <row r="828">
      <c r="A828" s="198" t="str">
        <f>Coins!A828</f>
        <v/>
      </c>
      <c r="B828" s="199" t="str">
        <f>Coins!B828</f>
        <v/>
      </c>
      <c r="C828" s="198" t="str">
        <f>Coins!C828</f>
        <v/>
      </c>
      <c r="D828" s="198" t="str">
        <f>Coins!D828</f>
        <v/>
      </c>
      <c r="E828" s="198" t="str">
        <f>Coins!E828</f>
        <v/>
      </c>
      <c r="F828" s="198" t="str">
        <f>Coins!F828</f>
        <v/>
      </c>
      <c r="G828" s="198" t="str">
        <f>Coins!G828</f>
        <v/>
      </c>
      <c r="H828" s="201" t="str">
        <f>if(Coins!H828="N/A",0,Coins!H828)</f>
        <v/>
      </c>
      <c r="I828" s="202" t="str">
        <f>Coins!I828</f>
        <v/>
      </c>
      <c r="J828" s="198" t="str">
        <f>Coins!J828</f>
        <v/>
      </c>
      <c r="K828" s="201" t="str">
        <f>Coins!K828</f>
        <v/>
      </c>
      <c r="L828" s="198" t="str">
        <f>Coins!L828</f>
        <v/>
      </c>
      <c r="M828" s="198"/>
      <c r="N828" s="198"/>
      <c r="P828" s="66" t="str">
        <f t="shared" si="4"/>
        <v/>
      </c>
    </row>
    <row r="829">
      <c r="A829" s="198" t="str">
        <f>Coins!A829</f>
        <v/>
      </c>
      <c r="B829" s="199" t="str">
        <f>Coins!B829</f>
        <v/>
      </c>
      <c r="C829" s="198" t="str">
        <f>Coins!C829</f>
        <v/>
      </c>
      <c r="D829" s="198" t="str">
        <f>Coins!D829</f>
        <v/>
      </c>
      <c r="E829" s="198" t="str">
        <f>Coins!E829</f>
        <v/>
      </c>
      <c r="F829" s="198" t="str">
        <f>Coins!F829</f>
        <v/>
      </c>
      <c r="G829" s="198" t="str">
        <f>Coins!G829</f>
        <v/>
      </c>
      <c r="H829" s="201" t="str">
        <f>if(Coins!H829="N/A",0,Coins!H829)</f>
        <v/>
      </c>
      <c r="I829" s="202" t="str">
        <f>Coins!I829</f>
        <v/>
      </c>
      <c r="J829" s="198" t="str">
        <f>Coins!J829</f>
        <v/>
      </c>
      <c r="K829" s="201" t="str">
        <f>Coins!K829</f>
        <v/>
      </c>
      <c r="L829" s="198" t="str">
        <f>Coins!L829</f>
        <v/>
      </c>
      <c r="M829" s="198"/>
      <c r="N829" s="198"/>
      <c r="P829" s="66" t="str">
        <f t="shared" si="4"/>
        <v/>
      </c>
    </row>
    <row r="830">
      <c r="A830" s="198" t="str">
        <f>Coins!A830</f>
        <v/>
      </c>
      <c r="B830" s="199" t="str">
        <f>Coins!B830</f>
        <v/>
      </c>
      <c r="C830" s="198" t="str">
        <f>Coins!C830</f>
        <v/>
      </c>
      <c r="D830" s="198" t="str">
        <f>Coins!D830</f>
        <v/>
      </c>
      <c r="E830" s="198" t="str">
        <f>Coins!E830</f>
        <v/>
      </c>
      <c r="F830" s="198" t="str">
        <f>Coins!F830</f>
        <v/>
      </c>
      <c r="G830" s="198" t="str">
        <f>Coins!G830</f>
        <v/>
      </c>
      <c r="H830" s="201" t="str">
        <f>if(Coins!H830="N/A",0,Coins!H830)</f>
        <v/>
      </c>
      <c r="I830" s="202" t="str">
        <f>Coins!I830</f>
        <v/>
      </c>
      <c r="J830" s="198" t="str">
        <f>Coins!J830</f>
        <v/>
      </c>
      <c r="K830" s="201" t="str">
        <f>Coins!K830</f>
        <v/>
      </c>
      <c r="L830" s="198" t="str">
        <f>Coins!L830</f>
        <v/>
      </c>
      <c r="M830" s="198"/>
      <c r="N830" s="198"/>
      <c r="P830" s="66" t="str">
        <f t="shared" si="4"/>
        <v/>
      </c>
    </row>
    <row r="831">
      <c r="A831" s="198" t="str">
        <f>Coins!A831</f>
        <v/>
      </c>
      <c r="B831" s="199" t="str">
        <f>Coins!B831</f>
        <v/>
      </c>
      <c r="C831" s="198" t="str">
        <f>Coins!C831</f>
        <v/>
      </c>
      <c r="D831" s="198" t="str">
        <f>Coins!D831</f>
        <v/>
      </c>
      <c r="E831" s="198" t="str">
        <f>Coins!E831</f>
        <v/>
      </c>
      <c r="F831" s="198" t="str">
        <f>Coins!F831</f>
        <v/>
      </c>
      <c r="G831" s="198" t="str">
        <f>Coins!G831</f>
        <v/>
      </c>
      <c r="H831" s="201" t="str">
        <f>if(Coins!H831="N/A",0,Coins!H831)</f>
        <v/>
      </c>
      <c r="I831" s="202" t="str">
        <f>Coins!I831</f>
        <v/>
      </c>
      <c r="J831" s="198" t="str">
        <f>Coins!J831</f>
        <v/>
      </c>
      <c r="K831" s="201" t="str">
        <f>Coins!K831</f>
        <v/>
      </c>
      <c r="L831" s="198" t="str">
        <f>Coins!L831</f>
        <v/>
      </c>
      <c r="M831" s="198"/>
      <c r="N831" s="198"/>
      <c r="P831" s="66" t="str">
        <f t="shared" si="4"/>
        <v/>
      </c>
    </row>
    <row r="832">
      <c r="A832" s="198" t="str">
        <f>Coins!A832</f>
        <v/>
      </c>
      <c r="B832" s="199" t="str">
        <f>Coins!B832</f>
        <v/>
      </c>
      <c r="C832" s="198" t="str">
        <f>Coins!C832</f>
        <v/>
      </c>
      <c r="D832" s="198" t="str">
        <f>Coins!D832</f>
        <v/>
      </c>
      <c r="E832" s="198" t="str">
        <f>Coins!E832</f>
        <v/>
      </c>
      <c r="F832" s="198" t="str">
        <f>Coins!F832</f>
        <v/>
      </c>
      <c r="G832" s="198" t="str">
        <f>Coins!G832</f>
        <v/>
      </c>
      <c r="H832" s="201" t="str">
        <f>if(Coins!H832="N/A",0,Coins!H832)</f>
        <v/>
      </c>
      <c r="I832" s="202" t="str">
        <f>Coins!I832</f>
        <v/>
      </c>
      <c r="J832" s="198" t="str">
        <f>Coins!J832</f>
        <v/>
      </c>
      <c r="K832" s="201" t="str">
        <f>Coins!K832</f>
        <v/>
      </c>
      <c r="L832" s="198" t="str">
        <f>Coins!L832</f>
        <v/>
      </c>
      <c r="M832" s="198"/>
      <c r="N832" s="198"/>
      <c r="P832" s="66" t="str">
        <f t="shared" si="4"/>
        <v/>
      </c>
    </row>
    <row r="833">
      <c r="A833" s="198" t="str">
        <f>Coins!A833</f>
        <v/>
      </c>
      <c r="B833" s="199" t="str">
        <f>Coins!B833</f>
        <v/>
      </c>
      <c r="C833" s="198" t="str">
        <f>Coins!C833</f>
        <v/>
      </c>
      <c r="D833" s="198" t="str">
        <f>Coins!D833</f>
        <v/>
      </c>
      <c r="E833" s="198" t="str">
        <f>Coins!E833</f>
        <v/>
      </c>
      <c r="F833" s="198" t="str">
        <f>Coins!F833</f>
        <v/>
      </c>
      <c r="G833" s="198" t="str">
        <f>Coins!G833</f>
        <v/>
      </c>
      <c r="H833" s="201" t="str">
        <f>if(Coins!H833="N/A",0,Coins!H833)</f>
        <v/>
      </c>
      <c r="I833" s="202" t="str">
        <f>Coins!I833</f>
        <v/>
      </c>
      <c r="J833" s="198" t="str">
        <f>Coins!J833</f>
        <v/>
      </c>
      <c r="K833" s="201" t="str">
        <f>Coins!K833</f>
        <v/>
      </c>
      <c r="L833" s="198" t="str">
        <f>Coins!L833</f>
        <v/>
      </c>
      <c r="M833" s="198"/>
      <c r="N833" s="198"/>
      <c r="P833" s="66" t="str">
        <f t="shared" si="4"/>
        <v/>
      </c>
    </row>
    <row r="834">
      <c r="A834" s="198" t="str">
        <f>Coins!A834</f>
        <v/>
      </c>
      <c r="B834" s="199" t="str">
        <f>Coins!B834</f>
        <v/>
      </c>
      <c r="C834" s="198" t="str">
        <f>Coins!C834</f>
        <v/>
      </c>
      <c r="D834" s="198" t="str">
        <f>Coins!D834</f>
        <v/>
      </c>
      <c r="E834" s="198" t="str">
        <f>Coins!E834</f>
        <v/>
      </c>
      <c r="F834" s="198" t="str">
        <f>Coins!F834</f>
        <v/>
      </c>
      <c r="G834" s="198" t="str">
        <f>Coins!G834</f>
        <v/>
      </c>
      <c r="H834" s="201" t="str">
        <f>if(Coins!H834="N/A",0,Coins!H834)</f>
        <v/>
      </c>
      <c r="I834" s="202" t="str">
        <f>Coins!I834</f>
        <v/>
      </c>
      <c r="J834" s="198" t="str">
        <f>Coins!J834</f>
        <v/>
      </c>
      <c r="K834" s="201" t="str">
        <f>Coins!K834</f>
        <v/>
      </c>
      <c r="L834" s="198" t="str">
        <f>Coins!L834</f>
        <v/>
      </c>
      <c r="M834" s="198"/>
      <c r="N834" s="198"/>
      <c r="P834" s="66" t="str">
        <f t="shared" si="4"/>
        <v/>
      </c>
    </row>
    <row r="835">
      <c r="A835" s="198" t="str">
        <f>Coins!A835</f>
        <v/>
      </c>
      <c r="B835" s="199" t="str">
        <f>Coins!B835</f>
        <v/>
      </c>
      <c r="C835" s="198" t="str">
        <f>Coins!C835</f>
        <v/>
      </c>
      <c r="D835" s="198" t="str">
        <f>Coins!D835</f>
        <v/>
      </c>
      <c r="E835" s="198" t="str">
        <f>Coins!E835</f>
        <v/>
      </c>
      <c r="F835" s="198" t="str">
        <f>Coins!F835</f>
        <v/>
      </c>
      <c r="G835" s="198" t="str">
        <f>Coins!G835</f>
        <v/>
      </c>
      <c r="H835" s="201" t="str">
        <f>if(Coins!H835="N/A",0,Coins!H835)</f>
        <v/>
      </c>
      <c r="I835" s="202" t="str">
        <f>Coins!I835</f>
        <v/>
      </c>
      <c r="J835" s="198" t="str">
        <f>Coins!J835</f>
        <v/>
      </c>
      <c r="K835" s="201" t="str">
        <f>Coins!K835</f>
        <v/>
      </c>
      <c r="L835" s="198" t="str">
        <f>Coins!L835</f>
        <v/>
      </c>
      <c r="M835" s="198"/>
      <c r="N835" s="198"/>
      <c r="P835" s="66" t="str">
        <f t="shared" si="4"/>
        <v/>
      </c>
    </row>
    <row r="836">
      <c r="A836" s="198" t="str">
        <f>Coins!A836</f>
        <v/>
      </c>
      <c r="B836" s="199" t="str">
        <f>Coins!B836</f>
        <v/>
      </c>
      <c r="C836" s="198" t="str">
        <f>Coins!C836</f>
        <v/>
      </c>
      <c r="D836" s="198" t="str">
        <f>Coins!D836</f>
        <v/>
      </c>
      <c r="E836" s="198" t="str">
        <f>Coins!E836</f>
        <v/>
      </c>
      <c r="F836" s="198" t="str">
        <f>Coins!F836</f>
        <v/>
      </c>
      <c r="G836" s="198" t="str">
        <f>Coins!G836</f>
        <v/>
      </c>
      <c r="H836" s="201" t="str">
        <f>if(Coins!H836="N/A",0,Coins!H836)</f>
        <v/>
      </c>
      <c r="I836" s="202" t="str">
        <f>Coins!I836</f>
        <v/>
      </c>
      <c r="J836" s="198" t="str">
        <f>Coins!J836</f>
        <v/>
      </c>
      <c r="K836" s="201" t="str">
        <f>Coins!K836</f>
        <v/>
      </c>
      <c r="L836" s="198" t="str">
        <f>Coins!L836</f>
        <v/>
      </c>
      <c r="M836" s="198"/>
      <c r="N836" s="198"/>
      <c r="P836" s="66" t="str">
        <f t="shared" si="4"/>
        <v/>
      </c>
    </row>
    <row r="837">
      <c r="A837" s="198" t="str">
        <f>Coins!A837</f>
        <v/>
      </c>
      <c r="B837" s="199" t="str">
        <f>Coins!B837</f>
        <v/>
      </c>
      <c r="C837" s="198" t="str">
        <f>Coins!C837</f>
        <v/>
      </c>
      <c r="D837" s="198" t="str">
        <f>Coins!D837</f>
        <v/>
      </c>
      <c r="E837" s="198" t="str">
        <f>Coins!E837</f>
        <v/>
      </c>
      <c r="F837" s="198" t="str">
        <f>Coins!F837</f>
        <v/>
      </c>
      <c r="G837" s="198" t="str">
        <f>Coins!G837</f>
        <v/>
      </c>
      <c r="H837" s="201" t="str">
        <f>if(Coins!H837="N/A",0,Coins!H837)</f>
        <v/>
      </c>
      <c r="I837" s="202" t="str">
        <f>Coins!I837</f>
        <v/>
      </c>
      <c r="J837" s="198" t="str">
        <f>Coins!J837</f>
        <v/>
      </c>
      <c r="K837" s="201" t="str">
        <f>Coins!K837</f>
        <v/>
      </c>
      <c r="L837" s="198" t="str">
        <f>Coins!L837</f>
        <v/>
      </c>
      <c r="M837" s="198"/>
      <c r="N837" s="198"/>
      <c r="P837" s="66" t="str">
        <f t="shared" si="4"/>
        <v/>
      </c>
    </row>
    <row r="838">
      <c r="A838" s="198" t="str">
        <f>Coins!A838</f>
        <v/>
      </c>
      <c r="B838" s="199" t="str">
        <f>Coins!B838</f>
        <v/>
      </c>
      <c r="C838" s="198" t="str">
        <f>Coins!C838</f>
        <v/>
      </c>
      <c r="D838" s="198" t="str">
        <f>Coins!D838</f>
        <v/>
      </c>
      <c r="E838" s="198" t="str">
        <f>Coins!E838</f>
        <v/>
      </c>
      <c r="F838" s="198" t="str">
        <f>Coins!F838</f>
        <v/>
      </c>
      <c r="G838" s="198" t="str">
        <f>Coins!G838</f>
        <v/>
      </c>
      <c r="H838" s="201" t="str">
        <f>if(Coins!H838="N/A",0,Coins!H838)</f>
        <v/>
      </c>
      <c r="I838" s="202" t="str">
        <f>Coins!I838</f>
        <v/>
      </c>
      <c r="J838" s="198" t="str">
        <f>Coins!J838</f>
        <v/>
      </c>
      <c r="K838" s="201" t="str">
        <f>Coins!K838</f>
        <v/>
      </c>
      <c r="L838" s="198" t="str">
        <f>Coins!L838</f>
        <v/>
      </c>
      <c r="M838" s="198"/>
      <c r="N838" s="198"/>
      <c r="P838" s="66" t="str">
        <f t="shared" si="4"/>
        <v/>
      </c>
    </row>
    <row r="839">
      <c r="A839" s="198" t="str">
        <f>Coins!A839</f>
        <v/>
      </c>
      <c r="B839" s="199" t="str">
        <f>Coins!B839</f>
        <v/>
      </c>
      <c r="C839" s="198" t="str">
        <f>Coins!C839</f>
        <v/>
      </c>
      <c r="D839" s="198" t="str">
        <f>Coins!D839</f>
        <v/>
      </c>
      <c r="E839" s="198" t="str">
        <f>Coins!E839</f>
        <v/>
      </c>
      <c r="F839" s="198" t="str">
        <f>Coins!F839</f>
        <v/>
      </c>
      <c r="G839" s="198" t="str">
        <f>Coins!G839</f>
        <v/>
      </c>
      <c r="H839" s="201" t="str">
        <f>if(Coins!H839="N/A",0,Coins!H839)</f>
        <v/>
      </c>
      <c r="I839" s="202" t="str">
        <f>Coins!I839</f>
        <v/>
      </c>
      <c r="J839" s="198" t="str">
        <f>Coins!J839</f>
        <v/>
      </c>
      <c r="K839" s="201" t="str">
        <f>Coins!K839</f>
        <v/>
      </c>
      <c r="L839" s="198" t="str">
        <f>Coins!L839</f>
        <v/>
      </c>
      <c r="M839" s="198"/>
      <c r="N839" s="198"/>
      <c r="P839" s="66" t="str">
        <f t="shared" si="4"/>
        <v/>
      </c>
    </row>
    <row r="840">
      <c r="A840" s="198" t="str">
        <f>Coins!A840</f>
        <v/>
      </c>
      <c r="B840" s="199" t="str">
        <f>Coins!B840</f>
        <v/>
      </c>
      <c r="C840" s="198" t="str">
        <f>Coins!C840</f>
        <v/>
      </c>
      <c r="D840" s="198" t="str">
        <f>Coins!D840</f>
        <v/>
      </c>
      <c r="E840" s="198" t="str">
        <f>Coins!E840</f>
        <v/>
      </c>
      <c r="F840" s="198" t="str">
        <f>Coins!F840</f>
        <v/>
      </c>
      <c r="G840" s="198" t="str">
        <f>Coins!G840</f>
        <v/>
      </c>
      <c r="H840" s="201" t="str">
        <f>if(Coins!H840="N/A",0,Coins!H840)</f>
        <v/>
      </c>
      <c r="I840" s="202" t="str">
        <f>Coins!I840</f>
        <v/>
      </c>
      <c r="J840" s="198" t="str">
        <f>Coins!J840</f>
        <v/>
      </c>
      <c r="K840" s="201" t="str">
        <f>Coins!K840</f>
        <v/>
      </c>
      <c r="L840" s="198" t="str">
        <f>Coins!L840</f>
        <v/>
      </c>
      <c r="M840" s="198"/>
      <c r="N840" s="198"/>
      <c r="P840" s="66" t="str">
        <f t="shared" si="4"/>
        <v/>
      </c>
    </row>
    <row r="841">
      <c r="A841" s="198" t="str">
        <f>Coins!A841</f>
        <v/>
      </c>
      <c r="B841" s="199" t="str">
        <f>Coins!B841</f>
        <v/>
      </c>
      <c r="C841" s="198" t="str">
        <f>Coins!C841</f>
        <v/>
      </c>
      <c r="D841" s="198" t="str">
        <f>Coins!D841</f>
        <v/>
      </c>
      <c r="E841" s="198" t="str">
        <f>Coins!E841</f>
        <v/>
      </c>
      <c r="F841" s="198" t="str">
        <f>Coins!F841</f>
        <v/>
      </c>
      <c r="G841" s="198" t="str">
        <f>Coins!G841</f>
        <v/>
      </c>
      <c r="H841" s="201" t="str">
        <f>if(Coins!H841="N/A",0,Coins!H841)</f>
        <v/>
      </c>
      <c r="I841" s="202" t="str">
        <f>Coins!I841</f>
        <v/>
      </c>
      <c r="J841" s="198" t="str">
        <f>Coins!J841</f>
        <v/>
      </c>
      <c r="K841" s="201" t="str">
        <f>Coins!K841</f>
        <v/>
      </c>
      <c r="L841" s="198" t="str">
        <f>Coins!L841</f>
        <v/>
      </c>
      <c r="M841" s="198"/>
      <c r="N841" s="198"/>
      <c r="P841" s="66" t="str">
        <f t="shared" si="4"/>
        <v/>
      </c>
    </row>
    <row r="842">
      <c r="A842" s="198" t="str">
        <f>Coins!A842</f>
        <v/>
      </c>
      <c r="B842" s="199" t="str">
        <f>Coins!B842</f>
        <v/>
      </c>
      <c r="C842" s="198" t="str">
        <f>Coins!C842</f>
        <v/>
      </c>
      <c r="D842" s="198" t="str">
        <f>Coins!D842</f>
        <v/>
      </c>
      <c r="E842" s="198" t="str">
        <f>Coins!E842</f>
        <v/>
      </c>
      <c r="F842" s="198" t="str">
        <f>Coins!F842</f>
        <v/>
      </c>
      <c r="G842" s="198" t="str">
        <f>Coins!G842</f>
        <v/>
      </c>
      <c r="H842" s="201" t="str">
        <f>if(Coins!H842="N/A",0,Coins!H842)</f>
        <v/>
      </c>
      <c r="I842" s="202" t="str">
        <f>Coins!I842</f>
        <v/>
      </c>
      <c r="J842" s="198" t="str">
        <f>Coins!J842</f>
        <v/>
      </c>
      <c r="K842" s="201" t="str">
        <f>Coins!K842</f>
        <v/>
      </c>
      <c r="L842" s="198" t="str">
        <f>Coins!L842</f>
        <v/>
      </c>
      <c r="M842" s="198"/>
      <c r="N842" s="198"/>
      <c r="P842" s="66" t="str">
        <f t="shared" si="4"/>
        <v/>
      </c>
    </row>
    <row r="843">
      <c r="A843" s="198" t="str">
        <f>Coins!A843</f>
        <v/>
      </c>
      <c r="B843" s="199" t="str">
        <f>Coins!B843</f>
        <v/>
      </c>
      <c r="C843" s="198" t="str">
        <f>Coins!C843</f>
        <v/>
      </c>
      <c r="D843" s="198" t="str">
        <f>Coins!D843</f>
        <v/>
      </c>
      <c r="E843" s="198" t="str">
        <f>Coins!E843</f>
        <v/>
      </c>
      <c r="F843" s="198" t="str">
        <f>Coins!F843</f>
        <v/>
      </c>
      <c r="G843" s="198" t="str">
        <f>Coins!G843</f>
        <v/>
      </c>
      <c r="H843" s="201" t="str">
        <f>if(Coins!H843="N/A",0,Coins!H843)</f>
        <v/>
      </c>
      <c r="I843" s="202" t="str">
        <f>Coins!I843</f>
        <v/>
      </c>
      <c r="J843" s="198" t="str">
        <f>Coins!J843</f>
        <v/>
      </c>
      <c r="K843" s="201" t="str">
        <f>Coins!K843</f>
        <v/>
      </c>
      <c r="L843" s="198" t="str">
        <f>Coins!L843</f>
        <v/>
      </c>
      <c r="M843" s="198"/>
      <c r="N843" s="198"/>
      <c r="P843" s="66" t="str">
        <f t="shared" si="4"/>
        <v/>
      </c>
    </row>
    <row r="844">
      <c r="A844" s="198" t="str">
        <f>Coins!A844</f>
        <v/>
      </c>
      <c r="B844" s="199" t="str">
        <f>Coins!B844</f>
        <v/>
      </c>
      <c r="C844" s="198" t="str">
        <f>Coins!C844</f>
        <v/>
      </c>
      <c r="D844" s="198" t="str">
        <f>Coins!D844</f>
        <v/>
      </c>
      <c r="E844" s="198" t="str">
        <f>Coins!E844</f>
        <v/>
      </c>
      <c r="F844" s="198" t="str">
        <f>Coins!F844</f>
        <v/>
      </c>
      <c r="G844" s="198" t="str">
        <f>Coins!G844</f>
        <v/>
      </c>
      <c r="H844" s="201" t="str">
        <f>if(Coins!H844="N/A",0,Coins!H844)</f>
        <v/>
      </c>
      <c r="I844" s="202" t="str">
        <f>Coins!I844</f>
        <v/>
      </c>
      <c r="J844" s="198" t="str">
        <f>Coins!J844</f>
        <v/>
      </c>
      <c r="K844" s="201" t="str">
        <f>Coins!K844</f>
        <v/>
      </c>
      <c r="L844" s="198" t="str">
        <f>Coins!L844</f>
        <v/>
      </c>
      <c r="M844" s="198"/>
      <c r="N844" s="198"/>
      <c r="P844" s="66" t="str">
        <f t="shared" si="4"/>
        <v/>
      </c>
    </row>
    <row r="845">
      <c r="A845" s="198" t="str">
        <f>Coins!A845</f>
        <v/>
      </c>
      <c r="B845" s="199" t="str">
        <f>Coins!B845</f>
        <v/>
      </c>
      <c r="C845" s="198" t="str">
        <f>Coins!C845</f>
        <v/>
      </c>
      <c r="D845" s="198" t="str">
        <f>Coins!D845</f>
        <v/>
      </c>
      <c r="E845" s="198" t="str">
        <f>Coins!E845</f>
        <v/>
      </c>
      <c r="F845" s="198" t="str">
        <f>Coins!F845</f>
        <v/>
      </c>
      <c r="G845" s="198" t="str">
        <f>Coins!G845</f>
        <v/>
      </c>
      <c r="H845" s="201" t="str">
        <f>if(Coins!H845="N/A",0,Coins!H845)</f>
        <v/>
      </c>
      <c r="I845" s="202" t="str">
        <f>Coins!I845</f>
        <v/>
      </c>
      <c r="J845" s="198" t="str">
        <f>Coins!J845</f>
        <v/>
      </c>
      <c r="K845" s="201" t="str">
        <f>Coins!K845</f>
        <v/>
      </c>
      <c r="L845" s="198" t="str">
        <f>Coins!L845</f>
        <v/>
      </c>
      <c r="M845" s="198"/>
      <c r="N845" s="198"/>
      <c r="P845" s="66" t="str">
        <f t="shared" si="4"/>
        <v/>
      </c>
    </row>
    <row r="846">
      <c r="A846" s="198" t="str">
        <f>Coins!A846</f>
        <v/>
      </c>
      <c r="B846" s="199" t="str">
        <f>Coins!B846</f>
        <v/>
      </c>
      <c r="C846" s="198" t="str">
        <f>Coins!C846</f>
        <v/>
      </c>
      <c r="D846" s="198" t="str">
        <f>Coins!D846</f>
        <v/>
      </c>
      <c r="E846" s="198" t="str">
        <f>Coins!E846</f>
        <v/>
      </c>
      <c r="F846" s="198" t="str">
        <f>Coins!F846</f>
        <v/>
      </c>
      <c r="G846" s="198" t="str">
        <f>Coins!G846</f>
        <v/>
      </c>
      <c r="H846" s="201" t="str">
        <f>if(Coins!H846="N/A",0,Coins!H846)</f>
        <v/>
      </c>
      <c r="I846" s="202" t="str">
        <f>Coins!I846</f>
        <v/>
      </c>
      <c r="J846" s="198" t="str">
        <f>Coins!J846</f>
        <v/>
      </c>
      <c r="K846" s="201" t="str">
        <f>Coins!K846</f>
        <v/>
      </c>
      <c r="L846" s="198" t="str">
        <f>Coins!L846</f>
        <v/>
      </c>
      <c r="M846" s="198"/>
      <c r="N846" s="198"/>
      <c r="P846" s="66" t="str">
        <f t="shared" si="4"/>
        <v/>
      </c>
    </row>
    <row r="847">
      <c r="A847" s="198" t="str">
        <f>Coins!A847</f>
        <v/>
      </c>
      <c r="B847" s="199" t="str">
        <f>Coins!B847</f>
        <v/>
      </c>
      <c r="C847" s="198" t="str">
        <f>Coins!C847</f>
        <v/>
      </c>
      <c r="D847" s="198" t="str">
        <f>Coins!D847</f>
        <v/>
      </c>
      <c r="E847" s="198" t="str">
        <f>Coins!E847</f>
        <v/>
      </c>
      <c r="F847" s="198" t="str">
        <f>Coins!F847</f>
        <v/>
      </c>
      <c r="G847" s="198" t="str">
        <f>Coins!G847</f>
        <v/>
      </c>
      <c r="H847" s="201" t="str">
        <f>if(Coins!H847="N/A",0,Coins!H847)</f>
        <v/>
      </c>
      <c r="I847" s="202" t="str">
        <f>Coins!I847</f>
        <v/>
      </c>
      <c r="J847" s="198" t="str">
        <f>Coins!J847</f>
        <v/>
      </c>
      <c r="K847" s="201" t="str">
        <f>Coins!K847</f>
        <v/>
      </c>
      <c r="L847" s="198" t="str">
        <f>Coins!L847</f>
        <v/>
      </c>
      <c r="M847" s="198"/>
      <c r="N847" s="198"/>
      <c r="P847" s="66" t="str">
        <f t="shared" si="4"/>
        <v/>
      </c>
    </row>
    <row r="848">
      <c r="A848" s="198" t="str">
        <f>Coins!A848</f>
        <v/>
      </c>
      <c r="B848" s="199" t="str">
        <f>Coins!B848</f>
        <v/>
      </c>
      <c r="C848" s="198" t="str">
        <f>Coins!C848</f>
        <v/>
      </c>
      <c r="D848" s="198" t="str">
        <f>Coins!D848</f>
        <v/>
      </c>
      <c r="E848" s="198" t="str">
        <f>Coins!E848</f>
        <v/>
      </c>
      <c r="F848" s="198" t="str">
        <f>Coins!F848</f>
        <v/>
      </c>
      <c r="G848" s="198" t="str">
        <f>Coins!G848</f>
        <v/>
      </c>
      <c r="H848" s="201" t="str">
        <f>if(Coins!H848="N/A",0,Coins!H848)</f>
        <v/>
      </c>
      <c r="I848" s="202" t="str">
        <f>Coins!I848</f>
        <v/>
      </c>
      <c r="J848" s="198" t="str">
        <f>Coins!J848</f>
        <v/>
      </c>
      <c r="K848" s="201" t="str">
        <f>Coins!K848</f>
        <v/>
      </c>
      <c r="L848" s="198" t="str">
        <f>Coins!L848</f>
        <v/>
      </c>
      <c r="M848" s="198"/>
      <c r="N848" s="198"/>
      <c r="P848" s="66" t="str">
        <f t="shared" si="4"/>
        <v/>
      </c>
    </row>
    <row r="849">
      <c r="A849" s="198" t="str">
        <f>Coins!A849</f>
        <v/>
      </c>
      <c r="B849" s="199" t="str">
        <f>Coins!B849</f>
        <v/>
      </c>
      <c r="C849" s="198" t="str">
        <f>Coins!C849</f>
        <v/>
      </c>
      <c r="D849" s="198" t="str">
        <f>Coins!D849</f>
        <v/>
      </c>
      <c r="E849" s="198" t="str">
        <f>Coins!E849</f>
        <v/>
      </c>
      <c r="F849" s="198" t="str">
        <f>Coins!F849</f>
        <v/>
      </c>
      <c r="G849" s="198" t="str">
        <f>Coins!G849</f>
        <v/>
      </c>
      <c r="H849" s="201" t="str">
        <f>if(Coins!H849="N/A",0,Coins!H849)</f>
        <v/>
      </c>
      <c r="I849" s="202" t="str">
        <f>Coins!I849</f>
        <v/>
      </c>
      <c r="J849" s="198" t="str">
        <f>Coins!J849</f>
        <v/>
      </c>
      <c r="K849" s="201" t="str">
        <f>Coins!K849</f>
        <v/>
      </c>
      <c r="L849" s="198" t="str">
        <f>Coins!L849</f>
        <v/>
      </c>
      <c r="M849" s="198"/>
      <c r="N849" s="198"/>
      <c r="P849" s="66" t="str">
        <f t="shared" si="4"/>
        <v/>
      </c>
    </row>
    <row r="850">
      <c r="A850" s="198" t="str">
        <f>Coins!A850</f>
        <v/>
      </c>
      <c r="B850" s="199" t="str">
        <f>Coins!B850</f>
        <v/>
      </c>
      <c r="C850" s="198" t="str">
        <f>Coins!C850</f>
        <v/>
      </c>
      <c r="D850" s="198" t="str">
        <f>Coins!D850</f>
        <v/>
      </c>
      <c r="E850" s="198" t="str">
        <f>Coins!E850</f>
        <v/>
      </c>
      <c r="F850" s="198" t="str">
        <f>Coins!F850</f>
        <v/>
      </c>
      <c r="G850" s="198" t="str">
        <f>Coins!G850</f>
        <v/>
      </c>
      <c r="H850" s="201" t="str">
        <f>if(Coins!H850="N/A",0,Coins!H850)</f>
        <v/>
      </c>
      <c r="I850" s="202" t="str">
        <f>Coins!I850</f>
        <v/>
      </c>
      <c r="J850" s="198" t="str">
        <f>Coins!J850</f>
        <v/>
      </c>
      <c r="K850" s="201" t="str">
        <f>Coins!K850</f>
        <v/>
      </c>
      <c r="L850" s="198" t="str">
        <f>Coins!L850</f>
        <v/>
      </c>
      <c r="M850" s="198"/>
      <c r="N850" s="198"/>
      <c r="P850" s="66" t="str">
        <f t="shared" si="4"/>
        <v/>
      </c>
    </row>
    <row r="851">
      <c r="A851" s="198" t="str">
        <f>Coins!A851</f>
        <v/>
      </c>
      <c r="B851" s="199" t="str">
        <f>Coins!B851</f>
        <v/>
      </c>
      <c r="C851" s="198" t="str">
        <f>Coins!C851</f>
        <v/>
      </c>
      <c r="D851" s="198" t="str">
        <f>Coins!D851</f>
        <v/>
      </c>
      <c r="E851" s="198" t="str">
        <f>Coins!E851</f>
        <v/>
      </c>
      <c r="F851" s="198" t="str">
        <f>Coins!F851</f>
        <v/>
      </c>
      <c r="G851" s="198" t="str">
        <f>Coins!G851</f>
        <v/>
      </c>
      <c r="H851" s="201" t="str">
        <f>if(Coins!H851="N/A",0,Coins!H851)</f>
        <v/>
      </c>
      <c r="I851" s="202" t="str">
        <f>Coins!I851</f>
        <v/>
      </c>
      <c r="J851" s="198" t="str">
        <f>Coins!J851</f>
        <v/>
      </c>
      <c r="K851" s="201" t="str">
        <f>Coins!K851</f>
        <v/>
      </c>
      <c r="L851" s="198" t="str">
        <f>Coins!L851</f>
        <v/>
      </c>
      <c r="M851" s="198"/>
      <c r="N851" s="198"/>
      <c r="P851" s="66" t="str">
        <f t="shared" si="4"/>
        <v/>
      </c>
    </row>
    <row r="852">
      <c r="A852" s="198" t="str">
        <f>Coins!A852</f>
        <v/>
      </c>
      <c r="B852" s="199" t="str">
        <f>Coins!B852</f>
        <v/>
      </c>
      <c r="C852" s="198" t="str">
        <f>Coins!C852</f>
        <v/>
      </c>
      <c r="D852" s="198" t="str">
        <f>Coins!D852</f>
        <v/>
      </c>
      <c r="E852" s="198" t="str">
        <f>Coins!E852</f>
        <v/>
      </c>
      <c r="F852" s="198" t="str">
        <f>Coins!F852</f>
        <v/>
      </c>
      <c r="G852" s="198" t="str">
        <f>Coins!G852</f>
        <v/>
      </c>
      <c r="H852" s="201" t="str">
        <f>if(Coins!H852="N/A",0,Coins!H852)</f>
        <v/>
      </c>
      <c r="I852" s="202" t="str">
        <f>Coins!I852</f>
        <v/>
      </c>
      <c r="J852" s="198" t="str">
        <f>Coins!J852</f>
        <v/>
      </c>
      <c r="K852" s="201" t="str">
        <f>Coins!K852</f>
        <v/>
      </c>
      <c r="L852" s="198" t="str">
        <f>Coins!L852</f>
        <v/>
      </c>
      <c r="M852" s="198"/>
      <c r="N852" s="198"/>
      <c r="P852" s="66" t="str">
        <f t="shared" si="4"/>
        <v/>
      </c>
    </row>
    <row r="853">
      <c r="A853" s="198" t="str">
        <f>Coins!A853</f>
        <v/>
      </c>
      <c r="B853" s="199" t="str">
        <f>Coins!B853</f>
        <v/>
      </c>
      <c r="C853" s="198" t="str">
        <f>Coins!C853</f>
        <v/>
      </c>
      <c r="D853" s="198" t="str">
        <f>Coins!D853</f>
        <v/>
      </c>
      <c r="E853" s="198" t="str">
        <f>Coins!E853</f>
        <v/>
      </c>
      <c r="F853" s="198" t="str">
        <f>Coins!F853</f>
        <v/>
      </c>
      <c r="G853" s="198" t="str">
        <f>Coins!G853</f>
        <v/>
      </c>
      <c r="H853" s="201" t="str">
        <f>if(Coins!H853="N/A",0,Coins!H853)</f>
        <v/>
      </c>
      <c r="I853" s="202" t="str">
        <f>Coins!I853</f>
        <v/>
      </c>
      <c r="J853" s="198" t="str">
        <f>Coins!J853</f>
        <v/>
      </c>
      <c r="K853" s="201" t="str">
        <f>Coins!K853</f>
        <v/>
      </c>
      <c r="L853" s="198" t="str">
        <f>Coins!L853</f>
        <v/>
      </c>
      <c r="M853" s="198"/>
      <c r="N853" s="198"/>
      <c r="P853" s="66" t="str">
        <f t="shared" si="4"/>
        <v/>
      </c>
    </row>
    <row r="854">
      <c r="A854" s="198" t="str">
        <f>Coins!A854</f>
        <v/>
      </c>
      <c r="B854" s="199" t="str">
        <f>Coins!B854</f>
        <v/>
      </c>
      <c r="C854" s="198" t="str">
        <f>Coins!C854</f>
        <v/>
      </c>
      <c r="D854" s="198" t="str">
        <f>Coins!D854</f>
        <v/>
      </c>
      <c r="E854" s="198" t="str">
        <f>Coins!E854</f>
        <v/>
      </c>
      <c r="F854" s="198" t="str">
        <f>Coins!F854</f>
        <v/>
      </c>
      <c r="G854" s="198" t="str">
        <f>Coins!G854</f>
        <v/>
      </c>
      <c r="H854" s="201" t="str">
        <f>if(Coins!H854="N/A",0,Coins!H854)</f>
        <v/>
      </c>
      <c r="I854" s="202" t="str">
        <f>Coins!I854</f>
        <v/>
      </c>
      <c r="J854" s="198" t="str">
        <f>Coins!J854</f>
        <v/>
      </c>
      <c r="K854" s="201" t="str">
        <f>Coins!K854</f>
        <v/>
      </c>
      <c r="L854" s="198" t="str">
        <f>Coins!L854</f>
        <v/>
      </c>
      <c r="M854" s="198"/>
      <c r="N854" s="198"/>
      <c r="P854" s="66" t="str">
        <f t="shared" si="4"/>
        <v/>
      </c>
    </row>
    <row r="855">
      <c r="A855" s="198" t="str">
        <f>Coins!A855</f>
        <v/>
      </c>
      <c r="B855" s="199" t="str">
        <f>Coins!B855</f>
        <v/>
      </c>
      <c r="C855" s="198" t="str">
        <f>Coins!C855</f>
        <v/>
      </c>
      <c r="D855" s="198" t="str">
        <f>Coins!D855</f>
        <v/>
      </c>
      <c r="E855" s="198" t="str">
        <f>Coins!E855</f>
        <v/>
      </c>
      <c r="F855" s="198" t="str">
        <f>Coins!F855</f>
        <v/>
      </c>
      <c r="G855" s="198" t="str">
        <f>Coins!G855</f>
        <v/>
      </c>
      <c r="H855" s="201" t="str">
        <f>if(Coins!H855="N/A",0,Coins!H855)</f>
        <v/>
      </c>
      <c r="I855" s="202" t="str">
        <f>Coins!I855</f>
        <v/>
      </c>
      <c r="J855" s="198" t="str">
        <f>Coins!J855</f>
        <v/>
      </c>
      <c r="K855" s="201" t="str">
        <f>Coins!K855</f>
        <v/>
      </c>
      <c r="L855" s="198" t="str">
        <f>Coins!L855</f>
        <v/>
      </c>
      <c r="M855" s="198"/>
      <c r="N855" s="198"/>
      <c r="P855" s="66" t="str">
        <f t="shared" si="4"/>
        <v/>
      </c>
    </row>
    <row r="856">
      <c r="A856" s="198" t="str">
        <f>Coins!A856</f>
        <v/>
      </c>
      <c r="B856" s="199" t="str">
        <f>Coins!B856</f>
        <v/>
      </c>
      <c r="C856" s="198" t="str">
        <f>Coins!C856</f>
        <v/>
      </c>
      <c r="D856" s="198" t="str">
        <f>Coins!D856</f>
        <v/>
      </c>
      <c r="E856" s="198" t="str">
        <f>Coins!E856</f>
        <v/>
      </c>
      <c r="F856" s="198" t="str">
        <f>Coins!F856</f>
        <v/>
      </c>
      <c r="G856" s="198" t="str">
        <f>Coins!G856</f>
        <v/>
      </c>
      <c r="H856" s="201" t="str">
        <f>if(Coins!H856="N/A",0,Coins!H856)</f>
        <v/>
      </c>
      <c r="I856" s="202" t="str">
        <f>Coins!I856</f>
        <v/>
      </c>
      <c r="J856" s="198" t="str">
        <f>Coins!J856</f>
        <v/>
      </c>
      <c r="K856" s="201" t="str">
        <f>Coins!K856</f>
        <v/>
      </c>
      <c r="L856" s="198" t="str">
        <f>Coins!L856</f>
        <v/>
      </c>
      <c r="M856" s="198"/>
      <c r="N856" s="198"/>
      <c r="P856" s="66" t="str">
        <f t="shared" si="4"/>
        <v/>
      </c>
    </row>
    <row r="857">
      <c r="A857" s="198" t="str">
        <f>Coins!A857</f>
        <v/>
      </c>
      <c r="B857" s="199" t="str">
        <f>Coins!B857</f>
        <v/>
      </c>
      <c r="C857" s="198" t="str">
        <f>Coins!C857</f>
        <v/>
      </c>
      <c r="D857" s="198" t="str">
        <f>Coins!D857</f>
        <v/>
      </c>
      <c r="E857" s="198" t="str">
        <f>Coins!E857</f>
        <v/>
      </c>
      <c r="F857" s="198" t="str">
        <f>Coins!F857</f>
        <v/>
      </c>
      <c r="G857" s="198" t="str">
        <f>Coins!G857</f>
        <v/>
      </c>
      <c r="H857" s="201" t="str">
        <f>if(Coins!H857="N/A",0,Coins!H857)</f>
        <v/>
      </c>
      <c r="I857" s="202" t="str">
        <f>Coins!I857</f>
        <v/>
      </c>
      <c r="J857" s="198" t="str">
        <f>Coins!J857</f>
        <v/>
      </c>
      <c r="K857" s="201" t="str">
        <f>Coins!K857</f>
        <v/>
      </c>
      <c r="L857" s="198" t="str">
        <f>Coins!L857</f>
        <v/>
      </c>
      <c r="M857" s="198"/>
      <c r="N857" s="198"/>
      <c r="P857" s="66" t="str">
        <f t="shared" si="4"/>
        <v/>
      </c>
    </row>
    <row r="858">
      <c r="A858" s="198" t="str">
        <f>Coins!A858</f>
        <v/>
      </c>
      <c r="B858" s="199" t="str">
        <f>Coins!B858</f>
        <v/>
      </c>
      <c r="C858" s="198" t="str">
        <f>Coins!C858</f>
        <v/>
      </c>
      <c r="D858" s="198" t="str">
        <f>Coins!D858</f>
        <v/>
      </c>
      <c r="E858" s="198" t="str">
        <f>Coins!E858</f>
        <v/>
      </c>
      <c r="F858" s="198" t="str">
        <f>Coins!F858</f>
        <v/>
      </c>
      <c r="G858" s="198" t="str">
        <f>Coins!G858</f>
        <v/>
      </c>
      <c r="H858" s="201" t="str">
        <f>if(Coins!H858="N/A",0,Coins!H858)</f>
        <v/>
      </c>
      <c r="I858" s="202" t="str">
        <f>Coins!I858</f>
        <v/>
      </c>
      <c r="J858" s="198" t="str">
        <f>Coins!J858</f>
        <v/>
      </c>
      <c r="K858" s="201" t="str">
        <f>Coins!K858</f>
        <v/>
      </c>
      <c r="L858" s="198" t="str">
        <f>Coins!L858</f>
        <v/>
      </c>
      <c r="M858" s="198"/>
      <c r="N858" s="198"/>
      <c r="P858" s="66" t="str">
        <f t="shared" si="4"/>
        <v/>
      </c>
    </row>
    <row r="859">
      <c r="A859" s="198" t="str">
        <f>Coins!A859</f>
        <v/>
      </c>
      <c r="B859" s="199" t="str">
        <f>Coins!B859</f>
        <v/>
      </c>
      <c r="C859" s="198" t="str">
        <f>Coins!C859</f>
        <v/>
      </c>
      <c r="D859" s="198" t="str">
        <f>Coins!D859</f>
        <v/>
      </c>
      <c r="E859" s="198" t="str">
        <f>Coins!E859</f>
        <v/>
      </c>
      <c r="F859" s="198" t="str">
        <f>Coins!F859</f>
        <v/>
      </c>
      <c r="G859" s="198" t="str">
        <f>Coins!G859</f>
        <v/>
      </c>
      <c r="H859" s="201" t="str">
        <f>if(Coins!H859="N/A",0,Coins!H859)</f>
        <v/>
      </c>
      <c r="I859" s="202" t="str">
        <f>Coins!I859</f>
        <v/>
      </c>
      <c r="J859" s="198" t="str">
        <f>Coins!J859</f>
        <v/>
      </c>
      <c r="K859" s="201" t="str">
        <f>Coins!K859</f>
        <v/>
      </c>
      <c r="L859" s="198" t="str">
        <f>Coins!L859</f>
        <v/>
      </c>
      <c r="M859" s="198"/>
      <c r="N859" s="198"/>
      <c r="P859" s="66" t="str">
        <f t="shared" si="4"/>
        <v/>
      </c>
    </row>
    <row r="860">
      <c r="A860" s="198" t="str">
        <f>Coins!A860</f>
        <v/>
      </c>
      <c r="B860" s="199" t="str">
        <f>Coins!B860</f>
        <v/>
      </c>
      <c r="C860" s="198" t="str">
        <f>Coins!C860</f>
        <v/>
      </c>
      <c r="D860" s="198" t="str">
        <f>Coins!D860</f>
        <v/>
      </c>
      <c r="E860" s="198" t="str">
        <f>Coins!E860</f>
        <v/>
      </c>
      <c r="F860" s="198" t="str">
        <f>Coins!F860</f>
        <v/>
      </c>
      <c r="G860" s="198" t="str">
        <f>Coins!G860</f>
        <v/>
      </c>
      <c r="H860" s="201" t="str">
        <f>if(Coins!H860="N/A",0,Coins!H860)</f>
        <v/>
      </c>
      <c r="I860" s="202" t="str">
        <f>Coins!I860</f>
        <v/>
      </c>
      <c r="J860" s="198" t="str">
        <f>Coins!J860</f>
        <v/>
      </c>
      <c r="K860" s="201" t="str">
        <f>Coins!K860</f>
        <v/>
      </c>
      <c r="L860" s="198" t="str">
        <f>Coins!L860</f>
        <v/>
      </c>
      <c r="M860" s="198"/>
      <c r="N860" s="198"/>
      <c r="P860" s="66" t="str">
        <f t="shared" si="4"/>
        <v/>
      </c>
    </row>
    <row r="861">
      <c r="A861" s="198" t="str">
        <f>Coins!A861</f>
        <v/>
      </c>
      <c r="B861" s="199" t="str">
        <f>Coins!B861</f>
        <v/>
      </c>
      <c r="C861" s="198" t="str">
        <f>Coins!C861</f>
        <v/>
      </c>
      <c r="D861" s="198" t="str">
        <f>Coins!D861</f>
        <v/>
      </c>
      <c r="E861" s="198" t="str">
        <f>Coins!E861</f>
        <v/>
      </c>
      <c r="F861" s="198" t="str">
        <f>Coins!F861</f>
        <v/>
      </c>
      <c r="G861" s="198" t="str">
        <f>Coins!G861</f>
        <v/>
      </c>
      <c r="H861" s="201" t="str">
        <f>if(Coins!H861="N/A",0,Coins!H861)</f>
        <v/>
      </c>
      <c r="I861" s="202" t="str">
        <f>Coins!I861</f>
        <v/>
      </c>
      <c r="J861" s="198" t="str">
        <f>Coins!J861</f>
        <v/>
      </c>
      <c r="K861" s="201" t="str">
        <f>Coins!K861</f>
        <v/>
      </c>
      <c r="L861" s="198" t="str">
        <f>Coins!L861</f>
        <v/>
      </c>
      <c r="M861" s="198"/>
      <c r="N861" s="198"/>
      <c r="P861" s="66" t="str">
        <f t="shared" si="4"/>
        <v/>
      </c>
    </row>
    <row r="862">
      <c r="A862" s="198" t="str">
        <f>Coins!A862</f>
        <v/>
      </c>
      <c r="B862" s="199" t="str">
        <f>Coins!B862</f>
        <v/>
      </c>
      <c r="C862" s="198" t="str">
        <f>Coins!C862</f>
        <v/>
      </c>
      <c r="D862" s="198" t="str">
        <f>Coins!D862</f>
        <v/>
      </c>
      <c r="E862" s="198" t="str">
        <f>Coins!E862</f>
        <v/>
      </c>
      <c r="F862" s="198" t="str">
        <f>Coins!F862</f>
        <v/>
      </c>
      <c r="G862" s="198" t="str">
        <f>Coins!G862</f>
        <v/>
      </c>
      <c r="H862" s="201" t="str">
        <f>if(Coins!H862="N/A",0,Coins!H862)</f>
        <v/>
      </c>
      <c r="I862" s="202" t="str">
        <f>Coins!I862</f>
        <v/>
      </c>
      <c r="J862" s="198" t="str">
        <f>Coins!J862</f>
        <v/>
      </c>
      <c r="K862" s="201" t="str">
        <f>Coins!K862</f>
        <v/>
      </c>
      <c r="L862" s="198" t="str">
        <f>Coins!L862</f>
        <v/>
      </c>
      <c r="M862" s="198"/>
      <c r="N862" s="198"/>
      <c r="P862" s="66" t="str">
        <f t="shared" si="4"/>
        <v/>
      </c>
    </row>
    <row r="863">
      <c r="A863" s="198" t="str">
        <f>Coins!A863</f>
        <v/>
      </c>
      <c r="B863" s="199" t="str">
        <f>Coins!B863</f>
        <v/>
      </c>
      <c r="C863" s="198" t="str">
        <f>Coins!C863</f>
        <v/>
      </c>
      <c r="D863" s="198" t="str">
        <f>Coins!D863</f>
        <v/>
      </c>
      <c r="E863" s="198" t="str">
        <f>Coins!E863</f>
        <v/>
      </c>
      <c r="F863" s="198" t="str">
        <f>Coins!F863</f>
        <v/>
      </c>
      <c r="G863" s="198" t="str">
        <f>Coins!G863</f>
        <v/>
      </c>
      <c r="H863" s="201" t="str">
        <f>if(Coins!H863="N/A",0,Coins!H863)</f>
        <v/>
      </c>
      <c r="I863" s="202" t="str">
        <f>Coins!I863</f>
        <v/>
      </c>
      <c r="J863" s="198" t="str">
        <f>Coins!J863</f>
        <v/>
      </c>
      <c r="K863" s="201" t="str">
        <f>Coins!K863</f>
        <v/>
      </c>
      <c r="L863" s="198" t="str">
        <f>Coins!L863</f>
        <v/>
      </c>
      <c r="M863" s="198"/>
      <c r="N863" s="198"/>
      <c r="P863" s="66" t="str">
        <f t="shared" si="4"/>
        <v/>
      </c>
    </row>
    <row r="864">
      <c r="A864" s="198" t="str">
        <f>Coins!A864</f>
        <v/>
      </c>
      <c r="B864" s="199" t="str">
        <f>Coins!B864</f>
        <v/>
      </c>
      <c r="C864" s="198" t="str">
        <f>Coins!C864</f>
        <v/>
      </c>
      <c r="D864" s="198" t="str">
        <f>Coins!D864</f>
        <v/>
      </c>
      <c r="E864" s="198" t="str">
        <f>Coins!E864</f>
        <v/>
      </c>
      <c r="F864" s="198" t="str">
        <f>Coins!F864</f>
        <v/>
      </c>
      <c r="G864" s="198" t="str">
        <f>Coins!G864</f>
        <v/>
      </c>
      <c r="H864" s="201" t="str">
        <f>if(Coins!H864="N/A",0,Coins!H864)</f>
        <v/>
      </c>
      <c r="I864" s="202" t="str">
        <f>Coins!I864</f>
        <v/>
      </c>
      <c r="J864" s="198" t="str">
        <f>Coins!J864</f>
        <v/>
      </c>
      <c r="K864" s="201" t="str">
        <f>Coins!K864</f>
        <v/>
      </c>
      <c r="L864" s="198" t="str">
        <f>Coins!L864</f>
        <v/>
      </c>
      <c r="M864" s="198"/>
      <c r="N864" s="198"/>
      <c r="P864" s="66" t="str">
        <f t="shared" si="4"/>
        <v/>
      </c>
    </row>
    <row r="865">
      <c r="A865" s="198" t="str">
        <f>Coins!A865</f>
        <v/>
      </c>
      <c r="B865" s="199" t="str">
        <f>Coins!B865</f>
        <v/>
      </c>
      <c r="C865" s="198" t="str">
        <f>Coins!C865</f>
        <v/>
      </c>
      <c r="D865" s="198" t="str">
        <f>Coins!D865</f>
        <v/>
      </c>
      <c r="E865" s="198" t="str">
        <f>Coins!E865</f>
        <v/>
      </c>
      <c r="F865" s="198" t="str">
        <f>Coins!F865</f>
        <v/>
      </c>
      <c r="G865" s="198" t="str">
        <f>Coins!G865</f>
        <v/>
      </c>
      <c r="H865" s="201" t="str">
        <f>if(Coins!H865="N/A",0,Coins!H865)</f>
        <v/>
      </c>
      <c r="I865" s="202" t="str">
        <f>Coins!I865</f>
        <v/>
      </c>
      <c r="J865" s="198" t="str">
        <f>Coins!J865</f>
        <v/>
      </c>
      <c r="K865" s="201" t="str">
        <f>Coins!K865</f>
        <v/>
      </c>
      <c r="L865" s="198" t="str">
        <f>Coins!L865</f>
        <v/>
      </c>
      <c r="M865" s="198"/>
      <c r="N865" s="198"/>
      <c r="P865" s="66" t="str">
        <f t="shared" si="4"/>
        <v/>
      </c>
    </row>
    <row r="866">
      <c r="A866" s="198" t="str">
        <f>Coins!A866</f>
        <v/>
      </c>
      <c r="B866" s="199" t="str">
        <f>Coins!B866</f>
        <v/>
      </c>
      <c r="C866" s="198" t="str">
        <f>Coins!C866</f>
        <v/>
      </c>
      <c r="D866" s="198" t="str">
        <f>Coins!D866</f>
        <v/>
      </c>
      <c r="E866" s="198" t="str">
        <f>Coins!E866</f>
        <v/>
      </c>
      <c r="F866" s="198" t="str">
        <f>Coins!F866</f>
        <v/>
      </c>
      <c r="G866" s="198" t="str">
        <f>Coins!G866</f>
        <v/>
      </c>
      <c r="H866" s="201" t="str">
        <f>if(Coins!H866="N/A",0,Coins!H866)</f>
        <v/>
      </c>
      <c r="I866" s="202" t="str">
        <f>Coins!I866</f>
        <v/>
      </c>
      <c r="J866" s="198" t="str">
        <f>Coins!J866</f>
        <v/>
      </c>
      <c r="K866" s="201" t="str">
        <f>Coins!K866</f>
        <v/>
      </c>
      <c r="L866" s="198" t="str">
        <f>Coins!L866</f>
        <v/>
      </c>
      <c r="M866" s="198"/>
      <c r="N866" s="198"/>
      <c r="P866" s="66" t="str">
        <f t="shared" si="4"/>
        <v/>
      </c>
    </row>
    <row r="867">
      <c r="A867" s="198" t="str">
        <f>Coins!A867</f>
        <v/>
      </c>
      <c r="B867" s="199" t="str">
        <f>Coins!B867</f>
        <v/>
      </c>
      <c r="C867" s="198" t="str">
        <f>Coins!C867</f>
        <v/>
      </c>
      <c r="D867" s="198" t="str">
        <f>Coins!D867</f>
        <v/>
      </c>
      <c r="E867" s="198" t="str">
        <f>Coins!E867</f>
        <v/>
      </c>
      <c r="F867" s="198" t="str">
        <f>Coins!F867</f>
        <v/>
      </c>
      <c r="G867" s="198" t="str">
        <f>Coins!G867</f>
        <v/>
      </c>
      <c r="H867" s="201" t="str">
        <f>if(Coins!H867="N/A",0,Coins!H867)</f>
        <v/>
      </c>
      <c r="I867" s="202" t="str">
        <f>Coins!I867</f>
        <v/>
      </c>
      <c r="J867" s="198" t="str">
        <f>Coins!J867</f>
        <v/>
      </c>
      <c r="K867" s="201" t="str">
        <f>Coins!K867</f>
        <v/>
      </c>
      <c r="L867" s="198" t="str">
        <f>Coins!L867</f>
        <v/>
      </c>
      <c r="M867" s="198"/>
      <c r="N867" s="198"/>
      <c r="P867" s="66" t="str">
        <f t="shared" si="4"/>
        <v/>
      </c>
    </row>
    <row r="868">
      <c r="A868" s="198" t="str">
        <f>Coins!A868</f>
        <v/>
      </c>
      <c r="B868" s="199" t="str">
        <f>Coins!B868</f>
        <v/>
      </c>
      <c r="C868" s="198" t="str">
        <f>Coins!C868</f>
        <v/>
      </c>
      <c r="D868" s="198" t="str">
        <f>Coins!D868</f>
        <v/>
      </c>
      <c r="E868" s="198" t="str">
        <f>Coins!E868</f>
        <v/>
      </c>
      <c r="F868" s="198" t="str">
        <f>Coins!F868</f>
        <v/>
      </c>
      <c r="G868" s="198" t="str">
        <f>Coins!G868</f>
        <v/>
      </c>
      <c r="H868" s="201" t="str">
        <f>if(Coins!H868="N/A",0,Coins!H868)</f>
        <v/>
      </c>
      <c r="I868" s="202" t="str">
        <f>Coins!I868</f>
        <v/>
      </c>
      <c r="J868" s="198" t="str">
        <f>Coins!J868</f>
        <v/>
      </c>
      <c r="K868" s="201" t="str">
        <f>Coins!K868</f>
        <v/>
      </c>
      <c r="L868" s="198" t="str">
        <f>Coins!L868</f>
        <v/>
      </c>
      <c r="M868" s="198"/>
      <c r="N868" s="198"/>
      <c r="P868" s="66" t="str">
        <f t="shared" si="4"/>
        <v/>
      </c>
    </row>
    <row r="869">
      <c r="A869" s="198" t="str">
        <f>Coins!A869</f>
        <v/>
      </c>
      <c r="B869" s="199" t="str">
        <f>Coins!B869</f>
        <v/>
      </c>
      <c r="C869" s="198" t="str">
        <f>Coins!C869</f>
        <v/>
      </c>
      <c r="D869" s="198" t="str">
        <f>Coins!D869</f>
        <v/>
      </c>
      <c r="E869" s="198" t="str">
        <f>Coins!E869</f>
        <v/>
      </c>
      <c r="F869" s="198" t="str">
        <f>Coins!F869</f>
        <v/>
      </c>
      <c r="G869" s="198" t="str">
        <f>Coins!G869</f>
        <v/>
      </c>
      <c r="H869" s="201" t="str">
        <f>if(Coins!H869="N/A",0,Coins!H869)</f>
        <v/>
      </c>
      <c r="I869" s="202" t="str">
        <f>Coins!I869</f>
        <v/>
      </c>
      <c r="J869" s="198" t="str">
        <f>Coins!J869</f>
        <v/>
      </c>
      <c r="K869" s="201" t="str">
        <f>Coins!K869</f>
        <v/>
      </c>
      <c r="L869" s="198" t="str">
        <f>Coins!L869</f>
        <v/>
      </c>
      <c r="M869" s="198"/>
      <c r="N869" s="198"/>
      <c r="P869" s="66" t="str">
        <f t="shared" si="4"/>
        <v/>
      </c>
    </row>
    <row r="870">
      <c r="A870" s="198" t="str">
        <f>Coins!A870</f>
        <v/>
      </c>
      <c r="B870" s="199" t="str">
        <f>Coins!B870</f>
        <v/>
      </c>
      <c r="C870" s="198" t="str">
        <f>Coins!C870</f>
        <v/>
      </c>
      <c r="D870" s="198" t="str">
        <f>Coins!D870</f>
        <v/>
      </c>
      <c r="E870" s="198" t="str">
        <f>Coins!E870</f>
        <v/>
      </c>
      <c r="F870" s="198" t="str">
        <f>Coins!F870</f>
        <v/>
      </c>
      <c r="G870" s="198" t="str">
        <f>Coins!G870</f>
        <v/>
      </c>
      <c r="H870" s="201" t="str">
        <f>if(Coins!H870="N/A",0,Coins!H870)</f>
        <v/>
      </c>
      <c r="I870" s="202" t="str">
        <f>Coins!I870</f>
        <v/>
      </c>
      <c r="J870" s="198" t="str">
        <f>Coins!J870</f>
        <v/>
      </c>
      <c r="K870" s="201" t="str">
        <f>Coins!K870</f>
        <v/>
      </c>
      <c r="L870" s="198" t="str">
        <f>Coins!L870</f>
        <v/>
      </c>
      <c r="M870" s="198"/>
      <c r="N870" s="198"/>
      <c r="P870" s="66" t="str">
        <f t="shared" si="4"/>
        <v/>
      </c>
    </row>
    <row r="871">
      <c r="A871" s="198" t="str">
        <f>Coins!A871</f>
        <v/>
      </c>
      <c r="B871" s="199" t="str">
        <f>Coins!B871</f>
        <v/>
      </c>
      <c r="C871" s="198" t="str">
        <f>Coins!C871</f>
        <v/>
      </c>
      <c r="D871" s="198" t="str">
        <f>Coins!D871</f>
        <v/>
      </c>
      <c r="E871" s="198" t="str">
        <f>Coins!E871</f>
        <v/>
      </c>
      <c r="F871" s="198" t="str">
        <f>Coins!F871</f>
        <v/>
      </c>
      <c r="G871" s="198" t="str">
        <f>Coins!G871</f>
        <v/>
      </c>
      <c r="H871" s="201" t="str">
        <f>if(Coins!H871="N/A",0,Coins!H871)</f>
        <v/>
      </c>
      <c r="I871" s="202" t="str">
        <f>Coins!I871</f>
        <v/>
      </c>
      <c r="J871" s="198" t="str">
        <f>Coins!J871</f>
        <v/>
      </c>
      <c r="K871" s="201" t="str">
        <f>Coins!K871</f>
        <v/>
      </c>
      <c r="L871" s="198" t="str">
        <f>Coins!L871</f>
        <v/>
      </c>
      <c r="M871" s="198"/>
      <c r="N871" s="198"/>
      <c r="P871" s="66" t="str">
        <f t="shared" si="4"/>
        <v/>
      </c>
    </row>
    <row r="872">
      <c r="A872" s="198" t="str">
        <f>Coins!A872</f>
        <v/>
      </c>
      <c r="B872" s="199" t="str">
        <f>Coins!B872</f>
        <v/>
      </c>
      <c r="C872" s="198" t="str">
        <f>Coins!C872</f>
        <v/>
      </c>
      <c r="D872" s="198" t="str">
        <f>Coins!D872</f>
        <v/>
      </c>
      <c r="E872" s="198" t="str">
        <f>Coins!E872</f>
        <v/>
      </c>
      <c r="F872" s="198" t="str">
        <f>Coins!F872</f>
        <v/>
      </c>
      <c r="G872" s="198" t="str">
        <f>Coins!G872</f>
        <v/>
      </c>
      <c r="H872" s="201" t="str">
        <f>if(Coins!H872="N/A",0,Coins!H872)</f>
        <v/>
      </c>
      <c r="I872" s="202" t="str">
        <f>Coins!I872</f>
        <v/>
      </c>
      <c r="J872" s="198" t="str">
        <f>Coins!J872</f>
        <v/>
      </c>
      <c r="K872" s="201" t="str">
        <f>Coins!K872</f>
        <v/>
      </c>
      <c r="L872" s="198" t="str">
        <f>Coins!L872</f>
        <v/>
      </c>
      <c r="M872" s="198"/>
      <c r="N872" s="198"/>
      <c r="P872" s="66" t="str">
        <f t="shared" si="4"/>
        <v/>
      </c>
    </row>
    <row r="873">
      <c r="A873" s="198" t="str">
        <f>Coins!A873</f>
        <v/>
      </c>
      <c r="B873" s="199" t="str">
        <f>Coins!B873</f>
        <v/>
      </c>
      <c r="C873" s="198" t="str">
        <f>Coins!C873</f>
        <v/>
      </c>
      <c r="D873" s="198" t="str">
        <f>Coins!D873</f>
        <v/>
      </c>
      <c r="E873" s="198" t="str">
        <f>Coins!E873</f>
        <v/>
      </c>
      <c r="F873" s="198" t="str">
        <f>Coins!F873</f>
        <v/>
      </c>
      <c r="G873" s="198" t="str">
        <f>Coins!G873</f>
        <v/>
      </c>
      <c r="H873" s="201" t="str">
        <f>if(Coins!H873="N/A",0,Coins!H873)</f>
        <v/>
      </c>
      <c r="I873" s="202" t="str">
        <f>Coins!I873</f>
        <v/>
      </c>
      <c r="J873" s="198" t="str">
        <f>Coins!J873</f>
        <v/>
      </c>
      <c r="K873" s="201" t="str">
        <f>Coins!K873</f>
        <v/>
      </c>
      <c r="L873" s="198" t="str">
        <f>Coins!L873</f>
        <v/>
      </c>
      <c r="M873" s="198"/>
      <c r="N873" s="198"/>
      <c r="P873" s="66" t="str">
        <f t="shared" si="4"/>
        <v/>
      </c>
    </row>
    <row r="874">
      <c r="A874" s="198" t="str">
        <f>Coins!A874</f>
        <v/>
      </c>
      <c r="B874" s="199" t="str">
        <f>Coins!B874</f>
        <v/>
      </c>
      <c r="C874" s="198" t="str">
        <f>Coins!C874</f>
        <v/>
      </c>
      <c r="D874" s="198" t="str">
        <f>Coins!D874</f>
        <v/>
      </c>
      <c r="E874" s="198" t="str">
        <f>Coins!E874</f>
        <v/>
      </c>
      <c r="F874" s="198" t="str">
        <f>Coins!F874</f>
        <v/>
      </c>
      <c r="G874" s="198" t="str">
        <f>Coins!G874</f>
        <v/>
      </c>
      <c r="H874" s="201" t="str">
        <f>if(Coins!H874="N/A",0,Coins!H874)</f>
        <v/>
      </c>
      <c r="I874" s="202" t="str">
        <f>Coins!I874</f>
        <v/>
      </c>
      <c r="J874" s="198" t="str">
        <f>Coins!J874</f>
        <v/>
      </c>
      <c r="K874" s="201" t="str">
        <f>Coins!K874</f>
        <v/>
      </c>
      <c r="L874" s="198" t="str">
        <f>Coins!L874</f>
        <v/>
      </c>
      <c r="M874" s="198"/>
      <c r="N874" s="198"/>
      <c r="P874" s="66" t="str">
        <f t="shared" si="4"/>
        <v/>
      </c>
    </row>
    <row r="875">
      <c r="A875" s="198" t="str">
        <f>Coins!A875</f>
        <v/>
      </c>
      <c r="B875" s="199" t="str">
        <f>Coins!B875</f>
        <v/>
      </c>
      <c r="C875" s="198" t="str">
        <f>Coins!C875</f>
        <v/>
      </c>
      <c r="D875" s="198" t="str">
        <f>Coins!D875</f>
        <v/>
      </c>
      <c r="E875" s="198" t="str">
        <f>Coins!E875</f>
        <v/>
      </c>
      <c r="F875" s="198" t="str">
        <f>Coins!F875</f>
        <v/>
      </c>
      <c r="G875" s="198" t="str">
        <f>Coins!G875</f>
        <v/>
      </c>
      <c r="H875" s="201" t="str">
        <f>if(Coins!H875="N/A",0,Coins!H875)</f>
        <v/>
      </c>
      <c r="I875" s="202" t="str">
        <f>Coins!I875</f>
        <v/>
      </c>
      <c r="J875" s="198" t="str">
        <f>Coins!J875</f>
        <v/>
      </c>
      <c r="K875" s="201" t="str">
        <f>Coins!K875</f>
        <v/>
      </c>
      <c r="L875" s="198" t="str">
        <f>Coins!L875</f>
        <v/>
      </c>
      <c r="M875" s="198"/>
      <c r="N875" s="198"/>
      <c r="P875" s="66" t="str">
        <f t="shared" si="4"/>
        <v/>
      </c>
    </row>
    <row r="876">
      <c r="A876" s="198" t="str">
        <f>Coins!A876</f>
        <v/>
      </c>
      <c r="B876" s="199" t="str">
        <f>Coins!B876</f>
        <v/>
      </c>
      <c r="C876" s="198" t="str">
        <f>Coins!C876</f>
        <v/>
      </c>
      <c r="D876" s="198" t="str">
        <f>Coins!D876</f>
        <v/>
      </c>
      <c r="E876" s="198" t="str">
        <f>Coins!E876</f>
        <v/>
      </c>
      <c r="F876" s="198" t="str">
        <f>Coins!F876</f>
        <v/>
      </c>
      <c r="G876" s="198" t="str">
        <f>Coins!G876</f>
        <v/>
      </c>
      <c r="H876" s="201" t="str">
        <f>if(Coins!H876="N/A",0,Coins!H876)</f>
        <v/>
      </c>
      <c r="I876" s="202" t="str">
        <f>Coins!I876</f>
        <v/>
      </c>
      <c r="J876" s="198" t="str">
        <f>Coins!J876</f>
        <v/>
      </c>
      <c r="K876" s="201" t="str">
        <f>Coins!K876</f>
        <v/>
      </c>
      <c r="L876" s="198" t="str">
        <f>Coins!L876</f>
        <v/>
      </c>
      <c r="M876" s="198"/>
      <c r="N876" s="198"/>
      <c r="P876" s="66" t="str">
        <f t="shared" si="4"/>
        <v/>
      </c>
    </row>
    <row r="877">
      <c r="A877" s="198" t="str">
        <f>Coins!A877</f>
        <v/>
      </c>
      <c r="B877" s="199" t="str">
        <f>Coins!B877</f>
        <v/>
      </c>
      <c r="C877" s="198" t="str">
        <f>Coins!C877</f>
        <v/>
      </c>
      <c r="D877" s="198" t="str">
        <f>Coins!D877</f>
        <v/>
      </c>
      <c r="E877" s="198" t="str">
        <f>Coins!E877</f>
        <v/>
      </c>
      <c r="F877" s="198" t="str">
        <f>Coins!F877</f>
        <v/>
      </c>
      <c r="G877" s="198" t="str">
        <f>Coins!G877</f>
        <v/>
      </c>
      <c r="H877" s="201" t="str">
        <f>if(Coins!H877="N/A",0,Coins!H877)</f>
        <v/>
      </c>
      <c r="I877" s="202" t="str">
        <f>Coins!I877</f>
        <v/>
      </c>
      <c r="J877" s="198" t="str">
        <f>Coins!J877</f>
        <v/>
      </c>
      <c r="K877" s="201" t="str">
        <f>Coins!K877</f>
        <v/>
      </c>
      <c r="L877" s="198" t="str">
        <f>Coins!L877</f>
        <v/>
      </c>
      <c r="M877" s="198"/>
      <c r="N877" s="198"/>
      <c r="P877" s="66" t="str">
        <f t="shared" si="4"/>
        <v/>
      </c>
    </row>
    <row r="878">
      <c r="A878" s="198" t="str">
        <f>Coins!A878</f>
        <v/>
      </c>
      <c r="B878" s="199" t="str">
        <f>Coins!B878</f>
        <v/>
      </c>
      <c r="C878" s="198" t="str">
        <f>Coins!C878</f>
        <v/>
      </c>
      <c r="D878" s="198" t="str">
        <f>Coins!D878</f>
        <v/>
      </c>
      <c r="E878" s="198" t="str">
        <f>Coins!E878</f>
        <v/>
      </c>
      <c r="F878" s="198" t="str">
        <f>Coins!F878</f>
        <v/>
      </c>
      <c r="G878" s="198" t="str">
        <f>Coins!G878</f>
        <v/>
      </c>
      <c r="H878" s="201" t="str">
        <f>if(Coins!H878="N/A",0,Coins!H878)</f>
        <v/>
      </c>
      <c r="I878" s="202" t="str">
        <f>Coins!I878</f>
        <v/>
      </c>
      <c r="J878" s="198" t="str">
        <f>Coins!J878</f>
        <v/>
      </c>
      <c r="K878" s="201" t="str">
        <f>Coins!K878</f>
        <v/>
      </c>
      <c r="L878" s="198" t="str">
        <f>Coins!L878</f>
        <v/>
      </c>
      <c r="M878" s="198"/>
      <c r="N878" s="198"/>
      <c r="P878" s="66" t="str">
        <f t="shared" si="4"/>
        <v/>
      </c>
    </row>
    <row r="879">
      <c r="A879" s="198" t="str">
        <f>Coins!A879</f>
        <v/>
      </c>
      <c r="B879" s="199" t="str">
        <f>Coins!B879</f>
        <v/>
      </c>
      <c r="C879" s="198" t="str">
        <f>Coins!C879</f>
        <v/>
      </c>
      <c r="D879" s="198" t="str">
        <f>Coins!D879</f>
        <v/>
      </c>
      <c r="E879" s="198" t="str">
        <f>Coins!E879</f>
        <v/>
      </c>
      <c r="F879" s="198" t="str">
        <f>Coins!F879</f>
        <v/>
      </c>
      <c r="G879" s="198" t="str">
        <f>Coins!G879</f>
        <v/>
      </c>
      <c r="H879" s="201" t="str">
        <f>if(Coins!H879="N/A",0,Coins!H879)</f>
        <v/>
      </c>
      <c r="I879" s="202" t="str">
        <f>Coins!I879</f>
        <v/>
      </c>
      <c r="J879" s="198" t="str">
        <f>Coins!J879</f>
        <v/>
      </c>
      <c r="K879" s="201" t="str">
        <f>Coins!K879</f>
        <v/>
      </c>
      <c r="L879" s="198" t="str">
        <f>Coins!L879</f>
        <v/>
      </c>
      <c r="M879" s="198"/>
      <c r="N879" s="198"/>
      <c r="P879" s="66" t="str">
        <f t="shared" si="4"/>
        <v/>
      </c>
    </row>
    <row r="880">
      <c r="A880" s="198" t="str">
        <f>Coins!A880</f>
        <v/>
      </c>
      <c r="B880" s="199" t="str">
        <f>Coins!B880</f>
        <v/>
      </c>
      <c r="C880" s="198" t="str">
        <f>Coins!C880</f>
        <v/>
      </c>
      <c r="D880" s="198" t="str">
        <f>Coins!D880</f>
        <v/>
      </c>
      <c r="E880" s="198" t="str">
        <f>Coins!E880</f>
        <v/>
      </c>
      <c r="F880" s="198" t="str">
        <f>Coins!F880</f>
        <v/>
      </c>
      <c r="G880" s="198" t="str">
        <f>Coins!G880</f>
        <v/>
      </c>
      <c r="H880" s="201" t="str">
        <f>if(Coins!H880="N/A",0,Coins!H880)</f>
        <v/>
      </c>
      <c r="I880" s="202" t="str">
        <f>Coins!I880</f>
        <v/>
      </c>
      <c r="J880" s="198" t="str">
        <f>Coins!J880</f>
        <v/>
      </c>
      <c r="K880" s="201" t="str">
        <f>Coins!K880</f>
        <v/>
      </c>
      <c r="L880" s="198" t="str">
        <f>Coins!L880</f>
        <v/>
      </c>
      <c r="M880" s="198"/>
      <c r="N880" s="198"/>
      <c r="P880" s="66" t="str">
        <f t="shared" si="4"/>
        <v/>
      </c>
    </row>
    <row r="881">
      <c r="A881" s="198" t="str">
        <f>Coins!A881</f>
        <v/>
      </c>
      <c r="B881" s="199" t="str">
        <f>Coins!B881</f>
        <v/>
      </c>
      <c r="C881" s="198" t="str">
        <f>Coins!C881</f>
        <v/>
      </c>
      <c r="D881" s="198" t="str">
        <f>Coins!D881</f>
        <v/>
      </c>
      <c r="E881" s="198" t="str">
        <f>Coins!E881</f>
        <v/>
      </c>
      <c r="F881" s="198" t="str">
        <f>Coins!F881</f>
        <v/>
      </c>
      <c r="G881" s="198" t="str">
        <f>Coins!G881</f>
        <v/>
      </c>
      <c r="H881" s="201" t="str">
        <f>if(Coins!H881="N/A",0,Coins!H881)</f>
        <v/>
      </c>
      <c r="I881" s="202" t="str">
        <f>Coins!I881</f>
        <v/>
      </c>
      <c r="J881" s="198" t="str">
        <f>Coins!J881</f>
        <v/>
      </c>
      <c r="K881" s="201" t="str">
        <f>Coins!K881</f>
        <v/>
      </c>
      <c r="L881" s="198" t="str">
        <f>Coins!L881</f>
        <v/>
      </c>
      <c r="M881" s="198"/>
      <c r="N881" s="198"/>
      <c r="P881" s="66" t="str">
        <f t="shared" si="4"/>
        <v/>
      </c>
    </row>
    <row r="882">
      <c r="A882" s="198" t="str">
        <f>Coins!A882</f>
        <v/>
      </c>
      <c r="B882" s="199" t="str">
        <f>Coins!B882</f>
        <v/>
      </c>
      <c r="C882" s="198" t="str">
        <f>Coins!C882</f>
        <v/>
      </c>
      <c r="D882" s="198" t="str">
        <f>Coins!D882</f>
        <v/>
      </c>
      <c r="E882" s="198" t="str">
        <f>Coins!E882</f>
        <v/>
      </c>
      <c r="F882" s="198" t="str">
        <f>Coins!F882</f>
        <v/>
      </c>
      <c r="G882" s="198" t="str">
        <f>Coins!G882</f>
        <v/>
      </c>
      <c r="H882" s="201" t="str">
        <f>if(Coins!H882="N/A",0,Coins!H882)</f>
        <v/>
      </c>
      <c r="I882" s="202" t="str">
        <f>Coins!I882</f>
        <v/>
      </c>
      <c r="J882" s="198" t="str">
        <f>Coins!J882</f>
        <v/>
      </c>
      <c r="K882" s="201" t="str">
        <f>Coins!K882</f>
        <v/>
      </c>
      <c r="L882" s="198" t="str">
        <f>Coins!L882</f>
        <v/>
      </c>
      <c r="M882" s="198"/>
      <c r="N882" s="198"/>
      <c r="P882" s="66" t="str">
        <f t="shared" si="4"/>
        <v/>
      </c>
    </row>
    <row r="883">
      <c r="A883" s="198" t="str">
        <f>Coins!A883</f>
        <v/>
      </c>
      <c r="B883" s="199" t="str">
        <f>Coins!B883</f>
        <v/>
      </c>
      <c r="C883" s="198" t="str">
        <f>Coins!C883</f>
        <v/>
      </c>
      <c r="D883" s="198" t="str">
        <f>Coins!D883</f>
        <v/>
      </c>
      <c r="E883" s="198" t="str">
        <f>Coins!E883</f>
        <v/>
      </c>
      <c r="F883" s="198" t="str">
        <f>Coins!F883</f>
        <v/>
      </c>
      <c r="G883" s="198" t="str">
        <f>Coins!G883</f>
        <v/>
      </c>
      <c r="H883" s="201" t="str">
        <f>if(Coins!H883="N/A",0,Coins!H883)</f>
        <v/>
      </c>
      <c r="I883" s="202" t="str">
        <f>Coins!I883</f>
        <v/>
      </c>
      <c r="J883" s="198" t="str">
        <f>Coins!J883</f>
        <v/>
      </c>
      <c r="K883" s="201" t="str">
        <f>Coins!K883</f>
        <v/>
      </c>
      <c r="L883" s="198" t="str">
        <f>Coins!L883</f>
        <v/>
      </c>
      <c r="M883" s="198"/>
      <c r="N883" s="198"/>
      <c r="P883" s="66" t="str">
        <f t="shared" si="4"/>
        <v/>
      </c>
    </row>
    <row r="884">
      <c r="A884" s="198" t="str">
        <f>Coins!A884</f>
        <v/>
      </c>
      <c r="B884" s="199" t="str">
        <f>Coins!B884</f>
        <v/>
      </c>
      <c r="C884" s="198" t="str">
        <f>Coins!C884</f>
        <v/>
      </c>
      <c r="D884" s="198" t="str">
        <f>Coins!D884</f>
        <v/>
      </c>
      <c r="E884" s="198" t="str">
        <f>Coins!E884</f>
        <v/>
      </c>
      <c r="F884" s="198" t="str">
        <f>Coins!F884</f>
        <v/>
      </c>
      <c r="G884" s="198" t="str">
        <f>Coins!G884</f>
        <v/>
      </c>
      <c r="H884" s="201" t="str">
        <f>if(Coins!H884="N/A",0,Coins!H884)</f>
        <v/>
      </c>
      <c r="I884" s="202" t="str">
        <f>Coins!I884</f>
        <v/>
      </c>
      <c r="J884" s="198" t="str">
        <f>Coins!J884</f>
        <v/>
      </c>
      <c r="K884" s="201" t="str">
        <f>Coins!K884</f>
        <v/>
      </c>
      <c r="L884" s="198" t="str">
        <f>Coins!L884</f>
        <v/>
      </c>
      <c r="M884" s="198"/>
      <c r="N884" s="198"/>
      <c r="P884" s="66" t="str">
        <f t="shared" si="4"/>
        <v/>
      </c>
    </row>
    <row r="885">
      <c r="A885" s="198" t="str">
        <f>Coins!A885</f>
        <v/>
      </c>
      <c r="B885" s="199" t="str">
        <f>Coins!B885</f>
        <v/>
      </c>
      <c r="C885" s="198" t="str">
        <f>Coins!C885</f>
        <v/>
      </c>
      <c r="D885" s="198" t="str">
        <f>Coins!D885</f>
        <v/>
      </c>
      <c r="E885" s="198" t="str">
        <f>Coins!E885</f>
        <v/>
      </c>
      <c r="F885" s="198" t="str">
        <f>Coins!F885</f>
        <v/>
      </c>
      <c r="G885" s="198" t="str">
        <f>Coins!G885</f>
        <v/>
      </c>
      <c r="H885" s="201" t="str">
        <f>if(Coins!H885="N/A",0,Coins!H885)</f>
        <v/>
      </c>
      <c r="I885" s="202" t="str">
        <f>Coins!I885</f>
        <v/>
      </c>
      <c r="J885" s="198" t="str">
        <f>Coins!J885</f>
        <v/>
      </c>
      <c r="K885" s="201" t="str">
        <f>Coins!K885</f>
        <v/>
      </c>
      <c r="L885" s="198" t="str">
        <f>Coins!L885</f>
        <v/>
      </c>
      <c r="M885" s="198"/>
      <c r="N885" s="198"/>
      <c r="P885" s="66" t="str">
        <f t="shared" si="4"/>
        <v/>
      </c>
    </row>
    <row r="886">
      <c r="A886" s="198" t="str">
        <f>Coins!A886</f>
        <v/>
      </c>
      <c r="B886" s="199" t="str">
        <f>Coins!B886</f>
        <v/>
      </c>
      <c r="C886" s="198" t="str">
        <f>Coins!C886</f>
        <v/>
      </c>
      <c r="D886" s="198" t="str">
        <f>Coins!D886</f>
        <v/>
      </c>
      <c r="E886" s="198" t="str">
        <f>Coins!E886</f>
        <v/>
      </c>
      <c r="F886" s="198" t="str">
        <f>Coins!F886</f>
        <v/>
      </c>
      <c r="G886" s="198" t="str">
        <f>Coins!G886</f>
        <v/>
      </c>
      <c r="H886" s="201" t="str">
        <f>if(Coins!H886="N/A",0,Coins!H886)</f>
        <v/>
      </c>
      <c r="I886" s="202" t="str">
        <f>Coins!I886</f>
        <v/>
      </c>
      <c r="J886" s="198" t="str">
        <f>Coins!J886</f>
        <v/>
      </c>
      <c r="K886" s="201" t="str">
        <f>Coins!K886</f>
        <v/>
      </c>
      <c r="L886" s="198" t="str">
        <f>Coins!L886</f>
        <v/>
      </c>
      <c r="M886" s="198"/>
      <c r="N886" s="198"/>
      <c r="P886" s="66" t="str">
        <f t="shared" si="4"/>
        <v/>
      </c>
    </row>
    <row r="887">
      <c r="A887" s="198" t="str">
        <f>Coins!A887</f>
        <v/>
      </c>
      <c r="B887" s="199" t="str">
        <f>Coins!B887</f>
        <v/>
      </c>
      <c r="C887" s="198" t="str">
        <f>Coins!C887</f>
        <v/>
      </c>
      <c r="D887" s="198" t="str">
        <f>Coins!D887</f>
        <v/>
      </c>
      <c r="E887" s="198" t="str">
        <f>Coins!E887</f>
        <v/>
      </c>
      <c r="F887" s="198" t="str">
        <f>Coins!F887</f>
        <v/>
      </c>
      <c r="G887" s="198" t="str">
        <f>Coins!G887</f>
        <v/>
      </c>
      <c r="H887" s="201" t="str">
        <f>if(Coins!H887="N/A",0,Coins!H887)</f>
        <v/>
      </c>
      <c r="I887" s="202" t="str">
        <f>Coins!I887</f>
        <v/>
      </c>
      <c r="J887" s="198" t="str">
        <f>Coins!J887</f>
        <v/>
      </c>
      <c r="K887" s="201" t="str">
        <f>Coins!K887</f>
        <v/>
      </c>
      <c r="L887" s="198" t="str">
        <f>Coins!L887</f>
        <v/>
      </c>
      <c r="M887" s="198"/>
      <c r="N887" s="198"/>
      <c r="P887" s="66" t="str">
        <f t="shared" si="4"/>
        <v/>
      </c>
    </row>
    <row r="888">
      <c r="A888" s="198" t="str">
        <f>Coins!A888</f>
        <v/>
      </c>
      <c r="B888" s="199" t="str">
        <f>Coins!B888</f>
        <v/>
      </c>
      <c r="C888" s="198" t="str">
        <f>Coins!C888</f>
        <v/>
      </c>
      <c r="D888" s="198" t="str">
        <f>Coins!D888</f>
        <v/>
      </c>
      <c r="E888" s="198" t="str">
        <f>Coins!E888</f>
        <v/>
      </c>
      <c r="F888" s="198" t="str">
        <f>Coins!F888</f>
        <v/>
      </c>
      <c r="G888" s="198" t="str">
        <f>Coins!G888</f>
        <v/>
      </c>
      <c r="H888" s="201" t="str">
        <f>if(Coins!H888="N/A",0,Coins!H888)</f>
        <v/>
      </c>
      <c r="I888" s="202" t="str">
        <f>Coins!I888</f>
        <v/>
      </c>
      <c r="J888" s="198" t="str">
        <f>Coins!J888</f>
        <v/>
      </c>
      <c r="K888" s="201" t="str">
        <f>Coins!K888</f>
        <v/>
      </c>
      <c r="L888" s="198" t="str">
        <f>Coins!L888</f>
        <v/>
      </c>
      <c r="M888" s="198"/>
      <c r="N888" s="198"/>
      <c r="P888" s="66" t="str">
        <f t="shared" si="4"/>
        <v/>
      </c>
    </row>
    <row r="889">
      <c r="A889" s="198" t="str">
        <f>Coins!A889</f>
        <v/>
      </c>
      <c r="B889" s="199" t="str">
        <f>Coins!B889</f>
        <v/>
      </c>
      <c r="C889" s="198" t="str">
        <f>Coins!C889</f>
        <v/>
      </c>
      <c r="D889" s="198" t="str">
        <f>Coins!D889</f>
        <v/>
      </c>
      <c r="E889" s="198" t="str">
        <f>Coins!E889</f>
        <v/>
      </c>
      <c r="F889" s="198" t="str">
        <f>Coins!F889</f>
        <v/>
      </c>
      <c r="G889" s="198" t="str">
        <f>Coins!G889</f>
        <v/>
      </c>
      <c r="H889" s="201" t="str">
        <f>if(Coins!H889="N/A",0,Coins!H889)</f>
        <v/>
      </c>
      <c r="I889" s="202" t="str">
        <f>Coins!I889</f>
        <v/>
      </c>
      <c r="J889" s="198" t="str">
        <f>Coins!J889</f>
        <v/>
      </c>
      <c r="K889" s="201" t="str">
        <f>Coins!K889</f>
        <v/>
      </c>
      <c r="L889" s="198" t="str">
        <f>Coins!L889</f>
        <v/>
      </c>
      <c r="M889" s="198"/>
      <c r="N889" s="198"/>
      <c r="P889" s="66" t="str">
        <f t="shared" si="4"/>
        <v/>
      </c>
    </row>
    <row r="890">
      <c r="A890" s="198" t="str">
        <f>Coins!A890</f>
        <v/>
      </c>
      <c r="B890" s="199" t="str">
        <f>Coins!B890</f>
        <v/>
      </c>
      <c r="C890" s="198" t="str">
        <f>Coins!C890</f>
        <v/>
      </c>
      <c r="D890" s="198" t="str">
        <f>Coins!D890</f>
        <v/>
      </c>
      <c r="E890" s="198" t="str">
        <f>Coins!E890</f>
        <v/>
      </c>
      <c r="F890" s="198" t="str">
        <f>Coins!F890</f>
        <v/>
      </c>
      <c r="G890" s="198" t="str">
        <f>Coins!G890</f>
        <v/>
      </c>
      <c r="H890" s="201" t="str">
        <f>if(Coins!H890="N/A",0,Coins!H890)</f>
        <v/>
      </c>
      <c r="I890" s="202" t="str">
        <f>Coins!I890</f>
        <v/>
      </c>
      <c r="J890" s="198" t="str">
        <f>Coins!J890</f>
        <v/>
      </c>
      <c r="K890" s="201" t="str">
        <f>Coins!K890</f>
        <v/>
      </c>
      <c r="L890" s="198" t="str">
        <f>Coins!L890</f>
        <v/>
      </c>
      <c r="M890" s="198"/>
      <c r="N890" s="198"/>
      <c r="P890" s="66" t="str">
        <f t="shared" si="4"/>
        <v/>
      </c>
    </row>
    <row r="891">
      <c r="A891" s="198" t="str">
        <f>Coins!A891</f>
        <v/>
      </c>
      <c r="B891" s="199" t="str">
        <f>Coins!B891</f>
        <v/>
      </c>
      <c r="C891" s="198" t="str">
        <f>Coins!C891</f>
        <v/>
      </c>
      <c r="D891" s="198" t="str">
        <f>Coins!D891</f>
        <v/>
      </c>
      <c r="E891" s="198" t="str">
        <f>Coins!E891</f>
        <v/>
      </c>
      <c r="F891" s="198" t="str">
        <f>Coins!F891</f>
        <v/>
      </c>
      <c r="G891" s="198" t="str">
        <f>Coins!G891</f>
        <v/>
      </c>
      <c r="H891" s="201" t="str">
        <f>if(Coins!H891="N/A",0,Coins!H891)</f>
        <v/>
      </c>
      <c r="I891" s="202" t="str">
        <f>Coins!I891</f>
        <v/>
      </c>
      <c r="J891" s="198" t="str">
        <f>Coins!J891</f>
        <v/>
      </c>
      <c r="K891" s="201" t="str">
        <f>Coins!K891</f>
        <v/>
      </c>
      <c r="L891" s="198" t="str">
        <f>Coins!L891</f>
        <v/>
      </c>
      <c r="M891" s="198"/>
      <c r="N891" s="198"/>
      <c r="P891" s="66" t="str">
        <f t="shared" si="4"/>
        <v/>
      </c>
    </row>
    <row r="892">
      <c r="A892" s="198" t="str">
        <f>Coins!A892</f>
        <v/>
      </c>
      <c r="B892" s="199" t="str">
        <f>Coins!B892</f>
        <v/>
      </c>
      <c r="C892" s="198" t="str">
        <f>Coins!C892</f>
        <v/>
      </c>
      <c r="D892" s="198" t="str">
        <f>Coins!D892</f>
        <v/>
      </c>
      <c r="E892" s="198" t="str">
        <f>Coins!E892</f>
        <v/>
      </c>
      <c r="F892" s="198" t="str">
        <f>Coins!F892</f>
        <v/>
      </c>
      <c r="G892" s="198" t="str">
        <f>Coins!G892</f>
        <v/>
      </c>
      <c r="H892" s="201" t="str">
        <f>if(Coins!H892="N/A",0,Coins!H892)</f>
        <v/>
      </c>
      <c r="I892" s="202" t="str">
        <f>Coins!I892</f>
        <v/>
      </c>
      <c r="J892" s="198" t="str">
        <f>Coins!J892</f>
        <v/>
      </c>
      <c r="K892" s="201" t="str">
        <f>Coins!K892</f>
        <v/>
      </c>
      <c r="L892" s="198" t="str">
        <f>Coins!L892</f>
        <v/>
      </c>
      <c r="M892" s="198"/>
      <c r="N892" s="198"/>
      <c r="P892" s="66" t="str">
        <f t="shared" si="4"/>
        <v/>
      </c>
    </row>
    <row r="893">
      <c r="A893" s="198" t="str">
        <f>Coins!A893</f>
        <v/>
      </c>
      <c r="B893" s="199" t="str">
        <f>Coins!B893</f>
        <v/>
      </c>
      <c r="C893" s="198" t="str">
        <f>Coins!C893</f>
        <v/>
      </c>
      <c r="D893" s="198" t="str">
        <f>Coins!D893</f>
        <v/>
      </c>
      <c r="E893" s="198" t="str">
        <f>Coins!E893</f>
        <v/>
      </c>
      <c r="F893" s="198" t="str">
        <f>Coins!F893</f>
        <v/>
      </c>
      <c r="G893" s="198" t="str">
        <f>Coins!G893</f>
        <v/>
      </c>
      <c r="H893" s="201" t="str">
        <f>if(Coins!H893="N/A",0,Coins!H893)</f>
        <v/>
      </c>
      <c r="I893" s="202" t="str">
        <f>Coins!I893</f>
        <v/>
      </c>
      <c r="J893" s="198" t="str">
        <f>Coins!J893</f>
        <v/>
      </c>
      <c r="K893" s="201" t="str">
        <f>Coins!K893</f>
        <v/>
      </c>
      <c r="L893" s="198" t="str">
        <f>Coins!L893</f>
        <v/>
      </c>
      <c r="M893" s="198"/>
      <c r="N893" s="198"/>
      <c r="P893" s="66" t="str">
        <f t="shared" si="4"/>
        <v/>
      </c>
    </row>
    <row r="894">
      <c r="A894" s="198" t="str">
        <f>Coins!A894</f>
        <v/>
      </c>
      <c r="B894" s="199" t="str">
        <f>Coins!B894</f>
        <v/>
      </c>
      <c r="C894" s="198" t="str">
        <f>Coins!C894</f>
        <v/>
      </c>
      <c r="D894" s="198" t="str">
        <f>Coins!D894</f>
        <v/>
      </c>
      <c r="E894" s="198" t="str">
        <f>Coins!E894</f>
        <v/>
      </c>
      <c r="F894" s="198" t="str">
        <f>Coins!F894</f>
        <v/>
      </c>
      <c r="G894" s="198" t="str">
        <f>Coins!G894</f>
        <v/>
      </c>
      <c r="H894" s="201" t="str">
        <f>if(Coins!H894="N/A",0,Coins!H894)</f>
        <v/>
      </c>
      <c r="I894" s="202" t="str">
        <f>Coins!I894</f>
        <v/>
      </c>
      <c r="J894" s="198" t="str">
        <f>Coins!J894</f>
        <v/>
      </c>
      <c r="K894" s="201" t="str">
        <f>Coins!K894</f>
        <v/>
      </c>
      <c r="L894" s="198" t="str">
        <f>Coins!L894</f>
        <v/>
      </c>
      <c r="M894" s="198"/>
      <c r="N894" s="198"/>
      <c r="P894" s="66" t="str">
        <f t="shared" si="4"/>
        <v/>
      </c>
    </row>
    <row r="895">
      <c r="A895" s="198" t="str">
        <f>Coins!A895</f>
        <v/>
      </c>
      <c r="B895" s="199" t="str">
        <f>Coins!B895</f>
        <v/>
      </c>
      <c r="C895" s="198" t="str">
        <f>Coins!C895</f>
        <v/>
      </c>
      <c r="D895" s="198" t="str">
        <f>Coins!D895</f>
        <v/>
      </c>
      <c r="E895" s="198" t="str">
        <f>Coins!E895</f>
        <v/>
      </c>
      <c r="F895" s="198" t="str">
        <f>Coins!F895</f>
        <v/>
      </c>
      <c r="G895" s="198" t="str">
        <f>Coins!G895</f>
        <v/>
      </c>
      <c r="H895" s="201" t="str">
        <f>if(Coins!H895="N/A",0,Coins!H895)</f>
        <v/>
      </c>
      <c r="I895" s="202" t="str">
        <f>Coins!I895</f>
        <v/>
      </c>
      <c r="J895" s="198" t="str">
        <f>Coins!J895</f>
        <v/>
      </c>
      <c r="K895" s="201" t="str">
        <f>Coins!K895</f>
        <v/>
      </c>
      <c r="L895" s="198" t="str">
        <f>Coins!L895</f>
        <v/>
      </c>
      <c r="M895" s="198"/>
      <c r="N895" s="198"/>
      <c r="P895" s="66" t="str">
        <f t="shared" si="4"/>
        <v/>
      </c>
    </row>
    <row r="896">
      <c r="A896" s="198" t="str">
        <f>Coins!A896</f>
        <v/>
      </c>
      <c r="B896" s="199" t="str">
        <f>Coins!B896</f>
        <v/>
      </c>
      <c r="C896" s="198" t="str">
        <f>Coins!C896</f>
        <v/>
      </c>
      <c r="D896" s="198" t="str">
        <f>Coins!D896</f>
        <v/>
      </c>
      <c r="E896" s="198" t="str">
        <f>Coins!E896</f>
        <v/>
      </c>
      <c r="F896" s="198" t="str">
        <f>Coins!F896</f>
        <v/>
      </c>
      <c r="G896" s="198" t="str">
        <f>Coins!G896</f>
        <v/>
      </c>
      <c r="H896" s="201" t="str">
        <f>if(Coins!H896="N/A",0,Coins!H896)</f>
        <v/>
      </c>
      <c r="I896" s="202" t="str">
        <f>Coins!I896</f>
        <v/>
      </c>
      <c r="J896" s="198" t="str">
        <f>Coins!J896</f>
        <v/>
      </c>
      <c r="K896" s="201" t="str">
        <f>Coins!K896</f>
        <v/>
      </c>
      <c r="L896" s="198" t="str">
        <f>Coins!L896</f>
        <v/>
      </c>
      <c r="M896" s="198"/>
      <c r="N896" s="198"/>
      <c r="P896" s="66" t="str">
        <f t="shared" si="4"/>
        <v/>
      </c>
    </row>
    <row r="897">
      <c r="A897" s="198" t="str">
        <f>Coins!A897</f>
        <v/>
      </c>
      <c r="B897" s="199" t="str">
        <f>Coins!B897</f>
        <v/>
      </c>
      <c r="C897" s="198" t="str">
        <f>Coins!C897</f>
        <v/>
      </c>
      <c r="D897" s="198" t="str">
        <f>Coins!D897</f>
        <v/>
      </c>
      <c r="E897" s="198" t="str">
        <f>Coins!E897</f>
        <v/>
      </c>
      <c r="F897" s="198" t="str">
        <f>Coins!F897</f>
        <v/>
      </c>
      <c r="G897" s="198" t="str">
        <f>Coins!G897</f>
        <v/>
      </c>
      <c r="H897" s="201" t="str">
        <f>if(Coins!H897="N/A",0,Coins!H897)</f>
        <v/>
      </c>
      <c r="I897" s="202" t="str">
        <f>Coins!I897</f>
        <v/>
      </c>
      <c r="J897" s="198" t="str">
        <f>Coins!J897</f>
        <v/>
      </c>
      <c r="K897" s="201" t="str">
        <f>Coins!K897</f>
        <v/>
      </c>
      <c r="L897" s="198" t="str">
        <f>Coins!L897</f>
        <v/>
      </c>
      <c r="M897" s="198"/>
      <c r="N897" s="198"/>
      <c r="P897" s="66" t="str">
        <f t="shared" si="4"/>
        <v/>
      </c>
    </row>
    <row r="898">
      <c r="A898" s="198" t="str">
        <f>Coins!A898</f>
        <v/>
      </c>
      <c r="B898" s="199" t="str">
        <f>Coins!B898</f>
        <v/>
      </c>
      <c r="C898" s="198" t="str">
        <f>Coins!C898</f>
        <v/>
      </c>
      <c r="D898" s="198" t="str">
        <f>Coins!D898</f>
        <v/>
      </c>
      <c r="E898" s="198" t="str">
        <f>Coins!E898</f>
        <v/>
      </c>
      <c r="F898" s="198" t="str">
        <f>Coins!F898</f>
        <v/>
      </c>
      <c r="G898" s="198" t="str">
        <f>Coins!G898</f>
        <v/>
      </c>
      <c r="H898" s="201" t="str">
        <f>if(Coins!H898="N/A",0,Coins!H898)</f>
        <v/>
      </c>
      <c r="I898" s="202" t="str">
        <f>Coins!I898</f>
        <v/>
      </c>
      <c r="J898" s="198" t="str">
        <f>Coins!J898</f>
        <v/>
      </c>
      <c r="K898" s="201" t="str">
        <f>Coins!K898</f>
        <v/>
      </c>
      <c r="L898" s="198" t="str">
        <f>Coins!L898</f>
        <v/>
      </c>
      <c r="M898" s="198"/>
      <c r="N898" s="198"/>
      <c r="P898" s="66" t="str">
        <f t="shared" si="4"/>
        <v/>
      </c>
    </row>
    <row r="899">
      <c r="A899" s="198" t="str">
        <f>Coins!A899</f>
        <v/>
      </c>
      <c r="B899" s="199" t="str">
        <f>Coins!B899</f>
        <v/>
      </c>
      <c r="C899" s="198" t="str">
        <f>Coins!C899</f>
        <v/>
      </c>
      <c r="D899" s="198" t="str">
        <f>Coins!D899</f>
        <v/>
      </c>
      <c r="E899" s="198" t="str">
        <f>Coins!E899</f>
        <v/>
      </c>
      <c r="F899" s="198" t="str">
        <f>Coins!F899</f>
        <v/>
      </c>
      <c r="G899" s="198" t="str">
        <f>Coins!G899</f>
        <v/>
      </c>
      <c r="H899" s="201" t="str">
        <f>if(Coins!H899="N/A",0,Coins!H899)</f>
        <v/>
      </c>
      <c r="I899" s="202" t="str">
        <f>Coins!I899</f>
        <v/>
      </c>
      <c r="J899" s="198" t="str">
        <f>Coins!J899</f>
        <v/>
      </c>
      <c r="K899" s="201" t="str">
        <f>Coins!K899</f>
        <v/>
      </c>
      <c r="L899" s="198" t="str">
        <f>Coins!L899</f>
        <v/>
      </c>
      <c r="M899" s="198"/>
      <c r="N899" s="198"/>
      <c r="P899" s="66" t="str">
        <f t="shared" si="4"/>
        <v/>
      </c>
    </row>
    <row r="900">
      <c r="A900" s="198" t="str">
        <f>Coins!A900</f>
        <v/>
      </c>
      <c r="B900" s="199" t="str">
        <f>Coins!B900</f>
        <v/>
      </c>
      <c r="C900" s="198" t="str">
        <f>Coins!C900</f>
        <v/>
      </c>
      <c r="D900" s="198" t="str">
        <f>Coins!D900</f>
        <v/>
      </c>
      <c r="E900" s="198" t="str">
        <f>Coins!E900</f>
        <v/>
      </c>
      <c r="F900" s="198" t="str">
        <f>Coins!F900</f>
        <v/>
      </c>
      <c r="G900" s="198" t="str">
        <f>Coins!G900</f>
        <v/>
      </c>
      <c r="H900" s="201" t="str">
        <f>if(Coins!H900="N/A",0,Coins!H900)</f>
        <v/>
      </c>
      <c r="I900" s="202" t="str">
        <f>Coins!I900</f>
        <v/>
      </c>
      <c r="J900" s="198" t="str">
        <f>Coins!J900</f>
        <v/>
      </c>
      <c r="K900" s="201" t="str">
        <f>Coins!K900</f>
        <v/>
      </c>
      <c r="L900" s="198" t="str">
        <f>Coins!L900</f>
        <v/>
      </c>
      <c r="M900" s="198"/>
      <c r="N900" s="198"/>
      <c r="P900" s="66" t="str">
        <f t="shared" si="4"/>
        <v/>
      </c>
    </row>
    <row r="901">
      <c r="A901" s="198" t="str">
        <f>Coins!A901</f>
        <v/>
      </c>
      <c r="B901" s="199" t="str">
        <f>Coins!B901</f>
        <v/>
      </c>
      <c r="C901" s="198" t="str">
        <f>Coins!C901</f>
        <v/>
      </c>
      <c r="D901" s="198" t="str">
        <f>Coins!D901</f>
        <v/>
      </c>
      <c r="E901" s="198" t="str">
        <f>Coins!E901</f>
        <v/>
      </c>
      <c r="F901" s="198" t="str">
        <f>Coins!F901</f>
        <v/>
      </c>
      <c r="G901" s="198" t="str">
        <f>Coins!G901</f>
        <v/>
      </c>
      <c r="H901" s="201" t="str">
        <f>if(Coins!H901="N/A",0,Coins!H901)</f>
        <v/>
      </c>
      <c r="I901" s="202" t="str">
        <f>Coins!I901</f>
        <v/>
      </c>
      <c r="J901" s="198" t="str">
        <f>Coins!J901</f>
        <v/>
      </c>
      <c r="K901" s="201" t="str">
        <f>Coins!K901</f>
        <v/>
      </c>
      <c r="L901" s="198" t="str">
        <f>Coins!L901</f>
        <v/>
      </c>
      <c r="M901" s="198"/>
      <c r="N901" s="198"/>
      <c r="P901" s="66" t="str">
        <f t="shared" si="4"/>
        <v/>
      </c>
    </row>
    <row r="902">
      <c r="A902" s="198" t="str">
        <f>Coins!A902</f>
        <v/>
      </c>
      <c r="B902" s="199" t="str">
        <f>Coins!B902</f>
        <v/>
      </c>
      <c r="C902" s="198" t="str">
        <f>Coins!C902</f>
        <v/>
      </c>
      <c r="D902" s="198" t="str">
        <f>Coins!D902</f>
        <v/>
      </c>
      <c r="E902" s="198" t="str">
        <f>Coins!E902</f>
        <v/>
      </c>
      <c r="F902" s="198" t="str">
        <f>Coins!F902</f>
        <v/>
      </c>
      <c r="G902" s="198" t="str">
        <f>Coins!G902</f>
        <v/>
      </c>
      <c r="H902" s="201" t="str">
        <f>if(Coins!H902="N/A",0,Coins!H902)</f>
        <v/>
      </c>
      <c r="I902" s="202" t="str">
        <f>Coins!I902</f>
        <v/>
      </c>
      <c r="J902" s="198" t="str">
        <f>Coins!J902</f>
        <v/>
      </c>
      <c r="K902" s="201" t="str">
        <f>Coins!K902</f>
        <v/>
      </c>
      <c r="L902" s="198" t="str">
        <f>Coins!L902</f>
        <v/>
      </c>
      <c r="M902" s="198"/>
      <c r="N902" s="198"/>
      <c r="P902" s="66" t="str">
        <f t="shared" si="4"/>
        <v/>
      </c>
    </row>
    <row r="903">
      <c r="A903" s="198" t="str">
        <f>Coins!A903</f>
        <v/>
      </c>
      <c r="B903" s="199" t="str">
        <f>Coins!B903</f>
        <v/>
      </c>
      <c r="C903" s="198" t="str">
        <f>Coins!C903</f>
        <v/>
      </c>
      <c r="D903" s="198" t="str">
        <f>Coins!D903</f>
        <v/>
      </c>
      <c r="E903" s="198" t="str">
        <f>Coins!E903</f>
        <v/>
      </c>
      <c r="F903" s="198" t="str">
        <f>Coins!F903</f>
        <v/>
      </c>
      <c r="G903" s="198" t="str">
        <f>Coins!G903</f>
        <v/>
      </c>
      <c r="H903" s="201" t="str">
        <f>if(Coins!H903="N/A",0,Coins!H903)</f>
        <v/>
      </c>
      <c r="I903" s="202" t="str">
        <f>Coins!I903</f>
        <v/>
      </c>
      <c r="J903" s="198" t="str">
        <f>Coins!J903</f>
        <v/>
      </c>
      <c r="K903" s="201" t="str">
        <f>Coins!K903</f>
        <v/>
      </c>
      <c r="L903" s="198" t="str">
        <f>Coins!L903</f>
        <v/>
      </c>
      <c r="M903" s="198"/>
      <c r="N903" s="198"/>
      <c r="P903" s="66" t="str">
        <f t="shared" si="4"/>
        <v/>
      </c>
    </row>
    <row r="904">
      <c r="A904" s="198" t="str">
        <f>Coins!A904</f>
        <v/>
      </c>
      <c r="B904" s="199" t="str">
        <f>Coins!B904</f>
        <v/>
      </c>
      <c r="C904" s="198" t="str">
        <f>Coins!C904</f>
        <v/>
      </c>
      <c r="D904" s="198" t="str">
        <f>Coins!D904</f>
        <v/>
      </c>
      <c r="E904" s="198" t="str">
        <f>Coins!E904</f>
        <v/>
      </c>
      <c r="F904" s="198" t="str">
        <f>Coins!F904</f>
        <v/>
      </c>
      <c r="G904" s="198" t="str">
        <f>Coins!G904</f>
        <v/>
      </c>
      <c r="H904" s="201" t="str">
        <f>if(Coins!H904="N/A",0,Coins!H904)</f>
        <v/>
      </c>
      <c r="I904" s="202" t="str">
        <f>Coins!I904</f>
        <v/>
      </c>
      <c r="J904" s="198" t="str">
        <f>Coins!J904</f>
        <v/>
      </c>
      <c r="K904" s="201" t="str">
        <f>Coins!K904</f>
        <v/>
      </c>
      <c r="L904" s="198" t="str">
        <f>Coins!L904</f>
        <v/>
      </c>
      <c r="M904" s="198"/>
      <c r="N904" s="198"/>
      <c r="P904" s="66" t="str">
        <f t="shared" si="4"/>
        <v/>
      </c>
    </row>
    <row r="905">
      <c r="A905" s="198" t="str">
        <f>Coins!A905</f>
        <v/>
      </c>
      <c r="B905" s="199" t="str">
        <f>Coins!B905</f>
        <v/>
      </c>
      <c r="C905" s="198" t="str">
        <f>Coins!C905</f>
        <v/>
      </c>
      <c r="D905" s="198" t="str">
        <f>Coins!D905</f>
        <v/>
      </c>
      <c r="E905" s="198" t="str">
        <f>Coins!E905</f>
        <v/>
      </c>
      <c r="F905" s="198" t="str">
        <f>Coins!F905</f>
        <v/>
      </c>
      <c r="G905" s="198" t="str">
        <f>Coins!G905</f>
        <v/>
      </c>
      <c r="H905" s="201" t="str">
        <f>if(Coins!H905="N/A",0,Coins!H905)</f>
        <v/>
      </c>
      <c r="I905" s="202" t="str">
        <f>Coins!I905</f>
        <v/>
      </c>
      <c r="J905" s="198" t="str">
        <f>Coins!J905</f>
        <v/>
      </c>
      <c r="K905" s="201" t="str">
        <f>Coins!K905</f>
        <v/>
      </c>
      <c r="L905" s="198" t="str">
        <f>Coins!L905</f>
        <v/>
      </c>
      <c r="M905" s="198"/>
      <c r="N905" s="198"/>
      <c r="P905" s="66" t="str">
        <f t="shared" si="4"/>
        <v/>
      </c>
    </row>
    <row r="906">
      <c r="A906" s="198" t="str">
        <f>Coins!A906</f>
        <v/>
      </c>
      <c r="B906" s="199" t="str">
        <f>Coins!B906</f>
        <v/>
      </c>
      <c r="C906" s="198" t="str">
        <f>Coins!C906</f>
        <v/>
      </c>
      <c r="D906" s="198" t="str">
        <f>Coins!D906</f>
        <v/>
      </c>
      <c r="E906" s="198" t="str">
        <f>Coins!E906</f>
        <v/>
      </c>
      <c r="F906" s="198" t="str">
        <f>Coins!F906</f>
        <v/>
      </c>
      <c r="G906" s="198" t="str">
        <f>Coins!G906</f>
        <v/>
      </c>
      <c r="H906" s="201" t="str">
        <f>if(Coins!H906="N/A",0,Coins!H906)</f>
        <v/>
      </c>
      <c r="I906" s="202" t="str">
        <f>Coins!I906</f>
        <v/>
      </c>
      <c r="J906" s="198" t="str">
        <f>Coins!J906</f>
        <v/>
      </c>
      <c r="K906" s="201" t="str">
        <f>Coins!K906</f>
        <v/>
      </c>
      <c r="L906" s="198" t="str">
        <f>Coins!L906</f>
        <v/>
      </c>
      <c r="M906" s="198"/>
      <c r="N906" s="198"/>
      <c r="P906" s="66" t="str">
        <f t="shared" si="4"/>
        <v/>
      </c>
    </row>
    <row r="907">
      <c r="A907" s="198" t="str">
        <f>Coins!A907</f>
        <v/>
      </c>
      <c r="B907" s="199" t="str">
        <f>Coins!B907</f>
        <v/>
      </c>
      <c r="C907" s="198" t="str">
        <f>Coins!C907</f>
        <v/>
      </c>
      <c r="D907" s="198" t="str">
        <f>Coins!D907</f>
        <v/>
      </c>
      <c r="E907" s="198" t="str">
        <f>Coins!E907</f>
        <v/>
      </c>
      <c r="F907" s="198" t="str">
        <f>Coins!F907</f>
        <v/>
      </c>
      <c r="G907" s="198" t="str">
        <f>Coins!G907</f>
        <v/>
      </c>
      <c r="H907" s="201" t="str">
        <f>if(Coins!H907="N/A",0,Coins!H907)</f>
        <v/>
      </c>
      <c r="I907" s="202" t="str">
        <f>Coins!I907</f>
        <v/>
      </c>
      <c r="J907" s="198" t="str">
        <f>Coins!J907</f>
        <v/>
      </c>
      <c r="K907" s="201" t="str">
        <f>Coins!K907</f>
        <v/>
      </c>
      <c r="L907" s="198" t="str">
        <f>Coins!L907</f>
        <v/>
      </c>
      <c r="M907" s="198"/>
      <c r="N907" s="198"/>
      <c r="P907" s="66" t="str">
        <f t="shared" si="4"/>
        <v/>
      </c>
    </row>
    <row r="908">
      <c r="A908" s="198" t="str">
        <f>Coins!A908</f>
        <v/>
      </c>
      <c r="B908" s="199" t="str">
        <f>Coins!B908</f>
        <v/>
      </c>
      <c r="C908" s="198" t="str">
        <f>Coins!C908</f>
        <v/>
      </c>
      <c r="D908" s="198" t="str">
        <f>Coins!D908</f>
        <v/>
      </c>
      <c r="E908" s="198" t="str">
        <f>Coins!E908</f>
        <v/>
      </c>
      <c r="F908" s="198" t="str">
        <f>Coins!F908</f>
        <v/>
      </c>
      <c r="G908" s="198" t="str">
        <f>Coins!G908</f>
        <v/>
      </c>
      <c r="H908" s="201" t="str">
        <f>if(Coins!H908="N/A",0,Coins!H908)</f>
        <v/>
      </c>
      <c r="I908" s="202" t="str">
        <f>Coins!I908</f>
        <v/>
      </c>
      <c r="J908" s="198" t="str">
        <f>Coins!J908</f>
        <v/>
      </c>
      <c r="K908" s="201" t="str">
        <f>Coins!K908</f>
        <v/>
      </c>
      <c r="L908" s="198" t="str">
        <f>Coins!L908</f>
        <v/>
      </c>
      <c r="M908" s="198"/>
      <c r="N908" s="198"/>
      <c r="P908" s="66" t="str">
        <f t="shared" si="4"/>
        <v/>
      </c>
    </row>
    <row r="909">
      <c r="A909" s="198" t="str">
        <f>Coins!A909</f>
        <v/>
      </c>
      <c r="B909" s="199" t="str">
        <f>Coins!B909</f>
        <v/>
      </c>
      <c r="C909" s="198" t="str">
        <f>Coins!C909</f>
        <v/>
      </c>
      <c r="D909" s="198" t="str">
        <f>Coins!D909</f>
        <v/>
      </c>
      <c r="E909" s="198" t="str">
        <f>Coins!E909</f>
        <v/>
      </c>
      <c r="F909" s="198" t="str">
        <f>Coins!F909</f>
        <v/>
      </c>
      <c r="G909" s="198" t="str">
        <f>Coins!G909</f>
        <v/>
      </c>
      <c r="H909" s="201" t="str">
        <f>if(Coins!H909="N/A",0,Coins!H909)</f>
        <v/>
      </c>
      <c r="I909" s="202" t="str">
        <f>Coins!I909</f>
        <v/>
      </c>
      <c r="J909" s="198" t="str">
        <f>Coins!J909</f>
        <v/>
      </c>
      <c r="K909" s="201" t="str">
        <f>Coins!K909</f>
        <v/>
      </c>
      <c r="L909" s="198" t="str">
        <f>Coins!L909</f>
        <v/>
      </c>
      <c r="M909" s="198"/>
      <c r="N909" s="198"/>
      <c r="P909" s="66" t="str">
        <f t="shared" si="4"/>
        <v/>
      </c>
    </row>
    <row r="910">
      <c r="A910" s="198" t="str">
        <f>Coins!A910</f>
        <v/>
      </c>
      <c r="B910" s="199" t="str">
        <f>Coins!B910</f>
        <v/>
      </c>
      <c r="C910" s="198" t="str">
        <f>Coins!C910</f>
        <v/>
      </c>
      <c r="D910" s="198" t="str">
        <f>Coins!D910</f>
        <v/>
      </c>
      <c r="E910" s="198" t="str">
        <f>Coins!E910</f>
        <v/>
      </c>
      <c r="F910" s="198" t="str">
        <f>Coins!F910</f>
        <v/>
      </c>
      <c r="G910" s="198" t="str">
        <f>Coins!G910</f>
        <v/>
      </c>
      <c r="H910" s="201" t="str">
        <f>if(Coins!H910="N/A",0,Coins!H910)</f>
        <v/>
      </c>
      <c r="I910" s="202" t="str">
        <f>Coins!I910</f>
        <v/>
      </c>
      <c r="J910" s="198" t="str">
        <f>Coins!J910</f>
        <v/>
      </c>
      <c r="K910" s="201" t="str">
        <f>Coins!K910</f>
        <v/>
      </c>
      <c r="L910" s="198" t="str">
        <f>Coins!L910</f>
        <v/>
      </c>
      <c r="M910" s="198"/>
      <c r="N910" s="198"/>
      <c r="P910" s="66" t="str">
        <f t="shared" si="4"/>
        <v/>
      </c>
    </row>
    <row r="911">
      <c r="A911" s="198" t="str">
        <f>Coins!A911</f>
        <v/>
      </c>
      <c r="B911" s="199" t="str">
        <f>Coins!B911</f>
        <v/>
      </c>
      <c r="C911" s="198" t="str">
        <f>Coins!C911</f>
        <v/>
      </c>
      <c r="D911" s="198" t="str">
        <f>Coins!D911</f>
        <v/>
      </c>
      <c r="E911" s="198" t="str">
        <f>Coins!E911</f>
        <v/>
      </c>
      <c r="F911" s="198" t="str">
        <f>Coins!F911</f>
        <v/>
      </c>
      <c r="G911" s="198" t="str">
        <f>Coins!G911</f>
        <v/>
      </c>
      <c r="H911" s="201" t="str">
        <f>if(Coins!H911="N/A",0,Coins!H911)</f>
        <v/>
      </c>
      <c r="I911" s="202" t="str">
        <f>Coins!I911</f>
        <v/>
      </c>
      <c r="J911" s="198" t="str">
        <f>Coins!J911</f>
        <v/>
      </c>
      <c r="K911" s="201" t="str">
        <f>Coins!K911</f>
        <v/>
      </c>
      <c r="L911" s="198" t="str">
        <f>Coins!L911</f>
        <v/>
      </c>
      <c r="M911" s="198"/>
      <c r="N911" s="198"/>
      <c r="P911" s="66" t="str">
        <f t="shared" si="4"/>
        <v/>
      </c>
    </row>
    <row r="912">
      <c r="A912" s="198" t="str">
        <f>Coins!A912</f>
        <v/>
      </c>
      <c r="B912" s="199" t="str">
        <f>Coins!B912</f>
        <v/>
      </c>
      <c r="C912" s="198" t="str">
        <f>Coins!C912</f>
        <v/>
      </c>
      <c r="D912" s="198" t="str">
        <f>Coins!D912</f>
        <v/>
      </c>
      <c r="E912" s="198" t="str">
        <f>Coins!E912</f>
        <v/>
      </c>
      <c r="F912" s="198" t="str">
        <f>Coins!F912</f>
        <v/>
      </c>
      <c r="G912" s="198" t="str">
        <f>Coins!G912</f>
        <v/>
      </c>
      <c r="H912" s="201" t="str">
        <f>if(Coins!H912="N/A",0,Coins!H912)</f>
        <v/>
      </c>
      <c r="I912" s="202" t="str">
        <f>Coins!I912</f>
        <v/>
      </c>
      <c r="J912" s="198" t="str">
        <f>Coins!J912</f>
        <v/>
      </c>
      <c r="K912" s="201" t="str">
        <f>Coins!K912</f>
        <v/>
      </c>
      <c r="L912" s="198" t="str">
        <f>Coins!L912</f>
        <v/>
      </c>
      <c r="M912" s="198"/>
      <c r="N912" s="198"/>
      <c r="P912" s="66" t="str">
        <f t="shared" si="4"/>
        <v/>
      </c>
    </row>
    <row r="913">
      <c r="A913" s="198" t="str">
        <f>Coins!A913</f>
        <v/>
      </c>
      <c r="B913" s="199" t="str">
        <f>Coins!B913</f>
        <v/>
      </c>
      <c r="C913" s="198" t="str">
        <f>Coins!C913</f>
        <v/>
      </c>
      <c r="D913" s="198" t="str">
        <f>Coins!D913</f>
        <v/>
      </c>
      <c r="E913" s="198" t="str">
        <f>Coins!E913</f>
        <v/>
      </c>
      <c r="F913" s="198" t="str">
        <f>Coins!F913</f>
        <v/>
      </c>
      <c r="G913" s="198" t="str">
        <f>Coins!G913</f>
        <v/>
      </c>
      <c r="H913" s="201" t="str">
        <f>if(Coins!H913="N/A",0,Coins!H913)</f>
        <v/>
      </c>
      <c r="I913" s="202" t="str">
        <f>Coins!I913</f>
        <v/>
      </c>
      <c r="J913" s="198" t="str">
        <f>Coins!J913</f>
        <v/>
      </c>
      <c r="K913" s="201" t="str">
        <f>Coins!K913</f>
        <v/>
      </c>
      <c r="L913" s="198" t="str">
        <f>Coins!L913</f>
        <v/>
      </c>
      <c r="M913" s="198"/>
      <c r="N913" s="198"/>
      <c r="P913" s="66" t="str">
        <f t="shared" si="4"/>
        <v/>
      </c>
    </row>
    <row r="914">
      <c r="A914" s="198" t="str">
        <f>Coins!A914</f>
        <v/>
      </c>
      <c r="B914" s="199" t="str">
        <f>Coins!B914</f>
        <v/>
      </c>
      <c r="C914" s="198" t="str">
        <f>Coins!C914</f>
        <v/>
      </c>
      <c r="D914" s="198" t="str">
        <f>Coins!D914</f>
        <v/>
      </c>
      <c r="E914" s="198" t="str">
        <f>Coins!E914</f>
        <v/>
      </c>
      <c r="F914" s="198" t="str">
        <f>Coins!F914</f>
        <v/>
      </c>
      <c r="G914" s="198" t="str">
        <f>Coins!G914</f>
        <v/>
      </c>
      <c r="H914" s="201" t="str">
        <f>if(Coins!H914="N/A",0,Coins!H914)</f>
        <v/>
      </c>
      <c r="I914" s="202" t="str">
        <f>Coins!I914</f>
        <v/>
      </c>
      <c r="J914" s="198" t="str">
        <f>Coins!J914</f>
        <v/>
      </c>
      <c r="K914" s="201" t="str">
        <f>Coins!K914</f>
        <v/>
      </c>
      <c r="L914" s="198" t="str">
        <f>Coins!L914</f>
        <v/>
      </c>
      <c r="M914" s="198"/>
      <c r="N914" s="198"/>
      <c r="P914" s="66" t="str">
        <f t="shared" si="4"/>
        <v/>
      </c>
    </row>
    <row r="915">
      <c r="A915" s="198" t="str">
        <f>Coins!A915</f>
        <v/>
      </c>
      <c r="B915" s="199" t="str">
        <f>Coins!B915</f>
        <v/>
      </c>
      <c r="C915" s="198" t="str">
        <f>Coins!C915</f>
        <v/>
      </c>
      <c r="D915" s="198" t="str">
        <f>Coins!D915</f>
        <v/>
      </c>
      <c r="E915" s="198" t="str">
        <f>Coins!E915</f>
        <v/>
      </c>
      <c r="F915" s="198" t="str">
        <f>Coins!F915</f>
        <v/>
      </c>
      <c r="G915" s="198" t="str">
        <f>Coins!G915</f>
        <v/>
      </c>
      <c r="H915" s="201" t="str">
        <f>if(Coins!H915="N/A",0,Coins!H915)</f>
        <v/>
      </c>
      <c r="I915" s="202" t="str">
        <f>Coins!I915</f>
        <v/>
      </c>
      <c r="J915" s="198" t="str">
        <f>Coins!J915</f>
        <v/>
      </c>
      <c r="K915" s="201" t="str">
        <f>Coins!K915</f>
        <v/>
      </c>
      <c r="L915" s="198" t="str">
        <f>Coins!L915</f>
        <v/>
      </c>
      <c r="M915" s="198"/>
      <c r="N915" s="198"/>
      <c r="P915" s="66" t="str">
        <f t="shared" si="4"/>
        <v/>
      </c>
    </row>
    <row r="916">
      <c r="A916" s="198" t="str">
        <f>Coins!A916</f>
        <v/>
      </c>
      <c r="B916" s="199" t="str">
        <f>Coins!B916</f>
        <v/>
      </c>
      <c r="C916" s="198" t="str">
        <f>Coins!C916</f>
        <v/>
      </c>
      <c r="D916" s="198" t="str">
        <f>Coins!D916</f>
        <v/>
      </c>
      <c r="E916" s="198" t="str">
        <f>Coins!E916</f>
        <v/>
      </c>
      <c r="F916" s="198" t="str">
        <f>Coins!F916</f>
        <v/>
      </c>
      <c r="G916" s="198" t="str">
        <f>Coins!G916</f>
        <v/>
      </c>
      <c r="H916" s="201" t="str">
        <f>if(Coins!H916="N/A",0,Coins!H916)</f>
        <v/>
      </c>
      <c r="I916" s="202" t="str">
        <f>Coins!I916</f>
        <v/>
      </c>
      <c r="J916" s="198" t="str">
        <f>Coins!J916</f>
        <v/>
      </c>
      <c r="K916" s="201" t="str">
        <f>Coins!K916</f>
        <v/>
      </c>
      <c r="L916" s="198" t="str">
        <f>Coins!L916</f>
        <v/>
      </c>
      <c r="M916" s="198"/>
      <c r="N916" s="198"/>
      <c r="P916" s="66" t="str">
        <f t="shared" si="4"/>
        <v/>
      </c>
    </row>
    <row r="917">
      <c r="A917" s="198" t="str">
        <f>Coins!A917</f>
        <v/>
      </c>
      <c r="B917" s="199" t="str">
        <f>Coins!B917</f>
        <v/>
      </c>
      <c r="C917" s="198" t="str">
        <f>Coins!C917</f>
        <v/>
      </c>
      <c r="D917" s="198" t="str">
        <f>Coins!D917</f>
        <v/>
      </c>
      <c r="E917" s="198" t="str">
        <f>Coins!E917</f>
        <v/>
      </c>
      <c r="F917" s="198" t="str">
        <f>Coins!F917</f>
        <v/>
      </c>
      <c r="G917" s="198" t="str">
        <f>Coins!G917</f>
        <v/>
      </c>
      <c r="H917" s="201" t="str">
        <f>if(Coins!H917="N/A",0,Coins!H917)</f>
        <v/>
      </c>
      <c r="I917" s="202" t="str">
        <f>Coins!I917</f>
        <v/>
      </c>
      <c r="J917" s="198" t="str">
        <f>Coins!J917</f>
        <v/>
      </c>
      <c r="K917" s="201" t="str">
        <f>Coins!K917</f>
        <v/>
      </c>
      <c r="L917" s="198" t="str">
        <f>Coins!L917</f>
        <v/>
      </c>
      <c r="M917" s="198"/>
      <c r="N917" s="198"/>
      <c r="P917" s="66" t="str">
        <f t="shared" si="4"/>
        <v/>
      </c>
    </row>
    <row r="918">
      <c r="A918" s="198" t="str">
        <f>Coins!A918</f>
        <v/>
      </c>
      <c r="B918" s="199" t="str">
        <f>Coins!B918</f>
        <v/>
      </c>
      <c r="C918" s="198" t="str">
        <f>Coins!C918</f>
        <v/>
      </c>
      <c r="D918" s="198" t="str">
        <f>Coins!D918</f>
        <v/>
      </c>
      <c r="E918" s="198" t="str">
        <f>Coins!E918</f>
        <v/>
      </c>
      <c r="F918" s="198" t="str">
        <f>Coins!F918</f>
        <v/>
      </c>
      <c r="G918" s="198" t="str">
        <f>Coins!G918</f>
        <v/>
      </c>
      <c r="H918" s="201" t="str">
        <f>if(Coins!H918="N/A",0,Coins!H918)</f>
        <v/>
      </c>
      <c r="I918" s="202" t="str">
        <f>Coins!I918</f>
        <v/>
      </c>
      <c r="J918" s="198" t="str">
        <f>Coins!J918</f>
        <v/>
      </c>
      <c r="K918" s="201" t="str">
        <f>Coins!K918</f>
        <v/>
      </c>
      <c r="L918" s="198" t="str">
        <f>Coins!L918</f>
        <v/>
      </c>
      <c r="M918" s="198"/>
      <c r="N918" s="198"/>
      <c r="P918" s="66" t="str">
        <f t="shared" si="4"/>
        <v/>
      </c>
    </row>
    <row r="919">
      <c r="A919" s="198" t="str">
        <f>Coins!A919</f>
        <v/>
      </c>
      <c r="B919" s="199" t="str">
        <f>Coins!B919</f>
        <v/>
      </c>
      <c r="C919" s="198" t="str">
        <f>Coins!C919</f>
        <v/>
      </c>
      <c r="D919" s="198" t="str">
        <f>Coins!D919</f>
        <v/>
      </c>
      <c r="E919" s="198" t="str">
        <f>Coins!E919</f>
        <v/>
      </c>
      <c r="F919" s="198" t="str">
        <f>Coins!F919</f>
        <v/>
      </c>
      <c r="G919" s="198" t="str">
        <f>Coins!G919</f>
        <v/>
      </c>
      <c r="H919" s="201" t="str">
        <f>if(Coins!H919="N/A",0,Coins!H919)</f>
        <v/>
      </c>
      <c r="I919" s="202" t="str">
        <f>Coins!I919</f>
        <v/>
      </c>
      <c r="J919" s="198" t="str">
        <f>Coins!J919</f>
        <v/>
      </c>
      <c r="K919" s="201" t="str">
        <f>Coins!K919</f>
        <v/>
      </c>
      <c r="L919" s="198" t="str">
        <f>Coins!L919</f>
        <v/>
      </c>
      <c r="M919" s="198"/>
      <c r="N919" s="198"/>
      <c r="P919" s="66" t="str">
        <f t="shared" si="4"/>
        <v/>
      </c>
    </row>
    <row r="920">
      <c r="A920" s="198" t="str">
        <f>Coins!A920</f>
        <v/>
      </c>
      <c r="B920" s="199" t="str">
        <f>Coins!B920</f>
        <v/>
      </c>
      <c r="C920" s="198" t="str">
        <f>Coins!C920</f>
        <v/>
      </c>
      <c r="D920" s="198" t="str">
        <f>Coins!D920</f>
        <v/>
      </c>
      <c r="E920" s="198" t="str">
        <f>Coins!E920</f>
        <v/>
      </c>
      <c r="F920" s="198" t="str">
        <f>Coins!F920</f>
        <v/>
      </c>
      <c r="G920" s="198" t="str">
        <f>Coins!G920</f>
        <v/>
      </c>
      <c r="H920" s="201" t="str">
        <f>if(Coins!H920="N/A",0,Coins!H920)</f>
        <v/>
      </c>
      <c r="I920" s="202" t="str">
        <f>Coins!I920</f>
        <v/>
      </c>
      <c r="J920" s="198" t="str">
        <f>Coins!J920</f>
        <v/>
      </c>
      <c r="K920" s="201" t="str">
        <f>Coins!K920</f>
        <v/>
      </c>
      <c r="L920" s="198" t="str">
        <f>Coins!L920</f>
        <v/>
      </c>
      <c r="M920" s="198"/>
      <c r="N920" s="198"/>
      <c r="P920" s="66" t="str">
        <f t="shared" si="4"/>
        <v/>
      </c>
    </row>
    <row r="921">
      <c r="A921" s="198" t="str">
        <f>Coins!A921</f>
        <v/>
      </c>
      <c r="B921" s="199" t="str">
        <f>Coins!B921</f>
        <v/>
      </c>
      <c r="C921" s="198" t="str">
        <f>Coins!C921</f>
        <v/>
      </c>
      <c r="D921" s="198" t="str">
        <f>Coins!D921</f>
        <v/>
      </c>
      <c r="E921" s="198" t="str">
        <f>Coins!E921</f>
        <v/>
      </c>
      <c r="F921" s="198" t="str">
        <f>Coins!F921</f>
        <v/>
      </c>
      <c r="G921" s="198" t="str">
        <f>Coins!G921</f>
        <v/>
      </c>
      <c r="H921" s="201" t="str">
        <f>if(Coins!H921="N/A",0,Coins!H921)</f>
        <v/>
      </c>
      <c r="I921" s="202" t="str">
        <f>Coins!I921</f>
        <v/>
      </c>
      <c r="J921" s="198" t="str">
        <f>Coins!J921</f>
        <v/>
      </c>
      <c r="K921" s="201" t="str">
        <f>Coins!K921</f>
        <v/>
      </c>
      <c r="L921" s="198" t="str">
        <f>Coins!L921</f>
        <v/>
      </c>
      <c r="M921" s="198"/>
      <c r="N921" s="198"/>
      <c r="P921" s="66" t="str">
        <f t="shared" si="4"/>
        <v/>
      </c>
    </row>
    <row r="922">
      <c r="A922" s="198" t="str">
        <f>Coins!A922</f>
        <v/>
      </c>
      <c r="B922" s="199" t="str">
        <f>Coins!B922</f>
        <v/>
      </c>
      <c r="C922" s="198" t="str">
        <f>Coins!C922</f>
        <v/>
      </c>
      <c r="D922" s="198" t="str">
        <f>Coins!D922</f>
        <v/>
      </c>
      <c r="E922" s="198" t="str">
        <f>Coins!E922</f>
        <v/>
      </c>
      <c r="F922" s="198" t="str">
        <f>Coins!F922</f>
        <v/>
      </c>
      <c r="G922" s="198" t="str">
        <f>Coins!G922</f>
        <v/>
      </c>
      <c r="H922" s="201" t="str">
        <f>if(Coins!H922="N/A",0,Coins!H922)</f>
        <v/>
      </c>
      <c r="I922" s="202" t="str">
        <f>Coins!I922</f>
        <v/>
      </c>
      <c r="J922" s="198" t="str">
        <f>Coins!J922</f>
        <v/>
      </c>
      <c r="K922" s="201" t="str">
        <f>Coins!K922</f>
        <v/>
      </c>
      <c r="L922" s="198" t="str">
        <f>Coins!L922</f>
        <v/>
      </c>
      <c r="M922" s="198"/>
      <c r="N922" s="198"/>
      <c r="P922" s="66" t="str">
        <f t="shared" si="4"/>
        <v/>
      </c>
    </row>
    <row r="923">
      <c r="A923" s="198" t="str">
        <f>Coins!A923</f>
        <v/>
      </c>
      <c r="B923" s="199" t="str">
        <f>Coins!B923</f>
        <v/>
      </c>
      <c r="C923" s="198" t="str">
        <f>Coins!C923</f>
        <v/>
      </c>
      <c r="D923" s="198" t="str">
        <f>Coins!D923</f>
        <v/>
      </c>
      <c r="E923" s="198" t="str">
        <f>Coins!E923</f>
        <v/>
      </c>
      <c r="F923" s="198" t="str">
        <f>Coins!F923</f>
        <v/>
      </c>
      <c r="G923" s="198" t="str">
        <f>Coins!G923</f>
        <v/>
      </c>
      <c r="H923" s="201" t="str">
        <f>if(Coins!H923="N/A",0,Coins!H923)</f>
        <v/>
      </c>
      <c r="I923" s="202" t="str">
        <f>Coins!I923</f>
        <v/>
      </c>
      <c r="J923" s="198" t="str">
        <f>Coins!J923</f>
        <v/>
      </c>
      <c r="K923" s="201" t="str">
        <f>Coins!K923</f>
        <v/>
      </c>
      <c r="L923" s="198" t="str">
        <f>Coins!L923</f>
        <v/>
      </c>
      <c r="M923" s="198"/>
      <c r="N923" s="198"/>
      <c r="P923" s="66" t="str">
        <f t="shared" si="4"/>
        <v/>
      </c>
    </row>
    <row r="924">
      <c r="A924" s="198" t="str">
        <f>Coins!A924</f>
        <v/>
      </c>
      <c r="B924" s="199" t="str">
        <f>Coins!B924</f>
        <v/>
      </c>
      <c r="C924" s="198" t="str">
        <f>Coins!C924</f>
        <v/>
      </c>
      <c r="D924" s="198" t="str">
        <f>Coins!D924</f>
        <v/>
      </c>
      <c r="E924" s="198" t="str">
        <f>Coins!E924</f>
        <v/>
      </c>
      <c r="F924" s="198" t="str">
        <f>Coins!F924</f>
        <v/>
      </c>
      <c r="G924" s="198" t="str">
        <f>Coins!G924</f>
        <v/>
      </c>
      <c r="H924" s="201" t="str">
        <f>if(Coins!H924="N/A",0,Coins!H924)</f>
        <v/>
      </c>
      <c r="I924" s="202" t="str">
        <f>Coins!I924</f>
        <v/>
      </c>
      <c r="J924" s="198" t="str">
        <f>Coins!J924</f>
        <v/>
      </c>
      <c r="K924" s="201" t="str">
        <f>Coins!K924</f>
        <v/>
      </c>
      <c r="L924" s="198" t="str">
        <f>Coins!L924</f>
        <v/>
      </c>
      <c r="M924" s="198"/>
      <c r="N924" s="198"/>
      <c r="P924" s="66" t="str">
        <f t="shared" si="4"/>
        <v/>
      </c>
    </row>
    <row r="925">
      <c r="A925" s="198" t="str">
        <f>Coins!A925</f>
        <v/>
      </c>
      <c r="B925" s="199" t="str">
        <f>Coins!B925</f>
        <v/>
      </c>
      <c r="C925" s="198" t="str">
        <f>Coins!C925</f>
        <v/>
      </c>
      <c r="D925" s="198" t="str">
        <f>Coins!D925</f>
        <v/>
      </c>
      <c r="E925" s="198" t="str">
        <f>Coins!E925</f>
        <v/>
      </c>
      <c r="F925" s="198" t="str">
        <f>Coins!F925</f>
        <v/>
      </c>
      <c r="G925" s="198" t="str">
        <f>Coins!G925</f>
        <v/>
      </c>
      <c r="H925" s="201" t="str">
        <f>if(Coins!H925="N/A",0,Coins!H925)</f>
        <v/>
      </c>
      <c r="I925" s="202" t="str">
        <f>Coins!I925</f>
        <v/>
      </c>
      <c r="J925" s="198" t="str">
        <f>Coins!J925</f>
        <v/>
      </c>
      <c r="K925" s="201" t="str">
        <f>Coins!K925</f>
        <v/>
      </c>
      <c r="L925" s="198" t="str">
        <f>Coins!L925</f>
        <v/>
      </c>
      <c r="M925" s="198"/>
      <c r="N925" s="198"/>
      <c r="P925" s="66" t="str">
        <f t="shared" si="4"/>
        <v/>
      </c>
    </row>
    <row r="926">
      <c r="A926" s="198" t="str">
        <f>Coins!A926</f>
        <v/>
      </c>
      <c r="B926" s="199" t="str">
        <f>Coins!B926</f>
        <v/>
      </c>
      <c r="C926" s="198" t="str">
        <f>Coins!C926</f>
        <v/>
      </c>
      <c r="D926" s="198" t="str">
        <f>Coins!D926</f>
        <v/>
      </c>
      <c r="E926" s="198" t="str">
        <f>Coins!E926</f>
        <v/>
      </c>
      <c r="F926" s="198" t="str">
        <f>Coins!F926</f>
        <v/>
      </c>
      <c r="G926" s="198" t="str">
        <f>Coins!G926</f>
        <v/>
      </c>
      <c r="H926" s="201" t="str">
        <f>if(Coins!H926="N/A",0,Coins!H926)</f>
        <v/>
      </c>
      <c r="I926" s="202" t="str">
        <f>Coins!I926</f>
        <v/>
      </c>
      <c r="J926" s="198" t="str">
        <f>Coins!J926</f>
        <v/>
      </c>
      <c r="K926" s="201" t="str">
        <f>Coins!K926</f>
        <v/>
      </c>
      <c r="L926" s="198" t="str">
        <f>Coins!L926</f>
        <v/>
      </c>
      <c r="M926" s="198"/>
      <c r="N926" s="198"/>
      <c r="P926" s="66" t="str">
        <f t="shared" si="4"/>
        <v/>
      </c>
    </row>
    <row r="927">
      <c r="A927" s="198" t="str">
        <f>Coins!A927</f>
        <v/>
      </c>
      <c r="B927" s="199" t="str">
        <f>Coins!B927</f>
        <v/>
      </c>
      <c r="C927" s="198" t="str">
        <f>Coins!C927</f>
        <v/>
      </c>
      <c r="D927" s="198" t="str">
        <f>Coins!D927</f>
        <v/>
      </c>
      <c r="E927" s="198" t="str">
        <f>Coins!E927</f>
        <v/>
      </c>
      <c r="F927" s="198" t="str">
        <f>Coins!F927</f>
        <v/>
      </c>
      <c r="G927" s="198" t="str">
        <f>Coins!G927</f>
        <v/>
      </c>
      <c r="H927" s="201" t="str">
        <f>if(Coins!H927="N/A",0,Coins!H927)</f>
        <v/>
      </c>
      <c r="I927" s="202" t="str">
        <f>Coins!I927</f>
        <v/>
      </c>
      <c r="J927" s="198" t="str">
        <f>Coins!J927</f>
        <v/>
      </c>
      <c r="K927" s="201" t="str">
        <f>Coins!K927</f>
        <v/>
      </c>
      <c r="L927" s="198" t="str">
        <f>Coins!L927</f>
        <v/>
      </c>
      <c r="M927" s="198"/>
      <c r="N927" s="198"/>
      <c r="P927" s="66" t="str">
        <f t="shared" si="4"/>
        <v/>
      </c>
    </row>
    <row r="928">
      <c r="A928" s="198" t="str">
        <f>Coins!A928</f>
        <v/>
      </c>
      <c r="B928" s="199" t="str">
        <f>Coins!B928</f>
        <v/>
      </c>
      <c r="C928" s="198" t="str">
        <f>Coins!C928</f>
        <v/>
      </c>
      <c r="D928" s="198" t="str">
        <f>Coins!D928</f>
        <v/>
      </c>
      <c r="E928" s="198" t="str">
        <f>Coins!E928</f>
        <v/>
      </c>
      <c r="F928" s="198" t="str">
        <f>Coins!F928</f>
        <v/>
      </c>
      <c r="G928" s="198" t="str">
        <f>Coins!G928</f>
        <v/>
      </c>
      <c r="H928" s="201" t="str">
        <f>if(Coins!H928="N/A",0,Coins!H928)</f>
        <v/>
      </c>
      <c r="I928" s="202" t="str">
        <f>Coins!I928</f>
        <v/>
      </c>
      <c r="J928" s="198" t="str">
        <f>Coins!J928</f>
        <v/>
      </c>
      <c r="K928" s="201" t="str">
        <f>Coins!K928</f>
        <v/>
      </c>
      <c r="L928" s="198" t="str">
        <f>Coins!L928</f>
        <v/>
      </c>
      <c r="M928" s="198"/>
      <c r="N928" s="198"/>
      <c r="P928" s="66" t="str">
        <f t="shared" si="4"/>
        <v/>
      </c>
    </row>
    <row r="929">
      <c r="A929" s="198" t="str">
        <f>Coins!A929</f>
        <v/>
      </c>
      <c r="B929" s="199" t="str">
        <f>Coins!B929</f>
        <v/>
      </c>
      <c r="C929" s="198" t="str">
        <f>Coins!C929</f>
        <v/>
      </c>
      <c r="D929" s="198" t="str">
        <f>Coins!D929</f>
        <v/>
      </c>
      <c r="E929" s="198" t="str">
        <f>Coins!E929</f>
        <v/>
      </c>
      <c r="F929" s="198" t="str">
        <f>Coins!F929</f>
        <v/>
      </c>
      <c r="G929" s="198" t="str">
        <f>Coins!G929</f>
        <v/>
      </c>
      <c r="H929" s="201" t="str">
        <f>if(Coins!H929="N/A",0,Coins!H929)</f>
        <v/>
      </c>
      <c r="I929" s="202" t="str">
        <f>Coins!I929</f>
        <v/>
      </c>
      <c r="J929" s="198" t="str">
        <f>Coins!J929</f>
        <v/>
      </c>
      <c r="K929" s="201" t="str">
        <f>Coins!K929</f>
        <v/>
      </c>
      <c r="L929" s="198" t="str">
        <f>Coins!L929</f>
        <v/>
      </c>
      <c r="M929" s="198"/>
      <c r="N929" s="198"/>
      <c r="P929" s="66" t="str">
        <f t="shared" si="4"/>
        <v/>
      </c>
    </row>
    <row r="930">
      <c r="A930" s="198" t="str">
        <f>Coins!A930</f>
        <v/>
      </c>
      <c r="B930" s="199" t="str">
        <f>Coins!B930</f>
        <v/>
      </c>
      <c r="C930" s="198" t="str">
        <f>Coins!C930</f>
        <v/>
      </c>
      <c r="D930" s="198" t="str">
        <f>Coins!D930</f>
        <v/>
      </c>
      <c r="E930" s="198" t="str">
        <f>Coins!E930</f>
        <v/>
      </c>
      <c r="F930" s="198" t="str">
        <f>Coins!F930</f>
        <v/>
      </c>
      <c r="G930" s="198" t="str">
        <f>Coins!G930</f>
        <v/>
      </c>
      <c r="H930" s="201" t="str">
        <f>if(Coins!H930="N/A",0,Coins!H930)</f>
        <v/>
      </c>
      <c r="I930" s="202" t="str">
        <f>Coins!I930</f>
        <v/>
      </c>
      <c r="J930" s="198" t="str">
        <f>Coins!J930</f>
        <v/>
      </c>
      <c r="K930" s="201" t="str">
        <f>Coins!K930</f>
        <v/>
      </c>
      <c r="L930" s="198" t="str">
        <f>Coins!L930</f>
        <v/>
      </c>
      <c r="M930" s="198"/>
      <c r="N930" s="198"/>
      <c r="P930" s="66" t="str">
        <f t="shared" si="4"/>
        <v/>
      </c>
    </row>
    <row r="931">
      <c r="A931" s="198" t="str">
        <f>Coins!A931</f>
        <v/>
      </c>
      <c r="B931" s="199" t="str">
        <f>Coins!B931</f>
        <v/>
      </c>
      <c r="C931" s="198" t="str">
        <f>Coins!C931</f>
        <v/>
      </c>
      <c r="D931" s="198" t="str">
        <f>Coins!D931</f>
        <v/>
      </c>
      <c r="E931" s="198" t="str">
        <f>Coins!E931</f>
        <v/>
      </c>
      <c r="F931" s="198" t="str">
        <f>Coins!F931</f>
        <v/>
      </c>
      <c r="G931" s="198" t="str">
        <f>Coins!G931</f>
        <v/>
      </c>
      <c r="H931" s="201" t="str">
        <f>if(Coins!H931="N/A",0,Coins!H931)</f>
        <v/>
      </c>
      <c r="I931" s="202" t="str">
        <f>Coins!I931</f>
        <v/>
      </c>
      <c r="J931" s="198" t="str">
        <f>Coins!J931</f>
        <v/>
      </c>
      <c r="K931" s="201" t="str">
        <f>Coins!K931</f>
        <v/>
      </c>
      <c r="L931" s="198" t="str">
        <f>Coins!L931</f>
        <v/>
      </c>
      <c r="M931" s="198"/>
      <c r="N931" s="198"/>
      <c r="P931" s="66" t="str">
        <f t="shared" si="4"/>
        <v/>
      </c>
    </row>
    <row r="932">
      <c r="A932" s="198" t="str">
        <f>Coins!A932</f>
        <v/>
      </c>
      <c r="B932" s="199" t="str">
        <f>Coins!B932</f>
        <v/>
      </c>
      <c r="C932" s="198" t="str">
        <f>Coins!C932</f>
        <v/>
      </c>
      <c r="D932" s="198" t="str">
        <f>Coins!D932</f>
        <v/>
      </c>
      <c r="E932" s="198" t="str">
        <f>Coins!E932</f>
        <v/>
      </c>
      <c r="F932" s="198" t="str">
        <f>Coins!F932</f>
        <v/>
      </c>
      <c r="G932" s="198" t="str">
        <f>Coins!G932</f>
        <v/>
      </c>
      <c r="H932" s="201" t="str">
        <f>if(Coins!H932="N/A",0,Coins!H932)</f>
        <v/>
      </c>
      <c r="I932" s="202" t="str">
        <f>Coins!I932</f>
        <v/>
      </c>
      <c r="J932" s="198" t="str">
        <f>Coins!J932</f>
        <v/>
      </c>
      <c r="K932" s="201" t="str">
        <f>Coins!K932</f>
        <v/>
      </c>
      <c r="L932" s="198" t="str">
        <f>Coins!L932</f>
        <v/>
      </c>
      <c r="M932" s="198"/>
      <c r="N932" s="198"/>
      <c r="P932" s="66" t="str">
        <f t="shared" si="4"/>
        <v/>
      </c>
    </row>
    <row r="933">
      <c r="A933" s="198" t="str">
        <f>Coins!A933</f>
        <v/>
      </c>
      <c r="B933" s="199" t="str">
        <f>Coins!B933</f>
        <v/>
      </c>
      <c r="C933" s="198" t="str">
        <f>Coins!C933</f>
        <v/>
      </c>
      <c r="D933" s="198" t="str">
        <f>Coins!D933</f>
        <v/>
      </c>
      <c r="E933" s="198" t="str">
        <f>Coins!E933</f>
        <v/>
      </c>
      <c r="F933" s="198" t="str">
        <f>Coins!F933</f>
        <v/>
      </c>
      <c r="G933" s="198" t="str">
        <f>Coins!G933</f>
        <v/>
      </c>
      <c r="H933" s="201" t="str">
        <f>if(Coins!H933="N/A",0,Coins!H933)</f>
        <v/>
      </c>
      <c r="I933" s="202" t="str">
        <f>Coins!I933</f>
        <v/>
      </c>
      <c r="J933" s="198" t="str">
        <f>Coins!J933</f>
        <v/>
      </c>
      <c r="K933" s="201" t="str">
        <f>Coins!K933</f>
        <v/>
      </c>
      <c r="L933" s="198" t="str">
        <f>Coins!L933</f>
        <v/>
      </c>
      <c r="M933" s="198"/>
      <c r="N933" s="198"/>
      <c r="P933" s="66" t="str">
        <f t="shared" si="4"/>
        <v/>
      </c>
    </row>
    <row r="934">
      <c r="A934" s="198" t="str">
        <f>Coins!A934</f>
        <v/>
      </c>
      <c r="B934" s="199" t="str">
        <f>Coins!B934</f>
        <v/>
      </c>
      <c r="C934" s="198" t="str">
        <f>Coins!C934</f>
        <v/>
      </c>
      <c r="D934" s="198" t="str">
        <f>Coins!D934</f>
        <v/>
      </c>
      <c r="E934" s="198" t="str">
        <f>Coins!E934</f>
        <v/>
      </c>
      <c r="F934" s="198" t="str">
        <f>Coins!F934</f>
        <v/>
      </c>
      <c r="G934" s="198" t="str">
        <f>Coins!G934</f>
        <v/>
      </c>
      <c r="H934" s="201" t="str">
        <f>if(Coins!H934="N/A",0,Coins!H934)</f>
        <v/>
      </c>
      <c r="I934" s="202" t="str">
        <f>Coins!I934</f>
        <v/>
      </c>
      <c r="J934" s="198" t="str">
        <f>Coins!J934</f>
        <v/>
      </c>
      <c r="K934" s="201" t="str">
        <f>Coins!K934</f>
        <v/>
      </c>
      <c r="L934" s="198" t="str">
        <f>Coins!L934</f>
        <v/>
      </c>
      <c r="M934" s="198"/>
      <c r="N934" s="198"/>
      <c r="P934" s="66" t="str">
        <f t="shared" si="4"/>
        <v/>
      </c>
    </row>
    <row r="935">
      <c r="A935" s="198" t="str">
        <f>Coins!A935</f>
        <v/>
      </c>
      <c r="B935" s="199" t="str">
        <f>Coins!B935</f>
        <v/>
      </c>
      <c r="C935" s="198" t="str">
        <f>Coins!C935</f>
        <v/>
      </c>
      <c r="D935" s="198" t="str">
        <f>Coins!D935</f>
        <v/>
      </c>
      <c r="E935" s="198" t="str">
        <f>Coins!E935</f>
        <v/>
      </c>
      <c r="F935" s="198" t="str">
        <f>Coins!F935</f>
        <v/>
      </c>
      <c r="G935" s="198" t="str">
        <f>Coins!G935</f>
        <v/>
      </c>
      <c r="H935" s="201" t="str">
        <f>if(Coins!H935="N/A",0,Coins!H935)</f>
        <v/>
      </c>
      <c r="I935" s="202" t="str">
        <f>Coins!I935</f>
        <v/>
      </c>
      <c r="J935" s="198" t="str">
        <f>Coins!J935</f>
        <v/>
      </c>
      <c r="K935" s="201" t="str">
        <f>Coins!K935</f>
        <v/>
      </c>
      <c r="L935" s="198" t="str">
        <f>Coins!L935</f>
        <v/>
      </c>
      <c r="M935" s="198"/>
      <c r="N935" s="198"/>
      <c r="P935" s="66" t="str">
        <f t="shared" si="4"/>
        <v/>
      </c>
    </row>
    <row r="936">
      <c r="A936" s="198" t="str">
        <f>Coins!A936</f>
        <v/>
      </c>
      <c r="B936" s="199" t="str">
        <f>Coins!B936</f>
        <v/>
      </c>
      <c r="C936" s="198" t="str">
        <f>Coins!C936</f>
        <v/>
      </c>
      <c r="D936" s="198" t="str">
        <f>Coins!D936</f>
        <v/>
      </c>
      <c r="E936" s="198" t="str">
        <f>Coins!E936</f>
        <v/>
      </c>
      <c r="F936" s="198" t="str">
        <f>Coins!F936</f>
        <v/>
      </c>
      <c r="G936" s="198" t="str">
        <f>Coins!G936</f>
        <v/>
      </c>
      <c r="H936" s="201" t="str">
        <f>if(Coins!H936="N/A",0,Coins!H936)</f>
        <v/>
      </c>
      <c r="I936" s="202" t="str">
        <f>Coins!I936</f>
        <v/>
      </c>
      <c r="J936" s="198" t="str">
        <f>Coins!J936</f>
        <v/>
      </c>
      <c r="K936" s="201" t="str">
        <f>Coins!K936</f>
        <v/>
      </c>
      <c r="L936" s="198" t="str">
        <f>Coins!L936</f>
        <v/>
      </c>
      <c r="M936" s="198"/>
      <c r="N936" s="198"/>
      <c r="P936" s="66" t="str">
        <f t="shared" si="4"/>
        <v/>
      </c>
    </row>
    <row r="937">
      <c r="A937" s="198" t="str">
        <f>Coins!A937</f>
        <v/>
      </c>
      <c r="B937" s="199" t="str">
        <f>Coins!B937</f>
        <v/>
      </c>
      <c r="C937" s="198" t="str">
        <f>Coins!C937</f>
        <v/>
      </c>
      <c r="D937" s="198" t="str">
        <f>Coins!D937</f>
        <v/>
      </c>
      <c r="E937" s="198" t="str">
        <f>Coins!E937</f>
        <v/>
      </c>
      <c r="F937" s="198" t="str">
        <f>Coins!F937</f>
        <v/>
      </c>
      <c r="G937" s="198" t="str">
        <f>Coins!G937</f>
        <v/>
      </c>
      <c r="H937" s="201" t="str">
        <f>if(Coins!H937="N/A",0,Coins!H937)</f>
        <v/>
      </c>
      <c r="I937" s="202" t="str">
        <f>Coins!I937</f>
        <v/>
      </c>
      <c r="J937" s="198" t="str">
        <f>Coins!J937</f>
        <v/>
      </c>
      <c r="K937" s="201" t="str">
        <f>Coins!K937</f>
        <v/>
      </c>
      <c r="L937" s="198" t="str">
        <f>Coins!L937</f>
        <v/>
      </c>
      <c r="M937" s="198"/>
      <c r="N937" s="198"/>
      <c r="P937" s="66" t="str">
        <f t="shared" si="4"/>
        <v/>
      </c>
    </row>
    <row r="938">
      <c r="A938" s="198" t="str">
        <f>Coins!A938</f>
        <v/>
      </c>
      <c r="B938" s="199" t="str">
        <f>Coins!B938</f>
        <v/>
      </c>
      <c r="C938" s="198" t="str">
        <f>Coins!C938</f>
        <v/>
      </c>
      <c r="D938" s="198" t="str">
        <f>Coins!D938</f>
        <v/>
      </c>
      <c r="E938" s="198" t="str">
        <f>Coins!E938</f>
        <v/>
      </c>
      <c r="F938" s="198" t="str">
        <f>Coins!F938</f>
        <v/>
      </c>
      <c r="G938" s="198" t="str">
        <f>Coins!G938</f>
        <v/>
      </c>
      <c r="H938" s="201" t="str">
        <f>if(Coins!H938="N/A",0,Coins!H938)</f>
        <v/>
      </c>
      <c r="I938" s="202" t="str">
        <f>Coins!I938</f>
        <v/>
      </c>
      <c r="J938" s="198" t="str">
        <f>Coins!J938</f>
        <v/>
      </c>
      <c r="K938" s="201" t="str">
        <f>Coins!K938</f>
        <v/>
      </c>
      <c r="L938" s="198" t="str">
        <f>Coins!L938</f>
        <v/>
      </c>
      <c r="M938" s="198"/>
      <c r="N938" s="198"/>
      <c r="P938" s="66" t="str">
        <f t="shared" si="4"/>
        <v/>
      </c>
    </row>
    <row r="939">
      <c r="A939" s="198" t="str">
        <f>Coins!A939</f>
        <v/>
      </c>
      <c r="B939" s="199" t="str">
        <f>Coins!B939</f>
        <v/>
      </c>
      <c r="C939" s="198" t="str">
        <f>Coins!C939</f>
        <v/>
      </c>
      <c r="D939" s="198" t="str">
        <f>Coins!D939</f>
        <v/>
      </c>
      <c r="E939" s="198" t="str">
        <f>Coins!E939</f>
        <v/>
      </c>
      <c r="F939" s="198" t="str">
        <f>Coins!F939</f>
        <v/>
      </c>
      <c r="G939" s="198" t="str">
        <f>Coins!G939</f>
        <v/>
      </c>
      <c r="H939" s="201" t="str">
        <f>if(Coins!H939="N/A",0,Coins!H939)</f>
        <v/>
      </c>
      <c r="I939" s="202" t="str">
        <f>Coins!I939</f>
        <v/>
      </c>
      <c r="J939" s="198" t="str">
        <f>Coins!J939</f>
        <v/>
      </c>
      <c r="K939" s="201" t="str">
        <f>Coins!K939</f>
        <v/>
      </c>
      <c r="L939" s="198" t="str">
        <f>Coins!L939</f>
        <v/>
      </c>
      <c r="M939" s="198"/>
      <c r="N939" s="198"/>
      <c r="P939" s="66" t="str">
        <f t="shared" si="4"/>
        <v/>
      </c>
    </row>
    <row r="940">
      <c r="A940" s="198" t="str">
        <f>Coins!A940</f>
        <v/>
      </c>
      <c r="B940" s="199" t="str">
        <f>Coins!B940</f>
        <v/>
      </c>
      <c r="C940" s="198" t="str">
        <f>Coins!C940</f>
        <v/>
      </c>
      <c r="D940" s="198" t="str">
        <f>Coins!D940</f>
        <v/>
      </c>
      <c r="E940" s="198" t="str">
        <f>Coins!E940</f>
        <v/>
      </c>
      <c r="F940" s="198" t="str">
        <f>Coins!F940</f>
        <v/>
      </c>
      <c r="G940" s="198" t="str">
        <f>Coins!G940</f>
        <v/>
      </c>
      <c r="H940" s="201" t="str">
        <f>if(Coins!H940="N/A",0,Coins!H940)</f>
        <v/>
      </c>
      <c r="I940" s="202" t="str">
        <f>Coins!I940</f>
        <v/>
      </c>
      <c r="J940" s="198" t="str">
        <f>Coins!J940</f>
        <v/>
      </c>
      <c r="K940" s="201" t="str">
        <f>Coins!K940</f>
        <v/>
      </c>
      <c r="L940" s="198" t="str">
        <f>Coins!L940</f>
        <v/>
      </c>
      <c r="M940" s="198"/>
      <c r="N940" s="198"/>
      <c r="P940" s="66" t="str">
        <f t="shared" si="4"/>
        <v/>
      </c>
    </row>
    <row r="941">
      <c r="A941" s="198" t="str">
        <f>Coins!A941</f>
        <v/>
      </c>
      <c r="B941" s="199" t="str">
        <f>Coins!B941</f>
        <v/>
      </c>
      <c r="C941" s="198" t="str">
        <f>Coins!C941</f>
        <v/>
      </c>
      <c r="D941" s="198" t="str">
        <f>Coins!D941</f>
        <v/>
      </c>
      <c r="E941" s="198" t="str">
        <f>Coins!E941</f>
        <v/>
      </c>
      <c r="F941" s="198" t="str">
        <f>Coins!F941</f>
        <v/>
      </c>
      <c r="G941" s="198" t="str">
        <f>Coins!G941</f>
        <v/>
      </c>
      <c r="H941" s="201" t="str">
        <f>if(Coins!H941="N/A",0,Coins!H941)</f>
        <v/>
      </c>
      <c r="I941" s="202" t="str">
        <f>Coins!I941</f>
        <v/>
      </c>
      <c r="J941" s="198" t="str">
        <f>Coins!J941</f>
        <v/>
      </c>
      <c r="K941" s="201" t="str">
        <f>Coins!K941</f>
        <v/>
      </c>
      <c r="L941" s="198" t="str">
        <f>Coins!L941</f>
        <v/>
      </c>
      <c r="M941" s="198"/>
      <c r="N941" s="198"/>
      <c r="P941" s="66" t="str">
        <f t="shared" si="4"/>
        <v/>
      </c>
    </row>
    <row r="942">
      <c r="A942" s="198" t="str">
        <f>Coins!A942</f>
        <v/>
      </c>
      <c r="B942" s="199" t="str">
        <f>Coins!B942</f>
        <v/>
      </c>
      <c r="C942" s="198" t="str">
        <f>Coins!C942</f>
        <v/>
      </c>
      <c r="D942" s="198" t="str">
        <f>Coins!D942</f>
        <v/>
      </c>
      <c r="E942" s="198" t="str">
        <f>Coins!E942</f>
        <v/>
      </c>
      <c r="F942" s="198" t="str">
        <f>Coins!F942</f>
        <v/>
      </c>
      <c r="G942" s="198" t="str">
        <f>Coins!G942</f>
        <v/>
      </c>
      <c r="H942" s="201" t="str">
        <f>if(Coins!H942="N/A",0,Coins!H942)</f>
        <v/>
      </c>
      <c r="I942" s="202" t="str">
        <f>Coins!I942</f>
        <v/>
      </c>
      <c r="J942" s="198" t="str">
        <f>Coins!J942</f>
        <v/>
      </c>
      <c r="K942" s="201" t="str">
        <f>Coins!K942</f>
        <v/>
      </c>
      <c r="L942" s="198" t="str">
        <f>Coins!L942</f>
        <v/>
      </c>
      <c r="M942" s="198"/>
      <c r="N942" s="198"/>
      <c r="P942" s="66" t="str">
        <f t="shared" si="4"/>
        <v/>
      </c>
    </row>
    <row r="943">
      <c r="A943" s="198" t="str">
        <f>Coins!A943</f>
        <v/>
      </c>
      <c r="B943" s="199" t="str">
        <f>Coins!B943</f>
        <v/>
      </c>
      <c r="C943" s="198" t="str">
        <f>Coins!C943</f>
        <v/>
      </c>
      <c r="D943" s="198" t="str">
        <f>Coins!D943</f>
        <v/>
      </c>
      <c r="E943" s="198" t="str">
        <f>Coins!E943</f>
        <v/>
      </c>
      <c r="F943" s="198" t="str">
        <f>Coins!F943</f>
        <v/>
      </c>
      <c r="G943" s="198" t="str">
        <f>Coins!G943</f>
        <v/>
      </c>
      <c r="H943" s="201" t="str">
        <f>if(Coins!H943="N/A",0,Coins!H943)</f>
        <v/>
      </c>
      <c r="I943" s="202" t="str">
        <f>Coins!I943</f>
        <v/>
      </c>
      <c r="J943" s="198" t="str">
        <f>Coins!J943</f>
        <v/>
      </c>
      <c r="K943" s="201" t="str">
        <f>Coins!K943</f>
        <v/>
      </c>
      <c r="L943" s="198" t="str">
        <f>Coins!L943</f>
        <v/>
      </c>
      <c r="M943" s="198"/>
      <c r="N943" s="198"/>
      <c r="P943" s="66" t="str">
        <f t="shared" si="4"/>
        <v/>
      </c>
    </row>
    <row r="944">
      <c r="A944" s="198" t="str">
        <f>Coins!A944</f>
        <v/>
      </c>
      <c r="B944" s="199" t="str">
        <f>Coins!B944</f>
        <v/>
      </c>
      <c r="C944" s="198" t="str">
        <f>Coins!C944</f>
        <v/>
      </c>
      <c r="D944" s="198" t="str">
        <f>Coins!D944</f>
        <v/>
      </c>
      <c r="E944" s="198" t="str">
        <f>Coins!E944</f>
        <v/>
      </c>
      <c r="F944" s="198" t="str">
        <f>Coins!F944</f>
        <v/>
      </c>
      <c r="G944" s="198" t="str">
        <f>Coins!G944</f>
        <v/>
      </c>
      <c r="H944" s="201" t="str">
        <f>if(Coins!H944="N/A",0,Coins!H944)</f>
        <v/>
      </c>
      <c r="I944" s="202" t="str">
        <f>Coins!I944</f>
        <v/>
      </c>
      <c r="J944" s="198" t="str">
        <f>Coins!J944</f>
        <v/>
      </c>
      <c r="K944" s="201" t="str">
        <f>Coins!K944</f>
        <v/>
      </c>
      <c r="L944" s="198" t="str">
        <f>Coins!L944</f>
        <v/>
      </c>
      <c r="M944" s="198"/>
      <c r="N944" s="198"/>
      <c r="P944" s="66" t="str">
        <f t="shared" si="4"/>
        <v/>
      </c>
    </row>
    <row r="945">
      <c r="A945" s="198" t="str">
        <f>Coins!A945</f>
        <v/>
      </c>
      <c r="B945" s="199" t="str">
        <f>Coins!B945</f>
        <v/>
      </c>
      <c r="C945" s="198" t="str">
        <f>Coins!C945</f>
        <v/>
      </c>
      <c r="D945" s="198" t="str">
        <f>Coins!D945</f>
        <v/>
      </c>
      <c r="E945" s="198" t="str">
        <f>Coins!E945</f>
        <v/>
      </c>
      <c r="F945" s="198" t="str">
        <f>Coins!F945</f>
        <v/>
      </c>
      <c r="G945" s="198" t="str">
        <f>Coins!G945</f>
        <v/>
      </c>
      <c r="H945" s="201" t="str">
        <f>if(Coins!H945="N/A",0,Coins!H945)</f>
        <v/>
      </c>
      <c r="I945" s="202" t="str">
        <f>Coins!I945</f>
        <v/>
      </c>
      <c r="J945" s="198" t="str">
        <f>Coins!J945</f>
        <v/>
      </c>
      <c r="K945" s="201" t="str">
        <f>Coins!K945</f>
        <v/>
      </c>
      <c r="L945" s="198" t="str">
        <f>Coins!L945</f>
        <v/>
      </c>
      <c r="M945" s="198"/>
      <c r="N945" s="198"/>
      <c r="P945" s="66" t="str">
        <f t="shared" si="4"/>
        <v/>
      </c>
    </row>
    <row r="946">
      <c r="A946" s="198" t="str">
        <f>Coins!A946</f>
        <v/>
      </c>
      <c r="B946" s="199" t="str">
        <f>Coins!B946</f>
        <v/>
      </c>
      <c r="C946" s="198" t="str">
        <f>Coins!C946</f>
        <v/>
      </c>
      <c r="D946" s="198" t="str">
        <f>Coins!D946</f>
        <v/>
      </c>
      <c r="E946" s="198" t="str">
        <f>Coins!E946</f>
        <v/>
      </c>
      <c r="F946" s="198" t="str">
        <f>Coins!F946</f>
        <v/>
      </c>
      <c r="G946" s="198" t="str">
        <f>Coins!G946</f>
        <v/>
      </c>
      <c r="H946" s="201" t="str">
        <f>if(Coins!H946="N/A",0,Coins!H946)</f>
        <v/>
      </c>
      <c r="I946" s="202" t="str">
        <f>Coins!I946</f>
        <v/>
      </c>
      <c r="J946" s="198" t="str">
        <f>Coins!J946</f>
        <v/>
      </c>
      <c r="K946" s="201" t="str">
        <f>Coins!K946</f>
        <v/>
      </c>
      <c r="L946" s="198" t="str">
        <f>Coins!L946</f>
        <v/>
      </c>
      <c r="M946" s="198"/>
      <c r="N946" s="198"/>
      <c r="P946" s="66" t="str">
        <f t="shared" si="4"/>
        <v/>
      </c>
    </row>
    <row r="947">
      <c r="A947" s="198" t="str">
        <f>Coins!A947</f>
        <v/>
      </c>
      <c r="B947" s="199" t="str">
        <f>Coins!B947</f>
        <v/>
      </c>
      <c r="C947" s="198" t="str">
        <f>Coins!C947</f>
        <v/>
      </c>
      <c r="D947" s="198" t="str">
        <f>Coins!D947</f>
        <v/>
      </c>
      <c r="E947" s="198" t="str">
        <f>Coins!E947</f>
        <v/>
      </c>
      <c r="F947" s="198" t="str">
        <f>Coins!F947</f>
        <v/>
      </c>
      <c r="G947" s="198" t="str">
        <f>Coins!G947</f>
        <v/>
      </c>
      <c r="H947" s="201" t="str">
        <f>if(Coins!H947="N/A",0,Coins!H947)</f>
        <v/>
      </c>
      <c r="I947" s="202" t="str">
        <f>Coins!I947</f>
        <v/>
      </c>
      <c r="J947" s="198" t="str">
        <f>Coins!J947</f>
        <v/>
      </c>
      <c r="K947" s="201" t="str">
        <f>Coins!K947</f>
        <v/>
      </c>
      <c r="L947" s="198" t="str">
        <f>Coins!L947</f>
        <v/>
      </c>
      <c r="M947" s="198"/>
      <c r="N947" s="198"/>
      <c r="P947" s="66" t="str">
        <f t="shared" si="4"/>
        <v/>
      </c>
    </row>
    <row r="948">
      <c r="A948" s="198" t="str">
        <f>Coins!A948</f>
        <v/>
      </c>
      <c r="B948" s="199" t="str">
        <f>Coins!B948</f>
        <v/>
      </c>
      <c r="C948" s="198" t="str">
        <f>Coins!C948</f>
        <v/>
      </c>
      <c r="D948" s="198" t="str">
        <f>Coins!D948</f>
        <v/>
      </c>
      <c r="E948" s="198" t="str">
        <f>Coins!E948</f>
        <v/>
      </c>
      <c r="F948" s="198" t="str">
        <f>Coins!F948</f>
        <v/>
      </c>
      <c r="G948" s="198" t="str">
        <f>Coins!G948</f>
        <v/>
      </c>
      <c r="H948" s="201" t="str">
        <f>if(Coins!H948="N/A",0,Coins!H948)</f>
        <v/>
      </c>
      <c r="I948" s="202" t="str">
        <f>Coins!I948</f>
        <v/>
      </c>
      <c r="J948" s="198" t="str">
        <f>Coins!J948</f>
        <v/>
      </c>
      <c r="K948" s="201" t="str">
        <f>Coins!K948</f>
        <v/>
      </c>
      <c r="L948" s="198" t="str">
        <f>Coins!L948</f>
        <v/>
      </c>
      <c r="M948" s="198"/>
      <c r="N948" s="198"/>
      <c r="P948" s="66" t="str">
        <f t="shared" si="4"/>
        <v/>
      </c>
    </row>
    <row r="949">
      <c r="A949" s="198" t="str">
        <f>Coins!A949</f>
        <v/>
      </c>
      <c r="B949" s="199" t="str">
        <f>Coins!B949</f>
        <v/>
      </c>
      <c r="C949" s="198" t="str">
        <f>Coins!C949</f>
        <v/>
      </c>
      <c r="D949" s="198" t="str">
        <f>Coins!D949</f>
        <v/>
      </c>
      <c r="E949" s="198" t="str">
        <f>Coins!E949</f>
        <v/>
      </c>
      <c r="F949" s="198" t="str">
        <f>Coins!F949</f>
        <v/>
      </c>
      <c r="G949" s="198" t="str">
        <f>Coins!G949</f>
        <v/>
      </c>
      <c r="H949" s="201" t="str">
        <f>if(Coins!H949="N/A",0,Coins!H949)</f>
        <v/>
      </c>
      <c r="I949" s="202" t="str">
        <f>Coins!I949</f>
        <v/>
      </c>
      <c r="J949" s="198" t="str">
        <f>Coins!J949</f>
        <v/>
      </c>
      <c r="K949" s="201" t="str">
        <f>Coins!K949</f>
        <v/>
      </c>
      <c r="L949" s="198" t="str">
        <f>Coins!L949</f>
        <v/>
      </c>
      <c r="M949" s="198"/>
      <c r="N949" s="198"/>
      <c r="P949" s="66" t="str">
        <f t="shared" si="4"/>
        <v/>
      </c>
    </row>
    <row r="950">
      <c r="A950" s="198" t="str">
        <f>Coins!A950</f>
        <v/>
      </c>
      <c r="B950" s="199" t="str">
        <f>Coins!B950</f>
        <v/>
      </c>
      <c r="C950" s="198" t="str">
        <f>Coins!C950</f>
        <v/>
      </c>
      <c r="D950" s="198" t="str">
        <f>Coins!D950</f>
        <v/>
      </c>
      <c r="E950" s="198" t="str">
        <f>Coins!E950</f>
        <v/>
      </c>
      <c r="F950" s="198" t="str">
        <f>Coins!F950</f>
        <v/>
      </c>
      <c r="G950" s="198" t="str">
        <f>Coins!G950</f>
        <v/>
      </c>
      <c r="H950" s="201" t="str">
        <f>if(Coins!H950="N/A",0,Coins!H950)</f>
        <v/>
      </c>
      <c r="I950" s="202" t="str">
        <f>Coins!I950</f>
        <v/>
      </c>
      <c r="J950" s="198" t="str">
        <f>Coins!J950</f>
        <v/>
      </c>
      <c r="K950" s="201" t="str">
        <f>Coins!K950</f>
        <v/>
      </c>
      <c r="L950" s="198" t="str">
        <f>Coins!L950</f>
        <v/>
      </c>
      <c r="M950" s="198"/>
      <c r="N950" s="198"/>
      <c r="P950" s="66" t="str">
        <f t="shared" si="4"/>
        <v/>
      </c>
    </row>
    <row r="951">
      <c r="A951" s="198" t="str">
        <f>Coins!A951</f>
        <v/>
      </c>
      <c r="B951" s="199" t="str">
        <f>Coins!B951</f>
        <v/>
      </c>
      <c r="C951" s="198" t="str">
        <f>Coins!C951</f>
        <v/>
      </c>
      <c r="D951" s="198" t="str">
        <f>Coins!D951</f>
        <v/>
      </c>
      <c r="E951" s="198" t="str">
        <f>Coins!E951</f>
        <v/>
      </c>
      <c r="F951" s="198" t="str">
        <f>Coins!F951</f>
        <v/>
      </c>
      <c r="G951" s="198" t="str">
        <f>Coins!G951</f>
        <v/>
      </c>
      <c r="H951" s="201" t="str">
        <f>if(Coins!H951="N/A",0,Coins!H951)</f>
        <v/>
      </c>
      <c r="I951" s="202" t="str">
        <f>Coins!I951</f>
        <v/>
      </c>
      <c r="J951" s="198" t="str">
        <f>Coins!J951</f>
        <v/>
      </c>
      <c r="K951" s="201" t="str">
        <f>Coins!K951</f>
        <v/>
      </c>
      <c r="L951" s="198" t="str">
        <f>Coins!L951</f>
        <v/>
      </c>
      <c r="M951" s="198"/>
      <c r="N951" s="198"/>
      <c r="P951" s="66" t="str">
        <f t="shared" si="4"/>
        <v/>
      </c>
    </row>
    <row r="952">
      <c r="A952" s="198" t="str">
        <f>Coins!A952</f>
        <v/>
      </c>
      <c r="B952" s="199" t="str">
        <f>Coins!B952</f>
        <v/>
      </c>
      <c r="C952" s="198" t="str">
        <f>Coins!C952</f>
        <v/>
      </c>
      <c r="D952" s="198" t="str">
        <f>Coins!D952</f>
        <v/>
      </c>
      <c r="E952" s="198" t="str">
        <f>Coins!E952</f>
        <v/>
      </c>
      <c r="F952" s="198" t="str">
        <f>Coins!F952</f>
        <v/>
      </c>
      <c r="G952" s="198" t="str">
        <f>Coins!G952</f>
        <v/>
      </c>
      <c r="H952" s="201" t="str">
        <f>if(Coins!H952="N/A",0,Coins!H952)</f>
        <v/>
      </c>
      <c r="I952" s="202" t="str">
        <f>Coins!I952</f>
        <v/>
      </c>
      <c r="J952" s="198" t="str">
        <f>Coins!J952</f>
        <v/>
      </c>
      <c r="K952" s="201" t="str">
        <f>Coins!K952</f>
        <v/>
      </c>
      <c r="L952" s="198" t="str">
        <f>Coins!L952</f>
        <v/>
      </c>
      <c r="M952" s="198"/>
      <c r="N952" s="198"/>
      <c r="P952" s="66" t="str">
        <f t="shared" si="4"/>
        <v/>
      </c>
    </row>
    <row r="953">
      <c r="A953" s="198" t="str">
        <f>Coins!A953</f>
        <v/>
      </c>
      <c r="B953" s="199" t="str">
        <f>Coins!B953</f>
        <v/>
      </c>
      <c r="C953" s="198" t="str">
        <f>Coins!C953</f>
        <v/>
      </c>
      <c r="D953" s="198" t="str">
        <f>Coins!D953</f>
        <v/>
      </c>
      <c r="E953" s="198" t="str">
        <f>Coins!E953</f>
        <v/>
      </c>
      <c r="F953" s="198" t="str">
        <f>Coins!F953</f>
        <v/>
      </c>
      <c r="G953" s="198" t="str">
        <f>Coins!G953</f>
        <v/>
      </c>
      <c r="H953" s="201" t="str">
        <f>if(Coins!H953="N/A",0,Coins!H953)</f>
        <v/>
      </c>
      <c r="I953" s="202" t="str">
        <f>Coins!I953</f>
        <v/>
      </c>
      <c r="J953" s="198" t="str">
        <f>Coins!J953</f>
        <v/>
      </c>
      <c r="K953" s="201" t="str">
        <f>Coins!K953</f>
        <v/>
      </c>
      <c r="L953" s="198" t="str">
        <f>Coins!L953</f>
        <v/>
      </c>
      <c r="M953" s="198"/>
      <c r="N953" s="198"/>
      <c r="P953" s="66" t="str">
        <f t="shared" si="4"/>
        <v/>
      </c>
    </row>
    <row r="954">
      <c r="A954" s="198" t="str">
        <f>Coins!A954</f>
        <v/>
      </c>
      <c r="B954" s="199" t="str">
        <f>Coins!B954</f>
        <v/>
      </c>
      <c r="C954" s="198" t="str">
        <f>Coins!C954</f>
        <v/>
      </c>
      <c r="D954" s="198" t="str">
        <f>Coins!D954</f>
        <v/>
      </c>
      <c r="E954" s="198" t="str">
        <f>Coins!E954</f>
        <v/>
      </c>
      <c r="F954" s="198" t="str">
        <f>Coins!F954</f>
        <v/>
      </c>
      <c r="G954" s="198" t="str">
        <f>Coins!G954</f>
        <v/>
      </c>
      <c r="H954" s="201" t="str">
        <f>if(Coins!H954="N/A",0,Coins!H954)</f>
        <v/>
      </c>
      <c r="I954" s="202" t="str">
        <f>Coins!I954</f>
        <v/>
      </c>
      <c r="J954" s="198" t="str">
        <f>Coins!J954</f>
        <v/>
      </c>
      <c r="K954" s="201" t="str">
        <f>Coins!K954</f>
        <v/>
      </c>
      <c r="L954" s="198" t="str">
        <f>Coins!L954</f>
        <v/>
      </c>
      <c r="M954" s="198"/>
      <c r="N954" s="198"/>
      <c r="P954" s="66" t="str">
        <f t="shared" si="4"/>
        <v/>
      </c>
    </row>
    <row r="955">
      <c r="A955" s="198" t="str">
        <f>Coins!A955</f>
        <v/>
      </c>
      <c r="B955" s="199" t="str">
        <f>Coins!B955</f>
        <v/>
      </c>
      <c r="C955" s="198" t="str">
        <f>Coins!C955</f>
        <v/>
      </c>
      <c r="D955" s="198" t="str">
        <f>Coins!D955</f>
        <v/>
      </c>
      <c r="E955" s="198" t="str">
        <f>Coins!E955</f>
        <v/>
      </c>
      <c r="F955" s="198" t="str">
        <f>Coins!F955</f>
        <v/>
      </c>
      <c r="G955" s="198" t="str">
        <f>Coins!G955</f>
        <v/>
      </c>
      <c r="H955" s="201" t="str">
        <f>if(Coins!H955="N/A",0,Coins!H955)</f>
        <v/>
      </c>
      <c r="I955" s="202" t="str">
        <f>Coins!I955</f>
        <v/>
      </c>
      <c r="J955" s="198" t="str">
        <f>Coins!J955</f>
        <v/>
      </c>
      <c r="K955" s="201" t="str">
        <f>Coins!K955</f>
        <v/>
      </c>
      <c r="L955" s="198" t="str">
        <f>Coins!L955</f>
        <v/>
      </c>
      <c r="M955" s="198"/>
      <c r="N955" s="198"/>
      <c r="P955" s="66" t="str">
        <f t="shared" si="4"/>
        <v/>
      </c>
    </row>
    <row r="956">
      <c r="A956" s="198" t="str">
        <f>Coins!A956</f>
        <v/>
      </c>
      <c r="B956" s="199" t="str">
        <f>Coins!B956</f>
        <v/>
      </c>
      <c r="C956" s="198" t="str">
        <f>Coins!C956</f>
        <v/>
      </c>
      <c r="D956" s="198" t="str">
        <f>Coins!D956</f>
        <v/>
      </c>
      <c r="E956" s="198" t="str">
        <f>Coins!E956</f>
        <v/>
      </c>
      <c r="F956" s="198" t="str">
        <f>Coins!F956</f>
        <v/>
      </c>
      <c r="G956" s="198" t="str">
        <f>Coins!G956</f>
        <v/>
      </c>
      <c r="H956" s="201" t="str">
        <f>if(Coins!H956="N/A",0,Coins!H956)</f>
        <v/>
      </c>
      <c r="I956" s="202" t="str">
        <f>Coins!I956</f>
        <v/>
      </c>
      <c r="J956" s="198" t="str">
        <f>Coins!J956</f>
        <v/>
      </c>
      <c r="K956" s="201" t="str">
        <f>Coins!K956</f>
        <v/>
      </c>
      <c r="L956" s="198" t="str">
        <f>Coins!L956</f>
        <v/>
      </c>
      <c r="M956" s="198"/>
      <c r="N956" s="198"/>
      <c r="P956" s="66" t="str">
        <f t="shared" si="4"/>
        <v/>
      </c>
    </row>
    <row r="957">
      <c r="A957" s="198" t="str">
        <f>Coins!A957</f>
        <v/>
      </c>
      <c r="B957" s="199" t="str">
        <f>Coins!B957</f>
        <v/>
      </c>
      <c r="C957" s="198" t="str">
        <f>Coins!C957</f>
        <v/>
      </c>
      <c r="D957" s="198" t="str">
        <f>Coins!D957</f>
        <v/>
      </c>
      <c r="E957" s="198" t="str">
        <f>Coins!E957</f>
        <v/>
      </c>
      <c r="F957" s="198" t="str">
        <f>Coins!F957</f>
        <v/>
      </c>
      <c r="G957" s="198" t="str">
        <f>Coins!G957</f>
        <v/>
      </c>
      <c r="H957" s="201" t="str">
        <f>if(Coins!H957="N/A",0,Coins!H957)</f>
        <v/>
      </c>
      <c r="I957" s="202" t="str">
        <f>Coins!I957</f>
        <v/>
      </c>
      <c r="J957" s="198" t="str">
        <f>Coins!J957</f>
        <v/>
      </c>
      <c r="K957" s="201" t="str">
        <f>Coins!K957</f>
        <v/>
      </c>
      <c r="L957" s="198" t="str">
        <f>Coins!L957</f>
        <v/>
      </c>
      <c r="M957" s="198"/>
      <c r="N957" s="198"/>
      <c r="P957" s="66" t="str">
        <f t="shared" si="4"/>
        <v/>
      </c>
    </row>
    <row r="958">
      <c r="A958" s="198" t="str">
        <f>Coins!A958</f>
        <v/>
      </c>
      <c r="B958" s="199" t="str">
        <f>Coins!B958</f>
        <v/>
      </c>
      <c r="C958" s="198" t="str">
        <f>Coins!C958</f>
        <v/>
      </c>
      <c r="D958" s="198" t="str">
        <f>Coins!D958</f>
        <v/>
      </c>
      <c r="E958" s="198" t="str">
        <f>Coins!E958</f>
        <v/>
      </c>
      <c r="F958" s="198" t="str">
        <f>Coins!F958</f>
        <v/>
      </c>
      <c r="G958" s="198" t="str">
        <f>Coins!G958</f>
        <v/>
      </c>
      <c r="H958" s="201" t="str">
        <f>if(Coins!H958="N/A",0,Coins!H958)</f>
        <v/>
      </c>
      <c r="I958" s="202" t="str">
        <f>Coins!I958</f>
        <v/>
      </c>
      <c r="J958" s="198" t="str">
        <f>Coins!J958</f>
        <v/>
      </c>
      <c r="K958" s="201" t="str">
        <f>Coins!K958</f>
        <v/>
      </c>
      <c r="L958" s="198" t="str">
        <f>Coins!L958</f>
        <v/>
      </c>
      <c r="M958" s="198"/>
      <c r="N958" s="198"/>
      <c r="P958" s="66" t="str">
        <f t="shared" si="4"/>
        <v/>
      </c>
    </row>
    <row r="959">
      <c r="A959" s="198" t="str">
        <f>Coins!A959</f>
        <v/>
      </c>
      <c r="B959" s="199" t="str">
        <f>Coins!B959</f>
        <v/>
      </c>
      <c r="C959" s="198" t="str">
        <f>Coins!C959</f>
        <v/>
      </c>
      <c r="D959" s="198" t="str">
        <f>Coins!D959</f>
        <v/>
      </c>
      <c r="E959" s="198" t="str">
        <f>Coins!E959</f>
        <v/>
      </c>
      <c r="F959" s="198" t="str">
        <f>Coins!F959</f>
        <v/>
      </c>
      <c r="G959" s="198" t="str">
        <f>Coins!G959</f>
        <v/>
      </c>
      <c r="H959" s="201" t="str">
        <f>if(Coins!H959="N/A",0,Coins!H959)</f>
        <v/>
      </c>
      <c r="I959" s="202" t="str">
        <f>Coins!I959</f>
        <v/>
      </c>
      <c r="J959" s="198" t="str">
        <f>Coins!J959</f>
        <v/>
      </c>
      <c r="K959" s="201" t="str">
        <f>Coins!K959</f>
        <v/>
      </c>
      <c r="L959" s="198" t="str">
        <f>Coins!L959</f>
        <v/>
      </c>
      <c r="M959" s="198"/>
      <c r="N959" s="198"/>
      <c r="P959" s="66" t="str">
        <f t="shared" si="4"/>
        <v/>
      </c>
    </row>
    <row r="960">
      <c r="A960" s="198" t="str">
        <f>Coins!A960</f>
        <v/>
      </c>
      <c r="B960" s="199" t="str">
        <f>Coins!B960</f>
        <v/>
      </c>
      <c r="C960" s="198" t="str">
        <f>Coins!C960</f>
        <v/>
      </c>
      <c r="D960" s="198" t="str">
        <f>Coins!D960</f>
        <v/>
      </c>
      <c r="E960" s="198" t="str">
        <f>Coins!E960</f>
        <v/>
      </c>
      <c r="F960" s="198" t="str">
        <f>Coins!F960</f>
        <v/>
      </c>
      <c r="G960" s="198" t="str">
        <f>Coins!G960</f>
        <v/>
      </c>
      <c r="H960" s="201" t="str">
        <f>if(Coins!H960="N/A",0,Coins!H960)</f>
        <v/>
      </c>
      <c r="I960" s="202" t="str">
        <f>Coins!I960</f>
        <v/>
      </c>
      <c r="J960" s="198" t="str">
        <f>Coins!J960</f>
        <v/>
      </c>
      <c r="K960" s="201" t="str">
        <f>Coins!K960</f>
        <v/>
      </c>
      <c r="L960" s="198" t="str">
        <f>Coins!L960</f>
        <v/>
      </c>
      <c r="M960" s="198"/>
      <c r="N960" s="198"/>
      <c r="P960" s="66" t="str">
        <f t="shared" si="4"/>
        <v/>
      </c>
    </row>
    <row r="961">
      <c r="A961" s="198" t="str">
        <f>Coins!A961</f>
        <v/>
      </c>
      <c r="B961" s="199" t="str">
        <f>Coins!B961</f>
        <v/>
      </c>
      <c r="C961" s="198" t="str">
        <f>Coins!C961</f>
        <v/>
      </c>
      <c r="D961" s="198" t="str">
        <f>Coins!D961</f>
        <v/>
      </c>
      <c r="E961" s="198" t="str">
        <f>Coins!E961</f>
        <v/>
      </c>
      <c r="F961" s="198" t="str">
        <f>Coins!F961</f>
        <v/>
      </c>
      <c r="G961" s="198" t="str">
        <f>Coins!G961</f>
        <v/>
      </c>
      <c r="H961" s="201" t="str">
        <f>if(Coins!H961="N/A",0,Coins!H961)</f>
        <v/>
      </c>
      <c r="I961" s="202" t="str">
        <f>Coins!I961</f>
        <v/>
      </c>
      <c r="J961" s="198" t="str">
        <f>Coins!J961</f>
        <v/>
      </c>
      <c r="K961" s="201" t="str">
        <f>Coins!K961</f>
        <v/>
      </c>
      <c r="L961" s="198" t="str">
        <f>Coins!L961</f>
        <v/>
      </c>
      <c r="M961" s="198"/>
      <c r="N961" s="198"/>
      <c r="P961" s="66" t="str">
        <f t="shared" si="4"/>
        <v/>
      </c>
    </row>
    <row r="962">
      <c r="A962" s="198" t="str">
        <f>Coins!A962</f>
        <v/>
      </c>
      <c r="B962" s="199" t="str">
        <f>Coins!B962</f>
        <v/>
      </c>
      <c r="C962" s="198" t="str">
        <f>Coins!C962</f>
        <v/>
      </c>
      <c r="D962" s="198" t="str">
        <f>Coins!D962</f>
        <v/>
      </c>
      <c r="E962" s="198" t="str">
        <f>Coins!E962</f>
        <v/>
      </c>
      <c r="F962" s="198" t="str">
        <f>Coins!F962</f>
        <v/>
      </c>
      <c r="G962" s="198" t="str">
        <f>Coins!G962</f>
        <v/>
      </c>
      <c r="H962" s="201" t="str">
        <f>if(Coins!H962="N/A",0,Coins!H962)</f>
        <v/>
      </c>
      <c r="I962" s="202" t="str">
        <f>Coins!I962</f>
        <v/>
      </c>
      <c r="J962" s="198" t="str">
        <f>Coins!J962</f>
        <v/>
      </c>
      <c r="K962" s="201" t="str">
        <f>Coins!K962</f>
        <v/>
      </c>
      <c r="L962" s="198" t="str">
        <f>Coins!L962</f>
        <v/>
      </c>
      <c r="M962" s="198"/>
      <c r="N962" s="198"/>
      <c r="P962" s="66" t="str">
        <f t="shared" si="4"/>
        <v/>
      </c>
    </row>
    <row r="963">
      <c r="A963" s="198" t="str">
        <f>Coins!A963</f>
        <v/>
      </c>
      <c r="B963" s="199" t="str">
        <f>Coins!B963</f>
        <v/>
      </c>
      <c r="C963" s="198" t="str">
        <f>Coins!C963</f>
        <v/>
      </c>
      <c r="D963" s="198" t="str">
        <f>Coins!D963</f>
        <v/>
      </c>
      <c r="E963" s="198" t="str">
        <f>Coins!E963</f>
        <v/>
      </c>
      <c r="F963" s="198" t="str">
        <f>Coins!F963</f>
        <v/>
      </c>
      <c r="G963" s="198" t="str">
        <f>Coins!G963</f>
        <v/>
      </c>
      <c r="H963" s="201" t="str">
        <f>if(Coins!H963="N/A",0,Coins!H963)</f>
        <v/>
      </c>
      <c r="I963" s="202" t="str">
        <f>Coins!I963</f>
        <v/>
      </c>
      <c r="J963" s="198" t="str">
        <f>Coins!J963</f>
        <v/>
      </c>
      <c r="K963" s="201" t="str">
        <f>Coins!K963</f>
        <v/>
      </c>
      <c r="L963" s="198" t="str">
        <f>Coins!L963</f>
        <v/>
      </c>
      <c r="M963" s="198"/>
      <c r="N963" s="198"/>
      <c r="P963" s="66" t="str">
        <f t="shared" si="4"/>
        <v/>
      </c>
    </row>
    <row r="964">
      <c r="A964" s="198" t="str">
        <f>Coins!A964</f>
        <v/>
      </c>
      <c r="B964" s="199" t="str">
        <f>Coins!B964</f>
        <v/>
      </c>
      <c r="C964" s="198" t="str">
        <f>Coins!C964</f>
        <v/>
      </c>
      <c r="D964" s="198" t="str">
        <f>Coins!D964</f>
        <v/>
      </c>
      <c r="E964" s="198" t="str">
        <f>Coins!E964</f>
        <v/>
      </c>
      <c r="F964" s="198" t="str">
        <f>Coins!F964</f>
        <v/>
      </c>
      <c r="G964" s="198" t="str">
        <f>Coins!G964</f>
        <v/>
      </c>
      <c r="H964" s="201" t="str">
        <f>if(Coins!H964="N/A",0,Coins!H964)</f>
        <v/>
      </c>
      <c r="I964" s="202" t="str">
        <f>Coins!I964</f>
        <v/>
      </c>
      <c r="J964" s="198" t="str">
        <f>Coins!J964</f>
        <v/>
      </c>
      <c r="K964" s="201" t="str">
        <f>Coins!K964</f>
        <v/>
      </c>
      <c r="L964" s="198" t="str">
        <f>Coins!L964</f>
        <v/>
      </c>
      <c r="M964" s="198"/>
      <c r="N964" s="198"/>
      <c r="P964" s="66" t="str">
        <f t="shared" si="4"/>
        <v/>
      </c>
    </row>
    <row r="965">
      <c r="A965" s="198" t="str">
        <f>Coins!A965</f>
        <v/>
      </c>
      <c r="B965" s="199" t="str">
        <f>Coins!B965</f>
        <v/>
      </c>
      <c r="C965" s="198" t="str">
        <f>Coins!C965</f>
        <v/>
      </c>
      <c r="D965" s="198" t="str">
        <f>Coins!D965</f>
        <v/>
      </c>
      <c r="E965" s="198" t="str">
        <f>Coins!E965</f>
        <v/>
      </c>
      <c r="F965" s="198" t="str">
        <f>Coins!F965</f>
        <v/>
      </c>
      <c r="G965" s="198" t="str">
        <f>Coins!G965</f>
        <v/>
      </c>
      <c r="H965" s="201" t="str">
        <f>if(Coins!H965="N/A",0,Coins!H965)</f>
        <v/>
      </c>
      <c r="I965" s="202" t="str">
        <f>Coins!I965</f>
        <v/>
      </c>
      <c r="J965" s="198" t="str">
        <f>Coins!J965</f>
        <v/>
      </c>
      <c r="K965" s="201" t="str">
        <f>Coins!K965</f>
        <v/>
      </c>
      <c r="L965" s="198" t="str">
        <f>Coins!L965</f>
        <v/>
      </c>
      <c r="M965" s="198"/>
      <c r="N965" s="198"/>
      <c r="P965" s="66" t="str">
        <f t="shared" si="4"/>
        <v/>
      </c>
    </row>
    <row r="966">
      <c r="A966" s="198" t="str">
        <f>Coins!A966</f>
        <v/>
      </c>
      <c r="B966" s="199" t="str">
        <f>Coins!B966</f>
        <v/>
      </c>
      <c r="C966" s="198" t="str">
        <f>Coins!C966</f>
        <v/>
      </c>
      <c r="D966" s="198" t="str">
        <f>Coins!D966</f>
        <v/>
      </c>
      <c r="E966" s="198" t="str">
        <f>Coins!E966</f>
        <v/>
      </c>
      <c r="F966" s="198" t="str">
        <f>Coins!F966</f>
        <v/>
      </c>
      <c r="G966" s="198" t="str">
        <f>Coins!G966</f>
        <v/>
      </c>
      <c r="H966" s="201" t="str">
        <f>if(Coins!H966="N/A",0,Coins!H966)</f>
        <v/>
      </c>
      <c r="I966" s="202" t="str">
        <f>Coins!I966</f>
        <v/>
      </c>
      <c r="J966" s="198" t="str">
        <f>Coins!J966</f>
        <v/>
      </c>
      <c r="K966" s="201" t="str">
        <f>Coins!K966</f>
        <v/>
      </c>
      <c r="L966" s="198" t="str">
        <f>Coins!L966</f>
        <v/>
      </c>
      <c r="M966" s="198"/>
      <c r="N966" s="198"/>
      <c r="P966" s="66" t="str">
        <f t="shared" si="4"/>
        <v/>
      </c>
    </row>
    <row r="967">
      <c r="A967" s="198" t="str">
        <f>Coins!A967</f>
        <v/>
      </c>
      <c r="B967" s="199" t="str">
        <f>Coins!B967</f>
        <v/>
      </c>
      <c r="C967" s="198" t="str">
        <f>Coins!C967</f>
        <v/>
      </c>
      <c r="D967" s="198" t="str">
        <f>Coins!D967</f>
        <v/>
      </c>
      <c r="E967" s="198" t="str">
        <f>Coins!E967</f>
        <v/>
      </c>
      <c r="F967" s="198" t="str">
        <f>Coins!F967</f>
        <v/>
      </c>
      <c r="G967" s="198" t="str">
        <f>Coins!G967</f>
        <v/>
      </c>
      <c r="H967" s="201" t="str">
        <f>if(Coins!H967="N/A",0,Coins!H967)</f>
        <v/>
      </c>
      <c r="I967" s="202" t="str">
        <f>Coins!I967</f>
        <v/>
      </c>
      <c r="J967" s="198" t="str">
        <f>Coins!J967</f>
        <v/>
      </c>
      <c r="K967" s="201" t="str">
        <f>Coins!K967</f>
        <v/>
      </c>
      <c r="L967" s="198" t="str">
        <f>Coins!L967</f>
        <v/>
      </c>
      <c r="M967" s="198"/>
      <c r="N967" s="198"/>
      <c r="P967" s="66" t="str">
        <f t="shared" si="4"/>
        <v/>
      </c>
    </row>
    <row r="968">
      <c r="A968" s="198" t="str">
        <f>Coins!A968</f>
        <v/>
      </c>
      <c r="B968" s="199" t="str">
        <f>Coins!B968</f>
        <v/>
      </c>
      <c r="C968" s="198" t="str">
        <f>Coins!C968</f>
        <v/>
      </c>
      <c r="D968" s="198" t="str">
        <f>Coins!D968</f>
        <v/>
      </c>
      <c r="E968" s="198" t="str">
        <f>Coins!E968</f>
        <v/>
      </c>
      <c r="F968" s="198" t="str">
        <f>Coins!F968</f>
        <v/>
      </c>
      <c r="G968" s="198" t="str">
        <f>Coins!G968</f>
        <v/>
      </c>
      <c r="H968" s="201" t="str">
        <f>if(Coins!H968="N/A",0,Coins!H968)</f>
        <v/>
      </c>
      <c r="I968" s="202" t="str">
        <f>Coins!I968</f>
        <v/>
      </c>
      <c r="J968" s="198" t="str">
        <f>Coins!J968</f>
        <v/>
      </c>
      <c r="K968" s="201" t="str">
        <f>Coins!K968</f>
        <v/>
      </c>
      <c r="L968" s="198" t="str">
        <f>Coins!L968</f>
        <v/>
      </c>
      <c r="M968" s="198"/>
      <c r="N968" s="198"/>
      <c r="P968" s="66" t="str">
        <f t="shared" si="4"/>
        <v/>
      </c>
    </row>
    <row r="969">
      <c r="A969" s="198" t="str">
        <f>Coins!A969</f>
        <v/>
      </c>
      <c r="B969" s="199" t="str">
        <f>Coins!B969</f>
        <v/>
      </c>
      <c r="C969" s="198" t="str">
        <f>Coins!C969</f>
        <v/>
      </c>
      <c r="D969" s="198" t="str">
        <f>Coins!D969</f>
        <v/>
      </c>
      <c r="E969" s="198" t="str">
        <f>Coins!E969</f>
        <v/>
      </c>
      <c r="F969" s="198" t="str">
        <f>Coins!F969</f>
        <v/>
      </c>
      <c r="G969" s="198" t="str">
        <f>Coins!G969</f>
        <v/>
      </c>
      <c r="H969" s="201" t="str">
        <f>if(Coins!H969="N/A",0,Coins!H969)</f>
        <v/>
      </c>
      <c r="I969" s="202" t="str">
        <f>Coins!I969</f>
        <v/>
      </c>
      <c r="J969" s="198" t="str">
        <f>Coins!J969</f>
        <v/>
      </c>
      <c r="K969" s="201" t="str">
        <f>Coins!K969</f>
        <v/>
      </c>
      <c r="L969" s="198" t="str">
        <f>Coins!L969</f>
        <v/>
      </c>
      <c r="M969" s="198"/>
      <c r="N969" s="198"/>
      <c r="P969" s="66" t="str">
        <f t="shared" si="4"/>
        <v/>
      </c>
    </row>
    <row r="970">
      <c r="A970" s="198" t="str">
        <f>Coins!A970</f>
        <v/>
      </c>
      <c r="B970" s="199" t="str">
        <f>Coins!B970</f>
        <v/>
      </c>
      <c r="C970" s="198" t="str">
        <f>Coins!C970</f>
        <v/>
      </c>
      <c r="D970" s="198" t="str">
        <f>Coins!D970</f>
        <v/>
      </c>
      <c r="E970" s="198" t="str">
        <f>Coins!E970</f>
        <v/>
      </c>
      <c r="F970" s="198" t="str">
        <f>Coins!F970</f>
        <v/>
      </c>
      <c r="G970" s="198" t="str">
        <f>Coins!G970</f>
        <v/>
      </c>
      <c r="H970" s="201" t="str">
        <f>if(Coins!H970="N/A",0,Coins!H970)</f>
        <v/>
      </c>
      <c r="I970" s="202" t="str">
        <f>Coins!I970</f>
        <v/>
      </c>
      <c r="J970" s="198" t="str">
        <f>Coins!J970</f>
        <v/>
      </c>
      <c r="K970" s="201" t="str">
        <f>Coins!K970</f>
        <v/>
      </c>
      <c r="L970" s="198" t="str">
        <f>Coins!L970</f>
        <v/>
      </c>
      <c r="M970" s="198"/>
      <c r="N970" s="198"/>
      <c r="P970" s="66" t="str">
        <f t="shared" si="4"/>
        <v/>
      </c>
    </row>
    <row r="971">
      <c r="A971" s="198" t="str">
        <f>Coins!A971</f>
        <v/>
      </c>
      <c r="B971" s="199" t="str">
        <f>Coins!B971</f>
        <v/>
      </c>
      <c r="C971" s="198" t="str">
        <f>Coins!C971</f>
        <v/>
      </c>
      <c r="D971" s="198" t="str">
        <f>Coins!D971</f>
        <v/>
      </c>
      <c r="E971" s="198" t="str">
        <f>Coins!E971</f>
        <v/>
      </c>
      <c r="F971" s="198" t="str">
        <f>Coins!F971</f>
        <v/>
      </c>
      <c r="G971" s="198" t="str">
        <f>Coins!G971</f>
        <v/>
      </c>
      <c r="H971" s="201" t="str">
        <f>if(Coins!H971="N/A",0,Coins!H971)</f>
        <v/>
      </c>
      <c r="I971" s="202" t="str">
        <f>Coins!I971</f>
        <v/>
      </c>
      <c r="J971" s="198" t="str">
        <f>Coins!J971</f>
        <v/>
      </c>
      <c r="K971" s="201" t="str">
        <f>Coins!K971</f>
        <v/>
      </c>
      <c r="L971" s="198" t="str">
        <f>Coins!L971</f>
        <v/>
      </c>
      <c r="M971" s="198"/>
      <c r="N971" s="198"/>
      <c r="P971" s="66" t="str">
        <f t="shared" si="4"/>
        <v/>
      </c>
    </row>
    <row r="972">
      <c r="A972" s="198" t="str">
        <f>Coins!A972</f>
        <v/>
      </c>
      <c r="B972" s="199" t="str">
        <f>Coins!B972</f>
        <v/>
      </c>
      <c r="C972" s="198" t="str">
        <f>Coins!C972</f>
        <v/>
      </c>
      <c r="D972" s="198" t="str">
        <f>Coins!D972</f>
        <v/>
      </c>
      <c r="E972" s="198" t="str">
        <f>Coins!E972</f>
        <v/>
      </c>
      <c r="F972" s="198" t="str">
        <f>Coins!F972</f>
        <v/>
      </c>
      <c r="G972" s="198" t="str">
        <f>Coins!G972</f>
        <v/>
      </c>
      <c r="H972" s="201" t="str">
        <f>if(Coins!H972="N/A",0,Coins!H972)</f>
        <v/>
      </c>
      <c r="I972" s="202" t="str">
        <f>Coins!I972</f>
        <v/>
      </c>
      <c r="J972" s="198" t="str">
        <f>Coins!J972</f>
        <v/>
      </c>
      <c r="K972" s="201" t="str">
        <f>Coins!K972</f>
        <v/>
      </c>
      <c r="L972" s="198" t="str">
        <f>Coins!L972</f>
        <v/>
      </c>
      <c r="M972" s="198"/>
      <c r="N972" s="198"/>
      <c r="P972" s="66" t="str">
        <f t="shared" si="4"/>
        <v/>
      </c>
    </row>
    <row r="973">
      <c r="A973" s="198" t="str">
        <f>Coins!A973</f>
        <v/>
      </c>
      <c r="B973" s="199" t="str">
        <f>Coins!B973</f>
        <v/>
      </c>
      <c r="C973" s="198" t="str">
        <f>Coins!C973</f>
        <v/>
      </c>
      <c r="D973" s="198" t="str">
        <f>Coins!D973</f>
        <v/>
      </c>
      <c r="E973" s="198" t="str">
        <f>Coins!E973</f>
        <v/>
      </c>
      <c r="F973" s="198" t="str">
        <f>Coins!F973</f>
        <v/>
      </c>
      <c r="G973" s="198" t="str">
        <f>Coins!G973</f>
        <v/>
      </c>
      <c r="H973" s="201" t="str">
        <f>if(Coins!H973="N/A",0,Coins!H973)</f>
        <v/>
      </c>
      <c r="I973" s="202" t="str">
        <f>Coins!I973</f>
        <v/>
      </c>
      <c r="J973" s="198" t="str">
        <f>Coins!J973</f>
        <v/>
      </c>
      <c r="K973" s="201" t="str">
        <f>Coins!K973</f>
        <v/>
      </c>
      <c r="L973" s="198" t="str">
        <f>Coins!L973</f>
        <v/>
      </c>
      <c r="M973" s="198"/>
      <c r="N973" s="198"/>
      <c r="P973" s="66" t="str">
        <f t="shared" si="4"/>
        <v/>
      </c>
    </row>
    <row r="974">
      <c r="A974" s="198" t="str">
        <f>Coins!A974</f>
        <v/>
      </c>
      <c r="B974" s="199" t="str">
        <f>Coins!B974</f>
        <v/>
      </c>
      <c r="C974" s="198" t="str">
        <f>Coins!C974</f>
        <v/>
      </c>
      <c r="D974" s="198" t="str">
        <f>Coins!D974</f>
        <v/>
      </c>
      <c r="E974" s="198" t="str">
        <f>Coins!E974</f>
        <v/>
      </c>
      <c r="F974" s="198" t="str">
        <f>Coins!F974</f>
        <v/>
      </c>
      <c r="G974" s="198" t="str">
        <f>Coins!G974</f>
        <v/>
      </c>
      <c r="H974" s="201" t="str">
        <f>if(Coins!H974="N/A",0,Coins!H974)</f>
        <v/>
      </c>
      <c r="I974" s="202" t="str">
        <f>Coins!I974</f>
        <v/>
      </c>
      <c r="J974" s="198" t="str">
        <f>Coins!J974</f>
        <v/>
      </c>
      <c r="K974" s="201" t="str">
        <f>Coins!K974</f>
        <v/>
      </c>
      <c r="L974" s="198" t="str">
        <f>Coins!L974</f>
        <v/>
      </c>
      <c r="M974" s="198"/>
      <c r="N974" s="198"/>
      <c r="P974" s="66" t="str">
        <f t="shared" si="4"/>
        <v/>
      </c>
    </row>
    <row r="975">
      <c r="A975" s="198" t="str">
        <f>Coins!A975</f>
        <v/>
      </c>
      <c r="B975" s="199" t="str">
        <f>Coins!B975</f>
        <v/>
      </c>
      <c r="C975" s="198" t="str">
        <f>Coins!C975</f>
        <v/>
      </c>
      <c r="D975" s="198" t="str">
        <f>Coins!D975</f>
        <v/>
      </c>
      <c r="E975" s="198" t="str">
        <f>Coins!E975</f>
        <v/>
      </c>
      <c r="F975" s="198" t="str">
        <f>Coins!F975</f>
        <v/>
      </c>
      <c r="G975" s="198" t="str">
        <f>Coins!G975</f>
        <v/>
      </c>
      <c r="H975" s="201" t="str">
        <f>if(Coins!H975="N/A",0,Coins!H975)</f>
        <v/>
      </c>
      <c r="I975" s="202" t="str">
        <f>Coins!I975</f>
        <v/>
      </c>
      <c r="J975" s="198" t="str">
        <f>Coins!J975</f>
        <v/>
      </c>
      <c r="K975" s="201" t="str">
        <f>Coins!K975</f>
        <v/>
      </c>
      <c r="L975" s="198" t="str">
        <f>Coins!L975</f>
        <v/>
      </c>
      <c r="M975" s="198"/>
      <c r="N975" s="198"/>
      <c r="P975" s="66" t="str">
        <f t="shared" si="4"/>
        <v/>
      </c>
    </row>
    <row r="976">
      <c r="A976" s="198" t="str">
        <f>Coins!A976</f>
        <v/>
      </c>
      <c r="B976" s="199" t="str">
        <f>Coins!B976</f>
        <v/>
      </c>
      <c r="C976" s="198" t="str">
        <f>Coins!C976</f>
        <v/>
      </c>
      <c r="D976" s="198" t="str">
        <f>Coins!D976</f>
        <v/>
      </c>
      <c r="E976" s="198" t="str">
        <f>Coins!E976</f>
        <v/>
      </c>
      <c r="F976" s="198" t="str">
        <f>Coins!F976</f>
        <v/>
      </c>
      <c r="G976" s="198" t="str">
        <f>Coins!G976</f>
        <v/>
      </c>
      <c r="H976" s="201" t="str">
        <f>if(Coins!H976="N/A",0,Coins!H976)</f>
        <v/>
      </c>
      <c r="I976" s="202" t="str">
        <f>Coins!I976</f>
        <v/>
      </c>
      <c r="J976" s="198" t="str">
        <f>Coins!J976</f>
        <v/>
      </c>
      <c r="K976" s="201" t="str">
        <f>Coins!K976</f>
        <v/>
      </c>
      <c r="L976" s="198" t="str">
        <f>Coins!L976</f>
        <v/>
      </c>
      <c r="M976" s="198"/>
      <c r="N976" s="198"/>
      <c r="P976" s="66" t="str">
        <f t="shared" si="4"/>
        <v/>
      </c>
    </row>
    <row r="977">
      <c r="A977" s="198" t="str">
        <f>Coins!A977</f>
        <v/>
      </c>
      <c r="B977" s="199" t="str">
        <f>Coins!B977</f>
        <v/>
      </c>
      <c r="C977" s="198" t="str">
        <f>Coins!C977</f>
        <v/>
      </c>
      <c r="D977" s="198" t="str">
        <f>Coins!D977</f>
        <v/>
      </c>
      <c r="E977" s="198" t="str">
        <f>Coins!E977</f>
        <v/>
      </c>
      <c r="F977" s="198" t="str">
        <f>Coins!F977</f>
        <v/>
      </c>
      <c r="G977" s="198" t="str">
        <f>Coins!G977</f>
        <v/>
      </c>
      <c r="H977" s="201" t="str">
        <f>if(Coins!H977="N/A",0,Coins!H977)</f>
        <v/>
      </c>
      <c r="I977" s="202" t="str">
        <f>Coins!I977</f>
        <v/>
      </c>
      <c r="J977" s="198" t="str">
        <f>Coins!J977</f>
        <v/>
      </c>
      <c r="K977" s="201" t="str">
        <f>Coins!K977</f>
        <v/>
      </c>
      <c r="L977" s="198" t="str">
        <f>Coins!L977</f>
        <v/>
      </c>
      <c r="M977" s="198"/>
      <c r="N977" s="198"/>
      <c r="P977" s="66" t="str">
        <f t="shared" si="4"/>
        <v/>
      </c>
    </row>
    <row r="978">
      <c r="A978" s="198" t="str">
        <f>Coins!A978</f>
        <v/>
      </c>
      <c r="B978" s="199" t="str">
        <f>Coins!B978</f>
        <v/>
      </c>
      <c r="C978" s="198" t="str">
        <f>Coins!C978</f>
        <v/>
      </c>
      <c r="D978" s="198" t="str">
        <f>Coins!D978</f>
        <v/>
      </c>
      <c r="E978" s="198" t="str">
        <f>Coins!E978</f>
        <v/>
      </c>
      <c r="F978" s="198" t="str">
        <f>Coins!F978</f>
        <v/>
      </c>
      <c r="G978" s="198" t="str">
        <f>Coins!G978</f>
        <v/>
      </c>
      <c r="H978" s="201" t="str">
        <f>if(Coins!H978="N/A",0,Coins!H978)</f>
        <v/>
      </c>
      <c r="I978" s="202" t="str">
        <f>Coins!I978</f>
        <v/>
      </c>
      <c r="J978" s="198" t="str">
        <f>Coins!J978</f>
        <v/>
      </c>
      <c r="K978" s="201" t="str">
        <f>Coins!K978</f>
        <v/>
      </c>
      <c r="L978" s="198" t="str">
        <f>Coins!L978</f>
        <v/>
      </c>
      <c r="M978" s="198"/>
      <c r="N978" s="198"/>
      <c r="P978" s="66" t="str">
        <f t="shared" si="4"/>
        <v/>
      </c>
    </row>
    <row r="979">
      <c r="A979" s="198" t="str">
        <f>Coins!A979</f>
        <v/>
      </c>
      <c r="B979" s="199" t="str">
        <f>Coins!B979</f>
        <v/>
      </c>
      <c r="C979" s="198" t="str">
        <f>Coins!C979</f>
        <v/>
      </c>
      <c r="D979" s="198" t="str">
        <f>Coins!D979</f>
        <v/>
      </c>
      <c r="E979" s="198" t="str">
        <f>Coins!E979</f>
        <v/>
      </c>
      <c r="F979" s="198" t="str">
        <f>Coins!F979</f>
        <v/>
      </c>
      <c r="G979" s="198" t="str">
        <f>Coins!G979</f>
        <v/>
      </c>
      <c r="H979" s="201" t="str">
        <f>if(Coins!H979="N/A",0,Coins!H979)</f>
        <v/>
      </c>
      <c r="I979" s="202" t="str">
        <f>Coins!I979</f>
        <v/>
      </c>
      <c r="J979" s="198" t="str">
        <f>Coins!J979</f>
        <v/>
      </c>
      <c r="K979" s="201" t="str">
        <f>Coins!K979</f>
        <v/>
      </c>
      <c r="L979" s="198" t="str">
        <f>Coins!L979</f>
        <v/>
      </c>
      <c r="M979" s="198"/>
      <c r="N979" s="198"/>
      <c r="P979" s="66" t="str">
        <f t="shared" si="4"/>
        <v/>
      </c>
    </row>
    <row r="980">
      <c r="A980" s="198" t="str">
        <f>Coins!A980</f>
        <v/>
      </c>
      <c r="B980" s="199" t="str">
        <f>Coins!B980</f>
        <v/>
      </c>
      <c r="C980" s="198" t="str">
        <f>Coins!C980</f>
        <v/>
      </c>
      <c r="D980" s="198" t="str">
        <f>Coins!D980</f>
        <v/>
      </c>
      <c r="E980" s="198" t="str">
        <f>Coins!E980</f>
        <v/>
      </c>
      <c r="F980" s="198" t="str">
        <f>Coins!F980</f>
        <v/>
      </c>
      <c r="G980" s="198" t="str">
        <f>Coins!G980</f>
        <v/>
      </c>
      <c r="H980" s="201" t="str">
        <f>if(Coins!H980="N/A",0,Coins!H980)</f>
        <v/>
      </c>
      <c r="I980" s="202" t="str">
        <f>Coins!I980</f>
        <v/>
      </c>
      <c r="J980" s="198" t="str">
        <f>Coins!J980</f>
        <v/>
      </c>
      <c r="K980" s="201" t="str">
        <f>Coins!K980</f>
        <v/>
      </c>
      <c r="L980" s="198" t="str">
        <f>Coins!L980</f>
        <v/>
      </c>
      <c r="M980" s="198"/>
      <c r="N980" s="198"/>
      <c r="P980" s="66" t="str">
        <f t="shared" si="4"/>
        <v/>
      </c>
    </row>
    <row r="981">
      <c r="A981" s="198" t="str">
        <f>Coins!A981</f>
        <v/>
      </c>
      <c r="B981" s="199" t="str">
        <f>Coins!B981</f>
        <v/>
      </c>
      <c r="C981" s="198" t="str">
        <f>Coins!C981</f>
        <v/>
      </c>
      <c r="D981" s="198" t="str">
        <f>Coins!D981</f>
        <v/>
      </c>
      <c r="E981" s="198" t="str">
        <f>Coins!E981</f>
        <v/>
      </c>
      <c r="F981" s="198" t="str">
        <f>Coins!F981</f>
        <v/>
      </c>
      <c r="G981" s="198" t="str">
        <f>Coins!G981</f>
        <v/>
      </c>
      <c r="H981" s="201" t="str">
        <f>if(Coins!H981="N/A",0,Coins!H981)</f>
        <v/>
      </c>
      <c r="I981" s="202" t="str">
        <f>Coins!I981</f>
        <v/>
      </c>
      <c r="J981" s="198" t="str">
        <f>Coins!J981</f>
        <v/>
      </c>
      <c r="K981" s="201" t="str">
        <f>Coins!K981</f>
        <v/>
      </c>
      <c r="L981" s="198" t="str">
        <f>Coins!L981</f>
        <v/>
      </c>
      <c r="M981" s="198"/>
      <c r="N981" s="198"/>
      <c r="P981" s="66" t="str">
        <f t="shared" si="4"/>
        <v/>
      </c>
    </row>
    <row r="982">
      <c r="A982" s="198" t="str">
        <f>Coins!A982</f>
        <v/>
      </c>
      <c r="B982" s="199" t="str">
        <f>Coins!B982</f>
        <v/>
      </c>
      <c r="C982" s="198" t="str">
        <f>Coins!C982</f>
        <v/>
      </c>
      <c r="D982" s="198" t="str">
        <f>Coins!D982</f>
        <v/>
      </c>
      <c r="E982" s="198" t="str">
        <f>Coins!E982</f>
        <v/>
      </c>
      <c r="F982" s="198" t="str">
        <f>Coins!F982</f>
        <v/>
      </c>
      <c r="G982" s="198" t="str">
        <f>Coins!G982</f>
        <v/>
      </c>
      <c r="H982" s="201" t="str">
        <f>if(Coins!H982="N/A",0,Coins!H982)</f>
        <v/>
      </c>
      <c r="I982" s="202" t="str">
        <f>Coins!I982</f>
        <v/>
      </c>
      <c r="J982" s="198" t="str">
        <f>Coins!J982</f>
        <v/>
      </c>
      <c r="K982" s="201" t="str">
        <f>Coins!K982</f>
        <v/>
      </c>
      <c r="L982" s="198" t="str">
        <f>Coins!L982</f>
        <v/>
      </c>
      <c r="M982" s="198"/>
      <c r="N982" s="198"/>
      <c r="P982" s="66" t="str">
        <f t="shared" si="4"/>
        <v/>
      </c>
    </row>
    <row r="983">
      <c r="A983" s="198" t="str">
        <f>Coins!A983</f>
        <v/>
      </c>
      <c r="B983" s="199" t="str">
        <f>Coins!B983</f>
        <v/>
      </c>
      <c r="C983" s="198" t="str">
        <f>Coins!C983</f>
        <v/>
      </c>
      <c r="D983" s="198" t="str">
        <f>Coins!D983</f>
        <v/>
      </c>
      <c r="E983" s="198" t="str">
        <f>Coins!E983</f>
        <v/>
      </c>
      <c r="F983" s="198" t="str">
        <f>Coins!F983</f>
        <v/>
      </c>
      <c r="G983" s="198" t="str">
        <f>Coins!G983</f>
        <v/>
      </c>
      <c r="H983" s="201" t="str">
        <f>if(Coins!H983="N/A",0,Coins!H983)</f>
        <v/>
      </c>
      <c r="I983" s="202" t="str">
        <f>Coins!I983</f>
        <v/>
      </c>
      <c r="J983" s="198" t="str">
        <f>Coins!J983</f>
        <v/>
      </c>
      <c r="K983" s="201" t="str">
        <f>Coins!K983</f>
        <v/>
      </c>
      <c r="L983" s="198" t="str">
        <f>Coins!L983</f>
        <v/>
      </c>
      <c r="M983" s="198"/>
      <c r="N983" s="198"/>
      <c r="P983" s="66" t="str">
        <f t="shared" si="4"/>
        <v/>
      </c>
    </row>
    <row r="984">
      <c r="A984" s="198" t="str">
        <f>Coins!A984</f>
        <v/>
      </c>
      <c r="B984" s="199" t="str">
        <f>Coins!B984</f>
        <v/>
      </c>
      <c r="C984" s="198" t="str">
        <f>Coins!C984</f>
        <v/>
      </c>
      <c r="D984" s="198" t="str">
        <f>Coins!D984</f>
        <v/>
      </c>
      <c r="E984" s="198" t="str">
        <f>Coins!E984</f>
        <v/>
      </c>
      <c r="F984" s="198" t="str">
        <f>Coins!F984</f>
        <v/>
      </c>
      <c r="G984" s="198" t="str">
        <f>Coins!G984</f>
        <v/>
      </c>
      <c r="H984" s="201" t="str">
        <f>if(Coins!H984="N/A",0,Coins!H984)</f>
        <v/>
      </c>
      <c r="I984" s="202" t="str">
        <f>Coins!I984</f>
        <v/>
      </c>
      <c r="J984" s="198" t="str">
        <f>Coins!J984</f>
        <v/>
      </c>
      <c r="K984" s="201" t="str">
        <f>Coins!K984</f>
        <v/>
      </c>
      <c r="L984" s="198" t="str">
        <f>Coins!L984</f>
        <v/>
      </c>
      <c r="M984" s="198"/>
      <c r="N984" s="198"/>
      <c r="P984" s="66" t="str">
        <f t="shared" si="4"/>
        <v/>
      </c>
    </row>
    <row r="985">
      <c r="A985" s="198" t="str">
        <f>Coins!A985</f>
        <v/>
      </c>
      <c r="B985" s="199" t="str">
        <f>Coins!B985</f>
        <v/>
      </c>
      <c r="C985" s="198" t="str">
        <f>Coins!C985</f>
        <v/>
      </c>
      <c r="D985" s="198" t="str">
        <f>Coins!D985</f>
        <v/>
      </c>
      <c r="E985" s="198" t="str">
        <f>Coins!E985</f>
        <v/>
      </c>
      <c r="F985" s="198" t="str">
        <f>Coins!F985</f>
        <v/>
      </c>
      <c r="G985" s="198" t="str">
        <f>Coins!G985</f>
        <v/>
      </c>
      <c r="H985" s="201" t="str">
        <f>if(Coins!H985="N/A",0,Coins!H985)</f>
        <v/>
      </c>
      <c r="I985" s="202" t="str">
        <f>Coins!I985</f>
        <v/>
      </c>
      <c r="J985" s="198" t="str">
        <f>Coins!J985</f>
        <v/>
      </c>
      <c r="K985" s="201" t="str">
        <f>Coins!K985</f>
        <v/>
      </c>
      <c r="L985" s="198" t="str">
        <f>Coins!L985</f>
        <v/>
      </c>
      <c r="M985" s="198"/>
      <c r="N985" s="198"/>
      <c r="P985" s="66" t="str">
        <f t="shared" si="4"/>
        <v/>
      </c>
    </row>
    <row r="986">
      <c r="A986" s="198" t="str">
        <f>Coins!A986</f>
        <v/>
      </c>
      <c r="B986" s="199" t="str">
        <f>Coins!B986</f>
        <v/>
      </c>
      <c r="C986" s="198" t="str">
        <f>Coins!C986</f>
        <v/>
      </c>
      <c r="D986" s="198" t="str">
        <f>Coins!D986</f>
        <v/>
      </c>
      <c r="E986" s="198" t="str">
        <f>Coins!E986</f>
        <v/>
      </c>
      <c r="F986" s="198" t="str">
        <f>Coins!F986</f>
        <v/>
      </c>
      <c r="G986" s="198" t="str">
        <f>Coins!G986</f>
        <v/>
      </c>
      <c r="H986" s="201" t="str">
        <f>if(Coins!H986="N/A",0,Coins!H986)</f>
        <v/>
      </c>
      <c r="I986" s="202" t="str">
        <f>Coins!I986</f>
        <v/>
      </c>
      <c r="J986" s="198" t="str">
        <f>Coins!J986</f>
        <v/>
      </c>
      <c r="K986" s="201" t="str">
        <f>Coins!K986</f>
        <v/>
      </c>
      <c r="L986" s="198" t="str">
        <f>Coins!L986</f>
        <v/>
      </c>
      <c r="M986" s="198"/>
      <c r="N986" s="198"/>
      <c r="P986" s="66" t="str">
        <f t="shared" si="4"/>
        <v/>
      </c>
    </row>
    <row r="987">
      <c r="A987" s="198" t="str">
        <f>Coins!A987</f>
        <v/>
      </c>
      <c r="B987" s="199" t="str">
        <f>Coins!B987</f>
        <v/>
      </c>
      <c r="C987" s="198" t="str">
        <f>Coins!C987</f>
        <v/>
      </c>
      <c r="D987" s="198" t="str">
        <f>Coins!D987</f>
        <v/>
      </c>
      <c r="E987" s="198" t="str">
        <f>Coins!E987</f>
        <v/>
      </c>
      <c r="F987" s="198" t="str">
        <f>Coins!F987</f>
        <v/>
      </c>
      <c r="G987" s="198" t="str">
        <f>Coins!G987</f>
        <v/>
      </c>
      <c r="H987" s="201" t="str">
        <f>if(Coins!H987="N/A",0,Coins!H987)</f>
        <v/>
      </c>
      <c r="I987" s="202" t="str">
        <f>Coins!I987</f>
        <v/>
      </c>
      <c r="J987" s="198" t="str">
        <f>Coins!J987</f>
        <v/>
      </c>
      <c r="K987" s="201" t="str">
        <f>Coins!K987</f>
        <v/>
      </c>
      <c r="L987" s="198" t="str">
        <f>Coins!L987</f>
        <v/>
      </c>
      <c r="M987" s="198"/>
      <c r="N987" s="198"/>
      <c r="P987" s="66" t="str">
        <f t="shared" si="4"/>
        <v/>
      </c>
    </row>
    <row r="988">
      <c r="A988" s="198" t="str">
        <f>Coins!A988</f>
        <v/>
      </c>
      <c r="B988" s="199" t="str">
        <f>Coins!B988</f>
        <v/>
      </c>
      <c r="C988" s="198" t="str">
        <f>Coins!C988</f>
        <v/>
      </c>
      <c r="D988" s="198" t="str">
        <f>Coins!D988</f>
        <v/>
      </c>
      <c r="E988" s="198" t="str">
        <f>Coins!E988</f>
        <v/>
      </c>
      <c r="F988" s="198" t="str">
        <f>Coins!F988</f>
        <v/>
      </c>
      <c r="G988" s="198" t="str">
        <f>Coins!G988</f>
        <v/>
      </c>
      <c r="H988" s="201" t="str">
        <f>if(Coins!H988="N/A",0,Coins!H988)</f>
        <v/>
      </c>
      <c r="I988" s="202" t="str">
        <f>Coins!I988</f>
        <v/>
      </c>
      <c r="J988" s="198" t="str">
        <f>Coins!J988</f>
        <v/>
      </c>
      <c r="K988" s="201" t="str">
        <f>Coins!K988</f>
        <v/>
      </c>
      <c r="L988" s="198" t="str">
        <f>Coins!L988</f>
        <v/>
      </c>
      <c r="M988" s="198"/>
      <c r="N988" s="198"/>
      <c r="P988" s="66" t="str">
        <f t="shared" si="4"/>
        <v/>
      </c>
    </row>
    <row r="989">
      <c r="A989" s="198" t="str">
        <f>Coins!A989</f>
        <v/>
      </c>
      <c r="B989" s="199" t="str">
        <f>Coins!B989</f>
        <v/>
      </c>
      <c r="C989" s="198" t="str">
        <f>Coins!C989</f>
        <v/>
      </c>
      <c r="D989" s="198" t="str">
        <f>Coins!D989</f>
        <v/>
      </c>
      <c r="E989" s="198" t="str">
        <f>Coins!E989</f>
        <v/>
      </c>
      <c r="F989" s="198" t="str">
        <f>Coins!F989</f>
        <v/>
      </c>
      <c r="G989" s="198" t="str">
        <f>Coins!G989</f>
        <v/>
      </c>
      <c r="H989" s="201" t="str">
        <f>if(Coins!H989="N/A",0,Coins!H989)</f>
        <v/>
      </c>
      <c r="I989" s="202" t="str">
        <f>Coins!I989</f>
        <v/>
      </c>
      <c r="J989" s="198" t="str">
        <f>Coins!J989</f>
        <v/>
      </c>
      <c r="K989" s="201" t="str">
        <f>Coins!K989</f>
        <v/>
      </c>
      <c r="L989" s="198" t="str">
        <f>Coins!L989</f>
        <v/>
      </c>
      <c r="M989" s="198"/>
      <c r="N989" s="198"/>
      <c r="P989" s="66" t="str">
        <f t="shared" si="4"/>
        <v/>
      </c>
    </row>
    <row r="990">
      <c r="A990" s="198" t="str">
        <f>Coins!A990</f>
        <v/>
      </c>
      <c r="B990" s="199" t="str">
        <f>Coins!B990</f>
        <v/>
      </c>
      <c r="C990" s="198" t="str">
        <f>Coins!C990</f>
        <v/>
      </c>
      <c r="D990" s="198" t="str">
        <f>Coins!D990</f>
        <v/>
      </c>
      <c r="E990" s="198" t="str">
        <f>Coins!E990</f>
        <v/>
      </c>
      <c r="F990" s="198" t="str">
        <f>Coins!F990</f>
        <v/>
      </c>
      <c r="G990" s="198" t="str">
        <f>Coins!G990</f>
        <v/>
      </c>
      <c r="H990" s="201" t="str">
        <f>if(Coins!H990="N/A",0,Coins!H990)</f>
        <v/>
      </c>
      <c r="I990" s="202" t="str">
        <f>Coins!I990</f>
        <v/>
      </c>
      <c r="J990" s="198" t="str">
        <f>Coins!J990</f>
        <v/>
      </c>
      <c r="K990" s="201" t="str">
        <f>Coins!K990</f>
        <v/>
      </c>
      <c r="L990" s="198" t="str">
        <f>Coins!L990</f>
        <v/>
      </c>
      <c r="M990" s="198"/>
      <c r="N990" s="198"/>
      <c r="P990" s="66" t="str">
        <f t="shared" si="4"/>
        <v/>
      </c>
    </row>
    <row r="991">
      <c r="A991" s="198" t="str">
        <f>Coins!A991</f>
        <v/>
      </c>
      <c r="B991" s="199" t="str">
        <f>Coins!B991</f>
        <v/>
      </c>
      <c r="C991" s="198" t="str">
        <f>Coins!C991</f>
        <v/>
      </c>
      <c r="D991" s="198" t="str">
        <f>Coins!D991</f>
        <v/>
      </c>
      <c r="E991" s="198" t="str">
        <f>Coins!E991</f>
        <v/>
      </c>
      <c r="F991" s="198" t="str">
        <f>Coins!F991</f>
        <v/>
      </c>
      <c r="G991" s="198" t="str">
        <f>Coins!G991</f>
        <v/>
      </c>
      <c r="H991" s="201" t="str">
        <f>if(Coins!H991="N/A",0,Coins!H991)</f>
        <v/>
      </c>
      <c r="I991" s="202" t="str">
        <f>Coins!I991</f>
        <v/>
      </c>
      <c r="J991" s="198" t="str">
        <f>Coins!J991</f>
        <v/>
      </c>
      <c r="K991" s="201" t="str">
        <f>Coins!K991</f>
        <v/>
      </c>
      <c r="L991" s="198" t="str">
        <f>Coins!L991</f>
        <v/>
      </c>
      <c r="M991" s="198"/>
      <c r="N991" s="198"/>
      <c r="P991" s="66" t="str">
        <f t="shared" si="4"/>
        <v/>
      </c>
    </row>
    <row r="992">
      <c r="A992" s="198" t="str">
        <f>Coins!A992</f>
        <v/>
      </c>
      <c r="B992" s="199" t="str">
        <f>Coins!B992</f>
        <v/>
      </c>
      <c r="C992" s="198" t="str">
        <f>Coins!C992</f>
        <v/>
      </c>
      <c r="D992" s="198" t="str">
        <f>Coins!D992</f>
        <v/>
      </c>
      <c r="E992" s="198" t="str">
        <f>Coins!E992</f>
        <v/>
      </c>
      <c r="F992" s="198" t="str">
        <f>Coins!F992</f>
        <v/>
      </c>
      <c r="G992" s="198" t="str">
        <f>Coins!G992</f>
        <v/>
      </c>
      <c r="H992" s="201" t="str">
        <f>if(Coins!H992="N/A",0,Coins!H992)</f>
        <v/>
      </c>
      <c r="I992" s="202" t="str">
        <f>Coins!I992</f>
        <v/>
      </c>
      <c r="J992" s="198" t="str">
        <f>Coins!J992</f>
        <v/>
      </c>
      <c r="K992" s="201" t="str">
        <f>Coins!K992</f>
        <v/>
      </c>
      <c r="L992" s="198" t="str">
        <f>Coins!L992</f>
        <v/>
      </c>
      <c r="M992" s="198"/>
      <c r="N992" s="198"/>
      <c r="P992" s="66" t="str">
        <f t="shared" si="4"/>
        <v/>
      </c>
    </row>
    <row r="993">
      <c r="A993" s="198" t="str">
        <f>Coins!A993</f>
        <v/>
      </c>
      <c r="B993" s="199" t="str">
        <f>Coins!B993</f>
        <v/>
      </c>
      <c r="C993" s="198" t="str">
        <f>Coins!C993</f>
        <v/>
      </c>
      <c r="D993" s="198" t="str">
        <f>Coins!D993</f>
        <v/>
      </c>
      <c r="E993" s="198" t="str">
        <f>Coins!E993</f>
        <v/>
      </c>
      <c r="F993" s="198" t="str">
        <f>Coins!F993</f>
        <v/>
      </c>
      <c r="G993" s="198" t="str">
        <f>Coins!G993</f>
        <v/>
      </c>
      <c r="H993" s="201" t="str">
        <f>if(Coins!H993="N/A",0,Coins!H993)</f>
        <v/>
      </c>
      <c r="I993" s="202" t="str">
        <f>Coins!I993</f>
        <v/>
      </c>
      <c r="J993" s="198" t="str">
        <f>Coins!J993</f>
        <v/>
      </c>
      <c r="K993" s="201" t="str">
        <f>Coins!K993</f>
        <v/>
      </c>
      <c r="L993" s="198" t="str">
        <f>Coins!L993</f>
        <v/>
      </c>
      <c r="M993" s="198"/>
      <c r="N993" s="198"/>
      <c r="P993" s="66" t="str">
        <f t="shared" si="4"/>
        <v/>
      </c>
    </row>
    <row r="994">
      <c r="A994" s="198" t="str">
        <f>Coins!A994</f>
        <v/>
      </c>
      <c r="B994" s="199" t="str">
        <f>Coins!B994</f>
        <v/>
      </c>
      <c r="C994" s="198" t="str">
        <f>Coins!C994</f>
        <v/>
      </c>
      <c r="D994" s="198" t="str">
        <f>Coins!D994</f>
        <v/>
      </c>
      <c r="E994" s="198" t="str">
        <f>Coins!E994</f>
        <v/>
      </c>
      <c r="F994" s="198" t="str">
        <f>Coins!F994</f>
        <v/>
      </c>
      <c r="G994" s="198" t="str">
        <f>Coins!G994</f>
        <v/>
      </c>
      <c r="H994" s="201" t="str">
        <f>if(Coins!H994="N/A",0,Coins!H994)</f>
        <v/>
      </c>
      <c r="I994" s="202" t="str">
        <f>Coins!I994</f>
        <v/>
      </c>
      <c r="J994" s="198" t="str">
        <f>Coins!J994</f>
        <v/>
      </c>
      <c r="K994" s="201" t="str">
        <f>Coins!K994</f>
        <v/>
      </c>
      <c r="L994" s="198" t="str">
        <f>Coins!L994</f>
        <v/>
      </c>
      <c r="M994" s="198"/>
      <c r="N994" s="198"/>
      <c r="P994" s="66" t="str">
        <f t="shared" si="4"/>
        <v/>
      </c>
    </row>
    <row r="995">
      <c r="A995" s="198" t="str">
        <f>Coins!A995</f>
        <v/>
      </c>
      <c r="B995" s="199" t="str">
        <f>Coins!B995</f>
        <v/>
      </c>
      <c r="C995" s="198" t="str">
        <f>Coins!C995</f>
        <v/>
      </c>
      <c r="D995" s="198" t="str">
        <f>Coins!D995</f>
        <v/>
      </c>
      <c r="E995" s="198" t="str">
        <f>Coins!E995</f>
        <v/>
      </c>
      <c r="F995" s="198" t="str">
        <f>Coins!F995</f>
        <v/>
      </c>
      <c r="G995" s="198" t="str">
        <f>Coins!G995</f>
        <v/>
      </c>
      <c r="H995" s="201" t="str">
        <f>if(Coins!H995="N/A",0,Coins!H995)</f>
        <v/>
      </c>
      <c r="I995" s="202" t="str">
        <f>Coins!I995</f>
        <v/>
      </c>
      <c r="J995" s="198" t="str">
        <f>Coins!J995</f>
        <v/>
      </c>
      <c r="K995" s="201" t="str">
        <f>Coins!K995</f>
        <v/>
      </c>
      <c r="L995" s="198" t="str">
        <f>Coins!L995</f>
        <v/>
      </c>
      <c r="M995" s="198"/>
      <c r="N995" s="198"/>
      <c r="P995" s="66" t="str">
        <f t="shared" si="4"/>
        <v/>
      </c>
    </row>
    <row r="996">
      <c r="A996" s="198" t="str">
        <f>Coins!A996</f>
        <v/>
      </c>
      <c r="B996" s="199" t="str">
        <f>Coins!B996</f>
        <v/>
      </c>
      <c r="C996" s="198" t="str">
        <f>Coins!C996</f>
        <v/>
      </c>
      <c r="D996" s="198" t="str">
        <f>Coins!D996</f>
        <v/>
      </c>
      <c r="E996" s="198" t="str">
        <f>Coins!E996</f>
        <v/>
      </c>
      <c r="F996" s="198" t="str">
        <f>Coins!F996</f>
        <v/>
      </c>
      <c r="G996" s="198" t="str">
        <f>Coins!G996</f>
        <v/>
      </c>
      <c r="H996" s="201" t="str">
        <f>if(Coins!H996="N/A",0,Coins!H996)</f>
        <v/>
      </c>
      <c r="I996" s="202" t="str">
        <f>Coins!I996</f>
        <v/>
      </c>
      <c r="J996" s="198" t="str">
        <f>Coins!J996</f>
        <v/>
      </c>
      <c r="K996" s="201" t="str">
        <f>Coins!K996</f>
        <v/>
      </c>
      <c r="L996" s="198" t="str">
        <f>Coins!L996</f>
        <v/>
      </c>
      <c r="M996" s="198"/>
      <c r="N996" s="198"/>
      <c r="P996" s="66" t="str">
        <f t="shared" si="4"/>
        <v/>
      </c>
    </row>
    <row r="997">
      <c r="A997" s="198" t="str">
        <f>Coins!A997</f>
        <v/>
      </c>
      <c r="B997" s="199" t="str">
        <f>Coins!B997</f>
        <v/>
      </c>
      <c r="C997" s="198" t="str">
        <f>Coins!C997</f>
        <v/>
      </c>
      <c r="D997" s="198" t="str">
        <f>Coins!D997</f>
        <v/>
      </c>
      <c r="E997" s="198" t="str">
        <f>Coins!E997</f>
        <v/>
      </c>
      <c r="F997" s="198" t="str">
        <f>Coins!F997</f>
        <v/>
      </c>
      <c r="G997" s="198" t="str">
        <f>Coins!G997</f>
        <v/>
      </c>
      <c r="H997" s="201" t="str">
        <f>if(Coins!H997="N/A",0,Coins!H997)</f>
        <v/>
      </c>
      <c r="I997" s="202" t="str">
        <f>Coins!I997</f>
        <v/>
      </c>
      <c r="J997" s="198" t="str">
        <f>Coins!J997</f>
        <v/>
      </c>
      <c r="K997" s="201" t="str">
        <f>Coins!K997</f>
        <v/>
      </c>
      <c r="L997" s="198" t="str">
        <f>Coins!L997</f>
        <v/>
      </c>
      <c r="M997" s="198"/>
      <c r="N997" s="198"/>
      <c r="P997" s="66" t="str">
        <f t="shared" si="4"/>
        <v/>
      </c>
    </row>
    <row r="998">
      <c r="A998" s="198" t="str">
        <f>Coins!A998</f>
        <v/>
      </c>
      <c r="B998" s="199" t="str">
        <f>Coins!B998</f>
        <v/>
      </c>
      <c r="C998" s="198" t="str">
        <f>Coins!C998</f>
        <v/>
      </c>
      <c r="D998" s="198" t="str">
        <f>Coins!D998</f>
        <v/>
      </c>
      <c r="E998" s="198" t="str">
        <f>Coins!E998</f>
        <v/>
      </c>
      <c r="F998" s="198" t="str">
        <f>Coins!F998</f>
        <v/>
      </c>
      <c r="G998" s="198" t="str">
        <f>Coins!G998</f>
        <v/>
      </c>
      <c r="H998" s="201" t="str">
        <f>if(Coins!H998="N/A",0,Coins!H998)</f>
        <v/>
      </c>
      <c r="I998" s="202" t="str">
        <f>Coins!I998</f>
        <v/>
      </c>
      <c r="J998" s="198" t="str">
        <f>Coins!J998</f>
        <v/>
      </c>
      <c r="K998" s="201" t="str">
        <f>Coins!K998</f>
        <v/>
      </c>
      <c r="L998" s="198" t="str">
        <f>Coins!L998</f>
        <v/>
      </c>
      <c r="M998" s="198"/>
      <c r="N998" s="198"/>
      <c r="P998" s="66" t="str">
        <f t="shared" si="4"/>
        <v/>
      </c>
    </row>
    <row r="999">
      <c r="A999" s="198" t="str">
        <f>Coins!A999</f>
        <v/>
      </c>
      <c r="B999" s="198" t="str">
        <f>Coins!B999</f>
        <v/>
      </c>
      <c r="C999" s="198" t="str">
        <f>Coins!C999</f>
        <v/>
      </c>
      <c r="D999" s="198" t="str">
        <f>Coins!D999</f>
        <v/>
      </c>
      <c r="E999" s="198" t="str">
        <f>Coins!E999</f>
        <v/>
      </c>
      <c r="F999" s="198" t="str">
        <f>Coins!F999</f>
        <v/>
      </c>
      <c r="G999" s="198" t="str">
        <f>Coins!G999</f>
        <v/>
      </c>
      <c r="H999" s="201" t="str">
        <f>if(Coins!H999="N/A",0,Coins!H999)</f>
        <v/>
      </c>
      <c r="I999" s="198" t="str">
        <f>Coins!I999</f>
        <v/>
      </c>
      <c r="J999" s="198" t="str">
        <f>Coins!J999</f>
        <v/>
      </c>
      <c r="K999" s="198" t="str">
        <f>Coins!K999</f>
        <v/>
      </c>
      <c r="L999" s="198" t="str">
        <f>Coins!L999</f>
        <v/>
      </c>
      <c r="M999" s="198"/>
      <c r="N999" s="198"/>
      <c r="P999" s="66" t="str">
        <f t="shared" si="4"/>
        <v/>
      </c>
    </row>
    <row r="1000">
      <c r="A1000" s="198" t="str">
        <f>Coins!A1000</f>
        <v/>
      </c>
      <c r="B1000" s="198" t="str">
        <f>Coins!B1000</f>
        <v/>
      </c>
      <c r="C1000" s="198" t="str">
        <f>Coins!C1000</f>
        <v/>
      </c>
      <c r="D1000" s="198" t="str">
        <f>Coins!D1000</f>
        <v/>
      </c>
      <c r="E1000" s="198" t="str">
        <f>Coins!E1000</f>
        <v/>
      </c>
      <c r="F1000" s="198" t="str">
        <f>Coins!F1000</f>
        <v/>
      </c>
      <c r="G1000" s="198" t="str">
        <f>Coins!G1000</f>
        <v/>
      </c>
      <c r="H1000" s="201" t="str">
        <f>if(Coins!H1000="N/A",0,Coins!H1000)</f>
        <v/>
      </c>
      <c r="I1000" s="198" t="str">
        <f>Coins!I1000</f>
        <v/>
      </c>
      <c r="J1000" s="198" t="str">
        <f>Coins!J1000</f>
        <v/>
      </c>
      <c r="K1000" s="198" t="str">
        <f>Coins!K1000</f>
        <v/>
      </c>
      <c r="L1000" s="198" t="str">
        <f>Coins!L1000</f>
        <v/>
      </c>
      <c r="M1000" s="198"/>
      <c r="N1000" s="198"/>
      <c r="P1000" s="66" t="str">
        <f t="shared" si="4"/>
        <v/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98" t="s">
        <v>532</v>
      </c>
      <c r="B1" s="198" t="s">
        <v>533</v>
      </c>
      <c r="C1" s="205" t="s">
        <v>534</v>
      </c>
      <c r="D1" s="198" t="s">
        <v>535</v>
      </c>
      <c r="E1" s="198" t="s">
        <v>536</v>
      </c>
      <c r="F1" s="198" t="s">
        <v>537</v>
      </c>
      <c r="G1" s="198" t="s">
        <v>538</v>
      </c>
      <c r="H1" s="198" t="s">
        <v>539</v>
      </c>
      <c r="I1" s="198" t="s">
        <v>540</v>
      </c>
      <c r="J1" s="206" t="s">
        <v>541</v>
      </c>
      <c r="K1" s="206" t="s">
        <v>542</v>
      </c>
      <c r="L1" s="198" t="s">
        <v>536</v>
      </c>
    </row>
    <row r="2">
      <c r="A2" s="207" t="s">
        <v>54</v>
      </c>
      <c r="B2" s="208">
        <f>vlookup(A2,Price!A:B,2,false)</f>
        <v>3819.675532</v>
      </c>
      <c r="C2" s="209"/>
      <c r="D2" s="210">
        <v>0.0</v>
      </c>
      <c r="E2" s="211">
        <f t="shared" ref="E2:E41" si="1">C2-D2</f>
        <v>0</v>
      </c>
      <c r="F2" s="212">
        <f>iferror(vlookup(A2,'Transfer Pricing Playground'!A:P,16,false))</f>
        <v>0.02928207375</v>
      </c>
      <c r="G2" s="213">
        <f t="shared" ref="G2:G41" si="2">E2*F2/52.14</f>
        <v>0</v>
      </c>
      <c r="H2" s="212"/>
      <c r="I2" s="210">
        <f t="shared" ref="I2:I41" si="3">C2*H2/52.14</f>
        <v>0</v>
      </c>
      <c r="J2" s="214">
        <f t="shared" ref="J2:J41" si="4">I2-G2</f>
        <v>0</v>
      </c>
      <c r="K2" s="215">
        <f t="shared" ref="K2:K41" si="5">J2*B2</f>
        <v>0</v>
      </c>
      <c r="L2" s="216">
        <f t="shared" ref="L2:L41" si="6">C2*B2</f>
        <v>0</v>
      </c>
    </row>
    <row r="3">
      <c r="A3" s="207" t="s">
        <v>53</v>
      </c>
      <c r="B3" s="208">
        <f>vlookup(A3,Price!A:B,2,false)</f>
        <v>46314.63028</v>
      </c>
      <c r="C3" s="209"/>
      <c r="D3" s="210">
        <v>0.0</v>
      </c>
      <c r="E3" s="211">
        <f t="shared" si="1"/>
        <v>0</v>
      </c>
      <c r="F3" s="212">
        <f>iferror(vlookup(A3,'Transfer Pricing Playground'!A:P,16,false))</f>
        <v>0.01013263943</v>
      </c>
      <c r="G3" s="213">
        <f t="shared" si="2"/>
        <v>0</v>
      </c>
      <c r="H3" s="212"/>
      <c r="I3" s="210">
        <f t="shared" si="3"/>
        <v>0</v>
      </c>
      <c r="J3" s="214">
        <f t="shared" si="4"/>
        <v>0</v>
      </c>
      <c r="K3" s="215">
        <f t="shared" si="5"/>
        <v>0</v>
      </c>
      <c r="L3" s="216">
        <f t="shared" si="6"/>
        <v>0</v>
      </c>
    </row>
    <row r="4">
      <c r="A4" s="207" t="s">
        <v>59</v>
      </c>
      <c r="B4" s="208">
        <f>vlookup(A4,Price!A:B,2,false)</f>
        <v>39.51861627</v>
      </c>
      <c r="C4" s="209"/>
      <c r="D4" s="210">
        <v>0.0</v>
      </c>
      <c r="E4" s="211">
        <f t="shared" si="1"/>
        <v>0</v>
      </c>
      <c r="F4" s="212">
        <f>iferror(vlookup(A4,'Transfer Pricing Playground'!A:P,16,false))</f>
        <v>0</v>
      </c>
      <c r="G4" s="213">
        <f t="shared" si="2"/>
        <v>0</v>
      </c>
      <c r="H4" s="212"/>
      <c r="I4" s="210">
        <f t="shared" si="3"/>
        <v>0</v>
      </c>
      <c r="J4" s="214">
        <f t="shared" si="4"/>
        <v>0</v>
      </c>
      <c r="K4" s="215">
        <f t="shared" si="5"/>
        <v>0</v>
      </c>
      <c r="L4" s="216">
        <f t="shared" si="6"/>
        <v>0</v>
      </c>
    </row>
    <row r="5">
      <c r="A5" s="207" t="s">
        <v>67</v>
      </c>
      <c r="B5" s="208">
        <f>vlookup(A5,Price!A:B,2,false)</f>
        <v>4.960176782</v>
      </c>
      <c r="C5" s="209"/>
      <c r="D5" s="210">
        <v>0.0</v>
      </c>
      <c r="E5" s="211">
        <f t="shared" si="1"/>
        <v>0</v>
      </c>
      <c r="F5" s="212">
        <f>iferror(vlookup(A5,'Transfer Pricing Playground'!A:P,16,false))</f>
        <v>0.1339</v>
      </c>
      <c r="G5" s="213">
        <f t="shared" si="2"/>
        <v>0</v>
      </c>
      <c r="H5" s="212"/>
      <c r="I5" s="210">
        <f t="shared" si="3"/>
        <v>0</v>
      </c>
      <c r="J5" s="214">
        <f t="shared" si="4"/>
        <v>0</v>
      </c>
      <c r="K5" s="215">
        <f t="shared" si="5"/>
        <v>0</v>
      </c>
      <c r="L5" s="216">
        <f t="shared" si="6"/>
        <v>0</v>
      </c>
    </row>
    <row r="6">
      <c r="A6" s="207" t="s">
        <v>70</v>
      </c>
      <c r="B6" s="208">
        <f>vlookup(A6,Price!A:B,2,false)</f>
        <v>173.1638356</v>
      </c>
      <c r="C6" s="209"/>
      <c r="D6" s="210">
        <v>0.0</v>
      </c>
      <c r="E6" s="211">
        <f t="shared" si="1"/>
        <v>0</v>
      </c>
      <c r="F6" s="212">
        <f>iferror(vlookup(A6,'Transfer Pricing Playground'!A:P,16,false))</f>
        <v>0.0385</v>
      </c>
      <c r="G6" s="213">
        <f t="shared" si="2"/>
        <v>0</v>
      </c>
      <c r="H6" s="212"/>
      <c r="I6" s="210">
        <f t="shared" si="3"/>
        <v>0</v>
      </c>
      <c r="J6" s="214">
        <f t="shared" si="4"/>
        <v>0</v>
      </c>
      <c r="K6" s="215">
        <f t="shared" si="5"/>
        <v>0</v>
      </c>
      <c r="L6" s="216">
        <f t="shared" si="6"/>
        <v>0</v>
      </c>
    </row>
    <row r="7">
      <c r="A7" s="207" t="s">
        <v>61</v>
      </c>
      <c r="B7" s="208">
        <f>vlookup(A7,Price!A:B,2,false)</f>
        <v>18.51308692</v>
      </c>
      <c r="C7" s="209"/>
      <c r="D7" s="210">
        <v>0.0</v>
      </c>
      <c r="E7" s="211">
        <f t="shared" si="1"/>
        <v>0</v>
      </c>
      <c r="F7" s="212">
        <f>iferror(vlookup(A7,'Transfer Pricing Playground'!A:P,16,false))</f>
        <v>0.01234602303</v>
      </c>
      <c r="G7" s="213">
        <f t="shared" si="2"/>
        <v>0</v>
      </c>
      <c r="H7" s="212"/>
      <c r="I7" s="210">
        <f t="shared" si="3"/>
        <v>0</v>
      </c>
      <c r="J7" s="214">
        <f t="shared" si="4"/>
        <v>0</v>
      </c>
      <c r="K7" s="215">
        <f t="shared" si="5"/>
        <v>0</v>
      </c>
      <c r="L7" s="216">
        <f t="shared" si="6"/>
        <v>0</v>
      </c>
    </row>
    <row r="8">
      <c r="A8" s="217" t="s">
        <v>323</v>
      </c>
      <c r="B8" s="208">
        <f>vlookup(A8,Price!A:B,2,false)</f>
        <v>1</v>
      </c>
      <c r="C8" s="209"/>
      <c r="D8" s="210">
        <v>0.0</v>
      </c>
      <c r="E8" s="211">
        <f t="shared" si="1"/>
        <v>0</v>
      </c>
      <c r="F8" s="212" t="str">
        <f>iferror(vlookup(A8,'Transfer Pricing Playground'!A:P,16,false))</f>
        <v/>
      </c>
      <c r="G8" s="213">
        <f t="shared" si="2"/>
        <v>0</v>
      </c>
      <c r="H8" s="212"/>
      <c r="I8" s="210">
        <f t="shared" si="3"/>
        <v>0</v>
      </c>
      <c r="J8" s="214">
        <f t="shared" si="4"/>
        <v>0</v>
      </c>
      <c r="K8" s="215">
        <f t="shared" si="5"/>
        <v>0</v>
      </c>
      <c r="L8" s="216">
        <f t="shared" si="6"/>
        <v>0</v>
      </c>
    </row>
    <row r="9">
      <c r="A9" s="207" t="s">
        <v>95</v>
      </c>
      <c r="B9" s="208">
        <f>vlookup(A9,Price!A:B,2,false)</f>
        <v>35192.45221</v>
      </c>
      <c r="C9" s="209"/>
      <c r="D9" s="210">
        <v>0.0</v>
      </c>
      <c r="E9" s="211">
        <f t="shared" si="1"/>
        <v>0</v>
      </c>
      <c r="F9" s="212">
        <f>iferror(vlookup(A9,'Transfer Pricing Playground'!A:P,16,false))</f>
        <v>0</v>
      </c>
      <c r="G9" s="213">
        <f t="shared" si="2"/>
        <v>0</v>
      </c>
      <c r="H9" s="212"/>
      <c r="I9" s="210">
        <f t="shared" si="3"/>
        <v>0</v>
      </c>
      <c r="J9" s="214">
        <f t="shared" si="4"/>
        <v>0</v>
      </c>
      <c r="K9" s="215">
        <f t="shared" si="5"/>
        <v>0</v>
      </c>
      <c r="L9" s="216">
        <f t="shared" si="6"/>
        <v>0</v>
      </c>
    </row>
    <row r="10">
      <c r="A10" s="207" t="s">
        <v>74</v>
      </c>
      <c r="B10" s="208">
        <f>vlookup(A10,Price!A:B,2,false)</f>
        <v>1.078602899</v>
      </c>
      <c r="C10" s="209"/>
      <c r="D10" s="210">
        <v>0.0</v>
      </c>
      <c r="E10" s="211">
        <f t="shared" si="1"/>
        <v>0</v>
      </c>
      <c r="F10" s="212">
        <f>iferror(vlookup(A10,'Transfer Pricing Playground'!A:P,16,false))</f>
        <v>0.0097</v>
      </c>
      <c r="G10" s="213">
        <f t="shared" si="2"/>
        <v>0</v>
      </c>
      <c r="H10" s="212"/>
      <c r="I10" s="210">
        <f t="shared" si="3"/>
        <v>0</v>
      </c>
      <c r="J10" s="214">
        <f t="shared" si="4"/>
        <v>0</v>
      </c>
      <c r="K10" s="215">
        <f t="shared" si="5"/>
        <v>0</v>
      </c>
      <c r="L10" s="216">
        <f t="shared" si="6"/>
        <v>0</v>
      </c>
    </row>
    <row r="11">
      <c r="A11" s="207" t="s">
        <v>69</v>
      </c>
      <c r="B11" s="208">
        <f>vlookup(A11,Price!A:B,2,false)</f>
        <v>14.44022362</v>
      </c>
      <c r="C11" s="209"/>
      <c r="D11" s="210">
        <v>0.0</v>
      </c>
      <c r="E11" s="211">
        <f t="shared" si="1"/>
        <v>0</v>
      </c>
      <c r="F11" s="212">
        <f>iferror(vlookup(A11,'Transfer Pricing Playground'!A:P,16,false))</f>
        <v>0.0228</v>
      </c>
      <c r="G11" s="213">
        <f t="shared" si="2"/>
        <v>0</v>
      </c>
      <c r="H11" s="212"/>
      <c r="I11" s="210">
        <f t="shared" si="3"/>
        <v>0</v>
      </c>
      <c r="J11" s="214">
        <f t="shared" si="4"/>
        <v>0</v>
      </c>
      <c r="K11" s="215">
        <f t="shared" si="5"/>
        <v>0</v>
      </c>
      <c r="L11" s="216">
        <f t="shared" si="6"/>
        <v>0</v>
      </c>
    </row>
    <row r="12">
      <c r="A12" s="207" t="s">
        <v>90</v>
      </c>
      <c r="B12" s="208">
        <f>vlookup(A12,Price!A:B,2,false)</f>
        <v>14.44190837</v>
      </c>
      <c r="C12" s="209"/>
      <c r="D12" s="210">
        <v>0.0</v>
      </c>
      <c r="E12" s="211">
        <f t="shared" si="1"/>
        <v>0</v>
      </c>
      <c r="F12" s="212">
        <f>iferror(vlookup(A12,'Transfer Pricing Playground'!A:P,16,false))</f>
        <v>0</v>
      </c>
      <c r="G12" s="213">
        <f t="shared" si="2"/>
        <v>0</v>
      </c>
      <c r="H12" s="212"/>
      <c r="I12" s="210">
        <f t="shared" si="3"/>
        <v>0</v>
      </c>
      <c r="J12" s="214">
        <f t="shared" si="4"/>
        <v>0</v>
      </c>
      <c r="K12" s="215">
        <f t="shared" si="5"/>
        <v>0</v>
      </c>
      <c r="L12" s="216">
        <f t="shared" si="6"/>
        <v>0</v>
      </c>
    </row>
    <row r="13">
      <c r="A13" s="207" t="s">
        <v>87</v>
      </c>
      <c r="B13" s="208">
        <f>vlookup(A13,Price!A:B,2,false)</f>
        <v>5.23640161</v>
      </c>
      <c r="C13" s="209"/>
      <c r="D13" s="210">
        <v>0.0</v>
      </c>
      <c r="E13" s="211">
        <f t="shared" si="1"/>
        <v>0</v>
      </c>
      <c r="F13" s="212">
        <f>iferror(vlookup(A13,'Transfer Pricing Playground'!A:P,16,false))</f>
        <v>0.0396</v>
      </c>
      <c r="G13" s="213">
        <f t="shared" si="2"/>
        <v>0</v>
      </c>
      <c r="H13" s="212"/>
      <c r="I13" s="210">
        <f t="shared" si="3"/>
        <v>0</v>
      </c>
      <c r="J13" s="214">
        <f t="shared" si="4"/>
        <v>0</v>
      </c>
      <c r="K13" s="215">
        <f t="shared" si="5"/>
        <v>0</v>
      </c>
      <c r="L13" s="216">
        <f t="shared" si="6"/>
        <v>0</v>
      </c>
    </row>
    <row r="14">
      <c r="A14" s="207" t="s">
        <v>79</v>
      </c>
      <c r="B14" s="208">
        <f>vlookup(A14,Price!A:B,2,false)</f>
        <v>3.165969505</v>
      </c>
      <c r="C14" s="209"/>
      <c r="D14" s="210">
        <v>0.0</v>
      </c>
      <c r="E14" s="211">
        <f t="shared" si="1"/>
        <v>0</v>
      </c>
      <c r="F14" s="212">
        <f>iferror(vlookup(A14,'Transfer Pricing Playground'!A:P,16,false))</f>
        <v>0.0595</v>
      </c>
      <c r="G14" s="213">
        <f t="shared" si="2"/>
        <v>0</v>
      </c>
      <c r="H14" s="212"/>
      <c r="I14" s="210">
        <f t="shared" si="3"/>
        <v>0</v>
      </c>
      <c r="J14" s="214">
        <f t="shared" si="4"/>
        <v>0</v>
      </c>
      <c r="K14" s="215">
        <f t="shared" si="5"/>
        <v>0</v>
      </c>
      <c r="L14" s="216">
        <f t="shared" si="6"/>
        <v>0</v>
      </c>
    </row>
    <row r="15">
      <c r="A15" s="207" t="s">
        <v>93</v>
      </c>
      <c r="B15" s="208">
        <f>vlookup(A15,Price!A:B,2,false)</f>
        <v>1.235585033</v>
      </c>
      <c r="C15" s="209"/>
      <c r="D15" s="210">
        <v>0.0</v>
      </c>
      <c r="E15" s="211">
        <f t="shared" si="1"/>
        <v>0</v>
      </c>
      <c r="F15" s="212">
        <f>iferror(vlookup(A15,'Transfer Pricing Playground'!A:P,16,false))</f>
        <v>0.0048</v>
      </c>
      <c r="G15" s="213">
        <f t="shared" si="2"/>
        <v>0</v>
      </c>
      <c r="H15" s="212"/>
      <c r="I15" s="210">
        <f t="shared" si="3"/>
        <v>0</v>
      </c>
      <c r="J15" s="214">
        <f t="shared" si="4"/>
        <v>0</v>
      </c>
      <c r="K15" s="215">
        <f t="shared" si="5"/>
        <v>0</v>
      </c>
      <c r="L15" s="216">
        <f t="shared" si="6"/>
        <v>0</v>
      </c>
    </row>
    <row r="16">
      <c r="A16" s="207" t="s">
        <v>81</v>
      </c>
      <c r="B16" s="208">
        <f>vlookup(A16,Price!A:B,2,false)</f>
        <v>187.58</v>
      </c>
      <c r="C16" s="209"/>
      <c r="D16" s="210">
        <v>0.0</v>
      </c>
      <c r="E16" s="211">
        <f t="shared" si="1"/>
        <v>0</v>
      </c>
      <c r="F16" s="212">
        <f>iferror(vlookup(A16,'Transfer Pricing Playground'!A:P,16,false))</f>
        <v>0.0453</v>
      </c>
      <c r="G16" s="213">
        <f t="shared" si="2"/>
        <v>0</v>
      </c>
      <c r="H16" s="212"/>
      <c r="I16" s="210">
        <f t="shared" si="3"/>
        <v>0</v>
      </c>
      <c r="J16" s="214">
        <f t="shared" si="4"/>
        <v>0</v>
      </c>
      <c r="K16" s="215">
        <f t="shared" si="5"/>
        <v>0</v>
      </c>
      <c r="L16" s="216">
        <f t="shared" si="6"/>
        <v>0</v>
      </c>
    </row>
    <row r="17">
      <c r="A17" s="207" t="s">
        <v>94</v>
      </c>
      <c r="B17" s="208">
        <f>vlookup(A17,Price!A:B,2,false)</f>
        <v>2.57</v>
      </c>
      <c r="C17" s="209"/>
      <c r="D17" s="210">
        <v>0.0</v>
      </c>
      <c r="E17" s="211">
        <f t="shared" si="1"/>
        <v>0</v>
      </c>
      <c r="F17" s="212">
        <f>iferror(vlookup(A17,'Transfer Pricing Playground'!A:P,16,false))</f>
        <v>0</v>
      </c>
      <c r="G17" s="213">
        <f t="shared" si="2"/>
        <v>0</v>
      </c>
      <c r="H17" s="212"/>
      <c r="I17" s="210">
        <f t="shared" si="3"/>
        <v>0</v>
      </c>
      <c r="J17" s="214">
        <f t="shared" si="4"/>
        <v>0</v>
      </c>
      <c r="K17" s="215">
        <f t="shared" si="5"/>
        <v>0</v>
      </c>
      <c r="L17" s="216">
        <f t="shared" si="6"/>
        <v>0</v>
      </c>
    </row>
    <row r="18">
      <c r="A18" s="207" t="s">
        <v>83</v>
      </c>
      <c r="B18" s="208">
        <f>vlookup(A18,Price!A:B,2,false)</f>
        <v>30.31</v>
      </c>
      <c r="C18" s="209"/>
      <c r="D18" s="210">
        <v>0.0</v>
      </c>
      <c r="E18" s="211">
        <f t="shared" si="1"/>
        <v>0</v>
      </c>
      <c r="F18" s="212">
        <f>iferror(vlookup(A18,'Transfer Pricing Playground'!A:P,16,false))</f>
        <v>0</v>
      </c>
      <c r="G18" s="213">
        <f t="shared" si="2"/>
        <v>0</v>
      </c>
      <c r="H18" s="212"/>
      <c r="I18" s="210">
        <f t="shared" si="3"/>
        <v>0</v>
      </c>
      <c r="J18" s="214">
        <f t="shared" si="4"/>
        <v>0</v>
      </c>
      <c r="K18" s="215">
        <f t="shared" si="5"/>
        <v>0</v>
      </c>
      <c r="L18" s="216">
        <f t="shared" si="6"/>
        <v>0</v>
      </c>
    </row>
    <row r="19">
      <c r="A19" s="207" t="s">
        <v>248</v>
      </c>
      <c r="B19" s="208">
        <f>vlookup(A19,Price!A:B,2,false)</f>
        <v>208.14</v>
      </c>
      <c r="C19" s="209"/>
      <c r="D19" s="210">
        <v>0.0</v>
      </c>
      <c r="E19" s="211">
        <f t="shared" si="1"/>
        <v>0</v>
      </c>
      <c r="F19" s="212" t="str">
        <f>iferror(vlookup(A19,'Transfer Pricing Playground'!A:P,16,false))</f>
        <v/>
      </c>
      <c r="G19" s="213">
        <f t="shared" si="2"/>
        <v>0</v>
      </c>
      <c r="H19" s="212"/>
      <c r="I19" s="210">
        <f t="shared" si="3"/>
        <v>0</v>
      </c>
      <c r="J19" s="214">
        <f t="shared" si="4"/>
        <v>0</v>
      </c>
      <c r="K19" s="215">
        <f t="shared" si="5"/>
        <v>0</v>
      </c>
      <c r="L19" s="216">
        <f t="shared" si="6"/>
        <v>0</v>
      </c>
    </row>
    <row r="20">
      <c r="A20" s="207" t="s">
        <v>244</v>
      </c>
      <c r="B20" s="208">
        <f>vlookup(A20,Price!A:B,2,false)</f>
        <v>0.146055</v>
      </c>
      <c r="C20" s="209"/>
      <c r="D20" s="210">
        <v>0.0</v>
      </c>
      <c r="E20" s="211">
        <f t="shared" si="1"/>
        <v>0</v>
      </c>
      <c r="F20" s="212" t="str">
        <f>iferror(vlookup(A20,'Transfer Pricing Playground'!A:P,16,false))</f>
        <v/>
      </c>
      <c r="G20" s="213">
        <f t="shared" si="2"/>
        <v>0</v>
      </c>
      <c r="H20" s="212"/>
      <c r="I20" s="210">
        <f t="shared" si="3"/>
        <v>0</v>
      </c>
      <c r="J20" s="214">
        <f t="shared" si="4"/>
        <v>0</v>
      </c>
      <c r="K20" s="215">
        <f t="shared" si="5"/>
        <v>0</v>
      </c>
      <c r="L20" s="216">
        <f t="shared" si="6"/>
        <v>0</v>
      </c>
    </row>
    <row r="21">
      <c r="A21" s="207" t="s">
        <v>101</v>
      </c>
      <c r="B21" s="208">
        <f>vlookup(A21,Price!A:B,2,false)</f>
        <v>0.6678409518</v>
      </c>
      <c r="C21" s="209"/>
      <c r="D21" s="210">
        <v>0.0</v>
      </c>
      <c r="E21" s="211">
        <f t="shared" si="1"/>
        <v>0</v>
      </c>
      <c r="F21" s="212">
        <f>iferror(vlookup(A21,'Transfer Pricing Playground'!A:P,16,false))</f>
        <v>0</v>
      </c>
      <c r="G21" s="213">
        <f t="shared" si="2"/>
        <v>0</v>
      </c>
      <c r="H21" s="212"/>
      <c r="I21" s="210">
        <f t="shared" si="3"/>
        <v>0</v>
      </c>
      <c r="J21" s="214">
        <f t="shared" si="4"/>
        <v>0</v>
      </c>
      <c r="K21" s="215">
        <f t="shared" si="5"/>
        <v>0</v>
      </c>
      <c r="L21" s="216">
        <f t="shared" si="6"/>
        <v>0</v>
      </c>
    </row>
    <row r="22">
      <c r="A22" s="207" t="s">
        <v>246</v>
      </c>
      <c r="B22" s="208">
        <f>vlookup(A22,Price!A:B,2,false)</f>
        <v>0.341427</v>
      </c>
      <c r="C22" s="209"/>
      <c r="D22" s="210">
        <v>0.0</v>
      </c>
      <c r="E22" s="211">
        <f t="shared" si="1"/>
        <v>0</v>
      </c>
      <c r="F22" s="212" t="str">
        <f>iferror(vlookup(A22,'Transfer Pricing Playground'!A:P,16,false))</f>
        <v/>
      </c>
      <c r="G22" s="213">
        <f t="shared" si="2"/>
        <v>0</v>
      </c>
      <c r="H22" s="212"/>
      <c r="I22" s="210">
        <f t="shared" si="3"/>
        <v>0</v>
      </c>
      <c r="J22" s="214">
        <f t="shared" si="4"/>
        <v>0</v>
      </c>
      <c r="K22" s="215">
        <f t="shared" si="5"/>
        <v>0</v>
      </c>
      <c r="L22" s="216">
        <f t="shared" si="6"/>
        <v>0</v>
      </c>
    </row>
    <row r="23">
      <c r="A23" s="207" t="s">
        <v>211</v>
      </c>
      <c r="B23" s="208">
        <f>vlookup(A23,Price!A:B,2,false)</f>
        <v>104.1704915</v>
      </c>
      <c r="C23" s="209"/>
      <c r="D23" s="210">
        <v>0.0</v>
      </c>
      <c r="E23" s="211">
        <f t="shared" si="1"/>
        <v>0</v>
      </c>
      <c r="F23" s="212" t="str">
        <f>iferror(vlookup(A23,'Transfer Pricing Playground'!A:P,16,false))</f>
        <v/>
      </c>
      <c r="G23" s="213">
        <f t="shared" si="2"/>
        <v>0</v>
      </c>
      <c r="H23" s="212"/>
      <c r="I23" s="210">
        <f t="shared" si="3"/>
        <v>0</v>
      </c>
      <c r="J23" s="214">
        <f t="shared" si="4"/>
        <v>0</v>
      </c>
      <c r="K23" s="215">
        <f t="shared" si="5"/>
        <v>0</v>
      </c>
      <c r="L23" s="216">
        <f t="shared" si="6"/>
        <v>0</v>
      </c>
    </row>
    <row r="24">
      <c r="A24" s="207" t="s">
        <v>80</v>
      </c>
      <c r="B24" s="208">
        <f>vlookup(A24,Price!A:B,2,false)</f>
        <v>0.7482698139</v>
      </c>
      <c r="C24" s="209"/>
      <c r="D24" s="210">
        <v>0.0</v>
      </c>
      <c r="E24" s="211">
        <f t="shared" si="1"/>
        <v>0</v>
      </c>
      <c r="F24" s="212">
        <f>iferror(vlookup(A24,'Transfer Pricing Playground'!A:P,16,false))</f>
        <v>0.0169</v>
      </c>
      <c r="G24" s="213">
        <f t="shared" si="2"/>
        <v>0</v>
      </c>
      <c r="H24" s="212"/>
      <c r="I24" s="210">
        <f t="shared" si="3"/>
        <v>0</v>
      </c>
      <c r="J24" s="214">
        <f t="shared" si="4"/>
        <v>0</v>
      </c>
      <c r="K24" s="215">
        <f t="shared" si="5"/>
        <v>0</v>
      </c>
      <c r="L24" s="216">
        <f t="shared" si="6"/>
        <v>0</v>
      </c>
    </row>
    <row r="25">
      <c r="A25" s="207" t="s">
        <v>88</v>
      </c>
      <c r="B25" s="208">
        <f>vlookup(A25,Price!A:B,2,false)</f>
        <v>3.991734421</v>
      </c>
      <c r="C25" s="209"/>
      <c r="D25" s="210">
        <v>0.0</v>
      </c>
      <c r="E25" s="211">
        <f t="shared" si="1"/>
        <v>0</v>
      </c>
      <c r="F25" s="212">
        <f>iferror(vlookup(A25,'Transfer Pricing Playground'!A:P,16,false))</f>
        <v>0</v>
      </c>
      <c r="G25" s="213">
        <f t="shared" si="2"/>
        <v>0</v>
      </c>
      <c r="H25" s="212"/>
      <c r="I25" s="210">
        <f t="shared" si="3"/>
        <v>0</v>
      </c>
      <c r="J25" s="214">
        <f t="shared" si="4"/>
        <v>0</v>
      </c>
      <c r="K25" s="215">
        <f t="shared" si="5"/>
        <v>0</v>
      </c>
      <c r="L25" s="216">
        <f t="shared" si="6"/>
        <v>0</v>
      </c>
    </row>
    <row r="26">
      <c r="A26" s="207" t="s">
        <v>106</v>
      </c>
      <c r="B26" s="208">
        <f>vlookup(A26,Price!A:B,2,false)</f>
        <v>0.9224738405</v>
      </c>
      <c r="C26" s="209"/>
      <c r="D26" s="210">
        <v>0.0</v>
      </c>
      <c r="E26" s="211">
        <f t="shared" si="1"/>
        <v>0</v>
      </c>
      <c r="F26" s="212">
        <f>iferror(vlookup(A26,'Transfer Pricing Playground'!A:P,16,false))</f>
        <v>0</v>
      </c>
      <c r="G26" s="213">
        <f t="shared" si="2"/>
        <v>0</v>
      </c>
      <c r="H26" s="212"/>
      <c r="I26" s="210">
        <f t="shared" si="3"/>
        <v>0</v>
      </c>
      <c r="J26" s="214">
        <f t="shared" si="4"/>
        <v>0</v>
      </c>
      <c r="K26" s="215">
        <f t="shared" si="5"/>
        <v>0</v>
      </c>
      <c r="L26" s="216">
        <f t="shared" si="6"/>
        <v>0</v>
      </c>
    </row>
    <row r="27">
      <c r="A27" s="207" t="s">
        <v>105</v>
      </c>
      <c r="B27" s="208">
        <f>vlookup(A27,Price!A:B,2,false)</f>
        <v>3.47</v>
      </c>
      <c r="C27" s="209"/>
      <c r="D27" s="210">
        <v>0.0</v>
      </c>
      <c r="E27" s="211">
        <f t="shared" si="1"/>
        <v>0</v>
      </c>
      <c r="F27" s="212">
        <f>iferror(vlookup(A27,'Transfer Pricing Playground'!A:P,16,false))</f>
        <v>0</v>
      </c>
      <c r="G27" s="213">
        <f t="shared" si="2"/>
        <v>0</v>
      </c>
      <c r="H27" s="212"/>
      <c r="I27" s="210">
        <f t="shared" si="3"/>
        <v>0</v>
      </c>
      <c r="J27" s="214">
        <f t="shared" si="4"/>
        <v>0</v>
      </c>
      <c r="K27" s="215">
        <f t="shared" si="5"/>
        <v>0</v>
      </c>
      <c r="L27" s="216">
        <f t="shared" si="6"/>
        <v>0</v>
      </c>
    </row>
    <row r="28">
      <c r="A28" s="207" t="s">
        <v>108</v>
      </c>
      <c r="B28" s="208">
        <f>vlookup(A28,Price!A:B,2,false)</f>
        <v>1.12</v>
      </c>
      <c r="C28" s="209"/>
      <c r="D28" s="210">
        <v>0.0</v>
      </c>
      <c r="E28" s="211">
        <f t="shared" si="1"/>
        <v>0</v>
      </c>
      <c r="F28" s="212">
        <f>iferror(vlookup(A28,'Transfer Pricing Playground'!A:P,16,false))</f>
        <v>0</v>
      </c>
      <c r="G28" s="213">
        <f t="shared" si="2"/>
        <v>0</v>
      </c>
      <c r="H28" s="212"/>
      <c r="I28" s="210">
        <f t="shared" si="3"/>
        <v>0</v>
      </c>
      <c r="J28" s="214">
        <f t="shared" si="4"/>
        <v>0</v>
      </c>
      <c r="K28" s="215">
        <f t="shared" si="5"/>
        <v>0</v>
      </c>
      <c r="L28" s="216">
        <f t="shared" si="6"/>
        <v>0</v>
      </c>
    </row>
    <row r="29">
      <c r="A29" s="207" t="s">
        <v>107</v>
      </c>
      <c r="B29" s="208">
        <f>vlookup(A29,Price!A:B,2,false)</f>
        <v>88.74747431</v>
      </c>
      <c r="C29" s="209"/>
      <c r="D29" s="210">
        <v>0.0</v>
      </c>
      <c r="E29" s="211">
        <f t="shared" si="1"/>
        <v>0</v>
      </c>
      <c r="F29" s="212">
        <f>iferror(vlookup(A29,'Transfer Pricing Playground'!A:P,16,false))</f>
        <v>0</v>
      </c>
      <c r="G29" s="213">
        <f t="shared" si="2"/>
        <v>0</v>
      </c>
      <c r="H29" s="212"/>
      <c r="I29" s="210">
        <f t="shared" si="3"/>
        <v>0</v>
      </c>
      <c r="J29" s="214">
        <f t="shared" si="4"/>
        <v>0</v>
      </c>
      <c r="K29" s="215">
        <f t="shared" si="5"/>
        <v>0</v>
      </c>
      <c r="L29" s="216">
        <f t="shared" si="6"/>
        <v>0</v>
      </c>
    </row>
    <row r="30">
      <c r="A30" s="207" t="s">
        <v>96</v>
      </c>
      <c r="B30" s="208">
        <f>vlookup(A30,Price!A:B,2,false)</f>
        <v>35357.36619</v>
      </c>
      <c r="C30" s="209"/>
      <c r="D30" s="210">
        <v>0.0</v>
      </c>
      <c r="E30" s="211">
        <f t="shared" si="1"/>
        <v>0</v>
      </c>
      <c r="F30" s="212">
        <f>iferror(vlookup(A30,'Transfer Pricing Playground'!A:P,16,false))</f>
        <v>0</v>
      </c>
      <c r="G30" s="213">
        <f t="shared" si="2"/>
        <v>0</v>
      </c>
      <c r="H30" s="212"/>
      <c r="I30" s="210">
        <f t="shared" si="3"/>
        <v>0</v>
      </c>
      <c r="J30" s="214">
        <f t="shared" si="4"/>
        <v>0</v>
      </c>
      <c r="K30" s="215">
        <f t="shared" si="5"/>
        <v>0</v>
      </c>
      <c r="L30" s="216">
        <f t="shared" si="6"/>
        <v>0</v>
      </c>
    </row>
    <row r="31">
      <c r="A31" s="207" t="s">
        <v>109</v>
      </c>
      <c r="B31" s="208">
        <f>vlookup(A31,Price!A:B,2,false)</f>
        <v>2294.480115</v>
      </c>
      <c r="C31" s="209"/>
      <c r="D31" s="210">
        <v>0.0</v>
      </c>
      <c r="E31" s="211">
        <f t="shared" si="1"/>
        <v>0</v>
      </c>
      <c r="F31" s="212">
        <f>iferror(vlookup(A31,'Transfer Pricing Playground'!A:P,16,false))</f>
        <v>0</v>
      </c>
      <c r="G31" s="213">
        <f t="shared" si="2"/>
        <v>0</v>
      </c>
      <c r="H31" s="212"/>
      <c r="I31" s="210">
        <f t="shared" si="3"/>
        <v>0</v>
      </c>
      <c r="J31" s="214">
        <f t="shared" si="4"/>
        <v>0</v>
      </c>
      <c r="K31" s="215">
        <f t="shared" si="5"/>
        <v>0</v>
      </c>
      <c r="L31" s="216">
        <f t="shared" si="6"/>
        <v>0</v>
      </c>
    </row>
    <row r="32">
      <c r="A32" s="207" t="s">
        <v>113</v>
      </c>
      <c r="B32" s="208">
        <f>vlookup(A32,Price!A:B,2,false)</f>
        <v>15.06</v>
      </c>
      <c r="C32" s="209"/>
      <c r="D32" s="210">
        <v>0.0</v>
      </c>
      <c r="E32" s="211">
        <f t="shared" si="1"/>
        <v>0</v>
      </c>
      <c r="F32" s="212">
        <f>iferror(vlookup(A32,'Transfer Pricing Playground'!A:P,16,false))</f>
        <v>0</v>
      </c>
      <c r="G32" s="213">
        <f t="shared" si="2"/>
        <v>0</v>
      </c>
      <c r="H32" s="212"/>
      <c r="I32" s="210">
        <f t="shared" si="3"/>
        <v>0</v>
      </c>
      <c r="J32" s="214">
        <f t="shared" si="4"/>
        <v>0</v>
      </c>
      <c r="K32" s="215">
        <f t="shared" si="5"/>
        <v>0</v>
      </c>
      <c r="L32" s="216">
        <f t="shared" si="6"/>
        <v>0</v>
      </c>
    </row>
    <row r="33">
      <c r="A33" s="207" t="s">
        <v>112</v>
      </c>
      <c r="B33" s="208">
        <f>vlookup(A33,Price!A:B,2,false)</f>
        <v>0.9086764428</v>
      </c>
      <c r="C33" s="209"/>
      <c r="D33" s="210">
        <v>0.0</v>
      </c>
      <c r="E33" s="211">
        <f t="shared" si="1"/>
        <v>0</v>
      </c>
      <c r="F33" s="212">
        <f>iferror(vlookup(A33,'Transfer Pricing Playground'!A:P,16,false))</f>
        <v>0</v>
      </c>
      <c r="G33" s="213">
        <f t="shared" si="2"/>
        <v>0</v>
      </c>
      <c r="H33" s="212"/>
      <c r="I33" s="210">
        <f t="shared" si="3"/>
        <v>0</v>
      </c>
      <c r="J33" s="214">
        <f t="shared" si="4"/>
        <v>0</v>
      </c>
      <c r="K33" s="215">
        <f t="shared" si="5"/>
        <v>0</v>
      </c>
      <c r="L33" s="216">
        <f t="shared" si="6"/>
        <v>0</v>
      </c>
    </row>
    <row r="34">
      <c r="A34" s="207" t="s">
        <v>111</v>
      </c>
      <c r="B34" s="208">
        <f>vlookup(A34,Price!A:B,2,false)</f>
        <v>0.0968507155</v>
      </c>
      <c r="C34" s="209"/>
      <c r="D34" s="210">
        <v>0.0</v>
      </c>
      <c r="E34" s="211">
        <f t="shared" si="1"/>
        <v>0</v>
      </c>
      <c r="F34" s="212">
        <f>iferror(vlookup(A34,'Transfer Pricing Playground'!A:P,16,false))</f>
        <v>0</v>
      </c>
      <c r="G34" s="213">
        <f t="shared" si="2"/>
        <v>0</v>
      </c>
      <c r="H34" s="212"/>
      <c r="I34" s="210">
        <f t="shared" si="3"/>
        <v>0</v>
      </c>
      <c r="J34" s="214">
        <f t="shared" si="4"/>
        <v>0</v>
      </c>
      <c r="K34" s="215">
        <f t="shared" si="5"/>
        <v>0</v>
      </c>
      <c r="L34" s="216">
        <f t="shared" si="6"/>
        <v>0</v>
      </c>
    </row>
    <row r="35">
      <c r="A35" s="207" t="s">
        <v>196</v>
      </c>
      <c r="B35" s="208">
        <f>vlookup(A35,Price!A:B,2,false)</f>
        <v>1.02</v>
      </c>
      <c r="C35" s="209"/>
      <c r="D35" s="210">
        <v>0.0</v>
      </c>
      <c r="E35" s="211">
        <f t="shared" si="1"/>
        <v>0</v>
      </c>
      <c r="F35" s="212" t="str">
        <f>iferror(vlookup(A35,'Transfer Pricing Playground'!A:P,16,false))</f>
        <v/>
      </c>
      <c r="G35" s="213">
        <f t="shared" si="2"/>
        <v>0</v>
      </c>
      <c r="H35" s="212"/>
      <c r="I35" s="210">
        <f t="shared" si="3"/>
        <v>0</v>
      </c>
      <c r="J35" s="214">
        <f t="shared" si="4"/>
        <v>0</v>
      </c>
      <c r="K35" s="215">
        <f t="shared" si="5"/>
        <v>0</v>
      </c>
      <c r="L35" s="216">
        <f t="shared" si="6"/>
        <v>0</v>
      </c>
    </row>
    <row r="36">
      <c r="A36" s="207" t="s">
        <v>57</v>
      </c>
      <c r="B36" s="208">
        <f>vlookup(A36,Price!A:B,2,false)</f>
        <v>2.097607594</v>
      </c>
      <c r="C36" s="209"/>
      <c r="D36" s="210">
        <v>0.0</v>
      </c>
      <c r="E36" s="211">
        <f t="shared" si="1"/>
        <v>0</v>
      </c>
      <c r="F36" s="212">
        <f>iferror(vlookup(A36,'Transfer Pricing Playground'!A:P,16,false))</f>
        <v>0.08060448646</v>
      </c>
      <c r="G36" s="213">
        <f t="shared" si="2"/>
        <v>0</v>
      </c>
      <c r="H36" s="212"/>
      <c r="I36" s="210">
        <f t="shared" si="3"/>
        <v>0</v>
      </c>
      <c r="J36" s="214">
        <f t="shared" si="4"/>
        <v>0</v>
      </c>
      <c r="K36" s="215">
        <f t="shared" si="5"/>
        <v>0</v>
      </c>
      <c r="L36" s="216">
        <f t="shared" si="6"/>
        <v>0</v>
      </c>
    </row>
    <row r="37">
      <c r="A37" s="207" t="s">
        <v>114</v>
      </c>
      <c r="B37" s="208">
        <f>vlookup(A37,Price!A:B,2,false)</f>
        <v>0.4084922851</v>
      </c>
      <c r="C37" s="209"/>
      <c r="D37" s="210">
        <v>0.0</v>
      </c>
      <c r="E37" s="211">
        <f t="shared" si="1"/>
        <v>0</v>
      </c>
      <c r="F37" s="212">
        <f>iferror(vlookup(A37,'Transfer Pricing Playground'!A:P,16,false))</f>
        <v>0</v>
      </c>
      <c r="G37" s="213">
        <f t="shared" si="2"/>
        <v>0</v>
      </c>
      <c r="H37" s="212"/>
      <c r="I37" s="210">
        <f t="shared" si="3"/>
        <v>0</v>
      </c>
      <c r="J37" s="214">
        <f t="shared" si="4"/>
        <v>0</v>
      </c>
      <c r="K37" s="215">
        <f t="shared" si="5"/>
        <v>0</v>
      </c>
      <c r="L37" s="216">
        <f t="shared" si="6"/>
        <v>0</v>
      </c>
    </row>
    <row r="38">
      <c r="A38" s="207" t="s">
        <v>117</v>
      </c>
      <c r="B38" s="208">
        <f>vlookup(A38,Price!A:B,2,false)</f>
        <v>5.37</v>
      </c>
      <c r="C38" s="209"/>
      <c r="D38" s="210">
        <v>0.0</v>
      </c>
      <c r="E38" s="211">
        <f t="shared" si="1"/>
        <v>0</v>
      </c>
      <c r="F38" s="212">
        <f>iferror(vlookup(A38,'Transfer Pricing Playground'!A:P,16,false))</f>
        <v>0</v>
      </c>
      <c r="G38" s="213">
        <f t="shared" si="2"/>
        <v>0</v>
      </c>
      <c r="H38" s="212"/>
      <c r="I38" s="210">
        <f t="shared" si="3"/>
        <v>0</v>
      </c>
      <c r="J38" s="214">
        <f t="shared" si="4"/>
        <v>0</v>
      </c>
      <c r="K38" s="215">
        <f t="shared" si="5"/>
        <v>0</v>
      </c>
      <c r="L38" s="216">
        <f t="shared" si="6"/>
        <v>0</v>
      </c>
    </row>
    <row r="39">
      <c r="A39" s="207" t="s">
        <v>103</v>
      </c>
      <c r="B39" s="208">
        <f>vlookup(A39,Price!A:B,2,false)</f>
        <v>17.65911299</v>
      </c>
      <c r="C39" s="209"/>
      <c r="D39" s="210">
        <v>0.0</v>
      </c>
      <c r="E39" s="211">
        <f t="shared" si="1"/>
        <v>0</v>
      </c>
      <c r="F39" s="212">
        <f>iferror(vlookup(A39,'Transfer Pricing Playground'!A:P,16,false))</f>
        <v>0</v>
      </c>
      <c r="G39" s="213">
        <f t="shared" si="2"/>
        <v>0</v>
      </c>
      <c r="H39" s="212"/>
      <c r="I39" s="210">
        <f t="shared" si="3"/>
        <v>0</v>
      </c>
      <c r="J39" s="214">
        <f t="shared" si="4"/>
        <v>0</v>
      </c>
      <c r="K39" s="215">
        <f t="shared" si="5"/>
        <v>0</v>
      </c>
      <c r="L39" s="216">
        <f t="shared" si="6"/>
        <v>0</v>
      </c>
    </row>
    <row r="40">
      <c r="A40" s="207" t="s">
        <v>77</v>
      </c>
      <c r="B40" s="208">
        <f>vlookup(A40,Price!A:B,2,false)</f>
        <v>2.358615111</v>
      </c>
      <c r="C40" s="209"/>
      <c r="D40" s="210">
        <v>0.0</v>
      </c>
      <c r="E40" s="211">
        <f t="shared" si="1"/>
        <v>0</v>
      </c>
      <c r="F40" s="212">
        <f>iferror(vlookup(A40,'Transfer Pricing Playground'!A:P,16,false))</f>
        <v>0</v>
      </c>
      <c r="G40" s="213">
        <f t="shared" si="2"/>
        <v>0</v>
      </c>
      <c r="H40" s="212"/>
      <c r="I40" s="210">
        <f t="shared" si="3"/>
        <v>0</v>
      </c>
      <c r="J40" s="214">
        <f t="shared" si="4"/>
        <v>0</v>
      </c>
      <c r="K40" s="215">
        <f t="shared" si="5"/>
        <v>0</v>
      </c>
      <c r="L40" s="216">
        <f t="shared" si="6"/>
        <v>0</v>
      </c>
    </row>
    <row r="41">
      <c r="A41" s="207" t="s">
        <v>243</v>
      </c>
      <c r="B41" s="208">
        <f>vlookup(A41,Price!A:B,2,false)</f>
        <v>1.362562138</v>
      </c>
      <c r="C41" s="209"/>
      <c r="D41" s="210">
        <v>0.0</v>
      </c>
      <c r="E41" s="211">
        <f t="shared" si="1"/>
        <v>0</v>
      </c>
      <c r="F41" s="212" t="str">
        <f>iferror(vlookup(A41,'Transfer Pricing Playground'!A:P,16,false))</f>
        <v/>
      </c>
      <c r="G41" s="213">
        <f t="shared" si="2"/>
        <v>0</v>
      </c>
      <c r="H41" s="212"/>
      <c r="I41" s="210">
        <f t="shared" si="3"/>
        <v>0</v>
      </c>
      <c r="J41" s="214">
        <f t="shared" si="4"/>
        <v>0</v>
      </c>
      <c r="K41" s="215">
        <f t="shared" si="5"/>
        <v>0</v>
      </c>
      <c r="L41" s="216">
        <f t="shared" si="6"/>
        <v>0</v>
      </c>
    </row>
    <row r="42">
      <c r="A42" s="198"/>
      <c r="B42" s="208" t="str">
        <f>vlookup(A42,Price!A:B,2,false)</f>
        <v>#N/A</v>
      </c>
      <c r="C42" s="198"/>
      <c r="D42" s="198"/>
      <c r="E42" s="198"/>
      <c r="F42" s="198"/>
      <c r="G42" s="198"/>
      <c r="H42" s="198"/>
      <c r="I42" s="198"/>
      <c r="J42" s="198"/>
      <c r="K42" s="215">
        <f t="shared" ref="K42:L42" si="7">sum(K2:K41)</f>
        <v>0</v>
      </c>
      <c r="L42" s="216">
        <f t="shared" si="7"/>
        <v>0</v>
      </c>
    </row>
    <row r="43">
      <c r="A43" s="198"/>
      <c r="B43" s="208" t="str">
        <f>vlookup(A43,Price!A:B,2,false)</f>
        <v>#N/A</v>
      </c>
      <c r="C43" s="198"/>
      <c r="D43" s="198"/>
      <c r="E43" s="198"/>
      <c r="F43" s="198"/>
      <c r="G43" s="198"/>
      <c r="H43" s="198"/>
      <c r="I43" s="198"/>
      <c r="J43" s="198"/>
      <c r="K43" s="198"/>
      <c r="L43" s="198"/>
    </row>
    <row r="44">
      <c r="A44" s="198"/>
      <c r="B44" s="208" t="str">
        <f>vlookup(A44,Price!A:B,2,false)</f>
        <v>#N/A</v>
      </c>
      <c r="C44" s="198"/>
      <c r="D44" s="198"/>
      <c r="E44" s="198"/>
      <c r="F44" s="198"/>
      <c r="G44" s="198"/>
      <c r="H44" s="198"/>
      <c r="I44" s="198"/>
      <c r="J44" s="198"/>
      <c r="K44" s="198"/>
      <c r="L44" s="198"/>
    </row>
    <row r="45">
      <c r="A45" s="198"/>
      <c r="B45" s="208" t="str">
        <f>vlookup(A45,Price!A:B,2,false)</f>
        <v>#N/A</v>
      </c>
      <c r="C45" s="198"/>
      <c r="D45" s="198"/>
      <c r="E45" s="198"/>
      <c r="F45" s="198"/>
      <c r="G45" s="198"/>
      <c r="H45" s="198"/>
      <c r="I45" s="198"/>
      <c r="J45" s="198"/>
      <c r="K45" s="198"/>
      <c r="L45" s="198"/>
    </row>
    <row r="46">
      <c r="A46" s="198"/>
      <c r="B46" s="208" t="str">
        <f>vlookup(A46,Price!A:B,2,false)</f>
        <v>#N/A</v>
      </c>
      <c r="C46" s="198"/>
      <c r="D46" s="198"/>
      <c r="E46" s="198"/>
      <c r="F46" s="198"/>
      <c r="G46" s="198"/>
      <c r="H46" s="198"/>
      <c r="I46" s="198"/>
      <c r="J46" s="198"/>
      <c r="K46" s="198"/>
      <c r="L46" s="198"/>
    </row>
    <row r="47">
      <c r="A47" s="198"/>
      <c r="B47" s="208" t="str">
        <f>vlookup(A47,Price!A:B,2,false)</f>
        <v>#N/A</v>
      </c>
      <c r="C47" s="198"/>
      <c r="D47" s="198"/>
      <c r="E47" s="198"/>
      <c r="F47" s="198"/>
      <c r="G47" s="198"/>
      <c r="H47" s="198"/>
      <c r="I47" s="198"/>
      <c r="J47" s="198"/>
      <c r="K47" s="198"/>
      <c r="L47" s="198"/>
    </row>
    <row r="48">
      <c r="A48" s="198"/>
      <c r="B48" s="208" t="str">
        <f>vlookup(A48,Price!A:B,2,false)</f>
        <v>#N/A</v>
      </c>
      <c r="C48" s="198"/>
      <c r="D48" s="198"/>
      <c r="E48" s="198"/>
      <c r="F48" s="198"/>
      <c r="G48" s="198"/>
      <c r="H48" s="198"/>
      <c r="I48" s="198"/>
      <c r="J48" s="198"/>
      <c r="K48" s="198"/>
      <c r="L48" s="198"/>
    </row>
    <row r="49">
      <c r="A49" s="198"/>
      <c r="B49" s="208" t="str">
        <f>vlookup(A49,Price!A:B,2,false)</f>
        <v>#N/A</v>
      </c>
      <c r="C49" s="198"/>
      <c r="D49" s="198"/>
      <c r="E49" s="198"/>
      <c r="F49" s="198"/>
      <c r="G49" s="198"/>
      <c r="H49" s="198"/>
      <c r="I49" s="198"/>
      <c r="J49" s="198"/>
      <c r="K49" s="198"/>
      <c r="L49" s="198"/>
    </row>
    <row r="50">
      <c r="A50" s="198"/>
      <c r="B50" s="208" t="str">
        <f>vlookup(A50,Price!A:B,2,false)</f>
        <v>#N/A</v>
      </c>
      <c r="C50" s="198"/>
      <c r="D50" s="198"/>
      <c r="E50" s="198"/>
      <c r="F50" s="198"/>
      <c r="G50" s="198"/>
      <c r="H50" s="198"/>
      <c r="I50" s="198"/>
      <c r="J50" s="198"/>
      <c r="K50" s="198"/>
      <c r="L50" s="198"/>
    </row>
    <row r="51">
      <c r="A51" s="198"/>
      <c r="B51" s="208" t="str">
        <f>vlookup(A51,Price!A:B,2,false)</f>
        <v>#N/A</v>
      </c>
      <c r="C51" s="198"/>
      <c r="D51" s="198"/>
      <c r="E51" s="198"/>
      <c r="F51" s="198"/>
      <c r="G51" s="198"/>
      <c r="H51" s="198"/>
      <c r="I51" s="198"/>
      <c r="J51" s="198"/>
      <c r="K51" s="198"/>
      <c r="L51" s="198"/>
    </row>
    <row r="52">
      <c r="A52" s="198"/>
      <c r="B52" s="208" t="str">
        <f>vlookup(A52,Price!A:B,2,false)</f>
        <v>#N/A</v>
      </c>
      <c r="C52" s="198"/>
      <c r="D52" s="198"/>
      <c r="E52" s="198"/>
      <c r="F52" s="198"/>
      <c r="G52" s="198"/>
      <c r="H52" s="198"/>
      <c r="I52" s="198"/>
      <c r="J52" s="198"/>
      <c r="K52" s="198"/>
      <c r="L52" s="198"/>
    </row>
    <row r="53">
      <c r="A53" s="198"/>
      <c r="B53" s="208" t="str">
        <f>vlookup(A53,Price!A:B,2,false)</f>
        <v>#N/A</v>
      </c>
      <c r="C53" s="198"/>
      <c r="D53" s="198"/>
      <c r="E53" s="198"/>
      <c r="F53" s="198"/>
      <c r="G53" s="198"/>
      <c r="H53" s="198"/>
      <c r="I53" s="198"/>
      <c r="J53" s="198"/>
      <c r="K53" s="198"/>
      <c r="L53" s="198"/>
    </row>
    <row r="54">
      <c r="A54" s="198"/>
      <c r="B54" s="208" t="str">
        <f>vlookup(A54,Price!A:B,2,false)</f>
        <v>#N/A</v>
      </c>
      <c r="C54" s="198"/>
      <c r="D54" s="198"/>
      <c r="E54" s="198"/>
      <c r="F54" s="198"/>
      <c r="G54" s="198"/>
      <c r="H54" s="198"/>
      <c r="I54" s="198"/>
      <c r="J54" s="198"/>
      <c r="K54" s="198"/>
      <c r="L54" s="198"/>
    </row>
    <row r="55">
      <c r="A55" s="198"/>
      <c r="B55" s="208" t="str">
        <f>vlookup(A55,Price!A:B,2,false)</f>
        <v>#N/A</v>
      </c>
      <c r="C55" s="198"/>
      <c r="D55" s="198"/>
      <c r="E55" s="198"/>
      <c r="F55" s="198"/>
      <c r="G55" s="198"/>
      <c r="H55" s="198"/>
      <c r="I55" s="198"/>
      <c r="J55" s="198"/>
      <c r="K55" s="198"/>
      <c r="L55" s="198"/>
    </row>
    <row r="56">
      <c r="A56" s="198"/>
      <c r="B56" s="208" t="str">
        <f>vlookup(A56,Price!A:B,2,false)</f>
        <v>#N/A</v>
      </c>
      <c r="C56" s="198"/>
      <c r="D56" s="198"/>
      <c r="E56" s="198"/>
      <c r="F56" s="198"/>
      <c r="G56" s="198"/>
      <c r="H56" s="198"/>
      <c r="I56" s="198"/>
      <c r="J56" s="198"/>
      <c r="K56" s="198"/>
      <c r="L56" s="198"/>
    </row>
    <row r="57">
      <c r="A57" s="198"/>
      <c r="B57" s="208" t="str">
        <f>vlookup(A57,Price!A:B,2,false)</f>
        <v>#N/A</v>
      </c>
      <c r="C57" s="198"/>
      <c r="D57" s="198"/>
      <c r="E57" s="198"/>
      <c r="F57" s="198"/>
      <c r="G57" s="198"/>
      <c r="H57" s="198"/>
      <c r="I57" s="198"/>
      <c r="J57" s="198"/>
      <c r="K57" s="198"/>
      <c r="L57" s="198"/>
    </row>
    <row r="58">
      <c r="A58" s="198"/>
      <c r="B58" s="208" t="str">
        <f>vlookup(A58,Price!A:B,2,false)</f>
        <v>#N/A</v>
      </c>
      <c r="C58" s="198"/>
      <c r="D58" s="198"/>
      <c r="E58" s="198"/>
      <c r="F58" s="198"/>
      <c r="G58" s="198"/>
      <c r="H58" s="198"/>
      <c r="I58" s="198"/>
      <c r="J58" s="198"/>
      <c r="K58" s="198"/>
      <c r="L58" s="198"/>
    </row>
    <row r="59">
      <c r="A59" s="198"/>
      <c r="B59" s="208" t="str">
        <f>vlookup(A59,Price!A:B,2,false)</f>
        <v>#N/A</v>
      </c>
      <c r="C59" s="198"/>
      <c r="D59" s="198"/>
      <c r="E59" s="198"/>
      <c r="F59" s="198"/>
      <c r="G59" s="198"/>
      <c r="H59" s="198"/>
      <c r="I59" s="198"/>
      <c r="J59" s="198"/>
      <c r="K59" s="198"/>
      <c r="L59" s="198"/>
    </row>
    <row r="60">
      <c r="A60" s="198"/>
      <c r="B60" s="208" t="str">
        <f>vlookup(A60,Price!A:B,2,false)</f>
        <v>#N/A</v>
      </c>
      <c r="C60" s="198"/>
      <c r="D60" s="198"/>
      <c r="E60" s="198"/>
      <c r="F60" s="198"/>
      <c r="G60" s="198"/>
      <c r="H60" s="198"/>
      <c r="I60" s="198"/>
      <c r="J60" s="198"/>
      <c r="K60" s="198"/>
      <c r="L60" s="198"/>
    </row>
    <row r="61">
      <c r="A61" s="198"/>
      <c r="B61" s="208" t="str">
        <f>vlookup(A61,Price!A:B,2,false)</f>
        <v>#N/A</v>
      </c>
      <c r="C61" s="198"/>
      <c r="D61" s="198"/>
      <c r="E61" s="198"/>
      <c r="F61" s="198"/>
      <c r="G61" s="198"/>
      <c r="H61" s="198"/>
      <c r="I61" s="198"/>
      <c r="J61" s="198"/>
      <c r="K61" s="198"/>
      <c r="L61" s="198"/>
    </row>
    <row r="62">
      <c r="A62" s="198"/>
      <c r="B62" s="208" t="str">
        <f>vlookup(A62,Price!A:B,2,false)</f>
        <v>#N/A</v>
      </c>
      <c r="C62" s="198"/>
      <c r="D62" s="198"/>
      <c r="E62" s="198"/>
      <c r="F62" s="198"/>
      <c r="G62" s="198"/>
      <c r="H62" s="198"/>
      <c r="I62" s="198"/>
      <c r="J62" s="198"/>
      <c r="K62" s="198"/>
      <c r="L62" s="198"/>
    </row>
    <row r="63">
      <c r="A63" s="198"/>
      <c r="B63" s="208" t="str">
        <f>vlookup(A63,Price!A:B,2,false)</f>
        <v>#N/A</v>
      </c>
      <c r="C63" s="198"/>
      <c r="D63" s="198"/>
      <c r="E63" s="198"/>
      <c r="F63" s="198"/>
      <c r="G63" s="198"/>
      <c r="H63" s="198"/>
      <c r="I63" s="198"/>
      <c r="J63" s="198"/>
      <c r="K63" s="198"/>
      <c r="L63" s="198"/>
    </row>
    <row r="64">
      <c r="A64" s="198"/>
      <c r="B64" s="208" t="str">
        <f>vlookup(A64,Price!A:B,2,false)</f>
        <v>#N/A</v>
      </c>
      <c r="C64" s="198"/>
      <c r="D64" s="198"/>
      <c r="E64" s="198"/>
      <c r="F64" s="198"/>
      <c r="G64" s="198"/>
      <c r="H64" s="198"/>
      <c r="I64" s="198"/>
      <c r="J64" s="198"/>
      <c r="K64" s="198"/>
      <c r="L64" s="198"/>
    </row>
    <row r="65">
      <c r="A65" s="198"/>
      <c r="B65" s="208" t="str">
        <f>vlookup(A65,Price!A:B,2,false)</f>
        <v>#N/A</v>
      </c>
      <c r="C65" s="198"/>
      <c r="D65" s="198"/>
      <c r="E65" s="198"/>
      <c r="F65" s="198"/>
      <c r="G65" s="198"/>
      <c r="H65" s="198"/>
      <c r="I65" s="198"/>
      <c r="J65" s="198"/>
      <c r="K65" s="198"/>
      <c r="L65" s="198"/>
    </row>
    <row r="66">
      <c r="A66" s="198"/>
      <c r="B66" s="208" t="str">
        <f>vlookup(A66,Price!A:B,2,false)</f>
        <v>#N/A</v>
      </c>
      <c r="C66" s="198"/>
      <c r="D66" s="198"/>
      <c r="E66" s="198"/>
      <c r="F66" s="198"/>
      <c r="G66" s="198"/>
      <c r="H66" s="198"/>
      <c r="I66" s="198"/>
      <c r="J66" s="198"/>
      <c r="K66" s="198"/>
      <c r="L66" s="198"/>
    </row>
    <row r="67">
      <c r="A67" s="198"/>
      <c r="B67" s="208" t="str">
        <f>vlookup(A67,Price!A:B,2,false)</f>
        <v>#N/A</v>
      </c>
      <c r="C67" s="198"/>
      <c r="D67" s="198"/>
      <c r="E67" s="198"/>
      <c r="F67" s="198"/>
      <c r="G67" s="198"/>
      <c r="H67" s="198"/>
      <c r="I67" s="198"/>
      <c r="J67" s="198"/>
      <c r="K67" s="198"/>
      <c r="L67" s="198"/>
    </row>
    <row r="68">
      <c r="A68" s="198"/>
      <c r="B68" s="208" t="str">
        <f>vlookup(A68,Price!A:B,2,false)</f>
        <v>#N/A</v>
      </c>
      <c r="C68" s="198"/>
      <c r="D68" s="198"/>
      <c r="E68" s="198"/>
      <c r="F68" s="198"/>
      <c r="G68" s="198"/>
      <c r="H68" s="198"/>
      <c r="I68" s="198"/>
      <c r="J68" s="198"/>
      <c r="K68" s="198"/>
      <c r="L68" s="198"/>
    </row>
    <row r="69">
      <c r="A69" s="198"/>
      <c r="B69" s="208" t="str">
        <f>vlookup(A69,Price!A:B,2,false)</f>
        <v>#N/A</v>
      </c>
      <c r="C69" s="198"/>
      <c r="D69" s="198"/>
      <c r="E69" s="198"/>
      <c r="F69" s="198"/>
      <c r="G69" s="198"/>
      <c r="H69" s="198"/>
      <c r="I69" s="198"/>
      <c r="J69" s="198"/>
      <c r="K69" s="198"/>
      <c r="L69" s="198"/>
    </row>
    <row r="70">
      <c r="A70" s="198"/>
      <c r="B70" s="208" t="str">
        <f>vlookup(A70,Price!A:B,2,false)</f>
        <v>#N/A</v>
      </c>
      <c r="C70" s="198"/>
      <c r="D70" s="198"/>
      <c r="E70" s="198"/>
      <c r="F70" s="198"/>
      <c r="G70" s="198"/>
      <c r="H70" s="198"/>
      <c r="I70" s="198"/>
      <c r="J70" s="198"/>
      <c r="K70" s="198"/>
      <c r="L70" s="198"/>
    </row>
    <row r="71">
      <c r="A71" s="198"/>
      <c r="B71" s="208" t="str">
        <f>vlookup(A71,Price!A:B,2,false)</f>
        <v>#N/A</v>
      </c>
      <c r="C71" s="198"/>
      <c r="D71" s="198"/>
      <c r="E71" s="198"/>
      <c r="F71" s="198"/>
      <c r="G71" s="198"/>
      <c r="H71" s="198"/>
      <c r="I71" s="198"/>
      <c r="J71" s="198"/>
      <c r="K71" s="198"/>
      <c r="L71" s="198"/>
    </row>
    <row r="72">
      <c r="A72" s="198"/>
      <c r="B72" s="208" t="str">
        <f>vlookup(A72,Price!A:B,2,false)</f>
        <v>#N/A</v>
      </c>
      <c r="C72" s="198"/>
      <c r="D72" s="198"/>
      <c r="E72" s="198"/>
      <c r="F72" s="198"/>
      <c r="G72" s="198"/>
      <c r="H72" s="198"/>
      <c r="I72" s="198"/>
      <c r="J72" s="198"/>
      <c r="K72" s="198"/>
      <c r="L72" s="198"/>
    </row>
    <row r="73">
      <c r="A73" s="198"/>
      <c r="B73" s="208" t="str">
        <f>vlookup(A73,Price!A:B,2,false)</f>
        <v>#N/A</v>
      </c>
      <c r="C73" s="198"/>
      <c r="D73" s="198"/>
      <c r="E73" s="198"/>
      <c r="F73" s="198"/>
      <c r="G73" s="198"/>
      <c r="H73" s="198"/>
      <c r="I73" s="198"/>
      <c r="J73" s="198"/>
      <c r="K73" s="198"/>
      <c r="L73" s="198"/>
    </row>
    <row r="74">
      <c r="A74" s="198"/>
      <c r="B74" s="208" t="str">
        <f>vlookup(A74,Price!A:B,2,false)</f>
        <v>#N/A</v>
      </c>
      <c r="C74" s="198"/>
      <c r="D74" s="198"/>
      <c r="E74" s="198"/>
      <c r="F74" s="198"/>
      <c r="G74" s="198"/>
      <c r="H74" s="198"/>
      <c r="I74" s="198"/>
      <c r="J74" s="198"/>
      <c r="K74" s="198"/>
      <c r="L74" s="198"/>
    </row>
    <row r="75">
      <c r="A75" s="198"/>
      <c r="B75" s="208" t="str">
        <f>vlookup(A75,Price!A:B,2,false)</f>
        <v>#N/A</v>
      </c>
      <c r="C75" s="198"/>
      <c r="D75" s="198"/>
      <c r="E75" s="198"/>
      <c r="F75" s="198"/>
      <c r="G75" s="198"/>
      <c r="H75" s="198"/>
      <c r="I75" s="198"/>
      <c r="J75" s="198"/>
      <c r="K75" s="198"/>
      <c r="L75" s="198"/>
    </row>
    <row r="76">
      <c r="A76" s="198"/>
      <c r="B76" s="208" t="str">
        <f>vlookup(A76,Price!A:B,2,false)</f>
        <v>#N/A</v>
      </c>
      <c r="C76" s="198"/>
      <c r="D76" s="198"/>
      <c r="E76" s="198"/>
      <c r="F76" s="198"/>
      <c r="G76" s="198"/>
      <c r="H76" s="198"/>
      <c r="I76" s="198"/>
      <c r="J76" s="198"/>
      <c r="K76" s="198"/>
      <c r="L76" s="198"/>
    </row>
    <row r="77">
      <c r="A77" s="198"/>
      <c r="B77" s="208" t="str">
        <f>vlookup(A77,Price!A:B,2,false)</f>
        <v>#N/A</v>
      </c>
      <c r="C77" s="198"/>
      <c r="D77" s="198"/>
      <c r="E77" s="198"/>
      <c r="F77" s="198"/>
      <c r="G77" s="198"/>
      <c r="H77" s="198"/>
      <c r="I77" s="198"/>
      <c r="J77" s="198"/>
      <c r="K77" s="198"/>
      <c r="L77" s="198"/>
    </row>
    <row r="78">
      <c r="A78" s="198"/>
      <c r="B78" s="208" t="str">
        <f>vlookup(A78,Price!A:B,2,false)</f>
        <v>#N/A</v>
      </c>
      <c r="C78" s="198"/>
      <c r="D78" s="198"/>
      <c r="E78" s="198"/>
      <c r="F78" s="198"/>
      <c r="G78" s="198"/>
      <c r="H78" s="198"/>
      <c r="I78" s="198"/>
      <c r="J78" s="198"/>
      <c r="K78" s="198"/>
      <c r="L78" s="198"/>
    </row>
    <row r="79">
      <c r="A79" s="198"/>
      <c r="B79" s="208" t="str">
        <f>vlookup(A79,Price!A:B,2,false)</f>
        <v>#N/A</v>
      </c>
      <c r="C79" s="198"/>
      <c r="D79" s="198"/>
      <c r="E79" s="198"/>
      <c r="F79" s="198"/>
      <c r="G79" s="198"/>
      <c r="H79" s="198"/>
      <c r="I79" s="198"/>
      <c r="J79" s="198"/>
      <c r="K79" s="198"/>
      <c r="L79" s="198"/>
    </row>
    <row r="80">
      <c r="A80" s="198"/>
      <c r="B80" s="208" t="str">
        <f>vlookup(A80,Price!A:B,2,false)</f>
        <v>#N/A</v>
      </c>
      <c r="C80" s="198"/>
      <c r="D80" s="198"/>
      <c r="E80" s="198"/>
      <c r="F80" s="198"/>
      <c r="G80" s="198"/>
      <c r="H80" s="198"/>
      <c r="I80" s="198"/>
      <c r="J80" s="198"/>
      <c r="K80" s="198"/>
      <c r="L80" s="198"/>
    </row>
    <row r="81">
      <c r="A81" s="198"/>
      <c r="B81" s="208" t="str">
        <f>vlookup(A81,Price!A:B,2,false)</f>
        <v>#N/A</v>
      </c>
      <c r="C81" s="198"/>
      <c r="D81" s="198"/>
      <c r="E81" s="198"/>
      <c r="F81" s="198"/>
      <c r="G81" s="198"/>
      <c r="H81" s="198"/>
      <c r="I81" s="198"/>
      <c r="J81" s="198"/>
      <c r="K81" s="198"/>
      <c r="L81" s="198"/>
    </row>
    <row r="82">
      <c r="A82" s="198"/>
      <c r="B82" s="208" t="str">
        <f>vlookup(A82,Price!A:B,2,false)</f>
        <v>#N/A</v>
      </c>
      <c r="C82" s="198"/>
      <c r="D82" s="198"/>
      <c r="E82" s="198"/>
      <c r="F82" s="198"/>
      <c r="G82" s="198"/>
      <c r="H82" s="198"/>
      <c r="I82" s="198"/>
      <c r="J82" s="198"/>
      <c r="K82" s="198"/>
      <c r="L82" s="198"/>
    </row>
    <row r="83">
      <c r="A83" s="198"/>
      <c r="B83" s="208" t="str">
        <f>vlookup(A83,Price!A:B,2,false)</f>
        <v>#N/A</v>
      </c>
      <c r="C83" s="198"/>
      <c r="D83" s="198"/>
      <c r="E83" s="198"/>
      <c r="F83" s="198"/>
      <c r="G83" s="198"/>
      <c r="H83" s="198"/>
      <c r="I83" s="198"/>
      <c r="J83" s="198"/>
      <c r="K83" s="198"/>
      <c r="L83" s="198"/>
    </row>
    <row r="84">
      <c r="A84" s="198"/>
      <c r="B84" s="208" t="str">
        <f>vlookup(A84,Price!A:B,2,false)</f>
        <v>#N/A</v>
      </c>
      <c r="C84" s="198"/>
      <c r="D84" s="198"/>
      <c r="E84" s="198"/>
      <c r="F84" s="198"/>
      <c r="G84" s="198"/>
      <c r="H84" s="198"/>
      <c r="I84" s="198"/>
      <c r="J84" s="198"/>
      <c r="K84" s="198"/>
      <c r="L84" s="198"/>
    </row>
    <row r="85">
      <c r="A85" s="198"/>
      <c r="B85" s="208" t="str">
        <f>vlookup(A85,Price!A:B,2,false)</f>
        <v>#N/A</v>
      </c>
      <c r="C85" s="198"/>
      <c r="D85" s="198"/>
      <c r="E85" s="198"/>
      <c r="F85" s="198"/>
      <c r="G85" s="198"/>
      <c r="H85" s="198"/>
      <c r="I85" s="198"/>
      <c r="J85" s="198"/>
      <c r="K85" s="198"/>
      <c r="L85" s="198"/>
    </row>
    <row r="86">
      <c r="A86" s="198"/>
      <c r="B86" s="208" t="str">
        <f>vlookup(A86,Price!A:B,2,false)</f>
        <v>#N/A</v>
      </c>
      <c r="C86" s="198"/>
      <c r="D86" s="198"/>
      <c r="E86" s="198"/>
      <c r="F86" s="198"/>
      <c r="G86" s="198"/>
      <c r="H86" s="198"/>
      <c r="I86" s="198"/>
      <c r="J86" s="198"/>
      <c r="K86" s="198"/>
      <c r="L86" s="198"/>
    </row>
    <row r="87">
      <c r="A87" s="198"/>
      <c r="B87" s="208" t="str">
        <f>vlookup(A87,Price!A:B,2,false)</f>
        <v>#N/A</v>
      </c>
      <c r="C87" s="198"/>
      <c r="D87" s="198"/>
      <c r="E87" s="198"/>
      <c r="F87" s="198"/>
      <c r="G87" s="198"/>
      <c r="H87" s="198"/>
      <c r="I87" s="198"/>
      <c r="J87" s="198"/>
      <c r="K87" s="198"/>
      <c r="L87" s="198"/>
    </row>
    <row r="88">
      <c r="A88" s="198"/>
      <c r="B88" s="208" t="str">
        <f>vlookup(A88,Price!A:B,2,false)</f>
        <v>#N/A</v>
      </c>
      <c r="C88" s="198"/>
      <c r="D88" s="198"/>
      <c r="E88" s="198"/>
      <c r="F88" s="198"/>
      <c r="G88" s="198"/>
      <c r="H88" s="198"/>
      <c r="I88" s="198"/>
      <c r="J88" s="198"/>
      <c r="K88" s="198"/>
      <c r="L88" s="198"/>
    </row>
    <row r="89">
      <c r="A89" s="198"/>
      <c r="B89" s="208" t="str">
        <f>vlookup(A89,Price!A:B,2,false)</f>
        <v>#N/A</v>
      </c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>
      <c r="A90" s="198"/>
      <c r="B90" s="208" t="str">
        <f>vlookup(A90,Price!A:B,2,false)</f>
        <v>#N/A</v>
      </c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1">
      <c r="A91" s="198"/>
      <c r="B91" s="208" t="str">
        <f>vlookup(A91,Price!A:B,2,false)</f>
        <v>#N/A</v>
      </c>
      <c r="C91" s="198"/>
      <c r="D91" s="198"/>
      <c r="E91" s="198"/>
      <c r="F91" s="198"/>
      <c r="G91" s="198"/>
      <c r="H91" s="198"/>
      <c r="I91" s="198"/>
      <c r="J91" s="198"/>
      <c r="K91" s="198"/>
      <c r="L91" s="198"/>
    </row>
    <row r="92">
      <c r="A92" s="198"/>
      <c r="B92" s="208" t="str">
        <f>vlookup(A92,Price!A:B,2,false)</f>
        <v>#N/A</v>
      </c>
      <c r="C92" s="198"/>
      <c r="D92" s="198"/>
      <c r="E92" s="198"/>
      <c r="F92" s="198"/>
      <c r="G92" s="198"/>
      <c r="H92" s="198"/>
      <c r="I92" s="198"/>
      <c r="J92" s="198"/>
      <c r="K92" s="198"/>
      <c r="L92" s="198"/>
    </row>
    <row r="93">
      <c r="A93" s="198"/>
      <c r="B93" s="208" t="str">
        <f>vlookup(A93,Price!A:B,2,false)</f>
        <v>#N/A</v>
      </c>
      <c r="C93" s="198"/>
      <c r="D93" s="198"/>
      <c r="E93" s="198"/>
      <c r="F93" s="198"/>
      <c r="G93" s="198"/>
      <c r="H93" s="198"/>
      <c r="I93" s="198"/>
      <c r="J93" s="198"/>
      <c r="K93" s="198"/>
      <c r="L93" s="198"/>
    </row>
    <row r="94">
      <c r="A94" s="198"/>
      <c r="B94" s="208" t="str">
        <f>vlookup(A94,Price!A:B,2,false)</f>
        <v>#N/A</v>
      </c>
      <c r="C94" s="198"/>
      <c r="D94" s="198"/>
      <c r="E94" s="198"/>
      <c r="F94" s="198"/>
      <c r="G94" s="198"/>
      <c r="H94" s="198"/>
      <c r="I94" s="198"/>
      <c r="J94" s="198"/>
      <c r="K94" s="198"/>
      <c r="L94" s="198"/>
    </row>
    <row r="95">
      <c r="A95" s="198"/>
      <c r="B95" s="208" t="str">
        <f>vlookup(A95,Price!A:B,2,false)</f>
        <v>#N/A</v>
      </c>
      <c r="C95" s="198"/>
      <c r="D95" s="198"/>
      <c r="E95" s="198"/>
      <c r="F95" s="198"/>
      <c r="G95" s="198"/>
      <c r="H95" s="198"/>
      <c r="I95" s="198"/>
      <c r="J95" s="198"/>
      <c r="K95" s="198"/>
      <c r="L95" s="198"/>
    </row>
    <row r="96">
      <c r="A96" s="198"/>
      <c r="B96" s="208" t="str">
        <f>vlookup(A96,Price!A:B,2,false)</f>
        <v>#N/A</v>
      </c>
      <c r="C96" s="198"/>
      <c r="D96" s="198"/>
      <c r="E96" s="198"/>
      <c r="F96" s="198"/>
      <c r="G96" s="198"/>
      <c r="H96" s="198"/>
      <c r="I96" s="198"/>
      <c r="J96" s="198"/>
      <c r="K96" s="198"/>
      <c r="L96" s="198"/>
    </row>
    <row r="97">
      <c r="A97" s="198"/>
      <c r="B97" s="208" t="str">
        <f>vlookup(A97,Price!A:B,2,false)</f>
        <v>#N/A</v>
      </c>
      <c r="C97" s="198"/>
      <c r="D97" s="198"/>
      <c r="E97" s="198"/>
      <c r="F97" s="198"/>
      <c r="G97" s="198"/>
      <c r="H97" s="198"/>
      <c r="I97" s="198"/>
      <c r="J97" s="198"/>
      <c r="K97" s="198"/>
      <c r="L97" s="198"/>
    </row>
    <row r="98">
      <c r="A98" s="198"/>
      <c r="B98" s="208" t="str">
        <f>vlookup(A98,Price!A:B,2,false)</f>
        <v>#N/A</v>
      </c>
      <c r="C98" s="198"/>
      <c r="D98" s="198"/>
      <c r="E98" s="198"/>
      <c r="F98" s="198"/>
      <c r="G98" s="198"/>
      <c r="H98" s="198"/>
      <c r="I98" s="198"/>
      <c r="J98" s="198"/>
      <c r="K98" s="198"/>
      <c r="L98" s="198"/>
    </row>
    <row r="99">
      <c r="A99" s="198"/>
      <c r="B99" s="208" t="str">
        <f>vlookup(A99,Price!A:B,2,false)</f>
        <v>#N/A</v>
      </c>
      <c r="C99" s="198"/>
      <c r="D99" s="198"/>
      <c r="E99" s="198"/>
      <c r="F99" s="198"/>
      <c r="G99" s="198"/>
      <c r="H99" s="198"/>
      <c r="I99" s="198"/>
      <c r="J99" s="198"/>
      <c r="K99" s="198"/>
      <c r="L99" s="198"/>
    </row>
    <row r="100">
      <c r="A100" s="198"/>
      <c r="B100" s="208" t="str">
        <f>vlookup(A100,Price!A:B,2,false)</f>
        <v>#N/A</v>
      </c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</row>
    <row r="101">
      <c r="A101" s="198"/>
      <c r="B101" s="208" t="str">
        <f>vlookup(A101,Price!A:B,2,false)</f>
        <v>#N/A</v>
      </c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</row>
    <row r="102">
      <c r="A102" s="198"/>
      <c r="B102" s="208" t="str">
        <f>vlookup(A102,Price!A:B,2,false)</f>
        <v>#N/A</v>
      </c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</row>
    <row r="103">
      <c r="A103" s="198"/>
      <c r="B103" s="208" t="str">
        <f>vlookup(A103,Price!A:B,2,false)</f>
        <v>#N/A</v>
      </c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</row>
    <row r="104">
      <c r="A104" s="198"/>
      <c r="B104" s="208" t="str">
        <f>vlookup(A104,Price!A:B,2,false)</f>
        <v>#N/A</v>
      </c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</row>
    <row r="105">
      <c r="A105" s="198"/>
      <c r="B105" s="208" t="str">
        <f>vlookup(A105,Price!A:B,2,false)</f>
        <v>#N/A</v>
      </c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</row>
    <row r="106">
      <c r="A106" s="198"/>
      <c r="B106" s="208" t="str">
        <f>vlookup(A106,Price!A:B,2,false)</f>
        <v>#N/A</v>
      </c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</row>
    <row r="107">
      <c r="A107" s="198"/>
      <c r="B107" s="208" t="str">
        <f>vlookup(A107,Price!A:B,2,false)</f>
        <v>#N/A</v>
      </c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</row>
    <row r="108">
      <c r="A108" s="198"/>
      <c r="B108" s="208" t="str">
        <f>vlookup(A108,Price!A:B,2,false)</f>
        <v>#N/A</v>
      </c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</row>
    <row r="109">
      <c r="A109" s="198"/>
      <c r="B109" s="208" t="str">
        <f>vlookup(A109,Price!A:B,2,false)</f>
        <v>#N/A</v>
      </c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</row>
    <row r="110">
      <c r="A110" s="198"/>
      <c r="B110" s="208" t="str">
        <f>vlookup(A110,Price!A:B,2,false)</f>
        <v>#N/A</v>
      </c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</row>
    <row r="111">
      <c r="A111" s="198"/>
      <c r="B111" s="208" t="str">
        <f>vlookup(A111,Price!A:B,2,false)</f>
        <v>#N/A</v>
      </c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</row>
    <row r="112">
      <c r="A112" s="198"/>
      <c r="B112" s="208" t="str">
        <f>vlookup(A112,Price!A:B,2,false)</f>
        <v>#N/A</v>
      </c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</row>
    <row r="113">
      <c r="A113" s="198"/>
      <c r="B113" s="208" t="str">
        <f>vlookup(A113,Price!A:B,2,false)</f>
        <v>#N/A</v>
      </c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</row>
    <row r="114">
      <c r="A114" s="198"/>
      <c r="B114" s="208" t="str">
        <f>vlookup(A114,Price!A:B,2,false)</f>
        <v>#N/A</v>
      </c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</row>
    <row r="115">
      <c r="A115" s="198"/>
      <c r="B115" s="208" t="str">
        <f>vlookup(A115,Price!A:B,2,false)</f>
        <v>#N/A</v>
      </c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</row>
    <row r="116">
      <c r="A116" s="198"/>
      <c r="B116" s="208" t="str">
        <f>vlookup(A116,Price!A:B,2,false)</f>
        <v>#N/A</v>
      </c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</row>
    <row r="117">
      <c r="A117" s="198"/>
      <c r="B117" s="208" t="str">
        <f>vlookup(A117,Price!A:B,2,false)</f>
        <v>#N/A</v>
      </c>
      <c r="C117" s="198"/>
      <c r="D117" s="198"/>
      <c r="E117" s="198"/>
      <c r="F117" s="198"/>
      <c r="G117" s="198"/>
      <c r="H117" s="198"/>
      <c r="I117" s="198"/>
      <c r="J117" s="198"/>
      <c r="K117" s="198"/>
      <c r="L117" s="198"/>
    </row>
    <row r="118">
      <c r="A118" s="198"/>
      <c r="B118" s="208" t="str">
        <f>vlookup(A118,Price!A:B,2,false)</f>
        <v>#N/A</v>
      </c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</row>
    <row r="119">
      <c r="A119" s="198"/>
      <c r="B119" s="208" t="str">
        <f>vlookup(A119,Price!A:B,2,false)</f>
        <v>#N/A</v>
      </c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</row>
    <row r="120">
      <c r="A120" s="198"/>
      <c r="B120" s="208" t="str">
        <f>vlookup(A120,Price!A:B,2,false)</f>
        <v>#N/A</v>
      </c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</row>
    <row r="121">
      <c r="A121" s="198"/>
      <c r="B121" s="208" t="str">
        <f>vlookup(A121,Price!A:B,2,false)</f>
        <v>#N/A</v>
      </c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</row>
    <row r="122">
      <c r="A122" s="198"/>
      <c r="B122" s="208" t="str">
        <f>vlookup(A122,Price!A:B,2,false)</f>
        <v>#N/A</v>
      </c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</row>
    <row r="123">
      <c r="A123" s="198"/>
      <c r="B123" s="208" t="str">
        <f>vlookup(A123,Price!A:B,2,false)</f>
        <v>#N/A</v>
      </c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</row>
    <row r="124">
      <c r="A124" s="198"/>
      <c r="B124" s="208" t="str">
        <f>vlookup(A124,Price!A:B,2,false)</f>
        <v>#N/A</v>
      </c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</row>
    <row r="125">
      <c r="A125" s="198"/>
      <c r="B125" s="208" t="str">
        <f>vlookup(A125,Price!A:B,2,false)</f>
        <v>#N/A</v>
      </c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</row>
    <row r="126">
      <c r="A126" s="198"/>
      <c r="B126" s="208" t="str">
        <f>vlookup(A126,Price!A:B,2,false)</f>
        <v>#N/A</v>
      </c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</row>
    <row r="127">
      <c r="A127" s="198"/>
      <c r="B127" s="208" t="str">
        <f>vlookup(A127,Price!A:B,2,false)</f>
        <v>#N/A</v>
      </c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</row>
    <row r="128">
      <c r="A128" s="198"/>
      <c r="B128" s="208" t="str">
        <f>vlookup(A128,Price!A:B,2,false)</f>
        <v>#N/A</v>
      </c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</row>
    <row r="129">
      <c r="A129" s="198"/>
      <c r="B129" s="208" t="str">
        <f>vlookup(A129,Price!A:B,2,false)</f>
        <v>#N/A</v>
      </c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</row>
    <row r="130">
      <c r="A130" s="198"/>
      <c r="B130" s="208" t="str">
        <f>vlookup(A130,Price!A:B,2,false)</f>
        <v>#N/A</v>
      </c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</row>
    <row r="131">
      <c r="A131" s="198"/>
      <c r="B131" s="208" t="str">
        <f>vlookup(A131,Price!A:B,2,false)</f>
        <v>#N/A</v>
      </c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</row>
    <row r="132">
      <c r="A132" s="198"/>
      <c r="B132" s="208" t="str">
        <f>vlookup(A132,Price!A:B,2,false)</f>
        <v>#N/A</v>
      </c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</row>
    <row r="133">
      <c r="A133" s="198"/>
      <c r="B133" s="208" t="str">
        <f>vlookup(A133,Price!A:B,2,false)</f>
        <v>#N/A</v>
      </c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</row>
    <row r="134">
      <c r="A134" s="198"/>
      <c r="B134" s="208" t="str">
        <f>vlookup(A134,Price!A:B,2,false)</f>
        <v>#N/A</v>
      </c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</row>
    <row r="135">
      <c r="A135" s="198"/>
      <c r="B135" s="208" t="str">
        <f>vlookup(A135,Price!A:B,2,false)</f>
        <v>#N/A</v>
      </c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</row>
    <row r="136">
      <c r="A136" s="198"/>
      <c r="B136" s="208" t="str">
        <f>vlookup(A136,Price!A:B,2,false)</f>
        <v>#N/A</v>
      </c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</row>
    <row r="137">
      <c r="A137" s="198"/>
      <c r="B137" s="208" t="str">
        <f>vlookup(A137,Price!A:B,2,false)</f>
        <v>#N/A</v>
      </c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</row>
    <row r="138">
      <c r="A138" s="198"/>
      <c r="B138" s="208" t="str">
        <f>vlookup(A138,Price!A:B,2,false)</f>
        <v>#N/A</v>
      </c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</row>
    <row r="139">
      <c r="A139" s="198"/>
      <c r="B139" s="208" t="str">
        <f>vlookup(A139,Price!A:B,2,false)</f>
        <v>#N/A</v>
      </c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</row>
    <row r="140">
      <c r="A140" s="198"/>
      <c r="B140" s="208" t="str">
        <f>vlookup(A140,Price!A:B,2,false)</f>
        <v>#N/A</v>
      </c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</row>
    <row r="141">
      <c r="A141" s="198"/>
      <c r="B141" s="208" t="str">
        <f>vlookup(A141,Price!A:B,2,false)</f>
        <v>#N/A</v>
      </c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</row>
    <row r="142">
      <c r="A142" s="198"/>
      <c r="B142" s="208" t="str">
        <f>vlookup(A142,Price!A:B,2,false)</f>
        <v>#N/A</v>
      </c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</row>
    <row r="143">
      <c r="A143" s="198"/>
      <c r="B143" s="208" t="str">
        <f>vlookup(A143,Price!A:B,2,false)</f>
        <v>#N/A</v>
      </c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</row>
    <row r="144">
      <c r="A144" s="198"/>
      <c r="B144" s="208" t="str">
        <f>vlookup(A144,Price!A:B,2,false)</f>
        <v>#N/A</v>
      </c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</row>
    <row r="145">
      <c r="A145" s="198"/>
      <c r="B145" s="208" t="str">
        <f>vlookup(A145,Price!A:B,2,false)</f>
        <v>#N/A</v>
      </c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</row>
    <row r="146">
      <c r="A146" s="198"/>
      <c r="B146" s="208" t="str">
        <f>vlookup(A146,Price!A:B,2,false)</f>
        <v>#N/A</v>
      </c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</row>
    <row r="147">
      <c r="A147" s="198"/>
      <c r="B147" s="208" t="str">
        <f>vlookup(A147,Price!A:B,2,false)</f>
        <v>#N/A</v>
      </c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</row>
    <row r="148">
      <c r="A148" s="198"/>
      <c r="B148" s="208" t="str">
        <f>vlookup(A148,Price!A:B,2,false)</f>
        <v>#N/A</v>
      </c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</row>
    <row r="149">
      <c r="A149" s="198"/>
      <c r="B149" s="208" t="str">
        <f>vlookup(A149,Price!A:B,2,false)</f>
        <v>#N/A</v>
      </c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</row>
    <row r="150">
      <c r="A150" s="198"/>
      <c r="B150" s="208" t="str">
        <f>vlookup(A150,Price!A:B,2,false)</f>
        <v>#N/A</v>
      </c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</row>
    <row r="151">
      <c r="A151" s="198"/>
      <c r="B151" s="208" t="str">
        <f>vlookup(A151,Price!A:B,2,false)</f>
        <v>#N/A</v>
      </c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</row>
    <row r="152">
      <c r="A152" s="198"/>
      <c r="B152" s="208" t="str">
        <f>vlookup(A152,Price!A:B,2,false)</f>
        <v>#N/A</v>
      </c>
      <c r="C152" s="198"/>
      <c r="D152" s="198"/>
      <c r="E152" s="198"/>
      <c r="F152" s="198"/>
      <c r="G152" s="198"/>
      <c r="H152" s="198"/>
      <c r="I152" s="198"/>
      <c r="J152" s="198"/>
      <c r="K152" s="198"/>
      <c r="L152" s="198"/>
    </row>
    <row r="153">
      <c r="A153" s="198"/>
      <c r="B153" s="208" t="str">
        <f>vlookup(A153,Price!A:B,2,false)</f>
        <v>#N/A</v>
      </c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</row>
    <row r="154">
      <c r="A154" s="198"/>
      <c r="B154" s="208" t="str">
        <f>vlookup(A154,Price!A:B,2,false)</f>
        <v>#N/A</v>
      </c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</row>
    <row r="155">
      <c r="A155" s="198"/>
      <c r="B155" s="208" t="str">
        <f>vlookup(A155,Price!A:B,2,false)</f>
        <v>#N/A</v>
      </c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</row>
    <row r="156">
      <c r="A156" s="198"/>
      <c r="B156" s="208" t="str">
        <f>vlookup(A156,Price!A:B,2,false)</f>
        <v>#N/A</v>
      </c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</row>
    <row r="157">
      <c r="A157" s="198"/>
      <c r="B157" s="208" t="str">
        <f>vlookup(A157,Price!A:B,2,false)</f>
        <v>#N/A</v>
      </c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</row>
    <row r="158">
      <c r="A158" s="198"/>
      <c r="B158" s="208" t="str">
        <f>vlookup(A158,Price!A:B,2,false)</f>
        <v>#N/A</v>
      </c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</row>
    <row r="159">
      <c r="A159" s="198"/>
      <c r="B159" s="208" t="str">
        <f>vlookup(A159,Price!A:B,2,false)</f>
        <v>#N/A</v>
      </c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</row>
    <row r="160">
      <c r="A160" s="198"/>
      <c r="B160" s="208" t="str">
        <f>vlookup(A160,Price!A:B,2,false)</f>
        <v>#N/A</v>
      </c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</row>
    <row r="161">
      <c r="A161" s="198"/>
      <c r="B161" s="208" t="str">
        <f>vlookup(A161,Price!A:B,2,false)</f>
        <v>#N/A</v>
      </c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</row>
    <row r="162">
      <c r="A162" s="198"/>
      <c r="B162" s="208" t="str">
        <f>vlookup(A162,Price!A:B,2,false)</f>
        <v>#N/A</v>
      </c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</row>
    <row r="163">
      <c r="A163" s="198"/>
      <c r="B163" s="208" t="str">
        <f>vlookup(A163,Price!A:B,2,false)</f>
        <v>#N/A</v>
      </c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</row>
    <row r="164">
      <c r="A164" s="198"/>
      <c r="B164" s="208" t="str">
        <f>vlookup(A164,Price!A:B,2,false)</f>
        <v>#N/A</v>
      </c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</row>
    <row r="165">
      <c r="A165" s="198"/>
      <c r="B165" s="208" t="str">
        <f>vlookup(A165,Price!A:B,2,false)</f>
        <v>#N/A</v>
      </c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</row>
    <row r="166">
      <c r="A166" s="198"/>
      <c r="B166" s="208" t="str">
        <f>vlookup(A166,Price!A:B,2,false)</f>
        <v>#N/A</v>
      </c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</row>
    <row r="167">
      <c r="A167" s="198"/>
      <c r="B167" s="208" t="str">
        <f>vlookup(A167,Price!A:B,2,false)</f>
        <v>#N/A</v>
      </c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</row>
    <row r="168">
      <c r="A168" s="198"/>
      <c r="B168" s="208" t="str">
        <f>vlookup(A168,Price!A:B,2,false)</f>
        <v>#N/A</v>
      </c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</row>
    <row r="169">
      <c r="A169" s="198"/>
      <c r="B169" s="208" t="str">
        <f>vlookup(A169,Price!A:B,2,false)</f>
        <v>#N/A</v>
      </c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</row>
    <row r="170">
      <c r="A170" s="198"/>
      <c r="B170" s="208" t="str">
        <f>vlookup(A170,Price!A:B,2,false)</f>
        <v>#N/A</v>
      </c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</row>
    <row r="171">
      <c r="A171" s="198"/>
      <c r="B171" s="208" t="str">
        <f>vlookup(A171,Price!A:B,2,false)</f>
        <v>#N/A</v>
      </c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</row>
    <row r="172">
      <c r="A172" s="198"/>
      <c r="B172" s="208" t="str">
        <f>vlookup(A172,Price!A:B,2,false)</f>
        <v>#N/A</v>
      </c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</row>
    <row r="173">
      <c r="A173" s="198"/>
      <c r="B173" s="208" t="str">
        <f>vlookup(A173,Price!A:B,2,false)</f>
        <v>#N/A</v>
      </c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</row>
    <row r="174">
      <c r="A174" s="198"/>
      <c r="B174" s="208" t="str">
        <f>vlookup(A174,Price!A:B,2,false)</f>
        <v>#N/A</v>
      </c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</row>
    <row r="175">
      <c r="A175" s="198"/>
      <c r="B175" s="208" t="str">
        <f>vlookup(A175,Price!A:B,2,false)</f>
        <v>#N/A</v>
      </c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</row>
    <row r="176">
      <c r="A176" s="198"/>
      <c r="B176" s="208" t="str">
        <f>vlookup(A176,Price!A:B,2,false)</f>
        <v>#N/A</v>
      </c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</row>
    <row r="177">
      <c r="A177" s="198"/>
      <c r="B177" s="208" t="str">
        <f>vlookup(A177,Price!A:B,2,false)</f>
        <v>#N/A</v>
      </c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</row>
    <row r="178">
      <c r="A178" s="198"/>
      <c r="B178" s="208" t="str">
        <f>vlookup(A178,Price!A:B,2,false)</f>
        <v>#N/A</v>
      </c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</row>
    <row r="179">
      <c r="A179" s="198"/>
      <c r="B179" s="208" t="str">
        <f>vlookup(A179,Price!A:B,2,false)</f>
        <v>#N/A</v>
      </c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</row>
    <row r="180">
      <c r="A180" s="198"/>
      <c r="B180" s="208" t="str">
        <f>vlookup(A180,Price!A:B,2,false)</f>
        <v>#N/A</v>
      </c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</row>
    <row r="181">
      <c r="A181" s="198"/>
      <c r="B181" s="208" t="str">
        <f>vlookup(A181,Price!A:B,2,false)</f>
        <v>#N/A</v>
      </c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</row>
    <row r="182">
      <c r="A182" s="198"/>
      <c r="B182" s="208" t="str">
        <f>vlookup(A182,Price!A:B,2,false)</f>
        <v>#N/A</v>
      </c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</row>
    <row r="183">
      <c r="A183" s="198"/>
      <c r="B183" s="208" t="str">
        <f>vlookup(A183,Price!A:B,2,false)</f>
        <v>#N/A</v>
      </c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</row>
    <row r="184">
      <c r="A184" s="198"/>
      <c r="B184" s="208" t="str">
        <f>vlookup(A184,Price!A:B,2,false)</f>
        <v>#N/A</v>
      </c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</row>
    <row r="185">
      <c r="A185" s="198"/>
      <c r="B185" s="208" t="str">
        <f>vlookup(A185,Price!A:B,2,false)</f>
        <v>#N/A</v>
      </c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</row>
    <row r="186">
      <c r="A186" s="198"/>
      <c r="B186" s="208" t="str">
        <f>vlookup(A186,Price!A:B,2,false)</f>
        <v>#N/A</v>
      </c>
      <c r="C186" s="198"/>
      <c r="D186" s="198"/>
      <c r="E186" s="198"/>
      <c r="F186" s="198"/>
      <c r="G186" s="198"/>
      <c r="H186" s="198"/>
      <c r="I186" s="198"/>
      <c r="J186" s="198"/>
      <c r="K186" s="198"/>
      <c r="L186" s="198"/>
    </row>
    <row r="187">
      <c r="A187" s="198"/>
      <c r="B187" s="208" t="str">
        <f>vlookup(A187,Price!A:B,2,false)</f>
        <v>#N/A</v>
      </c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</row>
    <row r="188">
      <c r="A188" s="198"/>
      <c r="B188" s="208" t="str">
        <f>vlookup(A188,Price!A:B,2,false)</f>
        <v>#N/A</v>
      </c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</row>
    <row r="189">
      <c r="A189" s="198"/>
      <c r="B189" s="208" t="str">
        <f>vlookup(A189,Price!A:B,2,false)</f>
        <v>#N/A</v>
      </c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</row>
    <row r="190">
      <c r="A190" s="198"/>
      <c r="B190" s="208" t="str">
        <f>vlookup(A190,Price!A:B,2,false)</f>
        <v>#N/A</v>
      </c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</row>
    <row r="191">
      <c r="A191" s="198"/>
      <c r="B191" s="208" t="str">
        <f>vlookup(A191,Price!A:B,2,false)</f>
        <v>#N/A</v>
      </c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</row>
    <row r="192">
      <c r="A192" s="198"/>
      <c r="B192" s="208" t="str">
        <f>vlookup(A192,Price!A:B,2,false)</f>
        <v>#N/A</v>
      </c>
      <c r="C192" s="198"/>
      <c r="D192" s="198"/>
      <c r="E192" s="198"/>
      <c r="F192" s="198"/>
      <c r="G192" s="198"/>
      <c r="H192" s="198"/>
      <c r="I192" s="198"/>
      <c r="J192" s="198"/>
      <c r="K192" s="198"/>
      <c r="L192" s="198"/>
    </row>
    <row r="193">
      <c r="A193" s="198"/>
      <c r="B193" s="208" t="str">
        <f>vlookup(A193,Price!A:B,2,false)</f>
        <v>#N/A</v>
      </c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</row>
    <row r="194">
      <c r="A194" s="198"/>
      <c r="B194" s="208" t="str">
        <f>vlookup(A194,Price!A:B,2,false)</f>
        <v>#N/A</v>
      </c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</row>
    <row r="195">
      <c r="A195" s="198"/>
      <c r="B195" s="208" t="str">
        <f>vlookup(A195,Price!A:B,2,false)</f>
        <v>#N/A</v>
      </c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</row>
    <row r="196">
      <c r="A196" s="198"/>
      <c r="B196" s="208" t="str">
        <f>vlookup(A196,Price!A:B,2,false)</f>
        <v>#N/A</v>
      </c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</row>
    <row r="197">
      <c r="A197" s="198"/>
      <c r="B197" s="208" t="str">
        <f>vlookup(A197,Price!A:B,2,false)</f>
        <v>#N/A</v>
      </c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</row>
    <row r="198">
      <c r="A198" s="198"/>
      <c r="B198" s="208" t="str">
        <f>vlookup(A198,Price!A:B,2,false)</f>
        <v>#N/A</v>
      </c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</row>
    <row r="199">
      <c r="A199" s="198"/>
      <c r="B199" s="208" t="str">
        <f>vlookup(A199,Price!A:B,2,false)</f>
        <v>#N/A</v>
      </c>
      <c r="C199" s="198"/>
      <c r="D199" s="198"/>
      <c r="E199" s="198"/>
      <c r="F199" s="198"/>
      <c r="G199" s="198"/>
      <c r="H199" s="198"/>
      <c r="I199" s="198"/>
      <c r="J199" s="198"/>
      <c r="K199" s="198"/>
      <c r="L199" s="198"/>
    </row>
    <row r="200">
      <c r="A200" s="198"/>
      <c r="B200" s="208" t="str">
        <f>vlookup(A200,Price!A:B,2,false)</f>
        <v>#N/A</v>
      </c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</row>
    <row r="201">
      <c r="A201" s="198"/>
      <c r="B201" s="208" t="str">
        <f>vlookup(A201,Price!A:B,2,false)</f>
        <v>#N/A</v>
      </c>
      <c r="C201" s="198"/>
      <c r="D201" s="198"/>
      <c r="E201" s="198"/>
      <c r="F201" s="198"/>
      <c r="G201" s="198"/>
      <c r="H201" s="198"/>
      <c r="I201" s="198"/>
      <c r="J201" s="198"/>
      <c r="K201" s="198"/>
      <c r="L201" s="198"/>
    </row>
    <row r="202">
      <c r="A202" s="198"/>
      <c r="B202" s="208" t="str">
        <f>vlookup(A202,Price!A:B,2,false)</f>
        <v>#N/A</v>
      </c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</row>
    <row r="203">
      <c r="A203" s="198"/>
      <c r="B203" s="208" t="str">
        <f>vlookup(A203,Price!A:B,2,false)</f>
        <v>#N/A</v>
      </c>
      <c r="C203" s="198"/>
      <c r="D203" s="198"/>
      <c r="E203" s="198"/>
      <c r="F203" s="198"/>
      <c r="G203" s="198"/>
      <c r="H203" s="198"/>
      <c r="I203" s="198"/>
      <c r="J203" s="198"/>
      <c r="K203" s="198"/>
      <c r="L203" s="198"/>
    </row>
    <row r="204">
      <c r="A204" s="198"/>
      <c r="B204" s="208" t="str">
        <f>vlookup(A204,Price!A:B,2,false)</f>
        <v>#N/A</v>
      </c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</row>
    <row r="205">
      <c r="A205" s="198"/>
      <c r="B205" s="208" t="str">
        <f>vlookup(A205,Price!A:B,2,false)</f>
        <v>#N/A</v>
      </c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</row>
    <row r="206">
      <c r="A206" s="198"/>
      <c r="B206" s="208" t="str">
        <f>vlookup(A206,Price!A:B,2,false)</f>
        <v>#N/A</v>
      </c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</row>
    <row r="207">
      <c r="A207" s="198"/>
      <c r="B207" s="208" t="str">
        <f>vlookup(A207,Price!A:B,2,false)</f>
        <v>#N/A</v>
      </c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</row>
    <row r="208">
      <c r="A208" s="198"/>
      <c r="B208" s="208" t="str">
        <f>vlookup(A208,Price!A:B,2,false)</f>
        <v>#N/A</v>
      </c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</row>
    <row r="209">
      <c r="A209" s="198"/>
      <c r="B209" s="208" t="str">
        <f>vlookup(A209,Price!A:B,2,false)</f>
        <v>#N/A</v>
      </c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</row>
    <row r="210">
      <c r="A210" s="198"/>
      <c r="B210" s="208" t="str">
        <f>vlookup(A210,Price!A:B,2,false)</f>
        <v>#N/A</v>
      </c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</row>
    <row r="211">
      <c r="A211" s="198"/>
      <c r="B211" s="208" t="str">
        <f>vlookup(A211,Price!A:B,2,false)</f>
        <v>#N/A</v>
      </c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</row>
    <row r="212">
      <c r="A212" s="198"/>
      <c r="B212" s="208" t="str">
        <f>vlookup(A212,Price!A:B,2,false)</f>
        <v>#N/A</v>
      </c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</row>
    <row r="213">
      <c r="A213" s="198"/>
      <c r="B213" s="208" t="str">
        <f>vlookup(A213,Price!A:B,2,false)</f>
        <v>#N/A</v>
      </c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</row>
    <row r="214">
      <c r="A214" s="198"/>
      <c r="B214" s="208" t="str">
        <f>vlookup(A214,Price!A:B,2,false)</f>
        <v>#N/A</v>
      </c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</row>
    <row r="215">
      <c r="A215" s="198"/>
      <c r="B215" s="208" t="str">
        <f>vlookup(A215,Price!A:B,2,false)</f>
        <v>#N/A</v>
      </c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</row>
    <row r="216">
      <c r="A216" s="198"/>
      <c r="B216" s="208" t="str">
        <f>vlookup(A216,Price!A:B,2,false)</f>
        <v>#N/A</v>
      </c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</row>
    <row r="217">
      <c r="A217" s="198"/>
      <c r="B217" s="208" t="str">
        <f>vlookup(A217,Price!A:B,2,false)</f>
        <v>#N/A</v>
      </c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</row>
    <row r="218">
      <c r="A218" s="198"/>
      <c r="B218" s="208" t="str">
        <f>vlookup(A218,Price!A:B,2,false)</f>
        <v>#N/A</v>
      </c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</row>
    <row r="219">
      <c r="A219" s="198"/>
      <c r="B219" s="208" t="str">
        <f>vlookup(A219,Price!A:B,2,false)</f>
        <v>#N/A</v>
      </c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</row>
    <row r="220">
      <c r="A220" s="198"/>
      <c r="B220" s="208" t="str">
        <f>vlookup(A220,Price!A:B,2,false)</f>
        <v>#N/A</v>
      </c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</row>
    <row r="221">
      <c r="A221" s="198"/>
      <c r="B221" s="208" t="str">
        <f>vlookup(A221,Price!A:B,2,false)</f>
        <v>#N/A</v>
      </c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</row>
    <row r="222">
      <c r="A222" s="198"/>
      <c r="B222" s="208" t="str">
        <f>vlookup(A222,Price!A:B,2,false)</f>
        <v>#N/A</v>
      </c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</row>
    <row r="223">
      <c r="A223" s="198"/>
      <c r="B223" s="208" t="str">
        <f>vlookup(A223,Price!A:B,2,false)</f>
        <v>#N/A</v>
      </c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</row>
    <row r="224">
      <c r="A224" s="198"/>
      <c r="B224" s="208" t="str">
        <f>vlookup(A224,Price!A:B,2,false)</f>
        <v>#N/A</v>
      </c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</row>
    <row r="225">
      <c r="A225" s="198"/>
      <c r="B225" s="208" t="str">
        <f>vlookup(A225,Price!A:B,2,false)</f>
        <v>#N/A</v>
      </c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</row>
    <row r="226">
      <c r="A226" s="198"/>
      <c r="B226" s="208" t="str">
        <f>vlookup(A226,Price!A:B,2,false)</f>
        <v>#N/A</v>
      </c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</row>
    <row r="227">
      <c r="A227" s="198"/>
      <c r="B227" s="208" t="str">
        <f>vlookup(A227,Price!A:B,2,false)</f>
        <v>#N/A</v>
      </c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</row>
    <row r="228">
      <c r="A228" s="198"/>
      <c r="B228" s="208" t="str">
        <f>vlookup(A228,Price!A:B,2,false)</f>
        <v>#N/A</v>
      </c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</row>
    <row r="229">
      <c r="A229" s="198"/>
      <c r="B229" s="208" t="str">
        <f>vlookup(A229,Price!A:B,2,false)</f>
        <v>#N/A</v>
      </c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</row>
    <row r="230">
      <c r="A230" s="198"/>
      <c r="B230" s="208" t="str">
        <f>vlookup(A230,Price!A:B,2,false)</f>
        <v>#N/A</v>
      </c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</row>
    <row r="231">
      <c r="A231" s="198"/>
      <c r="B231" s="208" t="str">
        <f>vlookup(A231,Price!A:B,2,false)</f>
        <v>#N/A</v>
      </c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</row>
    <row r="232">
      <c r="A232" s="198"/>
      <c r="B232" s="208" t="str">
        <f>vlookup(A232,Price!A:B,2,false)</f>
        <v>#N/A</v>
      </c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</row>
    <row r="233">
      <c r="A233" s="198"/>
      <c r="B233" s="208" t="str">
        <f>vlookup(A233,Price!A:B,2,false)</f>
        <v>#N/A</v>
      </c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</row>
    <row r="234">
      <c r="A234" s="198"/>
      <c r="B234" s="208" t="str">
        <f>vlookup(A234,Price!A:B,2,false)</f>
        <v>#N/A</v>
      </c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</row>
    <row r="235">
      <c r="A235" s="198"/>
      <c r="B235" s="208" t="str">
        <f>vlookup(A235,Price!A:B,2,false)</f>
        <v>#N/A</v>
      </c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</row>
    <row r="236">
      <c r="A236" s="198"/>
      <c r="B236" s="208" t="str">
        <f>vlookup(A236,Price!A:B,2,false)</f>
        <v>#N/A</v>
      </c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</row>
    <row r="237">
      <c r="A237" s="198"/>
      <c r="B237" s="208" t="str">
        <f>vlookup(A237,Price!A:B,2,false)</f>
        <v>#N/A</v>
      </c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</row>
    <row r="238">
      <c r="A238" s="198"/>
      <c r="B238" s="208" t="str">
        <f>vlookup(A238,Price!A:B,2,false)</f>
        <v>#N/A</v>
      </c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</row>
    <row r="239">
      <c r="A239" s="198"/>
      <c r="B239" s="208" t="str">
        <f>vlookup(A239,Price!A:B,2,false)</f>
        <v>#N/A</v>
      </c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</row>
    <row r="240">
      <c r="A240" s="198"/>
      <c r="B240" s="208" t="str">
        <f>vlookup(A240,Price!A:B,2,false)</f>
        <v>#N/A</v>
      </c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</row>
    <row r="241">
      <c r="A241" s="198"/>
      <c r="B241" s="208" t="str">
        <f>vlookup(A241,Price!A:B,2,false)</f>
        <v>#N/A</v>
      </c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</row>
    <row r="242">
      <c r="A242" s="198"/>
      <c r="B242" s="208" t="str">
        <f>vlookup(A242,Price!A:B,2,false)</f>
        <v>#N/A</v>
      </c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</row>
    <row r="243">
      <c r="A243" s="198"/>
      <c r="B243" s="208" t="str">
        <f>vlookup(A243,Price!A:B,2,false)</f>
        <v>#N/A</v>
      </c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</row>
    <row r="244">
      <c r="A244" s="198"/>
      <c r="B244" s="208" t="str">
        <f>vlookup(A244,Price!A:B,2,false)</f>
        <v>#N/A</v>
      </c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</row>
    <row r="245">
      <c r="A245" s="198"/>
      <c r="B245" s="208" t="str">
        <f>vlookup(A245,Price!A:B,2,false)</f>
        <v>#N/A</v>
      </c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</row>
    <row r="246">
      <c r="A246" s="198"/>
      <c r="B246" s="208" t="str">
        <f>vlookup(A246,Price!A:B,2,false)</f>
        <v>#N/A</v>
      </c>
      <c r="C246" s="198"/>
      <c r="D246" s="198"/>
      <c r="E246" s="198"/>
      <c r="F246" s="198"/>
      <c r="G246" s="198"/>
      <c r="H246" s="198"/>
      <c r="I246" s="198"/>
      <c r="J246" s="198"/>
      <c r="K246" s="198"/>
      <c r="L246" s="198"/>
    </row>
    <row r="247">
      <c r="A247" s="198"/>
      <c r="B247" s="208" t="str">
        <f>vlookup(A247,Price!A:B,2,false)</f>
        <v>#N/A</v>
      </c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</row>
    <row r="248">
      <c r="A248" s="198"/>
      <c r="B248" s="208" t="str">
        <f>vlookup(A248,Price!A:B,2,false)</f>
        <v>#N/A</v>
      </c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</row>
    <row r="249">
      <c r="A249" s="198"/>
      <c r="B249" s="208" t="str">
        <f>vlookup(A249,Price!A:B,2,false)</f>
        <v>#N/A</v>
      </c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</row>
    <row r="250">
      <c r="A250" s="198"/>
      <c r="B250" s="208" t="str">
        <f>vlookup(A250,Price!A:B,2,false)</f>
        <v>#N/A</v>
      </c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</row>
    <row r="251">
      <c r="A251" s="198"/>
      <c r="B251" s="208" t="str">
        <f>vlookup(A251,Price!A:B,2,false)</f>
        <v>#N/A</v>
      </c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</row>
    <row r="252">
      <c r="A252" s="198"/>
      <c r="B252" s="208" t="str">
        <f>vlookup(A252,Price!A:B,2,false)</f>
        <v>#N/A</v>
      </c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</row>
    <row r="253">
      <c r="A253" s="198"/>
      <c r="B253" s="208" t="str">
        <f>vlookup(A253,Price!A:B,2,false)</f>
        <v>#N/A</v>
      </c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</row>
    <row r="254">
      <c r="A254" s="198"/>
      <c r="B254" s="208" t="str">
        <f>vlookup(A254,Price!A:B,2,false)</f>
        <v>#N/A</v>
      </c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</row>
    <row r="255">
      <c r="A255" s="198"/>
      <c r="B255" s="208" t="str">
        <f>vlookup(A255,Price!A:B,2,false)</f>
        <v>#N/A</v>
      </c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</row>
    <row r="256">
      <c r="A256" s="198"/>
      <c r="B256" s="208" t="str">
        <f>vlookup(A256,Price!A:B,2,false)</f>
        <v>#N/A</v>
      </c>
      <c r="C256" s="198"/>
      <c r="D256" s="198"/>
      <c r="E256" s="198"/>
      <c r="F256" s="198"/>
      <c r="G256" s="198"/>
      <c r="H256" s="198"/>
      <c r="I256" s="198"/>
      <c r="J256" s="198"/>
      <c r="K256" s="198"/>
      <c r="L256" s="198"/>
    </row>
    <row r="257">
      <c r="A257" s="198"/>
      <c r="B257" s="208" t="str">
        <f>vlookup(A257,Price!A:B,2,false)</f>
        <v>#N/A</v>
      </c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</row>
    <row r="258">
      <c r="A258" s="198"/>
      <c r="B258" s="208" t="str">
        <f>vlookup(A258,Price!A:B,2,false)</f>
        <v>#N/A</v>
      </c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</row>
    <row r="259">
      <c r="A259" s="198"/>
      <c r="B259" s="208" t="str">
        <f>vlookup(A259,Price!A:B,2,false)</f>
        <v>#N/A</v>
      </c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</row>
    <row r="260">
      <c r="A260" s="198"/>
      <c r="B260" s="208" t="str">
        <f>vlookup(A260,Price!A:B,2,false)</f>
        <v>#N/A</v>
      </c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</row>
    <row r="261">
      <c r="A261" s="198"/>
      <c r="B261" s="208" t="str">
        <f>vlookup(A261,Price!A:B,2,false)</f>
        <v>#N/A</v>
      </c>
      <c r="C261" s="198"/>
      <c r="D261" s="198"/>
      <c r="E261" s="198"/>
      <c r="F261" s="198"/>
      <c r="G261" s="198"/>
      <c r="H261" s="198"/>
      <c r="I261" s="198"/>
      <c r="J261" s="198"/>
      <c r="K261" s="198"/>
      <c r="L261" s="198"/>
    </row>
    <row r="262">
      <c r="A262" s="198"/>
      <c r="B262" s="208" t="str">
        <f>vlookup(A262,Price!A:B,2,false)</f>
        <v>#N/A</v>
      </c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</row>
    <row r="263">
      <c r="A263" s="198"/>
      <c r="B263" s="208" t="str">
        <f>vlookup(A263,Price!A:B,2,false)</f>
        <v>#N/A</v>
      </c>
      <c r="C263" s="198"/>
      <c r="D263" s="198"/>
      <c r="E263" s="198"/>
      <c r="F263" s="198"/>
      <c r="G263" s="198"/>
      <c r="H263" s="198"/>
      <c r="I263" s="198"/>
      <c r="J263" s="198"/>
      <c r="K263" s="198"/>
      <c r="L263" s="198"/>
    </row>
    <row r="264">
      <c r="A264" s="198"/>
      <c r="B264" s="208" t="str">
        <f>vlookup(A264,Price!A:B,2,false)</f>
        <v>#N/A</v>
      </c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</row>
    <row r="265">
      <c r="A265" s="198"/>
      <c r="B265" s="208" t="str">
        <f>vlookup(A265,Price!A:B,2,false)</f>
        <v>#N/A</v>
      </c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</row>
    <row r="266">
      <c r="A266" s="198"/>
      <c r="B266" s="208" t="str">
        <f>vlookup(A266,Price!A:B,2,false)</f>
        <v>#N/A</v>
      </c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</row>
    <row r="267">
      <c r="A267" s="198"/>
      <c r="B267" s="208" t="str">
        <f>vlookup(A267,Price!A:B,2,false)</f>
        <v>#N/A</v>
      </c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</row>
    <row r="268">
      <c r="A268" s="198"/>
      <c r="B268" s="208" t="str">
        <f>vlookup(A268,Price!A:B,2,false)</f>
        <v>#N/A</v>
      </c>
      <c r="C268" s="198"/>
      <c r="D268" s="198"/>
      <c r="E268" s="198"/>
      <c r="F268" s="198"/>
      <c r="G268" s="198"/>
      <c r="H268" s="198"/>
      <c r="I268" s="198"/>
      <c r="J268" s="198"/>
      <c r="K268" s="198"/>
      <c r="L268" s="198"/>
    </row>
    <row r="269">
      <c r="A269" s="198"/>
      <c r="B269" s="208" t="str">
        <f>vlookup(A269,Price!A:B,2,false)</f>
        <v>#N/A</v>
      </c>
      <c r="C269" s="198"/>
      <c r="D269" s="198"/>
      <c r="E269" s="198"/>
      <c r="F269" s="198"/>
      <c r="G269" s="198"/>
      <c r="H269" s="198"/>
      <c r="I269" s="198"/>
      <c r="J269" s="198"/>
      <c r="K269" s="198"/>
      <c r="L269" s="198"/>
    </row>
    <row r="270">
      <c r="A270" s="198"/>
      <c r="B270" s="208" t="str">
        <f>vlookup(A270,Price!A:B,2,false)</f>
        <v>#N/A</v>
      </c>
      <c r="C270" s="198"/>
      <c r="D270" s="198"/>
      <c r="E270" s="198"/>
      <c r="F270" s="198"/>
      <c r="G270" s="198"/>
      <c r="H270" s="198"/>
      <c r="I270" s="198"/>
      <c r="J270" s="198"/>
      <c r="K270" s="198"/>
      <c r="L270" s="198"/>
    </row>
    <row r="271">
      <c r="A271" s="198"/>
      <c r="B271" s="208" t="str">
        <f>vlookup(A271,Price!A:B,2,false)</f>
        <v>#N/A</v>
      </c>
      <c r="C271" s="198"/>
      <c r="D271" s="198"/>
      <c r="E271" s="198"/>
      <c r="F271" s="198"/>
      <c r="G271" s="198"/>
      <c r="H271" s="198"/>
      <c r="I271" s="198"/>
      <c r="J271" s="198"/>
      <c r="K271" s="198"/>
      <c r="L271" s="198"/>
    </row>
    <row r="272">
      <c r="A272" s="198"/>
      <c r="B272" s="208" t="str">
        <f>vlookup(A272,Price!A:B,2,false)</f>
        <v>#N/A</v>
      </c>
      <c r="C272" s="198"/>
      <c r="D272" s="198"/>
      <c r="E272" s="198"/>
      <c r="F272" s="198"/>
      <c r="G272" s="198"/>
      <c r="H272" s="198"/>
      <c r="I272" s="198"/>
      <c r="J272" s="198"/>
      <c r="K272" s="198"/>
      <c r="L272" s="198"/>
    </row>
    <row r="273">
      <c r="A273" s="198"/>
      <c r="B273" s="208" t="str">
        <f>vlookup(A273,Price!A:B,2,false)</f>
        <v>#N/A</v>
      </c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</row>
    <row r="274">
      <c r="A274" s="198"/>
      <c r="B274" s="208" t="str">
        <f>vlookup(A274,Price!A:B,2,false)</f>
        <v>#N/A</v>
      </c>
      <c r="C274" s="198"/>
      <c r="D274" s="198"/>
      <c r="E274" s="198"/>
      <c r="F274" s="198"/>
      <c r="G274" s="198"/>
      <c r="H274" s="198"/>
      <c r="I274" s="198"/>
      <c r="J274" s="198"/>
      <c r="K274" s="198"/>
      <c r="L274" s="198"/>
    </row>
    <row r="275">
      <c r="A275" s="198"/>
      <c r="B275" s="208" t="str">
        <f>vlookup(A275,Price!A:B,2,false)</f>
        <v>#N/A</v>
      </c>
      <c r="C275" s="198"/>
      <c r="D275" s="198"/>
      <c r="E275" s="198"/>
      <c r="F275" s="198"/>
      <c r="G275" s="198"/>
      <c r="H275" s="198"/>
      <c r="I275" s="198"/>
      <c r="J275" s="198"/>
      <c r="K275" s="198"/>
      <c r="L275" s="198"/>
    </row>
    <row r="276">
      <c r="A276" s="198"/>
      <c r="B276" s="208" t="str">
        <f>vlookup(A276,Price!A:B,2,false)</f>
        <v>#N/A</v>
      </c>
      <c r="C276" s="198"/>
      <c r="D276" s="198"/>
      <c r="E276" s="198"/>
      <c r="F276" s="198"/>
      <c r="G276" s="198"/>
      <c r="H276" s="198"/>
      <c r="I276" s="198"/>
      <c r="J276" s="198"/>
      <c r="K276" s="198"/>
      <c r="L276" s="198"/>
    </row>
    <row r="277">
      <c r="A277" s="198"/>
      <c r="B277" s="208" t="str">
        <f>vlookup(A277,Price!A:B,2,false)</f>
        <v>#N/A</v>
      </c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</row>
    <row r="278">
      <c r="A278" s="198"/>
      <c r="B278" s="208" t="str">
        <f>vlookup(A278,Price!A:B,2,false)</f>
        <v>#N/A</v>
      </c>
      <c r="C278" s="198"/>
      <c r="D278" s="198"/>
      <c r="E278" s="198"/>
      <c r="F278" s="198"/>
      <c r="G278" s="198"/>
      <c r="H278" s="198"/>
      <c r="I278" s="198"/>
      <c r="J278" s="198"/>
      <c r="K278" s="198"/>
      <c r="L278" s="198"/>
    </row>
    <row r="279">
      <c r="A279" s="198"/>
      <c r="B279" s="208" t="str">
        <f>vlookup(A279,Price!A:B,2,false)</f>
        <v>#N/A</v>
      </c>
      <c r="C279" s="198"/>
      <c r="D279" s="198"/>
      <c r="E279" s="198"/>
      <c r="F279" s="198"/>
      <c r="G279" s="198"/>
      <c r="H279" s="198"/>
      <c r="I279" s="198"/>
      <c r="J279" s="198"/>
      <c r="K279" s="198"/>
      <c r="L279" s="198"/>
    </row>
    <row r="280">
      <c r="A280" s="198"/>
      <c r="B280" s="208" t="str">
        <f>vlookup(A280,Price!A:B,2,false)</f>
        <v>#N/A</v>
      </c>
      <c r="C280" s="198"/>
      <c r="D280" s="198"/>
      <c r="E280" s="198"/>
      <c r="F280" s="198"/>
      <c r="G280" s="198"/>
      <c r="H280" s="198"/>
      <c r="I280" s="198"/>
      <c r="J280" s="198"/>
      <c r="K280" s="198"/>
      <c r="L280" s="198"/>
    </row>
    <row r="281">
      <c r="A281" s="198"/>
      <c r="B281" s="208" t="str">
        <f>vlookup(A281,Price!A:B,2,false)</f>
        <v>#N/A</v>
      </c>
      <c r="C281" s="198"/>
      <c r="D281" s="198"/>
      <c r="E281" s="198"/>
      <c r="F281" s="198"/>
      <c r="G281" s="198"/>
      <c r="H281" s="198"/>
      <c r="I281" s="198"/>
      <c r="J281" s="198"/>
      <c r="K281" s="198"/>
      <c r="L281" s="198"/>
    </row>
    <row r="282">
      <c r="A282" s="198"/>
      <c r="B282" s="208" t="str">
        <f>vlookup(A282,Price!A:B,2,false)</f>
        <v>#N/A</v>
      </c>
      <c r="C282" s="198"/>
      <c r="D282" s="198"/>
      <c r="E282" s="198"/>
      <c r="F282" s="198"/>
      <c r="G282" s="198"/>
      <c r="H282" s="198"/>
      <c r="I282" s="198"/>
      <c r="J282" s="198"/>
      <c r="K282" s="198"/>
      <c r="L282" s="198"/>
    </row>
    <row r="283">
      <c r="A283" s="198"/>
      <c r="B283" s="208" t="str">
        <f>vlookup(A283,Price!A:B,2,false)</f>
        <v>#N/A</v>
      </c>
      <c r="C283" s="198"/>
      <c r="D283" s="198"/>
      <c r="E283" s="198"/>
      <c r="F283" s="198"/>
      <c r="G283" s="198"/>
      <c r="H283" s="198"/>
      <c r="I283" s="198"/>
      <c r="J283" s="198"/>
      <c r="K283" s="198"/>
      <c r="L283" s="198"/>
    </row>
    <row r="284">
      <c r="A284" s="198"/>
      <c r="B284" s="208" t="str">
        <f>vlookup(A284,Price!A:B,2,false)</f>
        <v>#N/A</v>
      </c>
      <c r="C284" s="198"/>
      <c r="D284" s="198"/>
      <c r="E284" s="198"/>
      <c r="F284" s="198"/>
      <c r="G284" s="198"/>
      <c r="H284" s="198"/>
      <c r="I284" s="198"/>
      <c r="J284" s="198"/>
      <c r="K284" s="198"/>
      <c r="L284" s="198"/>
    </row>
    <row r="285">
      <c r="A285" s="198"/>
      <c r="B285" s="208" t="str">
        <f>vlookup(A285,Price!A:B,2,false)</f>
        <v>#N/A</v>
      </c>
      <c r="C285" s="198"/>
      <c r="D285" s="198"/>
      <c r="E285" s="198"/>
      <c r="F285" s="198"/>
      <c r="G285" s="198"/>
      <c r="H285" s="198"/>
      <c r="I285" s="198"/>
      <c r="J285" s="198"/>
      <c r="K285" s="198"/>
      <c r="L285" s="198"/>
    </row>
    <row r="286">
      <c r="A286" s="198"/>
      <c r="B286" s="208" t="str">
        <f>vlookup(A286,Price!A:B,2,false)</f>
        <v>#N/A</v>
      </c>
      <c r="C286" s="198"/>
      <c r="D286" s="198"/>
      <c r="E286" s="198"/>
      <c r="F286" s="198"/>
      <c r="G286" s="198"/>
      <c r="H286" s="198"/>
      <c r="I286" s="198"/>
      <c r="J286" s="198"/>
      <c r="K286" s="198"/>
      <c r="L286" s="198"/>
    </row>
    <row r="287">
      <c r="A287" s="198"/>
      <c r="B287" s="208" t="str">
        <f>vlookup(A287,Price!A:B,2,false)</f>
        <v>#N/A</v>
      </c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</row>
    <row r="288">
      <c r="A288" s="198"/>
      <c r="B288" s="208" t="str">
        <f>vlookup(A288,Price!A:B,2,false)</f>
        <v>#N/A</v>
      </c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</row>
    <row r="289">
      <c r="A289" s="198"/>
      <c r="B289" s="208" t="str">
        <f>vlookup(A289,Price!A:B,2,false)</f>
        <v>#N/A</v>
      </c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</row>
    <row r="290">
      <c r="A290" s="198"/>
      <c r="B290" s="208" t="str">
        <f>vlookup(A290,Price!A:B,2,false)</f>
        <v>#N/A</v>
      </c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</row>
    <row r="291">
      <c r="A291" s="198"/>
      <c r="B291" s="208" t="str">
        <f>vlookup(A291,Price!A:B,2,false)</f>
        <v>#N/A</v>
      </c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</row>
    <row r="292">
      <c r="A292" s="198"/>
      <c r="B292" s="208" t="str">
        <f>vlookup(A292,Price!A:B,2,false)</f>
        <v>#N/A</v>
      </c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</row>
    <row r="293">
      <c r="A293" s="198"/>
      <c r="B293" s="208" t="str">
        <f>vlookup(A293,Price!A:B,2,false)</f>
        <v>#N/A</v>
      </c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</row>
    <row r="294">
      <c r="A294" s="198"/>
      <c r="B294" s="208" t="str">
        <f>vlookup(A294,Price!A:B,2,false)</f>
        <v>#N/A</v>
      </c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</row>
    <row r="295">
      <c r="A295" s="198"/>
      <c r="B295" s="208" t="str">
        <f>vlookup(A295,Price!A:B,2,false)</f>
        <v>#N/A</v>
      </c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</row>
    <row r="296">
      <c r="A296" s="198"/>
      <c r="B296" s="208" t="str">
        <f>vlookup(A296,Price!A:B,2,false)</f>
        <v>#N/A</v>
      </c>
      <c r="C296" s="198"/>
      <c r="D296" s="198"/>
      <c r="E296" s="198"/>
      <c r="F296" s="198"/>
      <c r="G296" s="198"/>
      <c r="H296" s="198"/>
      <c r="I296" s="198"/>
      <c r="J296" s="198"/>
      <c r="K296" s="198"/>
      <c r="L296" s="198"/>
    </row>
    <row r="297">
      <c r="A297" s="198"/>
      <c r="B297" s="208" t="str">
        <f>vlookup(A297,Price!A:B,2,false)</f>
        <v>#N/A</v>
      </c>
      <c r="C297" s="198"/>
      <c r="D297" s="198"/>
      <c r="E297" s="198"/>
      <c r="F297" s="198"/>
      <c r="G297" s="198"/>
      <c r="H297" s="198"/>
      <c r="I297" s="198"/>
      <c r="J297" s="198"/>
      <c r="K297" s="198"/>
      <c r="L297" s="198"/>
    </row>
    <row r="298">
      <c r="A298" s="198"/>
      <c r="B298" s="208" t="str">
        <f>vlookup(A298,Price!A:B,2,false)</f>
        <v>#N/A</v>
      </c>
      <c r="C298" s="198"/>
      <c r="D298" s="198"/>
      <c r="E298" s="198"/>
      <c r="F298" s="198"/>
      <c r="G298" s="198"/>
      <c r="H298" s="198"/>
      <c r="I298" s="198"/>
      <c r="J298" s="198"/>
      <c r="K298" s="198"/>
      <c r="L298" s="198"/>
    </row>
    <row r="299">
      <c r="A299" s="198"/>
      <c r="B299" s="208" t="str">
        <f>vlookup(A299,Price!A:B,2,false)</f>
        <v>#N/A</v>
      </c>
      <c r="C299" s="198"/>
      <c r="D299" s="198"/>
      <c r="E299" s="198"/>
      <c r="F299" s="198"/>
      <c r="G299" s="198"/>
      <c r="H299" s="198"/>
      <c r="I299" s="198"/>
      <c r="J299" s="198"/>
      <c r="K299" s="198"/>
      <c r="L299" s="198"/>
    </row>
    <row r="300">
      <c r="A300" s="198"/>
      <c r="B300" s="208" t="str">
        <f>vlookup(A300,Price!A:B,2,false)</f>
        <v>#N/A</v>
      </c>
      <c r="C300" s="198"/>
      <c r="D300" s="198"/>
      <c r="E300" s="198"/>
      <c r="F300" s="198"/>
      <c r="G300" s="198"/>
      <c r="H300" s="198"/>
      <c r="I300" s="198"/>
      <c r="J300" s="198"/>
      <c r="K300" s="198"/>
      <c r="L300" s="198"/>
    </row>
    <row r="301">
      <c r="A301" s="198"/>
      <c r="B301" s="208" t="str">
        <f>vlookup(A301,Price!A:B,2,false)</f>
        <v>#N/A</v>
      </c>
      <c r="C301" s="198"/>
      <c r="D301" s="198"/>
      <c r="E301" s="198"/>
      <c r="F301" s="198"/>
      <c r="G301" s="198"/>
      <c r="H301" s="198"/>
      <c r="I301" s="198"/>
      <c r="J301" s="198"/>
      <c r="K301" s="198"/>
      <c r="L301" s="198"/>
    </row>
    <row r="302">
      <c r="A302" s="198"/>
      <c r="B302" s="208" t="str">
        <f>vlookup(A302,Price!A:B,2,false)</f>
        <v>#N/A</v>
      </c>
      <c r="C302" s="198"/>
      <c r="D302" s="198"/>
      <c r="E302" s="198"/>
      <c r="F302" s="198"/>
      <c r="G302" s="198"/>
      <c r="H302" s="198"/>
      <c r="I302" s="198"/>
      <c r="J302" s="198"/>
      <c r="K302" s="198"/>
      <c r="L302" s="198"/>
    </row>
    <row r="303">
      <c r="A303" s="198"/>
      <c r="B303" s="208" t="str">
        <f>vlookup(A303,Price!A:B,2,false)</f>
        <v>#N/A</v>
      </c>
      <c r="C303" s="198"/>
      <c r="D303" s="198"/>
      <c r="E303" s="198"/>
      <c r="F303" s="198"/>
      <c r="G303" s="198"/>
      <c r="H303" s="198"/>
      <c r="I303" s="198"/>
      <c r="J303" s="198"/>
      <c r="K303" s="198"/>
      <c r="L303" s="198"/>
    </row>
    <row r="304">
      <c r="A304" s="198"/>
      <c r="B304" s="208" t="str">
        <f>vlookup(A304,Price!A:B,2,false)</f>
        <v>#N/A</v>
      </c>
      <c r="C304" s="198"/>
      <c r="D304" s="198"/>
      <c r="E304" s="198"/>
      <c r="F304" s="198"/>
      <c r="G304" s="198"/>
      <c r="H304" s="198"/>
      <c r="I304" s="198"/>
      <c r="J304" s="198"/>
      <c r="K304" s="198"/>
      <c r="L304" s="198"/>
    </row>
    <row r="305">
      <c r="A305" s="198"/>
      <c r="B305" s="208" t="str">
        <f>vlookup(A305,Price!A:B,2,false)</f>
        <v>#N/A</v>
      </c>
      <c r="C305" s="198"/>
      <c r="D305" s="198"/>
      <c r="E305" s="198"/>
      <c r="F305" s="198"/>
      <c r="G305" s="198"/>
      <c r="H305" s="198"/>
      <c r="I305" s="198"/>
      <c r="J305" s="198"/>
      <c r="K305" s="198"/>
      <c r="L305" s="198"/>
    </row>
    <row r="306">
      <c r="A306" s="198"/>
      <c r="B306" s="208" t="str">
        <f>vlookup(A306,Price!A:B,2,false)</f>
        <v>#N/A</v>
      </c>
      <c r="C306" s="198"/>
      <c r="D306" s="198"/>
      <c r="E306" s="198"/>
      <c r="F306" s="198"/>
      <c r="G306" s="198"/>
      <c r="H306" s="198"/>
      <c r="I306" s="198"/>
      <c r="J306" s="198"/>
      <c r="K306" s="198"/>
      <c r="L306" s="198"/>
    </row>
    <row r="307">
      <c r="A307" s="198"/>
      <c r="B307" s="208" t="str">
        <f>vlookup(A307,Price!A:B,2,false)</f>
        <v>#N/A</v>
      </c>
      <c r="C307" s="198"/>
      <c r="D307" s="198"/>
      <c r="E307" s="198"/>
      <c r="F307" s="198"/>
      <c r="G307" s="198"/>
      <c r="H307" s="198"/>
      <c r="I307" s="198"/>
      <c r="J307" s="198"/>
      <c r="K307" s="198"/>
      <c r="L307" s="198"/>
    </row>
    <row r="308">
      <c r="A308" s="198"/>
      <c r="B308" s="208" t="str">
        <f>vlookup(A308,Price!A:B,2,false)</f>
        <v>#N/A</v>
      </c>
      <c r="C308" s="198"/>
      <c r="D308" s="198"/>
      <c r="E308" s="198"/>
      <c r="F308" s="198"/>
      <c r="G308" s="198"/>
      <c r="H308" s="198"/>
      <c r="I308" s="198"/>
      <c r="J308" s="198"/>
      <c r="K308" s="198"/>
      <c r="L308" s="198"/>
    </row>
    <row r="309">
      <c r="A309" s="198"/>
      <c r="B309" s="208" t="str">
        <f>vlookup(A309,Price!A:B,2,false)</f>
        <v>#N/A</v>
      </c>
      <c r="C309" s="198"/>
      <c r="D309" s="198"/>
      <c r="E309" s="198"/>
      <c r="F309" s="198"/>
      <c r="G309" s="198"/>
      <c r="H309" s="198"/>
      <c r="I309" s="198"/>
      <c r="J309" s="198"/>
      <c r="K309" s="198"/>
      <c r="L309" s="198"/>
    </row>
    <row r="310">
      <c r="A310" s="198"/>
      <c r="B310" s="208" t="str">
        <f>vlookup(A310,Price!A:B,2,false)</f>
        <v>#N/A</v>
      </c>
      <c r="C310" s="198"/>
      <c r="D310" s="198"/>
      <c r="E310" s="198"/>
      <c r="F310" s="198"/>
      <c r="G310" s="198"/>
      <c r="H310" s="198"/>
      <c r="I310" s="198"/>
      <c r="J310" s="198"/>
      <c r="K310" s="198"/>
      <c r="L310" s="198"/>
    </row>
    <row r="311">
      <c r="A311" s="198"/>
      <c r="B311" s="208" t="str">
        <f>vlookup(A311,Price!A:B,2,false)</f>
        <v>#N/A</v>
      </c>
      <c r="C311" s="198"/>
      <c r="D311" s="198"/>
      <c r="E311" s="198"/>
      <c r="F311" s="198"/>
      <c r="G311" s="198"/>
      <c r="H311" s="198"/>
      <c r="I311" s="198"/>
      <c r="J311" s="198"/>
      <c r="K311" s="198"/>
      <c r="L311" s="198"/>
    </row>
    <row r="312">
      <c r="A312" s="198"/>
      <c r="B312" s="208" t="str">
        <f>vlookup(A312,Price!A:B,2,false)</f>
        <v>#N/A</v>
      </c>
      <c r="C312" s="198"/>
      <c r="D312" s="198"/>
      <c r="E312" s="198"/>
      <c r="F312" s="198"/>
      <c r="G312" s="198"/>
      <c r="H312" s="198"/>
      <c r="I312" s="198"/>
      <c r="J312" s="198"/>
      <c r="K312" s="198"/>
      <c r="L312" s="198"/>
    </row>
    <row r="313">
      <c r="A313" s="198"/>
      <c r="B313" s="208" t="str">
        <f>vlookup(A313,Price!A:B,2,false)</f>
        <v>#N/A</v>
      </c>
      <c r="C313" s="198"/>
      <c r="D313" s="198"/>
      <c r="E313" s="198"/>
      <c r="F313" s="198"/>
      <c r="G313" s="198"/>
      <c r="H313" s="198"/>
      <c r="I313" s="198"/>
      <c r="J313" s="198"/>
      <c r="K313" s="198"/>
      <c r="L313" s="198"/>
    </row>
    <row r="314">
      <c r="A314" s="198"/>
      <c r="B314" s="208" t="str">
        <f>vlookup(A314,Price!A:B,2,false)</f>
        <v>#N/A</v>
      </c>
      <c r="C314" s="198"/>
      <c r="D314" s="198"/>
      <c r="E314" s="198"/>
      <c r="F314" s="198"/>
      <c r="G314" s="198"/>
      <c r="H314" s="198"/>
      <c r="I314" s="198"/>
      <c r="J314" s="198"/>
      <c r="K314" s="198"/>
      <c r="L314" s="198"/>
    </row>
    <row r="315">
      <c r="A315" s="198"/>
      <c r="B315" s="208" t="str">
        <f>vlookup(A315,Price!A:B,2,false)</f>
        <v>#N/A</v>
      </c>
      <c r="C315" s="198"/>
      <c r="D315" s="198"/>
      <c r="E315" s="198"/>
      <c r="F315" s="198"/>
      <c r="G315" s="198"/>
      <c r="H315" s="198"/>
      <c r="I315" s="198"/>
      <c r="J315" s="198"/>
      <c r="K315" s="198"/>
      <c r="L315" s="198"/>
    </row>
    <row r="316">
      <c r="A316" s="198"/>
      <c r="B316" s="208" t="str">
        <f>vlookup(A316,Price!A:B,2,false)</f>
        <v>#N/A</v>
      </c>
      <c r="C316" s="198"/>
      <c r="D316" s="198"/>
      <c r="E316" s="198"/>
      <c r="F316" s="198"/>
      <c r="G316" s="198"/>
      <c r="H316" s="198"/>
      <c r="I316" s="198"/>
      <c r="J316" s="198"/>
      <c r="K316" s="198"/>
      <c r="L316" s="198"/>
    </row>
    <row r="317">
      <c r="A317" s="198"/>
      <c r="B317" s="208" t="str">
        <f>vlookup(A317,Price!A:B,2,false)</f>
        <v>#N/A</v>
      </c>
      <c r="C317" s="198"/>
      <c r="D317" s="198"/>
      <c r="E317" s="198"/>
      <c r="F317" s="198"/>
      <c r="G317" s="198"/>
      <c r="H317" s="198"/>
      <c r="I317" s="198"/>
      <c r="J317" s="198"/>
      <c r="K317" s="198"/>
      <c r="L317" s="198"/>
    </row>
    <row r="318">
      <c r="A318" s="198"/>
      <c r="B318" s="208" t="str">
        <f>vlookup(A318,Price!A:B,2,false)</f>
        <v>#N/A</v>
      </c>
      <c r="C318" s="198"/>
      <c r="D318" s="198"/>
      <c r="E318" s="198"/>
      <c r="F318" s="198"/>
      <c r="G318" s="198"/>
      <c r="H318" s="198"/>
      <c r="I318" s="198"/>
      <c r="J318" s="198"/>
      <c r="K318" s="198"/>
      <c r="L318" s="198"/>
    </row>
    <row r="319">
      <c r="A319" s="198"/>
      <c r="B319" s="208" t="str">
        <f>vlookup(A319,Price!A:B,2,false)</f>
        <v>#N/A</v>
      </c>
      <c r="C319" s="198"/>
      <c r="D319" s="198"/>
      <c r="E319" s="198"/>
      <c r="F319" s="198"/>
      <c r="G319" s="198"/>
      <c r="H319" s="198"/>
      <c r="I319" s="198"/>
      <c r="J319" s="198"/>
      <c r="K319" s="198"/>
      <c r="L319" s="198"/>
    </row>
    <row r="320">
      <c r="A320" s="198"/>
      <c r="B320" s="208" t="str">
        <f>vlookup(A320,Price!A:B,2,false)</f>
        <v>#N/A</v>
      </c>
      <c r="C320" s="198"/>
      <c r="D320" s="198"/>
      <c r="E320" s="198"/>
      <c r="F320" s="198"/>
      <c r="G320" s="198"/>
      <c r="H320" s="198"/>
      <c r="I320" s="198"/>
      <c r="J320" s="198"/>
      <c r="K320" s="198"/>
      <c r="L320" s="198"/>
    </row>
    <row r="321">
      <c r="A321" s="198"/>
      <c r="B321" s="208" t="str">
        <f>vlookup(A321,Price!A:B,2,false)</f>
        <v>#N/A</v>
      </c>
      <c r="C321" s="198"/>
      <c r="D321" s="198"/>
      <c r="E321" s="198"/>
      <c r="F321" s="198"/>
      <c r="G321" s="198"/>
      <c r="H321" s="198"/>
      <c r="I321" s="198"/>
      <c r="J321" s="198"/>
      <c r="K321" s="198"/>
      <c r="L321" s="198"/>
    </row>
    <row r="322">
      <c r="A322" s="198"/>
      <c r="B322" s="208" t="str">
        <f>vlookup(A322,Price!A:B,2,false)</f>
        <v>#N/A</v>
      </c>
      <c r="C322" s="198"/>
      <c r="D322" s="198"/>
      <c r="E322" s="198"/>
      <c r="F322" s="198"/>
      <c r="G322" s="198"/>
      <c r="H322" s="198"/>
      <c r="I322" s="198"/>
      <c r="J322" s="198"/>
      <c r="K322" s="198"/>
      <c r="L322" s="198"/>
    </row>
    <row r="323">
      <c r="A323" s="198"/>
      <c r="B323" s="208" t="str">
        <f>vlookup(A323,Price!A:B,2,false)</f>
        <v>#N/A</v>
      </c>
      <c r="C323" s="198"/>
      <c r="D323" s="198"/>
      <c r="E323" s="198"/>
      <c r="F323" s="198"/>
      <c r="G323" s="198"/>
      <c r="H323" s="198"/>
      <c r="I323" s="198"/>
      <c r="J323" s="198"/>
      <c r="K323" s="198"/>
      <c r="L323" s="198"/>
    </row>
    <row r="324">
      <c r="A324" s="198"/>
      <c r="B324" s="208" t="str">
        <f>vlookup(A324,Price!A:B,2,false)</f>
        <v>#N/A</v>
      </c>
      <c r="C324" s="198"/>
      <c r="D324" s="198"/>
      <c r="E324" s="198"/>
      <c r="F324" s="198"/>
      <c r="G324" s="198"/>
      <c r="H324" s="198"/>
      <c r="I324" s="198"/>
      <c r="J324" s="198"/>
      <c r="K324" s="198"/>
      <c r="L324" s="198"/>
    </row>
    <row r="325">
      <c r="A325" s="198"/>
      <c r="B325" s="208" t="str">
        <f>vlookup(A325,Price!A:B,2,false)</f>
        <v>#N/A</v>
      </c>
      <c r="C325" s="198"/>
      <c r="D325" s="198"/>
      <c r="E325" s="198"/>
      <c r="F325" s="198"/>
      <c r="G325" s="198"/>
      <c r="H325" s="198"/>
      <c r="I325" s="198"/>
      <c r="J325" s="198"/>
      <c r="K325" s="198"/>
      <c r="L325" s="198"/>
    </row>
    <row r="326">
      <c r="A326" s="198"/>
      <c r="B326" s="208" t="str">
        <f>vlookup(A326,Price!A:B,2,false)</f>
        <v>#N/A</v>
      </c>
      <c r="C326" s="198"/>
      <c r="D326" s="198"/>
      <c r="E326" s="198"/>
      <c r="F326" s="198"/>
      <c r="G326" s="198"/>
      <c r="H326" s="198"/>
      <c r="I326" s="198"/>
      <c r="J326" s="198"/>
      <c r="K326" s="198"/>
      <c r="L326" s="198"/>
    </row>
    <row r="327">
      <c r="A327" s="198"/>
      <c r="B327" s="208" t="str">
        <f>vlookup(A327,Price!A:B,2,false)</f>
        <v>#N/A</v>
      </c>
      <c r="C327" s="198"/>
      <c r="D327" s="198"/>
      <c r="E327" s="198"/>
      <c r="F327" s="198"/>
      <c r="G327" s="198"/>
      <c r="H327" s="198"/>
      <c r="I327" s="198"/>
      <c r="J327" s="198"/>
      <c r="K327" s="198"/>
      <c r="L327" s="198"/>
    </row>
    <row r="328">
      <c r="A328" s="198"/>
      <c r="B328" s="208" t="str">
        <f>vlookup(A328,Price!A:B,2,false)</f>
        <v>#N/A</v>
      </c>
      <c r="C328" s="198"/>
      <c r="D328" s="198"/>
      <c r="E328" s="198"/>
      <c r="F328" s="198"/>
      <c r="G328" s="198"/>
      <c r="H328" s="198"/>
      <c r="I328" s="198"/>
      <c r="J328" s="198"/>
      <c r="K328" s="198"/>
      <c r="L328" s="198"/>
    </row>
    <row r="329">
      <c r="A329" s="198"/>
      <c r="B329" s="208" t="str">
        <f>vlookup(A329,Price!A:B,2,false)</f>
        <v>#N/A</v>
      </c>
      <c r="C329" s="198"/>
      <c r="D329" s="198"/>
      <c r="E329" s="198"/>
      <c r="F329" s="198"/>
      <c r="G329" s="198"/>
      <c r="H329" s="198"/>
      <c r="I329" s="198"/>
      <c r="J329" s="198"/>
      <c r="K329" s="198"/>
      <c r="L329" s="198"/>
    </row>
    <row r="330">
      <c r="A330" s="198"/>
      <c r="B330" s="208" t="str">
        <f>vlookup(A330,Price!A:B,2,false)</f>
        <v>#N/A</v>
      </c>
      <c r="C330" s="198"/>
      <c r="D330" s="198"/>
      <c r="E330" s="198"/>
      <c r="F330" s="198"/>
      <c r="G330" s="198"/>
      <c r="H330" s="198"/>
      <c r="I330" s="198"/>
      <c r="J330" s="198"/>
      <c r="K330" s="198"/>
      <c r="L330" s="198"/>
    </row>
    <row r="331">
      <c r="A331" s="198"/>
      <c r="B331" s="208" t="str">
        <f>vlookup(A331,Price!A:B,2,false)</f>
        <v>#N/A</v>
      </c>
      <c r="C331" s="198"/>
      <c r="D331" s="198"/>
      <c r="E331" s="198"/>
      <c r="F331" s="198"/>
      <c r="G331" s="198"/>
      <c r="H331" s="198"/>
      <c r="I331" s="198"/>
      <c r="J331" s="198"/>
      <c r="K331" s="198"/>
      <c r="L331" s="198"/>
    </row>
    <row r="332">
      <c r="A332" s="198"/>
      <c r="B332" s="208" t="str">
        <f>vlookup(A332,Price!A:B,2,false)</f>
        <v>#N/A</v>
      </c>
      <c r="C332" s="198"/>
      <c r="D332" s="198"/>
      <c r="E332" s="198"/>
      <c r="F332" s="198"/>
      <c r="G332" s="198"/>
      <c r="H332" s="198"/>
      <c r="I332" s="198"/>
      <c r="J332" s="198"/>
      <c r="K332" s="198"/>
      <c r="L332" s="198"/>
    </row>
    <row r="333">
      <c r="A333" s="198"/>
      <c r="B333" s="208" t="str">
        <f>vlookup(A333,Price!A:B,2,false)</f>
        <v>#N/A</v>
      </c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</row>
    <row r="334">
      <c r="A334" s="198"/>
      <c r="B334" s="208" t="str">
        <f>vlookup(A334,Price!A:B,2,false)</f>
        <v>#N/A</v>
      </c>
      <c r="C334" s="198"/>
      <c r="D334" s="198"/>
      <c r="E334" s="198"/>
      <c r="F334" s="198"/>
      <c r="G334" s="198"/>
      <c r="H334" s="198"/>
      <c r="I334" s="198"/>
      <c r="J334" s="198"/>
      <c r="K334" s="198"/>
      <c r="L334" s="198"/>
    </row>
    <row r="335">
      <c r="A335" s="198"/>
      <c r="B335" s="208" t="str">
        <f>vlookup(A335,Price!A:B,2,false)</f>
        <v>#N/A</v>
      </c>
      <c r="C335" s="198"/>
      <c r="D335" s="198"/>
      <c r="E335" s="198"/>
      <c r="F335" s="198"/>
      <c r="G335" s="198"/>
      <c r="H335" s="198"/>
      <c r="I335" s="198"/>
      <c r="J335" s="198"/>
      <c r="K335" s="198"/>
      <c r="L335" s="198"/>
    </row>
    <row r="336">
      <c r="A336" s="198"/>
      <c r="B336" s="208" t="str">
        <f>vlookup(A336,Price!A:B,2,false)</f>
        <v>#N/A</v>
      </c>
      <c r="C336" s="198"/>
      <c r="D336" s="198"/>
      <c r="E336" s="198"/>
      <c r="F336" s="198"/>
      <c r="G336" s="198"/>
      <c r="H336" s="198"/>
      <c r="I336" s="198"/>
      <c r="J336" s="198"/>
      <c r="K336" s="198"/>
      <c r="L336" s="198"/>
    </row>
    <row r="337">
      <c r="A337" s="198"/>
      <c r="B337" s="208" t="str">
        <f>vlookup(A337,Price!A:B,2,false)</f>
        <v>#N/A</v>
      </c>
      <c r="C337" s="198"/>
      <c r="D337" s="198"/>
      <c r="E337" s="198"/>
      <c r="F337" s="198"/>
      <c r="G337" s="198"/>
      <c r="H337" s="198"/>
      <c r="I337" s="198"/>
      <c r="J337" s="198"/>
      <c r="K337" s="198"/>
      <c r="L337" s="198"/>
    </row>
    <row r="338">
      <c r="A338" s="198"/>
      <c r="B338" s="208" t="str">
        <f>vlookup(A338,Price!A:B,2,false)</f>
        <v>#N/A</v>
      </c>
      <c r="C338" s="198"/>
      <c r="D338" s="198"/>
      <c r="E338" s="198"/>
      <c r="F338" s="198"/>
      <c r="G338" s="198"/>
      <c r="H338" s="198"/>
      <c r="I338" s="198"/>
      <c r="J338" s="198"/>
      <c r="K338" s="198"/>
      <c r="L338" s="198"/>
    </row>
    <row r="339">
      <c r="A339" s="198"/>
      <c r="B339" s="208" t="str">
        <f>vlookup(A339,Price!A:B,2,false)</f>
        <v>#N/A</v>
      </c>
      <c r="C339" s="198"/>
      <c r="D339" s="198"/>
      <c r="E339" s="198"/>
      <c r="F339" s="198"/>
      <c r="G339" s="198"/>
      <c r="H339" s="198"/>
      <c r="I339" s="198"/>
      <c r="J339" s="198"/>
      <c r="K339" s="198"/>
      <c r="L339" s="198"/>
    </row>
    <row r="340">
      <c r="A340" s="198"/>
      <c r="B340" s="208" t="str">
        <f>vlookup(A340,Price!A:B,2,false)</f>
        <v>#N/A</v>
      </c>
      <c r="C340" s="198"/>
      <c r="D340" s="198"/>
      <c r="E340" s="198"/>
      <c r="F340" s="198"/>
      <c r="G340" s="198"/>
      <c r="H340" s="198"/>
      <c r="I340" s="198"/>
      <c r="J340" s="198"/>
      <c r="K340" s="198"/>
      <c r="L340" s="198"/>
    </row>
    <row r="341">
      <c r="A341" s="198"/>
      <c r="B341" s="208" t="str">
        <f>vlookup(A341,Price!A:B,2,false)</f>
        <v>#N/A</v>
      </c>
      <c r="C341" s="198"/>
      <c r="D341" s="198"/>
      <c r="E341" s="198"/>
      <c r="F341" s="198"/>
      <c r="G341" s="198"/>
      <c r="H341" s="198"/>
      <c r="I341" s="198"/>
      <c r="J341" s="198"/>
      <c r="K341" s="198"/>
      <c r="L341" s="198"/>
    </row>
    <row r="342">
      <c r="A342" s="198"/>
      <c r="B342" s="208" t="str">
        <f>vlookup(A342,Price!A:B,2,false)</f>
        <v>#N/A</v>
      </c>
      <c r="C342" s="198"/>
      <c r="D342" s="198"/>
      <c r="E342" s="198"/>
      <c r="F342" s="198"/>
      <c r="G342" s="198"/>
      <c r="H342" s="198"/>
      <c r="I342" s="198"/>
      <c r="J342" s="198"/>
      <c r="K342" s="198"/>
      <c r="L342" s="198"/>
    </row>
    <row r="343">
      <c r="A343" s="198"/>
      <c r="B343" s="208" t="str">
        <f>vlookup(A343,Price!A:B,2,false)</f>
        <v>#N/A</v>
      </c>
      <c r="C343" s="198"/>
      <c r="D343" s="198"/>
      <c r="E343" s="198"/>
      <c r="F343" s="198"/>
      <c r="G343" s="198"/>
      <c r="H343" s="198"/>
      <c r="I343" s="198"/>
      <c r="J343" s="198"/>
      <c r="K343" s="198"/>
      <c r="L343" s="198"/>
    </row>
    <row r="344">
      <c r="A344" s="198"/>
      <c r="B344" s="208" t="str">
        <f>vlookup(A344,Price!A:B,2,false)</f>
        <v>#N/A</v>
      </c>
      <c r="C344" s="198"/>
      <c r="D344" s="198"/>
      <c r="E344" s="198"/>
      <c r="F344" s="198"/>
      <c r="G344" s="198"/>
      <c r="H344" s="198"/>
      <c r="I344" s="198"/>
      <c r="J344" s="198"/>
      <c r="K344" s="198"/>
      <c r="L344" s="198"/>
    </row>
    <row r="345">
      <c r="A345" s="198"/>
      <c r="B345" s="208" t="str">
        <f>vlookup(A345,Price!A:B,2,false)</f>
        <v>#N/A</v>
      </c>
      <c r="C345" s="198"/>
      <c r="D345" s="198"/>
      <c r="E345" s="198"/>
      <c r="F345" s="198"/>
      <c r="G345" s="198"/>
      <c r="H345" s="198"/>
      <c r="I345" s="198"/>
      <c r="J345" s="198"/>
      <c r="K345" s="198"/>
      <c r="L345" s="198"/>
    </row>
    <row r="346">
      <c r="A346" s="198"/>
      <c r="B346" s="208" t="str">
        <f>vlookup(A346,Price!A:B,2,false)</f>
        <v>#N/A</v>
      </c>
      <c r="C346" s="198"/>
      <c r="D346" s="198"/>
      <c r="E346" s="198"/>
      <c r="F346" s="198"/>
      <c r="G346" s="198"/>
      <c r="H346" s="198"/>
      <c r="I346" s="198"/>
      <c r="J346" s="198"/>
      <c r="K346" s="198"/>
      <c r="L346" s="198"/>
    </row>
    <row r="347">
      <c r="A347" s="198"/>
      <c r="B347" s="208" t="str">
        <f>vlookup(A347,Price!A:B,2,false)</f>
        <v>#N/A</v>
      </c>
      <c r="C347" s="198"/>
      <c r="D347" s="198"/>
      <c r="E347" s="198"/>
      <c r="F347" s="198"/>
      <c r="G347" s="198"/>
      <c r="H347" s="198"/>
      <c r="I347" s="198"/>
      <c r="J347" s="198"/>
      <c r="K347" s="198"/>
      <c r="L347" s="198"/>
    </row>
    <row r="348">
      <c r="A348" s="198"/>
      <c r="B348" s="208" t="str">
        <f>vlookup(A348,Price!A:B,2,false)</f>
        <v>#N/A</v>
      </c>
      <c r="C348" s="198"/>
      <c r="D348" s="198"/>
      <c r="E348" s="198"/>
      <c r="F348" s="198"/>
      <c r="G348" s="198"/>
      <c r="H348" s="198"/>
      <c r="I348" s="198"/>
      <c r="J348" s="198"/>
      <c r="K348" s="198"/>
      <c r="L348" s="198"/>
    </row>
    <row r="349">
      <c r="A349" s="198"/>
      <c r="B349" s="208" t="str">
        <f>vlookup(A349,Price!A:B,2,false)</f>
        <v>#N/A</v>
      </c>
      <c r="C349" s="198"/>
      <c r="D349" s="198"/>
      <c r="E349" s="198"/>
      <c r="F349" s="198"/>
      <c r="G349" s="198"/>
      <c r="H349" s="198"/>
      <c r="I349" s="198"/>
      <c r="J349" s="198"/>
      <c r="K349" s="198"/>
      <c r="L349" s="198"/>
    </row>
    <row r="350">
      <c r="A350" s="198"/>
      <c r="B350" s="208" t="str">
        <f>vlookup(A350,Price!A:B,2,false)</f>
        <v>#N/A</v>
      </c>
      <c r="C350" s="198"/>
      <c r="D350" s="198"/>
      <c r="E350" s="198"/>
      <c r="F350" s="198"/>
      <c r="G350" s="198"/>
      <c r="H350" s="198"/>
      <c r="I350" s="198"/>
      <c r="J350" s="198"/>
      <c r="K350" s="198"/>
      <c r="L350" s="198"/>
    </row>
    <row r="351">
      <c r="A351" s="198"/>
      <c r="B351" s="208" t="str">
        <f>vlookup(A351,Price!A:B,2,false)</f>
        <v>#N/A</v>
      </c>
      <c r="C351" s="198"/>
      <c r="D351" s="198"/>
      <c r="E351" s="198"/>
      <c r="F351" s="198"/>
      <c r="G351" s="198"/>
      <c r="H351" s="198"/>
      <c r="I351" s="198"/>
      <c r="J351" s="198"/>
      <c r="K351" s="198"/>
      <c r="L351" s="198"/>
    </row>
    <row r="352">
      <c r="A352" s="198"/>
      <c r="B352" s="208" t="str">
        <f>vlookup(A352,Price!A:B,2,false)</f>
        <v>#N/A</v>
      </c>
      <c r="C352" s="198"/>
      <c r="D352" s="198"/>
      <c r="E352" s="198"/>
      <c r="F352" s="198"/>
      <c r="G352" s="198"/>
      <c r="H352" s="198"/>
      <c r="I352" s="198"/>
      <c r="J352" s="198"/>
      <c r="K352" s="198"/>
      <c r="L352" s="198"/>
    </row>
    <row r="353">
      <c r="A353" s="198"/>
      <c r="B353" s="208" t="str">
        <f>vlookup(A353,Price!A:B,2,false)</f>
        <v>#N/A</v>
      </c>
      <c r="C353" s="198"/>
      <c r="D353" s="198"/>
      <c r="E353" s="198"/>
      <c r="F353" s="198"/>
      <c r="G353" s="198"/>
      <c r="H353" s="198"/>
      <c r="I353" s="198"/>
      <c r="J353" s="198"/>
      <c r="K353" s="198"/>
      <c r="L353" s="198"/>
    </row>
    <row r="354">
      <c r="A354" s="198"/>
      <c r="B354" s="208" t="str">
        <f>vlookup(A354,Price!A:B,2,false)</f>
        <v>#N/A</v>
      </c>
      <c r="C354" s="198"/>
      <c r="D354" s="198"/>
      <c r="E354" s="198"/>
      <c r="F354" s="198"/>
      <c r="G354" s="198"/>
      <c r="H354" s="198"/>
      <c r="I354" s="198"/>
      <c r="J354" s="198"/>
      <c r="K354" s="198"/>
      <c r="L354" s="198"/>
    </row>
    <row r="355">
      <c r="A355" s="198"/>
      <c r="B355" s="208" t="str">
        <f>vlookup(A355,Price!A:B,2,false)</f>
        <v>#N/A</v>
      </c>
      <c r="C355" s="198"/>
      <c r="D355" s="198"/>
      <c r="E355" s="198"/>
      <c r="F355" s="198"/>
      <c r="G355" s="198"/>
      <c r="H355" s="198"/>
      <c r="I355" s="198"/>
      <c r="J355" s="198"/>
      <c r="K355" s="198"/>
      <c r="L355" s="198"/>
    </row>
    <row r="356">
      <c r="A356" s="198"/>
      <c r="B356" s="208" t="str">
        <f>vlookup(A356,Price!A:B,2,false)</f>
        <v>#N/A</v>
      </c>
      <c r="C356" s="198"/>
      <c r="D356" s="198"/>
      <c r="E356" s="198"/>
      <c r="F356" s="198"/>
      <c r="G356" s="198"/>
      <c r="H356" s="198"/>
      <c r="I356" s="198"/>
      <c r="J356" s="198"/>
      <c r="K356" s="198"/>
      <c r="L356" s="198"/>
    </row>
    <row r="357">
      <c r="A357" s="198"/>
      <c r="B357" s="208" t="str">
        <f>vlookup(A357,Price!A:B,2,false)</f>
        <v>#N/A</v>
      </c>
      <c r="C357" s="198"/>
      <c r="D357" s="198"/>
      <c r="E357" s="198"/>
      <c r="F357" s="198"/>
      <c r="G357" s="198"/>
      <c r="H357" s="198"/>
      <c r="I357" s="198"/>
      <c r="J357" s="198"/>
      <c r="K357" s="198"/>
      <c r="L357" s="198"/>
    </row>
    <row r="358">
      <c r="A358" s="198"/>
      <c r="B358" s="208" t="str">
        <f>vlookup(A358,Price!A:B,2,false)</f>
        <v>#N/A</v>
      </c>
      <c r="C358" s="198"/>
      <c r="D358" s="198"/>
      <c r="E358" s="198"/>
      <c r="F358" s="198"/>
      <c r="G358" s="198"/>
      <c r="H358" s="198"/>
      <c r="I358" s="198"/>
      <c r="J358" s="198"/>
      <c r="K358" s="198"/>
      <c r="L358" s="198"/>
    </row>
    <row r="359">
      <c r="A359" s="198"/>
      <c r="B359" s="208" t="str">
        <f>vlookup(A359,Price!A:B,2,false)</f>
        <v>#N/A</v>
      </c>
      <c r="C359" s="198"/>
      <c r="D359" s="198"/>
      <c r="E359" s="198"/>
      <c r="F359" s="198"/>
      <c r="G359" s="198"/>
      <c r="H359" s="198"/>
      <c r="I359" s="198"/>
      <c r="J359" s="198"/>
      <c r="K359" s="198"/>
      <c r="L359" s="198"/>
    </row>
    <row r="360">
      <c r="A360" s="198"/>
      <c r="B360" s="208" t="str">
        <f>vlookup(A360,Price!A:B,2,false)</f>
        <v>#N/A</v>
      </c>
      <c r="C360" s="198"/>
      <c r="D360" s="198"/>
      <c r="E360" s="198"/>
      <c r="F360" s="198"/>
      <c r="G360" s="198"/>
      <c r="H360" s="198"/>
      <c r="I360" s="198"/>
      <c r="J360" s="198"/>
      <c r="K360" s="198"/>
      <c r="L360" s="198"/>
    </row>
    <row r="361">
      <c r="A361" s="198"/>
      <c r="B361" s="208" t="str">
        <f>vlookup(A361,Price!A:B,2,false)</f>
        <v>#N/A</v>
      </c>
      <c r="C361" s="198"/>
      <c r="D361" s="198"/>
      <c r="E361" s="198"/>
      <c r="F361" s="198"/>
      <c r="G361" s="198"/>
      <c r="H361" s="198"/>
      <c r="I361" s="198"/>
      <c r="J361" s="198"/>
      <c r="K361" s="198"/>
      <c r="L361" s="198"/>
    </row>
    <row r="362">
      <c r="A362" s="198"/>
      <c r="B362" s="208" t="str">
        <f>vlookup(A362,Price!A:B,2,false)</f>
        <v>#N/A</v>
      </c>
      <c r="C362" s="198"/>
      <c r="D362" s="198"/>
      <c r="E362" s="198"/>
      <c r="F362" s="198"/>
      <c r="G362" s="198"/>
      <c r="H362" s="198"/>
      <c r="I362" s="198"/>
      <c r="J362" s="198"/>
      <c r="K362" s="198"/>
      <c r="L362" s="198"/>
    </row>
    <row r="363">
      <c r="A363" s="198"/>
      <c r="B363" s="208" t="str">
        <f>vlookup(A363,Price!A:B,2,false)</f>
        <v>#N/A</v>
      </c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</row>
    <row r="364">
      <c r="A364" s="198"/>
      <c r="B364" s="208" t="str">
        <f>vlookup(A364,Price!A:B,2,false)</f>
        <v>#N/A</v>
      </c>
      <c r="C364" s="198"/>
      <c r="D364" s="198"/>
      <c r="E364" s="198"/>
      <c r="F364" s="198"/>
      <c r="G364" s="198"/>
      <c r="H364" s="198"/>
      <c r="I364" s="198"/>
      <c r="J364" s="198"/>
      <c r="K364" s="198"/>
      <c r="L364" s="198"/>
    </row>
    <row r="365">
      <c r="A365" s="198"/>
      <c r="B365" s="208" t="str">
        <f>vlookup(A365,Price!A:B,2,false)</f>
        <v>#N/A</v>
      </c>
      <c r="C365" s="198"/>
      <c r="D365" s="198"/>
      <c r="E365" s="198"/>
      <c r="F365" s="198"/>
      <c r="G365" s="198"/>
      <c r="H365" s="198"/>
      <c r="I365" s="198"/>
      <c r="J365" s="198"/>
      <c r="K365" s="198"/>
      <c r="L365" s="198"/>
    </row>
    <row r="366">
      <c r="A366" s="198"/>
      <c r="B366" s="208" t="str">
        <f>vlookup(A366,Price!A:B,2,false)</f>
        <v>#N/A</v>
      </c>
      <c r="C366" s="198"/>
      <c r="D366" s="198"/>
      <c r="E366" s="198"/>
      <c r="F366" s="198"/>
      <c r="G366" s="198"/>
      <c r="H366" s="198"/>
      <c r="I366" s="198"/>
      <c r="J366" s="198"/>
      <c r="K366" s="198"/>
      <c r="L366" s="198"/>
    </row>
    <row r="367">
      <c r="A367" s="198"/>
      <c r="B367" s="208" t="str">
        <f>vlookup(A367,Price!A:B,2,false)</f>
        <v>#N/A</v>
      </c>
      <c r="C367" s="198"/>
      <c r="D367" s="198"/>
      <c r="E367" s="198"/>
      <c r="F367" s="198"/>
      <c r="G367" s="198"/>
      <c r="H367" s="198"/>
      <c r="I367" s="198"/>
      <c r="J367" s="198"/>
      <c r="K367" s="198"/>
      <c r="L367" s="198"/>
    </row>
    <row r="368">
      <c r="A368" s="198"/>
      <c r="B368" s="208" t="str">
        <f>vlookup(A368,Price!A:B,2,false)</f>
        <v>#N/A</v>
      </c>
      <c r="C368" s="198"/>
      <c r="D368" s="198"/>
      <c r="E368" s="198"/>
      <c r="F368" s="198"/>
      <c r="G368" s="198"/>
      <c r="H368" s="198"/>
      <c r="I368" s="198"/>
      <c r="J368" s="198"/>
      <c r="K368" s="198"/>
      <c r="L368" s="198"/>
    </row>
    <row r="369">
      <c r="A369" s="198"/>
      <c r="B369" s="208" t="str">
        <f>vlookup(A369,Price!A:B,2,false)</f>
        <v>#N/A</v>
      </c>
      <c r="C369" s="198"/>
      <c r="D369" s="198"/>
      <c r="E369" s="198"/>
      <c r="F369" s="198"/>
      <c r="G369" s="198"/>
      <c r="H369" s="198"/>
      <c r="I369" s="198"/>
      <c r="J369" s="198"/>
      <c r="K369" s="198"/>
      <c r="L369" s="198"/>
    </row>
    <row r="370">
      <c r="A370" s="198"/>
      <c r="B370" s="208" t="str">
        <f>vlookup(A370,Price!A:B,2,false)</f>
        <v>#N/A</v>
      </c>
      <c r="C370" s="198"/>
      <c r="D370" s="198"/>
      <c r="E370" s="198"/>
      <c r="F370" s="198"/>
      <c r="G370" s="198"/>
      <c r="H370" s="198"/>
      <c r="I370" s="198"/>
      <c r="J370" s="198"/>
      <c r="K370" s="198"/>
      <c r="L370" s="198"/>
    </row>
    <row r="371">
      <c r="A371" s="198"/>
      <c r="B371" s="208" t="str">
        <f>vlookup(A371,Price!A:B,2,false)</f>
        <v>#N/A</v>
      </c>
      <c r="C371" s="198"/>
      <c r="D371" s="198"/>
      <c r="E371" s="198"/>
      <c r="F371" s="198"/>
      <c r="G371" s="198"/>
      <c r="H371" s="198"/>
      <c r="I371" s="198"/>
      <c r="J371" s="198"/>
      <c r="K371" s="198"/>
      <c r="L371" s="198"/>
    </row>
    <row r="372">
      <c r="A372" s="198"/>
      <c r="B372" s="208" t="str">
        <f>vlookup(A372,Price!A:B,2,false)</f>
        <v>#N/A</v>
      </c>
      <c r="C372" s="198"/>
      <c r="D372" s="198"/>
      <c r="E372" s="198"/>
      <c r="F372" s="198"/>
      <c r="G372" s="198"/>
      <c r="H372" s="198"/>
      <c r="I372" s="198"/>
      <c r="J372" s="198"/>
      <c r="K372" s="198"/>
      <c r="L372" s="198"/>
    </row>
    <row r="373">
      <c r="A373" s="198"/>
      <c r="B373" s="208" t="str">
        <f>vlookup(A373,Price!A:B,2,false)</f>
        <v>#N/A</v>
      </c>
      <c r="C373" s="198"/>
      <c r="D373" s="198"/>
      <c r="E373" s="198"/>
      <c r="F373" s="198"/>
      <c r="G373" s="198"/>
      <c r="H373" s="198"/>
      <c r="I373" s="198"/>
      <c r="J373" s="198"/>
      <c r="K373" s="198"/>
      <c r="L373" s="198"/>
    </row>
    <row r="374">
      <c r="A374" s="198"/>
      <c r="B374" s="208" t="str">
        <f>vlookup(A374,Price!A:B,2,false)</f>
        <v>#N/A</v>
      </c>
      <c r="C374" s="198"/>
      <c r="D374" s="198"/>
      <c r="E374" s="198"/>
      <c r="F374" s="198"/>
      <c r="G374" s="198"/>
      <c r="H374" s="198"/>
      <c r="I374" s="198"/>
      <c r="J374" s="198"/>
      <c r="K374" s="198"/>
      <c r="L374" s="198"/>
    </row>
    <row r="375">
      <c r="A375" s="198"/>
      <c r="B375" s="208" t="str">
        <f>vlookup(A375,Price!A:B,2,false)</f>
        <v>#N/A</v>
      </c>
      <c r="C375" s="198"/>
      <c r="D375" s="198"/>
      <c r="E375" s="198"/>
      <c r="F375" s="198"/>
      <c r="G375" s="198"/>
      <c r="H375" s="198"/>
      <c r="I375" s="198"/>
      <c r="J375" s="198"/>
      <c r="K375" s="198"/>
      <c r="L375" s="198"/>
    </row>
    <row r="376">
      <c r="A376" s="198"/>
      <c r="B376" s="208" t="str">
        <f>vlookup(A376,Price!A:B,2,false)</f>
        <v>#N/A</v>
      </c>
      <c r="C376" s="198"/>
      <c r="D376" s="198"/>
      <c r="E376" s="198"/>
      <c r="F376" s="198"/>
      <c r="G376" s="198"/>
      <c r="H376" s="198"/>
      <c r="I376" s="198"/>
      <c r="J376" s="198"/>
      <c r="K376" s="198"/>
      <c r="L376" s="198"/>
    </row>
    <row r="377">
      <c r="A377" s="198"/>
      <c r="B377" s="208" t="str">
        <f>vlookup(A377,Price!A:B,2,false)</f>
        <v>#N/A</v>
      </c>
      <c r="C377" s="198"/>
      <c r="D377" s="198"/>
      <c r="E377" s="198"/>
      <c r="F377" s="198"/>
      <c r="G377" s="198"/>
      <c r="H377" s="198"/>
      <c r="I377" s="198"/>
      <c r="J377" s="198"/>
      <c r="K377" s="198"/>
      <c r="L377" s="198"/>
    </row>
    <row r="378">
      <c r="A378" s="198"/>
      <c r="B378" s="208" t="str">
        <f>vlookup(A378,Price!A:B,2,false)</f>
        <v>#N/A</v>
      </c>
      <c r="C378" s="198"/>
      <c r="D378" s="198"/>
      <c r="E378" s="198"/>
      <c r="F378" s="198"/>
      <c r="G378" s="198"/>
      <c r="H378" s="198"/>
      <c r="I378" s="198"/>
      <c r="J378" s="198"/>
      <c r="K378" s="198"/>
      <c r="L378" s="198"/>
    </row>
    <row r="379">
      <c r="A379" s="198"/>
      <c r="B379" s="208" t="str">
        <f>vlookup(A379,Price!A:B,2,false)</f>
        <v>#N/A</v>
      </c>
      <c r="C379" s="198"/>
      <c r="D379" s="198"/>
      <c r="E379" s="198"/>
      <c r="F379" s="198"/>
      <c r="G379" s="198"/>
      <c r="H379" s="198"/>
      <c r="I379" s="198"/>
      <c r="J379" s="198"/>
      <c r="K379" s="198"/>
      <c r="L379" s="198"/>
    </row>
    <row r="380">
      <c r="A380" s="198"/>
      <c r="B380" s="208" t="str">
        <f>vlookup(A380,Price!A:B,2,false)</f>
        <v>#N/A</v>
      </c>
      <c r="C380" s="198"/>
      <c r="D380" s="198"/>
      <c r="E380" s="198"/>
      <c r="F380" s="198"/>
      <c r="G380" s="198"/>
      <c r="H380" s="198"/>
      <c r="I380" s="198"/>
      <c r="J380" s="198"/>
      <c r="K380" s="198"/>
      <c r="L380" s="198"/>
    </row>
    <row r="381">
      <c r="A381" s="198"/>
      <c r="B381" s="208" t="str">
        <f>vlookup(A381,Price!A:B,2,false)</f>
        <v>#N/A</v>
      </c>
      <c r="C381" s="198"/>
      <c r="D381" s="198"/>
      <c r="E381" s="198"/>
      <c r="F381" s="198"/>
      <c r="G381" s="198"/>
      <c r="H381" s="198"/>
      <c r="I381" s="198"/>
      <c r="J381" s="198"/>
      <c r="K381" s="198"/>
      <c r="L381" s="198"/>
    </row>
    <row r="382">
      <c r="A382" s="198"/>
      <c r="B382" s="208" t="str">
        <f>vlookup(A382,Price!A:B,2,false)</f>
        <v>#N/A</v>
      </c>
      <c r="C382" s="198"/>
      <c r="D382" s="198"/>
      <c r="E382" s="198"/>
      <c r="F382" s="198"/>
      <c r="G382" s="198"/>
      <c r="H382" s="198"/>
      <c r="I382" s="198"/>
      <c r="J382" s="198"/>
      <c r="K382" s="198"/>
      <c r="L382" s="198"/>
    </row>
    <row r="383">
      <c r="A383" s="198"/>
      <c r="B383" s="208" t="str">
        <f>vlookup(A383,Price!A:B,2,false)</f>
        <v>#N/A</v>
      </c>
      <c r="C383" s="198"/>
      <c r="D383" s="198"/>
      <c r="E383" s="198"/>
      <c r="F383" s="198"/>
      <c r="G383" s="198"/>
      <c r="H383" s="198"/>
      <c r="I383" s="198"/>
      <c r="J383" s="198"/>
      <c r="K383" s="198"/>
      <c r="L383" s="198"/>
    </row>
    <row r="384">
      <c r="A384" s="198"/>
      <c r="B384" s="208" t="str">
        <f>vlookup(A384,Price!A:B,2,false)</f>
        <v>#N/A</v>
      </c>
      <c r="C384" s="198"/>
      <c r="D384" s="198"/>
      <c r="E384" s="198"/>
      <c r="F384" s="198"/>
      <c r="G384" s="198"/>
      <c r="H384" s="198"/>
      <c r="I384" s="198"/>
      <c r="J384" s="198"/>
      <c r="K384" s="198"/>
      <c r="L384" s="198"/>
    </row>
    <row r="385">
      <c r="A385" s="198"/>
      <c r="B385" s="208" t="str">
        <f>vlookup(A385,Price!A:B,2,false)</f>
        <v>#N/A</v>
      </c>
      <c r="C385" s="198"/>
      <c r="D385" s="198"/>
      <c r="E385" s="198"/>
      <c r="F385" s="198"/>
      <c r="G385" s="198"/>
      <c r="H385" s="198"/>
      <c r="I385" s="198"/>
      <c r="J385" s="198"/>
      <c r="K385" s="198"/>
      <c r="L385" s="198"/>
    </row>
    <row r="386">
      <c r="A386" s="198"/>
      <c r="B386" s="208" t="str">
        <f>vlookup(A386,Price!A:B,2,false)</f>
        <v>#N/A</v>
      </c>
      <c r="C386" s="198"/>
      <c r="D386" s="198"/>
      <c r="E386" s="198"/>
      <c r="F386" s="198"/>
      <c r="G386" s="198"/>
      <c r="H386" s="198"/>
      <c r="I386" s="198"/>
      <c r="J386" s="198"/>
      <c r="K386" s="198"/>
      <c r="L386" s="198"/>
    </row>
    <row r="387">
      <c r="A387" s="198"/>
      <c r="B387" s="208" t="str">
        <f>vlookup(A387,Price!A:B,2,false)</f>
        <v>#N/A</v>
      </c>
      <c r="C387" s="198"/>
      <c r="D387" s="198"/>
      <c r="E387" s="198"/>
      <c r="F387" s="198"/>
      <c r="G387" s="198"/>
      <c r="H387" s="198"/>
      <c r="I387" s="198"/>
      <c r="J387" s="198"/>
      <c r="K387" s="198"/>
      <c r="L387" s="198"/>
    </row>
    <row r="388">
      <c r="A388" s="198"/>
      <c r="B388" s="208" t="str">
        <f>vlookup(A388,Price!A:B,2,false)</f>
        <v>#N/A</v>
      </c>
      <c r="C388" s="198"/>
      <c r="D388" s="198"/>
      <c r="E388" s="198"/>
      <c r="F388" s="198"/>
      <c r="G388" s="198"/>
      <c r="H388" s="198"/>
      <c r="I388" s="198"/>
      <c r="J388" s="198"/>
      <c r="K388" s="198"/>
      <c r="L388" s="198"/>
    </row>
    <row r="389">
      <c r="A389" s="198"/>
      <c r="B389" s="208" t="str">
        <f>vlookup(A389,Price!A:B,2,false)</f>
        <v>#N/A</v>
      </c>
      <c r="C389" s="198"/>
      <c r="D389" s="198"/>
      <c r="E389" s="198"/>
      <c r="F389" s="198"/>
      <c r="G389" s="198"/>
      <c r="H389" s="198"/>
      <c r="I389" s="198"/>
      <c r="J389" s="198"/>
      <c r="K389" s="198"/>
      <c r="L389" s="198"/>
    </row>
    <row r="390">
      <c r="A390" s="198"/>
      <c r="B390" s="208" t="str">
        <f>vlookup(A390,Price!A:B,2,false)</f>
        <v>#N/A</v>
      </c>
      <c r="C390" s="198"/>
      <c r="D390" s="198"/>
      <c r="E390" s="198"/>
      <c r="F390" s="198"/>
      <c r="G390" s="198"/>
      <c r="H390" s="198"/>
      <c r="I390" s="198"/>
      <c r="J390" s="198"/>
      <c r="K390" s="198"/>
      <c r="L390" s="198"/>
    </row>
    <row r="391">
      <c r="A391" s="198"/>
      <c r="B391" s="208" t="str">
        <f>vlookup(A391,Price!A:B,2,false)</f>
        <v>#N/A</v>
      </c>
      <c r="C391" s="198"/>
      <c r="D391" s="198"/>
      <c r="E391" s="198"/>
      <c r="F391" s="198"/>
      <c r="G391" s="198"/>
      <c r="H391" s="198"/>
      <c r="I391" s="198"/>
      <c r="J391" s="198"/>
      <c r="K391" s="198"/>
      <c r="L391" s="198"/>
    </row>
    <row r="392">
      <c r="A392" s="198"/>
      <c r="B392" s="208" t="str">
        <f>vlookup(A392,Price!A:B,2,false)</f>
        <v>#N/A</v>
      </c>
      <c r="C392" s="198"/>
      <c r="D392" s="198"/>
      <c r="E392" s="198"/>
      <c r="F392" s="198"/>
      <c r="G392" s="198"/>
      <c r="H392" s="198"/>
      <c r="I392" s="198"/>
      <c r="J392" s="198"/>
      <c r="K392" s="198"/>
      <c r="L392" s="198"/>
    </row>
    <row r="393">
      <c r="A393" s="198"/>
      <c r="B393" s="208" t="str">
        <f>vlookup(A393,Price!A:B,2,false)</f>
        <v>#N/A</v>
      </c>
      <c r="C393" s="198"/>
      <c r="D393" s="198"/>
      <c r="E393" s="198"/>
      <c r="F393" s="198"/>
      <c r="G393" s="198"/>
      <c r="H393" s="198"/>
      <c r="I393" s="198"/>
      <c r="J393" s="198"/>
      <c r="K393" s="198"/>
      <c r="L393" s="198"/>
    </row>
    <row r="394">
      <c r="A394" s="198"/>
      <c r="B394" s="208" t="str">
        <f>vlookup(A394,Price!A:B,2,false)</f>
        <v>#N/A</v>
      </c>
      <c r="C394" s="198"/>
      <c r="D394" s="198"/>
      <c r="E394" s="198"/>
      <c r="F394" s="198"/>
      <c r="G394" s="198"/>
      <c r="H394" s="198"/>
      <c r="I394" s="198"/>
      <c r="J394" s="198"/>
      <c r="K394" s="198"/>
      <c r="L394" s="198"/>
    </row>
    <row r="395">
      <c r="A395" s="198"/>
      <c r="B395" s="208" t="str">
        <f>vlookup(A395,Price!A:B,2,false)</f>
        <v>#N/A</v>
      </c>
      <c r="C395" s="198"/>
      <c r="D395" s="198"/>
      <c r="E395" s="198"/>
      <c r="F395" s="198"/>
      <c r="G395" s="198"/>
      <c r="H395" s="198"/>
      <c r="I395" s="198"/>
      <c r="J395" s="198"/>
      <c r="K395" s="198"/>
      <c r="L395" s="198"/>
    </row>
    <row r="396">
      <c r="A396" s="198"/>
      <c r="B396" s="208" t="str">
        <f>vlookup(A396,Price!A:B,2,false)</f>
        <v>#N/A</v>
      </c>
      <c r="C396" s="198"/>
      <c r="D396" s="198"/>
      <c r="E396" s="198"/>
      <c r="F396" s="198"/>
      <c r="G396" s="198"/>
      <c r="H396" s="198"/>
      <c r="I396" s="198"/>
      <c r="J396" s="198"/>
      <c r="K396" s="198"/>
      <c r="L396" s="198"/>
    </row>
    <row r="397">
      <c r="A397" s="198"/>
      <c r="B397" s="208" t="str">
        <f>vlookup(A397,Price!A:B,2,false)</f>
        <v>#N/A</v>
      </c>
      <c r="C397" s="198"/>
      <c r="D397" s="198"/>
      <c r="E397" s="198"/>
      <c r="F397" s="198"/>
      <c r="G397" s="198"/>
      <c r="H397" s="198"/>
      <c r="I397" s="198"/>
      <c r="J397" s="198"/>
      <c r="K397" s="198"/>
      <c r="L397" s="198"/>
    </row>
    <row r="398">
      <c r="A398" s="198"/>
      <c r="B398" s="208" t="str">
        <f>vlookup(A398,Price!A:B,2,false)</f>
        <v>#N/A</v>
      </c>
      <c r="C398" s="198"/>
      <c r="D398" s="198"/>
      <c r="E398" s="198"/>
      <c r="F398" s="198"/>
      <c r="G398" s="198"/>
      <c r="H398" s="198"/>
      <c r="I398" s="198"/>
      <c r="J398" s="198"/>
      <c r="K398" s="198"/>
      <c r="L398" s="198"/>
    </row>
    <row r="399">
      <c r="A399" s="198"/>
      <c r="B399" s="208" t="str">
        <f>vlookup(A399,Price!A:B,2,false)</f>
        <v>#N/A</v>
      </c>
      <c r="C399" s="198"/>
      <c r="D399" s="198"/>
      <c r="E399" s="198"/>
      <c r="F399" s="198"/>
      <c r="G399" s="198"/>
      <c r="H399" s="198"/>
      <c r="I399" s="198"/>
      <c r="J399" s="198"/>
      <c r="K399" s="198"/>
      <c r="L399" s="198"/>
    </row>
    <row r="400">
      <c r="A400" s="198"/>
      <c r="B400" s="208" t="str">
        <f>vlookup(A400,Price!A:B,2,false)</f>
        <v>#N/A</v>
      </c>
      <c r="C400" s="198"/>
      <c r="D400" s="198"/>
      <c r="E400" s="198"/>
      <c r="F400" s="198"/>
      <c r="G400" s="198"/>
      <c r="H400" s="198"/>
      <c r="I400" s="198"/>
      <c r="J400" s="198"/>
      <c r="K400" s="198"/>
      <c r="L400" s="198"/>
    </row>
    <row r="401">
      <c r="A401" s="198"/>
      <c r="B401" s="208" t="str">
        <f>vlookup(A401,Price!A:B,2,false)</f>
        <v>#N/A</v>
      </c>
      <c r="C401" s="198"/>
      <c r="D401" s="198"/>
      <c r="E401" s="198"/>
      <c r="F401" s="198"/>
      <c r="G401" s="198"/>
      <c r="H401" s="198"/>
      <c r="I401" s="198"/>
      <c r="J401" s="198"/>
      <c r="K401" s="198"/>
      <c r="L401" s="198"/>
    </row>
    <row r="402">
      <c r="A402" s="198"/>
      <c r="B402" s="208" t="str">
        <f>vlookup(A402,Price!A:B,2,false)</f>
        <v>#N/A</v>
      </c>
      <c r="C402" s="198"/>
      <c r="D402" s="198"/>
      <c r="E402" s="198"/>
      <c r="F402" s="198"/>
      <c r="G402" s="198"/>
      <c r="H402" s="198"/>
      <c r="I402" s="198"/>
      <c r="J402" s="198"/>
      <c r="K402" s="198"/>
      <c r="L402" s="198"/>
    </row>
    <row r="403">
      <c r="A403" s="198"/>
      <c r="B403" s="208" t="str">
        <f>vlookup(A403,Price!A:B,2,false)</f>
        <v>#N/A</v>
      </c>
      <c r="C403" s="198"/>
      <c r="D403" s="198"/>
      <c r="E403" s="198"/>
      <c r="F403" s="198"/>
      <c r="G403" s="198"/>
      <c r="H403" s="198"/>
      <c r="I403" s="198"/>
      <c r="J403" s="198"/>
      <c r="K403" s="198"/>
      <c r="L403" s="198"/>
    </row>
    <row r="404">
      <c r="A404" s="198"/>
      <c r="B404" s="208" t="str">
        <f>vlookup(A404,Price!A:B,2,false)</f>
        <v>#N/A</v>
      </c>
      <c r="C404" s="198"/>
      <c r="D404" s="198"/>
      <c r="E404" s="198"/>
      <c r="F404" s="198"/>
      <c r="G404" s="198"/>
      <c r="H404" s="198"/>
      <c r="I404" s="198"/>
      <c r="J404" s="198"/>
      <c r="K404" s="198"/>
      <c r="L404" s="198"/>
    </row>
    <row r="405">
      <c r="A405" s="198"/>
      <c r="B405" s="208" t="str">
        <f>vlookup(A405,Price!A:B,2,false)</f>
        <v>#N/A</v>
      </c>
      <c r="C405" s="198"/>
      <c r="D405" s="198"/>
      <c r="E405" s="198"/>
      <c r="F405" s="198"/>
      <c r="G405" s="198"/>
      <c r="H405" s="198"/>
      <c r="I405" s="198"/>
      <c r="J405" s="198"/>
      <c r="K405" s="198"/>
      <c r="L405" s="198"/>
    </row>
    <row r="406">
      <c r="A406" s="198"/>
      <c r="B406" s="208" t="str">
        <f>vlookup(A406,Price!A:B,2,false)</f>
        <v>#N/A</v>
      </c>
      <c r="C406" s="198"/>
      <c r="D406" s="198"/>
      <c r="E406" s="198"/>
      <c r="F406" s="198"/>
      <c r="G406" s="198"/>
      <c r="H406" s="198"/>
      <c r="I406" s="198"/>
      <c r="J406" s="198"/>
      <c r="K406" s="198"/>
      <c r="L406" s="198"/>
    </row>
    <row r="407">
      <c r="A407" s="198"/>
      <c r="B407" s="208" t="str">
        <f>vlookup(A407,Price!A:B,2,false)</f>
        <v>#N/A</v>
      </c>
      <c r="C407" s="198"/>
      <c r="D407" s="198"/>
      <c r="E407" s="198"/>
      <c r="F407" s="198"/>
      <c r="G407" s="198"/>
      <c r="H407" s="198"/>
      <c r="I407" s="198"/>
      <c r="J407" s="198"/>
      <c r="K407" s="198"/>
      <c r="L407" s="198"/>
    </row>
    <row r="408">
      <c r="A408" s="198"/>
      <c r="B408" s="208" t="str">
        <f>vlookup(A408,Price!A:B,2,false)</f>
        <v>#N/A</v>
      </c>
      <c r="C408" s="198"/>
      <c r="D408" s="198"/>
      <c r="E408" s="198"/>
      <c r="F408" s="198"/>
      <c r="G408" s="198"/>
      <c r="H408" s="198"/>
      <c r="I408" s="198"/>
      <c r="J408" s="198"/>
      <c r="K408" s="198"/>
      <c r="L408" s="198"/>
    </row>
    <row r="409">
      <c r="A409" s="198"/>
      <c r="B409" s="208" t="str">
        <f>vlookup(A409,Price!A:B,2,false)</f>
        <v>#N/A</v>
      </c>
      <c r="C409" s="198"/>
      <c r="D409" s="198"/>
      <c r="E409" s="198"/>
      <c r="F409" s="198"/>
      <c r="G409" s="198"/>
      <c r="H409" s="198"/>
      <c r="I409" s="198"/>
      <c r="J409" s="198"/>
      <c r="K409" s="198"/>
      <c r="L409" s="198"/>
    </row>
    <row r="410">
      <c r="A410" s="198"/>
      <c r="B410" s="208" t="str">
        <f>vlookup(A410,Price!A:B,2,false)</f>
        <v>#N/A</v>
      </c>
      <c r="C410" s="198"/>
      <c r="D410" s="198"/>
      <c r="E410" s="198"/>
      <c r="F410" s="198"/>
      <c r="G410" s="198"/>
      <c r="H410" s="198"/>
      <c r="I410" s="198"/>
      <c r="J410" s="198"/>
      <c r="K410" s="198"/>
      <c r="L410" s="198"/>
    </row>
    <row r="411">
      <c r="A411" s="198"/>
      <c r="B411" s="208" t="str">
        <f>vlookup(A411,Price!A:B,2,false)</f>
        <v>#N/A</v>
      </c>
      <c r="C411" s="198"/>
      <c r="D411" s="198"/>
      <c r="E411" s="198"/>
      <c r="F411" s="198"/>
      <c r="G411" s="198"/>
      <c r="H411" s="198"/>
      <c r="I411" s="198"/>
      <c r="J411" s="198"/>
      <c r="K411" s="198"/>
      <c r="L411" s="198"/>
    </row>
    <row r="412">
      <c r="A412" s="198"/>
      <c r="B412" s="208" t="str">
        <f>vlookup(A412,Price!A:B,2,false)</f>
        <v>#N/A</v>
      </c>
      <c r="C412" s="198"/>
      <c r="D412" s="198"/>
      <c r="E412" s="198"/>
      <c r="F412" s="198"/>
      <c r="G412" s="198"/>
      <c r="H412" s="198"/>
      <c r="I412" s="198"/>
      <c r="J412" s="198"/>
      <c r="K412" s="198"/>
      <c r="L412" s="198"/>
    </row>
    <row r="413">
      <c r="A413" s="198"/>
      <c r="B413" s="208" t="str">
        <f>vlookup(A413,Price!A:B,2,false)</f>
        <v>#N/A</v>
      </c>
      <c r="C413" s="198"/>
      <c r="D413" s="198"/>
      <c r="E413" s="198"/>
      <c r="F413" s="198"/>
      <c r="G413" s="198"/>
      <c r="H413" s="198"/>
      <c r="I413" s="198"/>
      <c r="J413" s="198"/>
      <c r="K413" s="198"/>
      <c r="L413" s="198"/>
    </row>
    <row r="414">
      <c r="A414" s="198"/>
      <c r="B414" s="208" t="str">
        <f>vlookup(A414,Price!A:B,2,false)</f>
        <v>#N/A</v>
      </c>
      <c r="C414" s="198"/>
      <c r="D414" s="198"/>
      <c r="E414" s="198"/>
      <c r="F414" s="198"/>
      <c r="G414" s="198"/>
      <c r="H414" s="198"/>
      <c r="I414" s="198"/>
      <c r="J414" s="198"/>
      <c r="K414" s="198"/>
      <c r="L414" s="198"/>
    </row>
    <row r="415">
      <c r="A415" s="198"/>
      <c r="B415" s="208" t="str">
        <f>vlookup(A415,Price!A:B,2,false)</f>
        <v>#N/A</v>
      </c>
      <c r="C415" s="198"/>
      <c r="D415" s="198"/>
      <c r="E415" s="198"/>
      <c r="F415" s="198"/>
      <c r="G415" s="198"/>
      <c r="H415" s="198"/>
      <c r="I415" s="198"/>
      <c r="J415" s="198"/>
      <c r="K415" s="198"/>
      <c r="L415" s="198"/>
    </row>
    <row r="416">
      <c r="A416" s="198"/>
      <c r="B416" s="208" t="str">
        <f>vlookup(A416,Price!A:B,2,false)</f>
        <v>#N/A</v>
      </c>
      <c r="C416" s="198"/>
      <c r="D416" s="198"/>
      <c r="E416" s="198"/>
      <c r="F416" s="198"/>
      <c r="G416" s="198"/>
      <c r="H416" s="198"/>
      <c r="I416" s="198"/>
      <c r="J416" s="198"/>
      <c r="K416" s="198"/>
      <c r="L416" s="198"/>
    </row>
    <row r="417">
      <c r="A417" s="198"/>
      <c r="B417" s="208" t="str">
        <f>vlookup(A417,Price!A:B,2,false)</f>
        <v>#N/A</v>
      </c>
      <c r="C417" s="198"/>
      <c r="D417" s="198"/>
      <c r="E417" s="198"/>
      <c r="F417" s="198"/>
      <c r="G417" s="198"/>
      <c r="H417" s="198"/>
      <c r="I417" s="198"/>
      <c r="J417" s="198"/>
      <c r="K417" s="198"/>
      <c r="L417" s="198"/>
    </row>
    <row r="418">
      <c r="A418" s="198"/>
      <c r="B418" s="208" t="str">
        <f>vlookup(A418,Price!A:B,2,false)</f>
        <v>#N/A</v>
      </c>
      <c r="C418" s="198"/>
      <c r="D418" s="198"/>
      <c r="E418" s="198"/>
      <c r="F418" s="198"/>
      <c r="G418" s="198"/>
      <c r="H418" s="198"/>
      <c r="I418" s="198"/>
      <c r="J418" s="198"/>
      <c r="K418" s="198"/>
      <c r="L418" s="198"/>
    </row>
    <row r="419">
      <c r="A419" s="198"/>
      <c r="B419" s="208" t="str">
        <f>vlookup(A419,Price!A:B,2,false)</f>
        <v>#N/A</v>
      </c>
      <c r="C419" s="198"/>
      <c r="D419" s="198"/>
      <c r="E419" s="198"/>
      <c r="F419" s="198"/>
      <c r="G419" s="198"/>
      <c r="H419" s="198"/>
      <c r="I419" s="198"/>
      <c r="J419" s="198"/>
      <c r="K419" s="198"/>
      <c r="L419" s="198"/>
    </row>
    <row r="420">
      <c r="A420" s="198"/>
      <c r="B420" s="208" t="str">
        <f>vlookup(A420,Price!A:B,2,false)</f>
        <v>#N/A</v>
      </c>
      <c r="C420" s="198"/>
      <c r="D420" s="198"/>
      <c r="E420" s="198"/>
      <c r="F420" s="198"/>
      <c r="G420" s="198"/>
      <c r="H420" s="198"/>
      <c r="I420" s="198"/>
      <c r="J420" s="198"/>
      <c r="K420" s="198"/>
      <c r="L420" s="198"/>
    </row>
    <row r="421">
      <c r="A421" s="198"/>
      <c r="B421" s="208" t="str">
        <f>vlookup(A421,Price!A:B,2,false)</f>
        <v>#N/A</v>
      </c>
      <c r="C421" s="198"/>
      <c r="D421" s="198"/>
      <c r="E421" s="198"/>
      <c r="F421" s="198"/>
      <c r="G421" s="198"/>
      <c r="H421" s="198"/>
      <c r="I421" s="198"/>
      <c r="J421" s="198"/>
      <c r="K421" s="198"/>
      <c r="L421" s="198"/>
    </row>
    <row r="422">
      <c r="A422" s="198"/>
      <c r="B422" s="208" t="str">
        <f>vlookup(A422,Price!A:B,2,false)</f>
        <v>#N/A</v>
      </c>
      <c r="C422" s="198"/>
      <c r="D422" s="198"/>
      <c r="E422" s="198"/>
      <c r="F422" s="198"/>
      <c r="G422" s="198"/>
      <c r="H422" s="198"/>
      <c r="I422" s="198"/>
      <c r="J422" s="198"/>
      <c r="K422" s="198"/>
      <c r="L422" s="198"/>
    </row>
    <row r="423">
      <c r="A423" s="198"/>
      <c r="B423" s="208" t="str">
        <f>vlookup(A423,Price!A:B,2,false)</f>
        <v>#N/A</v>
      </c>
      <c r="C423" s="198"/>
      <c r="D423" s="198"/>
      <c r="E423" s="198"/>
      <c r="F423" s="198"/>
      <c r="G423" s="198"/>
      <c r="H423" s="198"/>
      <c r="I423" s="198"/>
      <c r="J423" s="198"/>
      <c r="K423" s="198"/>
      <c r="L423" s="198"/>
    </row>
    <row r="424">
      <c r="A424" s="198"/>
      <c r="B424" s="208" t="str">
        <f>vlookup(A424,Price!A:B,2,false)</f>
        <v>#N/A</v>
      </c>
      <c r="C424" s="198"/>
      <c r="D424" s="198"/>
      <c r="E424" s="198"/>
      <c r="F424" s="198"/>
      <c r="G424" s="198"/>
      <c r="H424" s="198"/>
      <c r="I424" s="198"/>
      <c r="J424" s="198"/>
      <c r="K424" s="198"/>
      <c r="L424" s="198"/>
    </row>
    <row r="425">
      <c r="A425" s="198"/>
      <c r="B425" s="208" t="str">
        <f>vlookup(A425,Price!A:B,2,false)</f>
        <v>#N/A</v>
      </c>
      <c r="C425" s="198"/>
      <c r="D425" s="198"/>
      <c r="E425" s="198"/>
      <c r="F425" s="198"/>
      <c r="G425" s="198"/>
      <c r="H425" s="198"/>
      <c r="I425" s="198"/>
      <c r="J425" s="198"/>
      <c r="K425" s="198"/>
      <c r="L425" s="198"/>
    </row>
    <row r="426">
      <c r="A426" s="198"/>
      <c r="B426" s="208" t="str">
        <f>vlookup(A426,Price!A:B,2,false)</f>
        <v>#N/A</v>
      </c>
      <c r="C426" s="198"/>
      <c r="D426" s="198"/>
      <c r="E426" s="198"/>
      <c r="F426" s="198"/>
      <c r="G426" s="198"/>
      <c r="H426" s="198"/>
      <c r="I426" s="198"/>
      <c r="J426" s="198"/>
      <c r="K426" s="198"/>
      <c r="L426" s="198"/>
    </row>
    <row r="427">
      <c r="A427" s="198"/>
      <c r="B427" s="208" t="str">
        <f>vlookup(A427,Price!A:B,2,false)</f>
        <v>#N/A</v>
      </c>
      <c r="C427" s="198"/>
      <c r="D427" s="198"/>
      <c r="E427" s="198"/>
      <c r="F427" s="198"/>
      <c r="G427" s="198"/>
      <c r="H427" s="198"/>
      <c r="I427" s="198"/>
      <c r="J427" s="198"/>
      <c r="K427" s="198"/>
      <c r="L427" s="198"/>
    </row>
    <row r="428">
      <c r="A428" s="198"/>
      <c r="B428" s="208" t="str">
        <f>vlookup(A428,Price!A:B,2,false)</f>
        <v>#N/A</v>
      </c>
      <c r="C428" s="198"/>
      <c r="D428" s="198"/>
      <c r="E428" s="198"/>
      <c r="F428" s="198"/>
      <c r="G428" s="198"/>
      <c r="H428" s="198"/>
      <c r="I428" s="198"/>
      <c r="J428" s="198"/>
      <c r="K428" s="198"/>
      <c r="L428" s="198"/>
    </row>
    <row r="429">
      <c r="A429" s="198"/>
      <c r="B429" s="208" t="str">
        <f>vlookup(A429,Price!A:B,2,false)</f>
        <v>#N/A</v>
      </c>
      <c r="C429" s="198"/>
      <c r="D429" s="198"/>
      <c r="E429" s="198"/>
      <c r="F429" s="198"/>
      <c r="G429" s="198"/>
      <c r="H429" s="198"/>
      <c r="I429" s="198"/>
      <c r="J429" s="198"/>
      <c r="K429" s="198"/>
      <c r="L429" s="198"/>
    </row>
    <row r="430">
      <c r="A430" s="198"/>
      <c r="B430" s="208" t="str">
        <f>vlookup(A430,Price!A:B,2,false)</f>
        <v>#N/A</v>
      </c>
      <c r="C430" s="198"/>
      <c r="D430" s="198"/>
      <c r="E430" s="198"/>
      <c r="F430" s="198"/>
      <c r="G430" s="198"/>
      <c r="H430" s="198"/>
      <c r="I430" s="198"/>
      <c r="J430" s="198"/>
      <c r="K430" s="198"/>
      <c r="L430" s="198"/>
    </row>
    <row r="431">
      <c r="A431" s="198"/>
      <c r="B431" s="208" t="str">
        <f>vlookup(A431,Price!A:B,2,false)</f>
        <v>#N/A</v>
      </c>
      <c r="C431" s="198"/>
      <c r="D431" s="198"/>
      <c r="E431" s="198"/>
      <c r="F431" s="198"/>
      <c r="G431" s="198"/>
      <c r="H431" s="198"/>
      <c r="I431" s="198"/>
      <c r="J431" s="198"/>
      <c r="K431" s="198"/>
      <c r="L431" s="198"/>
    </row>
    <row r="432">
      <c r="A432" s="198"/>
      <c r="B432" s="208" t="str">
        <f>vlookup(A432,Price!A:B,2,false)</f>
        <v>#N/A</v>
      </c>
      <c r="C432" s="198"/>
      <c r="D432" s="198"/>
      <c r="E432" s="198"/>
      <c r="F432" s="198"/>
      <c r="G432" s="198"/>
      <c r="H432" s="198"/>
      <c r="I432" s="198"/>
      <c r="J432" s="198"/>
      <c r="K432" s="198"/>
      <c r="L432" s="198"/>
    </row>
    <row r="433">
      <c r="A433" s="198"/>
      <c r="B433" s="208" t="str">
        <f>vlookup(A433,Price!A:B,2,false)</f>
        <v>#N/A</v>
      </c>
      <c r="C433" s="198"/>
      <c r="D433" s="198"/>
      <c r="E433" s="198"/>
      <c r="F433" s="198"/>
      <c r="G433" s="198"/>
      <c r="H433" s="198"/>
      <c r="I433" s="198"/>
      <c r="J433" s="198"/>
      <c r="K433" s="198"/>
      <c r="L433" s="198"/>
    </row>
    <row r="434">
      <c r="A434" s="198"/>
      <c r="B434" s="208" t="str">
        <f>vlookup(A434,Price!A:B,2,false)</f>
        <v>#N/A</v>
      </c>
      <c r="C434" s="198"/>
      <c r="D434" s="198"/>
      <c r="E434" s="198"/>
      <c r="F434" s="198"/>
      <c r="G434" s="198"/>
      <c r="H434" s="198"/>
      <c r="I434" s="198"/>
      <c r="J434" s="198"/>
      <c r="K434" s="198"/>
      <c r="L434" s="198"/>
    </row>
    <row r="435">
      <c r="A435" s="198"/>
      <c r="B435" s="208" t="str">
        <f>vlookup(A435,Price!A:B,2,false)</f>
        <v>#N/A</v>
      </c>
      <c r="C435" s="198"/>
      <c r="D435" s="198"/>
      <c r="E435" s="198"/>
      <c r="F435" s="198"/>
      <c r="G435" s="198"/>
      <c r="H435" s="198"/>
      <c r="I435" s="198"/>
      <c r="J435" s="198"/>
      <c r="K435" s="198"/>
      <c r="L435" s="198"/>
    </row>
    <row r="436">
      <c r="A436" s="198"/>
      <c r="B436" s="208" t="str">
        <f>vlookup(A436,Price!A:B,2,false)</f>
        <v>#N/A</v>
      </c>
      <c r="C436" s="198"/>
      <c r="D436" s="198"/>
      <c r="E436" s="198"/>
      <c r="F436" s="198"/>
      <c r="G436" s="198"/>
      <c r="H436" s="198"/>
      <c r="I436" s="198"/>
      <c r="J436" s="198"/>
      <c r="K436" s="198"/>
      <c r="L436" s="198"/>
    </row>
    <row r="437">
      <c r="A437" s="198"/>
      <c r="B437" s="208" t="str">
        <f>vlookup(A437,Price!A:B,2,false)</f>
        <v>#N/A</v>
      </c>
      <c r="C437" s="198"/>
      <c r="D437" s="198"/>
      <c r="E437" s="198"/>
      <c r="F437" s="198"/>
      <c r="G437" s="198"/>
      <c r="H437" s="198"/>
      <c r="I437" s="198"/>
      <c r="J437" s="198"/>
      <c r="K437" s="198"/>
      <c r="L437" s="198"/>
    </row>
    <row r="438">
      <c r="A438" s="198"/>
      <c r="B438" s="208" t="str">
        <f>vlookup(A438,Price!A:B,2,false)</f>
        <v>#N/A</v>
      </c>
      <c r="C438" s="198"/>
      <c r="D438" s="198"/>
      <c r="E438" s="198"/>
      <c r="F438" s="198"/>
      <c r="G438" s="198"/>
      <c r="H438" s="198"/>
      <c r="I438" s="198"/>
      <c r="J438" s="198"/>
      <c r="K438" s="198"/>
      <c r="L438" s="198"/>
    </row>
    <row r="439">
      <c r="A439" s="198"/>
      <c r="B439" s="208" t="str">
        <f>vlookup(A439,Price!A:B,2,false)</f>
        <v>#N/A</v>
      </c>
      <c r="C439" s="198"/>
      <c r="D439" s="198"/>
      <c r="E439" s="198"/>
      <c r="F439" s="198"/>
      <c r="G439" s="198"/>
      <c r="H439" s="198"/>
      <c r="I439" s="198"/>
      <c r="J439" s="198"/>
      <c r="K439" s="198"/>
      <c r="L439" s="198"/>
    </row>
    <row r="440">
      <c r="A440" s="198"/>
      <c r="B440" s="208" t="str">
        <f>vlookup(A440,Price!A:B,2,false)</f>
        <v>#N/A</v>
      </c>
      <c r="C440" s="198"/>
      <c r="D440" s="198"/>
      <c r="E440" s="198"/>
      <c r="F440" s="198"/>
      <c r="G440" s="198"/>
      <c r="H440" s="198"/>
      <c r="I440" s="198"/>
      <c r="J440" s="198"/>
      <c r="K440" s="198"/>
      <c r="L440" s="198"/>
    </row>
    <row r="441">
      <c r="A441" s="198"/>
      <c r="B441" s="208" t="str">
        <f>vlookup(A441,Price!A:B,2,false)</f>
        <v>#N/A</v>
      </c>
      <c r="C441" s="198"/>
      <c r="D441" s="198"/>
      <c r="E441" s="198"/>
      <c r="F441" s="198"/>
      <c r="G441" s="198"/>
      <c r="H441" s="198"/>
      <c r="I441" s="198"/>
      <c r="J441" s="198"/>
      <c r="K441" s="198"/>
      <c r="L441" s="198"/>
    </row>
    <row r="442">
      <c r="A442" s="198"/>
      <c r="B442" s="208" t="str">
        <f>vlookup(A442,Price!A:B,2,false)</f>
        <v>#N/A</v>
      </c>
      <c r="C442" s="198"/>
      <c r="D442" s="198"/>
      <c r="E442" s="198"/>
      <c r="F442" s="198"/>
      <c r="G442" s="198"/>
      <c r="H442" s="198"/>
      <c r="I442" s="198"/>
      <c r="J442" s="198"/>
      <c r="K442" s="198"/>
      <c r="L442" s="198"/>
    </row>
    <row r="443">
      <c r="A443" s="198"/>
      <c r="B443" s="208" t="str">
        <f>vlookup(A443,Price!A:B,2,false)</f>
        <v>#N/A</v>
      </c>
      <c r="C443" s="198"/>
      <c r="D443" s="198"/>
      <c r="E443" s="198"/>
      <c r="F443" s="198"/>
      <c r="G443" s="198"/>
      <c r="H443" s="198"/>
      <c r="I443" s="198"/>
      <c r="J443" s="198"/>
      <c r="K443" s="198"/>
      <c r="L443" s="198"/>
    </row>
    <row r="444">
      <c r="A444" s="198"/>
      <c r="B444" s="208" t="str">
        <f>vlookup(A444,Price!A:B,2,false)</f>
        <v>#N/A</v>
      </c>
      <c r="C444" s="198"/>
      <c r="D444" s="198"/>
      <c r="E444" s="198"/>
      <c r="F444" s="198"/>
      <c r="G444" s="198"/>
      <c r="H444" s="198"/>
      <c r="I444" s="198"/>
      <c r="J444" s="198"/>
      <c r="K444" s="198"/>
      <c r="L444" s="198"/>
    </row>
    <row r="445">
      <c r="A445" s="198"/>
      <c r="B445" s="208" t="str">
        <f>vlookup(A445,Price!A:B,2,false)</f>
        <v>#N/A</v>
      </c>
      <c r="C445" s="198"/>
      <c r="D445" s="198"/>
      <c r="E445" s="198"/>
      <c r="F445" s="198"/>
      <c r="G445" s="198"/>
      <c r="H445" s="198"/>
      <c r="I445" s="198"/>
      <c r="J445" s="198"/>
      <c r="K445" s="198"/>
      <c r="L445" s="198"/>
    </row>
    <row r="446">
      <c r="A446" s="198"/>
      <c r="B446" s="208" t="str">
        <f>vlookup(A446,Price!A:B,2,false)</f>
        <v>#N/A</v>
      </c>
      <c r="C446" s="198"/>
      <c r="D446" s="198"/>
      <c r="E446" s="198"/>
      <c r="F446" s="198"/>
      <c r="G446" s="198"/>
      <c r="H446" s="198"/>
      <c r="I446" s="198"/>
      <c r="J446" s="198"/>
      <c r="K446" s="198"/>
      <c r="L446" s="198"/>
    </row>
    <row r="447">
      <c r="A447" s="198"/>
      <c r="B447" s="208" t="str">
        <f>vlookup(A447,Price!A:B,2,false)</f>
        <v>#N/A</v>
      </c>
      <c r="C447" s="198"/>
      <c r="D447" s="198"/>
      <c r="E447" s="198"/>
      <c r="F447" s="198"/>
      <c r="G447" s="198"/>
      <c r="H447" s="198"/>
      <c r="I447" s="198"/>
      <c r="J447" s="198"/>
      <c r="K447" s="198"/>
      <c r="L447" s="198"/>
    </row>
    <row r="448">
      <c r="A448" s="198"/>
      <c r="B448" s="208" t="str">
        <f>vlookup(A448,Price!A:B,2,false)</f>
        <v>#N/A</v>
      </c>
      <c r="C448" s="198"/>
      <c r="D448" s="198"/>
      <c r="E448" s="198"/>
      <c r="F448" s="198"/>
      <c r="G448" s="198"/>
      <c r="H448" s="198"/>
      <c r="I448" s="198"/>
      <c r="J448" s="198"/>
      <c r="K448" s="198"/>
      <c r="L448" s="198"/>
    </row>
    <row r="449">
      <c r="A449" s="198"/>
      <c r="B449" s="208" t="str">
        <f>vlookup(A449,Price!A:B,2,false)</f>
        <v>#N/A</v>
      </c>
      <c r="C449" s="198"/>
      <c r="D449" s="198"/>
      <c r="E449" s="198"/>
      <c r="F449" s="198"/>
      <c r="G449" s="198"/>
      <c r="H449" s="198"/>
      <c r="I449" s="198"/>
      <c r="J449" s="198"/>
      <c r="K449" s="198"/>
      <c r="L449" s="198"/>
    </row>
    <row r="450">
      <c r="A450" s="198"/>
      <c r="B450" s="208" t="str">
        <f>vlookup(A450,Price!A:B,2,false)</f>
        <v>#N/A</v>
      </c>
      <c r="C450" s="198"/>
      <c r="D450" s="198"/>
      <c r="E450" s="198"/>
      <c r="F450" s="198"/>
      <c r="G450" s="198"/>
      <c r="H450" s="198"/>
      <c r="I450" s="198"/>
      <c r="J450" s="198"/>
      <c r="K450" s="198"/>
      <c r="L450" s="198"/>
    </row>
    <row r="451">
      <c r="A451" s="198"/>
      <c r="B451" s="208" t="str">
        <f>vlookup(A451,Price!A:B,2,false)</f>
        <v>#N/A</v>
      </c>
      <c r="C451" s="198"/>
      <c r="D451" s="198"/>
      <c r="E451" s="198"/>
      <c r="F451" s="198"/>
      <c r="G451" s="198"/>
      <c r="H451" s="198"/>
      <c r="I451" s="198"/>
      <c r="J451" s="198"/>
      <c r="K451" s="198"/>
      <c r="L451" s="198"/>
    </row>
    <row r="452">
      <c r="A452" s="198"/>
      <c r="B452" s="208" t="str">
        <f>vlookup(A452,Price!A:B,2,false)</f>
        <v>#N/A</v>
      </c>
      <c r="C452" s="198"/>
      <c r="D452" s="198"/>
      <c r="E452" s="198"/>
      <c r="F452" s="198"/>
      <c r="G452" s="198"/>
      <c r="H452" s="198"/>
      <c r="I452" s="198"/>
      <c r="J452" s="198"/>
      <c r="K452" s="198"/>
      <c r="L452" s="198"/>
    </row>
    <row r="453">
      <c r="A453" s="198"/>
      <c r="B453" s="208" t="str">
        <f>vlookup(A453,Price!A:B,2,false)</f>
        <v>#N/A</v>
      </c>
      <c r="C453" s="198"/>
      <c r="D453" s="198"/>
      <c r="E453" s="198"/>
      <c r="F453" s="198"/>
      <c r="G453" s="198"/>
      <c r="H453" s="198"/>
      <c r="I453" s="198"/>
      <c r="J453" s="198"/>
      <c r="K453" s="198"/>
      <c r="L453" s="198"/>
    </row>
    <row r="454">
      <c r="A454" s="198"/>
      <c r="B454" s="208" t="str">
        <f>vlookup(A454,Price!A:B,2,false)</f>
        <v>#N/A</v>
      </c>
      <c r="C454" s="198"/>
      <c r="D454" s="198"/>
      <c r="E454" s="198"/>
      <c r="F454" s="198"/>
      <c r="G454" s="198"/>
      <c r="H454" s="198"/>
      <c r="I454" s="198"/>
      <c r="J454" s="198"/>
      <c r="K454" s="198"/>
      <c r="L454" s="198"/>
    </row>
    <row r="455">
      <c r="A455" s="198"/>
      <c r="B455" s="208" t="str">
        <f>vlookup(A455,Price!A:B,2,false)</f>
        <v>#N/A</v>
      </c>
      <c r="C455" s="198"/>
      <c r="D455" s="198"/>
      <c r="E455" s="198"/>
      <c r="F455" s="198"/>
      <c r="G455" s="198"/>
      <c r="H455" s="198"/>
      <c r="I455" s="198"/>
      <c r="J455" s="198"/>
      <c r="K455" s="198"/>
      <c r="L455" s="198"/>
    </row>
    <row r="456">
      <c r="A456" s="198"/>
      <c r="B456" s="208" t="str">
        <f>vlookup(A456,Price!A:B,2,false)</f>
        <v>#N/A</v>
      </c>
      <c r="C456" s="198"/>
      <c r="D456" s="198"/>
      <c r="E456" s="198"/>
      <c r="F456" s="198"/>
      <c r="G456" s="198"/>
      <c r="H456" s="198"/>
      <c r="I456" s="198"/>
      <c r="J456" s="198"/>
      <c r="K456" s="198"/>
      <c r="L456" s="198"/>
    </row>
    <row r="457">
      <c r="A457" s="198"/>
      <c r="B457" s="208" t="str">
        <f>vlookup(A457,Price!A:B,2,false)</f>
        <v>#N/A</v>
      </c>
      <c r="C457" s="198"/>
      <c r="D457" s="198"/>
      <c r="E457" s="198"/>
      <c r="F457" s="198"/>
      <c r="G457" s="198"/>
      <c r="H457" s="198"/>
      <c r="I457" s="198"/>
      <c r="J457" s="198"/>
      <c r="K457" s="198"/>
      <c r="L457" s="198"/>
    </row>
    <row r="458">
      <c r="A458" s="198"/>
      <c r="B458" s="208" t="str">
        <f>vlookup(A458,Price!A:B,2,false)</f>
        <v>#N/A</v>
      </c>
      <c r="C458" s="198"/>
      <c r="D458" s="198"/>
      <c r="E458" s="198"/>
      <c r="F458" s="198"/>
      <c r="G458" s="198"/>
      <c r="H458" s="198"/>
      <c r="I458" s="198"/>
      <c r="J458" s="198"/>
      <c r="K458" s="198"/>
      <c r="L458" s="198"/>
    </row>
    <row r="459">
      <c r="A459" s="198"/>
      <c r="B459" s="208" t="str">
        <f>vlookup(A459,Price!A:B,2,false)</f>
        <v>#N/A</v>
      </c>
      <c r="C459" s="198"/>
      <c r="D459" s="198"/>
      <c r="E459" s="198"/>
      <c r="F459" s="198"/>
      <c r="G459" s="198"/>
      <c r="H459" s="198"/>
      <c r="I459" s="198"/>
      <c r="J459" s="198"/>
      <c r="K459" s="198"/>
      <c r="L459" s="198"/>
    </row>
    <row r="460">
      <c r="A460" s="198"/>
      <c r="B460" s="208" t="str">
        <f>vlookup(A460,Price!A:B,2,false)</f>
        <v>#N/A</v>
      </c>
      <c r="C460" s="198"/>
      <c r="D460" s="198"/>
      <c r="E460" s="198"/>
      <c r="F460" s="198"/>
      <c r="G460" s="198"/>
      <c r="H460" s="198"/>
      <c r="I460" s="198"/>
      <c r="J460" s="198"/>
      <c r="K460" s="198"/>
      <c r="L460" s="198"/>
    </row>
    <row r="461">
      <c r="A461" s="198"/>
      <c r="B461" s="208" t="str">
        <f>vlookup(A461,Price!A:B,2,false)</f>
        <v>#N/A</v>
      </c>
      <c r="C461" s="198"/>
      <c r="D461" s="198"/>
      <c r="E461" s="198"/>
      <c r="F461" s="198"/>
      <c r="G461" s="198"/>
      <c r="H461" s="198"/>
      <c r="I461" s="198"/>
      <c r="J461" s="198"/>
      <c r="K461" s="198"/>
      <c r="L461" s="198"/>
    </row>
    <row r="462">
      <c r="A462" s="198"/>
      <c r="B462" s="208" t="str">
        <f>vlookup(A462,Price!A:B,2,false)</f>
        <v>#N/A</v>
      </c>
      <c r="C462" s="198"/>
      <c r="D462" s="198"/>
      <c r="E462" s="198"/>
      <c r="F462" s="198"/>
      <c r="G462" s="198"/>
      <c r="H462" s="198"/>
      <c r="I462" s="198"/>
      <c r="J462" s="198"/>
      <c r="K462" s="198"/>
      <c r="L462" s="198"/>
    </row>
    <row r="463">
      <c r="A463" s="198"/>
      <c r="B463" s="208" t="str">
        <f>vlookup(A463,Price!A:B,2,false)</f>
        <v>#N/A</v>
      </c>
      <c r="C463" s="198"/>
      <c r="D463" s="198"/>
      <c r="E463" s="198"/>
      <c r="F463" s="198"/>
      <c r="G463" s="198"/>
      <c r="H463" s="198"/>
      <c r="I463" s="198"/>
      <c r="J463" s="198"/>
      <c r="K463" s="198"/>
      <c r="L463" s="198"/>
    </row>
    <row r="464">
      <c r="A464" s="198"/>
      <c r="B464" s="208" t="str">
        <f>vlookup(A464,Price!A:B,2,false)</f>
        <v>#N/A</v>
      </c>
      <c r="C464" s="198"/>
      <c r="D464" s="198"/>
      <c r="E464" s="198"/>
      <c r="F464" s="198"/>
      <c r="G464" s="198"/>
      <c r="H464" s="198"/>
      <c r="I464" s="198"/>
      <c r="J464" s="198"/>
      <c r="K464" s="198"/>
      <c r="L464" s="198"/>
    </row>
    <row r="465">
      <c r="A465" s="198"/>
      <c r="B465" s="208" t="str">
        <f>vlookup(A465,Price!A:B,2,false)</f>
        <v>#N/A</v>
      </c>
      <c r="C465" s="198"/>
      <c r="D465" s="198"/>
      <c r="E465" s="198"/>
      <c r="F465" s="198"/>
      <c r="G465" s="198"/>
      <c r="H465" s="198"/>
      <c r="I465" s="198"/>
      <c r="J465" s="198"/>
      <c r="K465" s="198"/>
      <c r="L465" s="198"/>
    </row>
    <row r="466">
      <c r="A466" s="198"/>
      <c r="B466" s="208" t="str">
        <f>vlookup(A466,Price!A:B,2,false)</f>
        <v>#N/A</v>
      </c>
      <c r="C466" s="198"/>
      <c r="D466" s="198"/>
      <c r="E466" s="198"/>
      <c r="F466" s="198"/>
      <c r="G466" s="198"/>
      <c r="H466" s="198"/>
      <c r="I466" s="198"/>
      <c r="J466" s="198"/>
      <c r="K466" s="198"/>
      <c r="L466" s="198"/>
    </row>
    <row r="467">
      <c r="A467" s="198"/>
      <c r="B467" s="208" t="str">
        <f>vlookup(A467,Price!A:B,2,false)</f>
        <v>#N/A</v>
      </c>
      <c r="C467" s="198"/>
      <c r="D467" s="198"/>
      <c r="E467" s="198"/>
      <c r="F467" s="198"/>
      <c r="G467" s="198"/>
      <c r="H467" s="198"/>
      <c r="I467" s="198"/>
      <c r="J467" s="198"/>
      <c r="K467" s="198"/>
      <c r="L467" s="198"/>
    </row>
    <row r="468">
      <c r="A468" s="198"/>
      <c r="B468" s="208" t="str">
        <f>vlookup(A468,Price!A:B,2,false)</f>
        <v>#N/A</v>
      </c>
      <c r="C468" s="198"/>
      <c r="D468" s="198"/>
      <c r="E468" s="198"/>
      <c r="F468" s="198"/>
      <c r="G468" s="198"/>
      <c r="H468" s="198"/>
      <c r="I468" s="198"/>
      <c r="J468" s="198"/>
      <c r="K468" s="198"/>
      <c r="L468" s="198"/>
    </row>
    <row r="469">
      <c r="A469" s="198"/>
      <c r="B469" s="208" t="str">
        <f>vlookup(A469,Price!A:B,2,false)</f>
        <v>#N/A</v>
      </c>
      <c r="C469" s="198"/>
      <c r="D469" s="198"/>
      <c r="E469" s="198"/>
      <c r="F469" s="198"/>
      <c r="G469" s="198"/>
      <c r="H469" s="198"/>
      <c r="I469" s="198"/>
      <c r="J469" s="198"/>
      <c r="K469" s="198"/>
      <c r="L469" s="198"/>
    </row>
    <row r="470">
      <c r="A470" s="198"/>
      <c r="B470" s="208" t="str">
        <f>vlookup(A470,Price!A:B,2,false)</f>
        <v>#N/A</v>
      </c>
      <c r="C470" s="198"/>
      <c r="D470" s="198"/>
      <c r="E470" s="198"/>
      <c r="F470" s="198"/>
      <c r="G470" s="198"/>
      <c r="H470" s="198"/>
      <c r="I470" s="198"/>
      <c r="J470" s="198"/>
      <c r="K470" s="198"/>
      <c r="L470" s="198"/>
    </row>
    <row r="471">
      <c r="A471" s="198"/>
      <c r="B471" s="208" t="str">
        <f>vlookup(A471,Price!A:B,2,false)</f>
        <v>#N/A</v>
      </c>
      <c r="C471" s="198"/>
      <c r="D471" s="198"/>
      <c r="E471" s="198"/>
      <c r="F471" s="198"/>
      <c r="G471" s="198"/>
      <c r="H471" s="198"/>
      <c r="I471" s="198"/>
      <c r="J471" s="198"/>
      <c r="K471" s="198"/>
      <c r="L471" s="198"/>
    </row>
    <row r="472">
      <c r="A472" s="198"/>
      <c r="B472" s="208" t="str">
        <f>vlookup(A472,Price!A:B,2,false)</f>
        <v>#N/A</v>
      </c>
      <c r="C472" s="198"/>
      <c r="D472" s="198"/>
      <c r="E472" s="198"/>
      <c r="F472" s="198"/>
      <c r="G472" s="198"/>
      <c r="H472" s="198"/>
      <c r="I472" s="198"/>
      <c r="J472" s="198"/>
      <c r="K472" s="198"/>
      <c r="L472" s="198"/>
    </row>
    <row r="473">
      <c r="A473" s="198"/>
      <c r="B473" s="208" t="str">
        <f>vlookup(A473,Price!A:B,2,false)</f>
        <v>#N/A</v>
      </c>
      <c r="C473" s="198"/>
      <c r="D473" s="198"/>
      <c r="E473" s="198"/>
      <c r="F473" s="198"/>
      <c r="G473" s="198"/>
      <c r="H473" s="198"/>
      <c r="I473" s="198"/>
      <c r="J473" s="198"/>
      <c r="K473" s="198"/>
      <c r="L473" s="198"/>
    </row>
    <row r="474">
      <c r="A474" s="198"/>
      <c r="B474" s="208" t="str">
        <f>vlookup(A474,Price!A:B,2,false)</f>
        <v>#N/A</v>
      </c>
      <c r="C474" s="198"/>
      <c r="D474" s="198"/>
      <c r="E474" s="198"/>
      <c r="F474" s="198"/>
      <c r="G474" s="198"/>
      <c r="H474" s="198"/>
      <c r="I474" s="198"/>
      <c r="J474" s="198"/>
      <c r="K474" s="198"/>
      <c r="L474" s="198"/>
    </row>
    <row r="475">
      <c r="A475" s="198"/>
      <c r="B475" s="208" t="str">
        <f>vlookup(A475,Price!A:B,2,false)</f>
        <v>#N/A</v>
      </c>
      <c r="C475" s="198"/>
      <c r="D475" s="198"/>
      <c r="E475" s="198"/>
      <c r="F475" s="198"/>
      <c r="G475" s="198"/>
      <c r="H475" s="198"/>
      <c r="I475" s="198"/>
      <c r="J475" s="198"/>
      <c r="K475" s="198"/>
      <c r="L475" s="198"/>
    </row>
    <row r="476">
      <c r="A476" s="198"/>
      <c r="B476" s="208" t="str">
        <f>vlookup(A476,Price!A:B,2,false)</f>
        <v>#N/A</v>
      </c>
      <c r="C476" s="198"/>
      <c r="D476" s="198"/>
      <c r="E476" s="198"/>
      <c r="F476" s="198"/>
      <c r="G476" s="198"/>
      <c r="H476" s="198"/>
      <c r="I476" s="198"/>
      <c r="J476" s="198"/>
      <c r="K476" s="198"/>
      <c r="L476" s="198"/>
    </row>
    <row r="477">
      <c r="A477" s="198"/>
      <c r="B477" s="208" t="str">
        <f>vlookup(A477,Price!A:B,2,false)</f>
        <v>#N/A</v>
      </c>
      <c r="C477" s="198"/>
      <c r="D477" s="198"/>
      <c r="E477" s="198"/>
      <c r="F477" s="198"/>
      <c r="G477" s="198"/>
      <c r="H477" s="198"/>
      <c r="I477" s="198"/>
      <c r="J477" s="198"/>
      <c r="K477" s="198"/>
      <c r="L477" s="198"/>
    </row>
    <row r="478">
      <c r="A478" s="198"/>
      <c r="B478" s="208" t="str">
        <f>vlookup(A478,Price!A:B,2,false)</f>
        <v>#N/A</v>
      </c>
      <c r="C478" s="198"/>
      <c r="D478" s="198"/>
      <c r="E478" s="198"/>
      <c r="F478" s="198"/>
      <c r="G478" s="198"/>
      <c r="H478" s="198"/>
      <c r="I478" s="198"/>
      <c r="J478" s="198"/>
      <c r="K478" s="198"/>
      <c r="L478" s="198"/>
    </row>
    <row r="479">
      <c r="A479" s="198"/>
      <c r="B479" s="208" t="str">
        <f>vlookup(A479,Price!A:B,2,false)</f>
        <v>#N/A</v>
      </c>
      <c r="C479" s="198"/>
      <c r="D479" s="198"/>
      <c r="E479" s="198"/>
      <c r="F479" s="198"/>
      <c r="G479" s="198"/>
      <c r="H479" s="198"/>
      <c r="I479" s="198"/>
      <c r="J479" s="198"/>
      <c r="K479" s="198"/>
      <c r="L479" s="198"/>
    </row>
    <row r="480">
      <c r="A480" s="198"/>
      <c r="B480" s="208" t="str">
        <f>vlookup(A480,Price!A:B,2,false)</f>
        <v>#N/A</v>
      </c>
      <c r="C480" s="198"/>
      <c r="D480" s="198"/>
      <c r="E480" s="198"/>
      <c r="F480" s="198"/>
      <c r="G480" s="198"/>
      <c r="H480" s="198"/>
      <c r="I480" s="198"/>
      <c r="J480" s="198"/>
      <c r="K480" s="198"/>
      <c r="L480" s="198"/>
    </row>
    <row r="481">
      <c r="A481" s="198"/>
      <c r="B481" s="208" t="str">
        <f>vlookup(A481,Price!A:B,2,false)</f>
        <v>#N/A</v>
      </c>
      <c r="C481" s="198"/>
      <c r="D481" s="198"/>
      <c r="E481" s="198"/>
      <c r="F481" s="198"/>
      <c r="G481" s="198"/>
      <c r="H481" s="198"/>
      <c r="I481" s="198"/>
      <c r="J481" s="198"/>
      <c r="K481" s="198"/>
      <c r="L481" s="198"/>
    </row>
    <row r="482">
      <c r="A482" s="198"/>
      <c r="B482" s="208" t="str">
        <f>vlookup(A482,Price!A:B,2,false)</f>
        <v>#N/A</v>
      </c>
      <c r="C482" s="198"/>
      <c r="D482" s="198"/>
      <c r="E482" s="198"/>
      <c r="F482" s="198"/>
      <c r="G482" s="198"/>
      <c r="H482" s="198"/>
      <c r="I482" s="198"/>
      <c r="J482" s="198"/>
      <c r="K482" s="198"/>
      <c r="L482" s="198"/>
    </row>
    <row r="483">
      <c r="A483" s="198"/>
      <c r="B483" s="208" t="str">
        <f>vlookup(A483,Price!A:B,2,false)</f>
        <v>#N/A</v>
      </c>
      <c r="C483" s="198"/>
      <c r="D483" s="198"/>
      <c r="E483" s="198"/>
      <c r="F483" s="198"/>
      <c r="G483" s="198"/>
      <c r="H483" s="198"/>
      <c r="I483" s="198"/>
      <c r="J483" s="198"/>
      <c r="K483" s="198"/>
      <c r="L483" s="198"/>
    </row>
    <row r="484">
      <c r="A484" s="198"/>
      <c r="B484" s="208" t="str">
        <f>vlookup(A484,Price!A:B,2,false)</f>
        <v>#N/A</v>
      </c>
      <c r="C484" s="198"/>
      <c r="D484" s="198"/>
      <c r="E484" s="198"/>
      <c r="F484" s="198"/>
      <c r="G484" s="198"/>
      <c r="H484" s="198"/>
      <c r="I484" s="198"/>
      <c r="J484" s="198"/>
      <c r="K484" s="198"/>
      <c r="L484" s="198"/>
    </row>
    <row r="485">
      <c r="A485" s="198"/>
      <c r="B485" s="208" t="str">
        <f>vlookup(A485,Price!A:B,2,false)</f>
        <v>#N/A</v>
      </c>
      <c r="C485" s="198"/>
      <c r="D485" s="198"/>
      <c r="E485" s="198"/>
      <c r="F485" s="198"/>
      <c r="G485" s="198"/>
      <c r="H485" s="198"/>
      <c r="I485" s="198"/>
      <c r="J485" s="198"/>
      <c r="K485" s="198"/>
      <c r="L485" s="198"/>
    </row>
    <row r="486">
      <c r="A486" s="198"/>
      <c r="B486" s="208" t="str">
        <f>vlookup(A486,Price!A:B,2,false)</f>
        <v>#N/A</v>
      </c>
      <c r="C486" s="198"/>
      <c r="D486" s="198"/>
      <c r="E486" s="198"/>
      <c r="F486" s="198"/>
      <c r="G486" s="198"/>
      <c r="H486" s="198"/>
      <c r="I486" s="198"/>
      <c r="J486" s="198"/>
      <c r="K486" s="198"/>
      <c r="L486" s="198"/>
    </row>
    <row r="487">
      <c r="A487" s="198"/>
      <c r="B487" s="208" t="str">
        <f>vlookup(A487,Price!A:B,2,false)</f>
        <v>#N/A</v>
      </c>
      <c r="C487" s="198"/>
      <c r="D487" s="198"/>
      <c r="E487" s="198"/>
      <c r="F487" s="198"/>
      <c r="G487" s="198"/>
      <c r="H487" s="198"/>
      <c r="I487" s="198"/>
      <c r="J487" s="198"/>
      <c r="K487" s="198"/>
      <c r="L487" s="198"/>
    </row>
    <row r="488">
      <c r="A488" s="198"/>
      <c r="B488" s="208" t="str">
        <f>vlookup(A488,Price!A:B,2,false)</f>
        <v>#N/A</v>
      </c>
      <c r="C488" s="198"/>
      <c r="D488" s="198"/>
      <c r="E488" s="198"/>
      <c r="F488" s="198"/>
      <c r="G488" s="198"/>
      <c r="H488" s="198"/>
      <c r="I488" s="198"/>
      <c r="J488" s="198"/>
      <c r="K488" s="198"/>
      <c r="L488" s="198"/>
    </row>
    <row r="489">
      <c r="A489" s="198"/>
      <c r="B489" s="208" t="str">
        <f>vlookup(A489,Price!A:B,2,false)</f>
        <v>#N/A</v>
      </c>
      <c r="C489" s="198"/>
      <c r="D489" s="198"/>
      <c r="E489" s="198"/>
      <c r="F489" s="198"/>
      <c r="G489" s="198"/>
      <c r="H489" s="198"/>
      <c r="I489" s="198"/>
      <c r="J489" s="198"/>
      <c r="K489" s="198"/>
      <c r="L489" s="198"/>
    </row>
    <row r="490">
      <c r="A490" s="198"/>
      <c r="B490" s="208" t="str">
        <f>vlookup(A490,Price!A:B,2,false)</f>
        <v>#N/A</v>
      </c>
      <c r="C490" s="198"/>
      <c r="D490" s="198"/>
      <c r="E490" s="198"/>
      <c r="F490" s="198"/>
      <c r="G490" s="198"/>
      <c r="H490" s="198"/>
      <c r="I490" s="198"/>
      <c r="J490" s="198"/>
      <c r="K490" s="198"/>
      <c r="L490" s="198"/>
    </row>
    <row r="491">
      <c r="A491" s="198"/>
      <c r="B491" s="208" t="str">
        <f>vlookup(A491,Price!A:B,2,false)</f>
        <v>#N/A</v>
      </c>
      <c r="C491" s="198"/>
      <c r="D491" s="198"/>
      <c r="E491" s="198"/>
      <c r="F491" s="198"/>
      <c r="G491" s="198"/>
      <c r="H491" s="198"/>
      <c r="I491" s="198"/>
      <c r="J491" s="198"/>
      <c r="K491" s="198"/>
      <c r="L491" s="198"/>
    </row>
    <row r="492">
      <c r="A492" s="198"/>
      <c r="B492" s="208" t="str">
        <f>vlookup(A492,Price!A:B,2,false)</f>
        <v>#N/A</v>
      </c>
      <c r="C492" s="198"/>
      <c r="D492" s="198"/>
      <c r="E492" s="198"/>
      <c r="F492" s="198"/>
      <c r="G492" s="198"/>
      <c r="H492" s="198"/>
      <c r="I492" s="198"/>
      <c r="J492" s="198"/>
      <c r="K492" s="198"/>
      <c r="L492" s="198"/>
    </row>
    <row r="493">
      <c r="A493" s="198"/>
      <c r="B493" s="208" t="str">
        <f>vlookup(A493,Price!A:B,2,false)</f>
        <v>#N/A</v>
      </c>
      <c r="C493" s="198"/>
      <c r="D493" s="198"/>
      <c r="E493" s="198"/>
      <c r="F493" s="198"/>
      <c r="G493" s="198"/>
      <c r="H493" s="198"/>
      <c r="I493" s="198"/>
      <c r="J493" s="198"/>
      <c r="K493" s="198"/>
      <c r="L493" s="198"/>
    </row>
    <row r="494">
      <c r="A494" s="198"/>
      <c r="B494" s="208" t="str">
        <f>vlookup(A494,Price!A:B,2,false)</f>
        <v>#N/A</v>
      </c>
      <c r="C494" s="198"/>
      <c r="D494" s="198"/>
      <c r="E494" s="198"/>
      <c r="F494" s="198"/>
      <c r="G494" s="198"/>
      <c r="H494" s="198"/>
      <c r="I494" s="198"/>
      <c r="J494" s="198"/>
      <c r="K494" s="198"/>
      <c r="L494" s="198"/>
    </row>
    <row r="495">
      <c r="A495" s="198"/>
      <c r="B495" s="208" t="str">
        <f>vlookup(A495,Price!A:B,2,false)</f>
        <v>#N/A</v>
      </c>
      <c r="C495" s="198"/>
      <c r="D495" s="198"/>
      <c r="E495" s="198"/>
      <c r="F495" s="198"/>
      <c r="G495" s="198"/>
      <c r="H495" s="198"/>
      <c r="I495" s="198"/>
      <c r="J495" s="198"/>
      <c r="K495" s="198"/>
      <c r="L495" s="198"/>
    </row>
    <row r="496">
      <c r="A496" s="198"/>
      <c r="B496" s="208" t="str">
        <f>vlookup(A496,Price!A:B,2,false)</f>
        <v>#N/A</v>
      </c>
      <c r="C496" s="198"/>
      <c r="D496" s="198"/>
      <c r="E496" s="198"/>
      <c r="F496" s="198"/>
      <c r="G496" s="198"/>
      <c r="H496" s="198"/>
      <c r="I496" s="198"/>
      <c r="J496" s="198"/>
      <c r="K496" s="198"/>
      <c r="L496" s="198"/>
    </row>
    <row r="497">
      <c r="A497" s="198"/>
      <c r="B497" s="208" t="str">
        <f>vlookup(A497,Price!A:B,2,false)</f>
        <v>#N/A</v>
      </c>
      <c r="C497" s="198"/>
      <c r="D497" s="198"/>
      <c r="E497" s="198"/>
      <c r="F497" s="198"/>
      <c r="G497" s="198"/>
      <c r="H497" s="198"/>
      <c r="I497" s="198"/>
      <c r="J497" s="198"/>
      <c r="K497" s="198"/>
      <c r="L497" s="198"/>
    </row>
    <row r="498">
      <c r="A498" s="198"/>
      <c r="B498" s="208" t="str">
        <f>vlookup(A498,Price!A:B,2,false)</f>
        <v>#N/A</v>
      </c>
      <c r="C498" s="198"/>
      <c r="D498" s="198"/>
      <c r="E498" s="198"/>
      <c r="F498" s="198"/>
      <c r="G498" s="198"/>
      <c r="H498" s="198"/>
      <c r="I498" s="198"/>
      <c r="J498" s="198"/>
      <c r="K498" s="198"/>
      <c r="L498" s="198"/>
    </row>
    <row r="499">
      <c r="A499" s="198"/>
      <c r="B499" s="208" t="str">
        <f>vlookup(A499,Price!A:B,2,false)</f>
        <v>#N/A</v>
      </c>
      <c r="C499" s="198"/>
      <c r="D499" s="198"/>
      <c r="E499" s="198"/>
      <c r="F499" s="198"/>
      <c r="G499" s="198"/>
      <c r="H499" s="198"/>
      <c r="I499" s="198"/>
      <c r="J499" s="198"/>
      <c r="K499" s="198"/>
      <c r="L499" s="198"/>
    </row>
    <row r="500">
      <c r="A500" s="198"/>
      <c r="B500" s="208" t="str">
        <f>vlookup(A500,Price!A:B,2,false)</f>
        <v>#N/A</v>
      </c>
      <c r="C500" s="198"/>
      <c r="D500" s="198"/>
      <c r="E500" s="198"/>
      <c r="F500" s="198"/>
      <c r="G500" s="198"/>
      <c r="H500" s="198"/>
      <c r="I500" s="198"/>
      <c r="J500" s="198"/>
      <c r="K500" s="198"/>
      <c r="L500" s="198"/>
    </row>
    <row r="501">
      <c r="A501" s="198"/>
      <c r="B501" s="208" t="str">
        <f>vlookup(A501,Price!A:B,2,false)</f>
        <v>#N/A</v>
      </c>
      <c r="C501" s="198"/>
      <c r="D501" s="198"/>
      <c r="E501" s="198"/>
      <c r="F501" s="198"/>
      <c r="G501" s="198"/>
      <c r="H501" s="198"/>
      <c r="I501" s="198"/>
      <c r="J501" s="198"/>
      <c r="K501" s="198"/>
      <c r="L501" s="198"/>
    </row>
    <row r="502">
      <c r="A502" s="198"/>
      <c r="B502" s="208" t="str">
        <f>vlookup(A502,Price!A:B,2,false)</f>
        <v>#N/A</v>
      </c>
      <c r="C502" s="198"/>
      <c r="D502" s="198"/>
      <c r="E502" s="198"/>
      <c r="F502" s="198"/>
      <c r="G502" s="198"/>
      <c r="H502" s="198"/>
      <c r="I502" s="198"/>
      <c r="J502" s="198"/>
      <c r="K502" s="198"/>
      <c r="L502" s="198"/>
    </row>
    <row r="503">
      <c r="A503" s="198"/>
      <c r="B503" s="208" t="str">
        <f>vlookup(A503,Price!A:B,2,false)</f>
        <v>#N/A</v>
      </c>
      <c r="C503" s="198"/>
      <c r="D503" s="198"/>
      <c r="E503" s="198"/>
      <c r="F503" s="198"/>
      <c r="G503" s="198"/>
      <c r="H503" s="198"/>
      <c r="I503" s="198"/>
      <c r="J503" s="198"/>
      <c r="K503" s="198"/>
      <c r="L503" s="198"/>
    </row>
    <row r="504">
      <c r="A504" s="198"/>
      <c r="B504" s="208" t="str">
        <f>vlookup(A504,Price!A:B,2,false)</f>
        <v>#N/A</v>
      </c>
      <c r="C504" s="198"/>
      <c r="D504" s="198"/>
      <c r="E504" s="198"/>
      <c r="F504" s="198"/>
      <c r="G504" s="198"/>
      <c r="H504" s="198"/>
      <c r="I504" s="198"/>
      <c r="J504" s="198"/>
      <c r="K504" s="198"/>
      <c r="L504" s="198"/>
    </row>
    <row r="505">
      <c r="A505" s="198"/>
      <c r="B505" s="208" t="str">
        <f>vlookup(A505,Price!A:B,2,false)</f>
        <v>#N/A</v>
      </c>
      <c r="C505" s="198"/>
      <c r="D505" s="198"/>
      <c r="E505" s="198"/>
      <c r="F505" s="198"/>
      <c r="G505" s="198"/>
      <c r="H505" s="198"/>
      <c r="I505" s="198"/>
      <c r="J505" s="198"/>
      <c r="K505" s="198"/>
      <c r="L505" s="198"/>
    </row>
    <row r="506">
      <c r="A506" s="198"/>
      <c r="B506" s="208" t="str">
        <f>vlookup(A506,Price!A:B,2,false)</f>
        <v>#N/A</v>
      </c>
      <c r="C506" s="198"/>
      <c r="D506" s="198"/>
      <c r="E506" s="198"/>
      <c r="F506" s="198"/>
      <c r="G506" s="198"/>
      <c r="H506" s="198"/>
      <c r="I506" s="198"/>
      <c r="J506" s="198"/>
      <c r="K506" s="198"/>
      <c r="L506" s="198"/>
    </row>
    <row r="507">
      <c r="A507" s="198"/>
      <c r="B507" s="208" t="str">
        <f>vlookup(A507,Price!A:B,2,false)</f>
        <v>#N/A</v>
      </c>
      <c r="C507" s="198"/>
      <c r="D507" s="198"/>
      <c r="E507" s="198"/>
      <c r="F507" s="198"/>
      <c r="G507" s="198"/>
      <c r="H507" s="198"/>
      <c r="I507" s="198"/>
      <c r="J507" s="198"/>
      <c r="K507" s="198"/>
      <c r="L507" s="198"/>
    </row>
    <row r="508">
      <c r="A508" s="198"/>
      <c r="B508" s="208" t="str">
        <f>vlookup(A508,Price!A:B,2,false)</f>
        <v>#N/A</v>
      </c>
      <c r="C508" s="198"/>
      <c r="D508" s="198"/>
      <c r="E508" s="198"/>
      <c r="F508" s="198"/>
      <c r="G508" s="198"/>
      <c r="H508" s="198"/>
      <c r="I508" s="198"/>
      <c r="J508" s="198"/>
      <c r="K508" s="198"/>
      <c r="L508" s="198"/>
    </row>
    <row r="509">
      <c r="A509" s="198"/>
      <c r="B509" s="208" t="str">
        <f>vlookup(A509,Price!A:B,2,false)</f>
        <v>#N/A</v>
      </c>
      <c r="C509" s="198"/>
      <c r="D509" s="198"/>
      <c r="E509" s="198"/>
      <c r="F509" s="198"/>
      <c r="G509" s="198"/>
      <c r="H509" s="198"/>
      <c r="I509" s="198"/>
      <c r="J509" s="198"/>
      <c r="K509" s="198"/>
      <c r="L509" s="198"/>
    </row>
    <row r="510">
      <c r="A510" s="198"/>
      <c r="B510" s="208" t="str">
        <f>vlookup(A510,Price!A:B,2,false)</f>
        <v>#N/A</v>
      </c>
      <c r="C510" s="198"/>
      <c r="D510" s="198"/>
      <c r="E510" s="198"/>
      <c r="F510" s="198"/>
      <c r="G510" s="198"/>
      <c r="H510" s="198"/>
      <c r="I510" s="198"/>
      <c r="J510" s="198"/>
      <c r="K510" s="198"/>
      <c r="L510" s="198"/>
    </row>
    <row r="511">
      <c r="A511" s="198"/>
      <c r="B511" s="208" t="str">
        <f>vlookup(A511,Price!A:B,2,false)</f>
        <v>#N/A</v>
      </c>
      <c r="C511" s="198"/>
      <c r="D511" s="198"/>
      <c r="E511" s="198"/>
      <c r="F511" s="198"/>
      <c r="G511" s="198"/>
      <c r="H511" s="198"/>
      <c r="I511" s="198"/>
      <c r="J511" s="198"/>
      <c r="K511" s="198"/>
      <c r="L511" s="198"/>
    </row>
    <row r="512">
      <c r="A512" s="198"/>
      <c r="B512" s="208" t="str">
        <f>vlookup(A512,Price!A:B,2,false)</f>
        <v>#N/A</v>
      </c>
      <c r="C512" s="198"/>
      <c r="D512" s="198"/>
      <c r="E512" s="198"/>
      <c r="F512" s="198"/>
      <c r="G512" s="198"/>
      <c r="H512" s="198"/>
      <c r="I512" s="198"/>
      <c r="J512" s="198"/>
      <c r="K512" s="198"/>
      <c r="L512" s="198"/>
    </row>
    <row r="513">
      <c r="A513" s="198"/>
      <c r="B513" s="208" t="str">
        <f>vlookup(A513,Price!A:B,2,false)</f>
        <v>#N/A</v>
      </c>
      <c r="C513" s="198"/>
      <c r="D513" s="198"/>
      <c r="E513" s="198"/>
      <c r="F513" s="198"/>
      <c r="G513" s="198"/>
      <c r="H513" s="198"/>
      <c r="I513" s="198"/>
      <c r="J513" s="198"/>
      <c r="K513" s="198"/>
      <c r="L513" s="198"/>
    </row>
    <row r="514">
      <c r="A514" s="198"/>
      <c r="B514" s="208" t="str">
        <f>vlookup(A514,Price!A:B,2,false)</f>
        <v>#N/A</v>
      </c>
      <c r="C514" s="198"/>
      <c r="D514" s="198"/>
      <c r="E514" s="198"/>
      <c r="F514" s="198"/>
      <c r="G514" s="198"/>
      <c r="H514" s="198"/>
      <c r="I514" s="198"/>
      <c r="J514" s="198"/>
      <c r="K514" s="198"/>
      <c r="L514" s="198"/>
    </row>
    <row r="515">
      <c r="A515" s="198"/>
      <c r="B515" s="208" t="str">
        <f>vlookup(A515,Price!A:B,2,false)</f>
        <v>#N/A</v>
      </c>
      <c r="C515" s="198"/>
      <c r="D515" s="198"/>
      <c r="E515" s="198"/>
      <c r="F515" s="198"/>
      <c r="G515" s="198"/>
      <c r="H515" s="198"/>
      <c r="I515" s="198"/>
      <c r="J515" s="198"/>
      <c r="K515" s="198"/>
      <c r="L515" s="198"/>
    </row>
    <row r="516">
      <c r="A516" s="198"/>
      <c r="B516" s="208" t="str">
        <f>vlookup(A516,Price!A:B,2,false)</f>
        <v>#N/A</v>
      </c>
      <c r="C516" s="198"/>
      <c r="D516" s="198"/>
      <c r="E516" s="198"/>
      <c r="F516" s="198"/>
      <c r="G516" s="198"/>
      <c r="H516" s="198"/>
      <c r="I516" s="198"/>
      <c r="J516" s="198"/>
      <c r="K516" s="198"/>
      <c r="L516" s="198"/>
    </row>
    <row r="517">
      <c r="A517" s="198"/>
      <c r="B517" s="208" t="str">
        <f>vlookup(A517,Price!A:B,2,false)</f>
        <v>#N/A</v>
      </c>
      <c r="C517" s="198"/>
      <c r="D517" s="198"/>
      <c r="E517" s="198"/>
      <c r="F517" s="198"/>
      <c r="G517" s="198"/>
      <c r="H517" s="198"/>
      <c r="I517" s="198"/>
      <c r="J517" s="198"/>
      <c r="K517" s="198"/>
      <c r="L517" s="198"/>
    </row>
    <row r="518">
      <c r="A518" s="198"/>
      <c r="B518" s="208" t="str">
        <f>vlookup(A518,Price!A:B,2,false)</f>
        <v>#N/A</v>
      </c>
      <c r="C518" s="198"/>
      <c r="D518" s="198"/>
      <c r="E518" s="198"/>
      <c r="F518" s="198"/>
      <c r="G518" s="198"/>
      <c r="H518" s="198"/>
      <c r="I518" s="198"/>
      <c r="J518" s="198"/>
      <c r="K518" s="198"/>
      <c r="L518" s="198"/>
    </row>
    <row r="519">
      <c r="A519" s="198"/>
      <c r="B519" s="208" t="str">
        <f>vlookup(A519,Price!A:B,2,false)</f>
        <v>#N/A</v>
      </c>
      <c r="C519" s="198"/>
      <c r="D519" s="198"/>
      <c r="E519" s="198"/>
      <c r="F519" s="198"/>
      <c r="G519" s="198"/>
      <c r="H519" s="198"/>
      <c r="I519" s="198"/>
      <c r="J519" s="198"/>
      <c r="K519" s="198"/>
      <c r="L519" s="198"/>
    </row>
    <row r="520">
      <c r="A520" s="198"/>
      <c r="B520" s="208" t="str">
        <f>vlookup(A520,Price!A:B,2,false)</f>
        <v>#N/A</v>
      </c>
      <c r="C520" s="198"/>
      <c r="D520" s="198"/>
      <c r="E520" s="198"/>
      <c r="F520" s="198"/>
      <c r="G520" s="198"/>
      <c r="H520" s="198"/>
      <c r="I520" s="198"/>
      <c r="J520" s="198"/>
      <c r="K520" s="198"/>
      <c r="L520" s="198"/>
    </row>
    <row r="521">
      <c r="A521" s="198"/>
      <c r="B521" s="208" t="str">
        <f>vlookup(A521,Price!A:B,2,false)</f>
        <v>#N/A</v>
      </c>
      <c r="C521" s="198"/>
      <c r="D521" s="198"/>
      <c r="E521" s="198"/>
      <c r="F521" s="198"/>
      <c r="G521" s="198"/>
      <c r="H521" s="198"/>
      <c r="I521" s="198"/>
      <c r="J521" s="198"/>
      <c r="K521" s="198"/>
      <c r="L521" s="198"/>
    </row>
    <row r="522">
      <c r="A522" s="198"/>
      <c r="B522" s="208" t="str">
        <f>vlookup(A522,Price!A:B,2,false)</f>
        <v>#N/A</v>
      </c>
      <c r="C522" s="198"/>
      <c r="D522" s="198"/>
      <c r="E522" s="198"/>
      <c r="F522" s="198"/>
      <c r="G522" s="198"/>
      <c r="H522" s="198"/>
      <c r="I522" s="198"/>
      <c r="J522" s="198"/>
      <c r="K522" s="198"/>
      <c r="L522" s="198"/>
    </row>
    <row r="523">
      <c r="A523" s="198"/>
      <c r="B523" s="208" t="str">
        <f>vlookup(A523,Price!A:B,2,false)</f>
        <v>#N/A</v>
      </c>
      <c r="C523" s="198"/>
      <c r="D523" s="198"/>
      <c r="E523" s="198"/>
      <c r="F523" s="198"/>
      <c r="G523" s="198"/>
      <c r="H523" s="198"/>
      <c r="I523" s="198"/>
      <c r="J523" s="198"/>
      <c r="K523" s="198"/>
      <c r="L523" s="198"/>
    </row>
    <row r="524">
      <c r="A524" s="198"/>
      <c r="B524" s="208" t="str">
        <f>vlookup(A524,Price!A:B,2,false)</f>
        <v>#N/A</v>
      </c>
      <c r="C524" s="198"/>
      <c r="D524" s="198"/>
      <c r="E524" s="198"/>
      <c r="F524" s="198"/>
      <c r="G524" s="198"/>
      <c r="H524" s="198"/>
      <c r="I524" s="198"/>
      <c r="J524" s="198"/>
      <c r="K524" s="198"/>
      <c r="L524" s="198"/>
    </row>
    <row r="525">
      <c r="A525" s="198"/>
      <c r="B525" s="208" t="str">
        <f>vlookup(A525,Price!A:B,2,false)</f>
        <v>#N/A</v>
      </c>
      <c r="C525" s="198"/>
      <c r="D525" s="198"/>
      <c r="E525" s="198"/>
      <c r="F525" s="198"/>
      <c r="G525" s="198"/>
      <c r="H525" s="198"/>
      <c r="I525" s="198"/>
      <c r="J525" s="198"/>
      <c r="K525" s="198"/>
      <c r="L525" s="198"/>
    </row>
    <row r="526">
      <c r="A526" s="198"/>
      <c r="B526" s="208" t="str">
        <f>vlookup(A526,Price!A:B,2,false)</f>
        <v>#N/A</v>
      </c>
      <c r="C526" s="198"/>
      <c r="D526" s="198"/>
      <c r="E526" s="198"/>
      <c r="F526" s="198"/>
      <c r="G526" s="198"/>
      <c r="H526" s="198"/>
      <c r="I526" s="198"/>
      <c r="J526" s="198"/>
      <c r="K526" s="198"/>
      <c r="L526" s="198"/>
    </row>
    <row r="527">
      <c r="A527" s="198"/>
      <c r="B527" s="208" t="str">
        <f>vlookup(A527,Price!A:B,2,false)</f>
        <v>#N/A</v>
      </c>
      <c r="C527" s="198"/>
      <c r="D527" s="198"/>
      <c r="E527" s="198"/>
      <c r="F527" s="198"/>
      <c r="G527" s="198"/>
      <c r="H527" s="198"/>
      <c r="I527" s="198"/>
      <c r="J527" s="198"/>
      <c r="K527" s="198"/>
      <c r="L527" s="198"/>
    </row>
    <row r="528">
      <c r="A528" s="198"/>
      <c r="B528" s="208" t="str">
        <f>vlookup(A528,Price!A:B,2,false)</f>
        <v>#N/A</v>
      </c>
      <c r="C528" s="198"/>
      <c r="D528" s="198"/>
      <c r="E528" s="198"/>
      <c r="F528" s="198"/>
      <c r="G528" s="198"/>
      <c r="H528" s="198"/>
      <c r="I528" s="198"/>
      <c r="J528" s="198"/>
      <c r="K528" s="198"/>
      <c r="L528" s="198"/>
    </row>
    <row r="529">
      <c r="A529" s="198"/>
      <c r="B529" s="208" t="str">
        <f>vlookup(A529,Price!A:B,2,false)</f>
        <v>#N/A</v>
      </c>
      <c r="C529" s="198"/>
      <c r="D529" s="198"/>
      <c r="E529" s="198"/>
      <c r="F529" s="198"/>
      <c r="G529" s="198"/>
      <c r="H529" s="198"/>
      <c r="I529" s="198"/>
      <c r="J529" s="198"/>
      <c r="K529" s="198"/>
      <c r="L529" s="198"/>
    </row>
    <row r="530">
      <c r="A530" s="198"/>
      <c r="B530" s="208" t="str">
        <f>vlookup(A530,Price!A:B,2,false)</f>
        <v>#N/A</v>
      </c>
      <c r="C530" s="198"/>
      <c r="D530" s="198"/>
      <c r="E530" s="198"/>
      <c r="F530" s="198"/>
      <c r="G530" s="198"/>
      <c r="H530" s="198"/>
      <c r="I530" s="198"/>
      <c r="J530" s="198"/>
      <c r="K530" s="198"/>
      <c r="L530" s="198"/>
    </row>
    <row r="531">
      <c r="A531" s="198"/>
      <c r="B531" s="208" t="str">
        <f>vlookup(A531,Price!A:B,2,false)</f>
        <v>#N/A</v>
      </c>
      <c r="C531" s="198"/>
      <c r="D531" s="198"/>
      <c r="E531" s="198"/>
      <c r="F531" s="198"/>
      <c r="G531" s="198"/>
      <c r="H531" s="198"/>
      <c r="I531" s="198"/>
      <c r="J531" s="198"/>
      <c r="K531" s="198"/>
      <c r="L531" s="198"/>
    </row>
    <row r="532">
      <c r="A532" s="198"/>
      <c r="B532" s="208" t="str">
        <f>vlookup(A532,Price!A:B,2,false)</f>
        <v>#N/A</v>
      </c>
      <c r="C532" s="198"/>
      <c r="D532" s="198"/>
      <c r="E532" s="198"/>
      <c r="F532" s="198"/>
      <c r="G532" s="198"/>
      <c r="H532" s="198"/>
      <c r="I532" s="198"/>
      <c r="J532" s="198"/>
      <c r="K532" s="198"/>
      <c r="L532" s="198"/>
    </row>
    <row r="533">
      <c r="A533" s="198"/>
      <c r="B533" s="208" t="str">
        <f>vlookup(A533,Price!A:B,2,false)</f>
        <v>#N/A</v>
      </c>
      <c r="C533" s="198"/>
      <c r="D533" s="198"/>
      <c r="E533" s="198"/>
      <c r="F533" s="198"/>
      <c r="G533" s="198"/>
      <c r="H533" s="198"/>
      <c r="I533" s="198"/>
      <c r="J533" s="198"/>
      <c r="K533" s="198"/>
      <c r="L533" s="198"/>
    </row>
    <row r="534">
      <c r="A534" s="198"/>
      <c r="B534" s="208" t="str">
        <f>vlookup(A534,Price!A:B,2,false)</f>
        <v>#N/A</v>
      </c>
      <c r="C534" s="198"/>
      <c r="D534" s="198"/>
      <c r="E534" s="198"/>
      <c r="F534" s="198"/>
      <c r="G534" s="198"/>
      <c r="H534" s="198"/>
      <c r="I534" s="198"/>
      <c r="J534" s="198"/>
      <c r="K534" s="198"/>
      <c r="L534" s="198"/>
    </row>
    <row r="535">
      <c r="A535" s="198"/>
      <c r="B535" s="208" t="str">
        <f>vlookup(A535,Price!A:B,2,false)</f>
        <v>#N/A</v>
      </c>
      <c r="C535" s="198"/>
      <c r="D535" s="198"/>
      <c r="E535" s="198"/>
      <c r="F535" s="198"/>
      <c r="G535" s="198"/>
      <c r="H535" s="198"/>
      <c r="I535" s="198"/>
      <c r="J535" s="198"/>
      <c r="K535" s="198"/>
      <c r="L535" s="198"/>
    </row>
    <row r="536">
      <c r="A536" s="198"/>
      <c r="B536" s="208" t="str">
        <f>vlookup(A536,Price!A:B,2,false)</f>
        <v>#N/A</v>
      </c>
      <c r="C536" s="198"/>
      <c r="D536" s="198"/>
      <c r="E536" s="198"/>
      <c r="F536" s="198"/>
      <c r="G536" s="198"/>
      <c r="H536" s="198"/>
      <c r="I536" s="198"/>
      <c r="J536" s="198"/>
      <c r="K536" s="198"/>
      <c r="L536" s="198"/>
    </row>
    <row r="537">
      <c r="A537" s="198"/>
      <c r="B537" s="208" t="str">
        <f>vlookup(A537,Price!A:B,2,false)</f>
        <v>#N/A</v>
      </c>
      <c r="C537" s="198"/>
      <c r="D537" s="198"/>
      <c r="E537" s="198"/>
      <c r="F537" s="198"/>
      <c r="G537" s="198"/>
      <c r="H537" s="198"/>
      <c r="I537" s="198"/>
      <c r="J537" s="198"/>
      <c r="K537" s="198"/>
      <c r="L537" s="198"/>
    </row>
    <row r="538">
      <c r="A538" s="198"/>
      <c r="B538" s="208" t="str">
        <f>vlookup(A538,Price!A:B,2,false)</f>
        <v>#N/A</v>
      </c>
      <c r="C538" s="198"/>
      <c r="D538" s="198"/>
      <c r="E538" s="198"/>
      <c r="F538" s="198"/>
      <c r="G538" s="198"/>
      <c r="H538" s="198"/>
      <c r="I538" s="198"/>
      <c r="J538" s="198"/>
      <c r="K538" s="198"/>
      <c r="L538" s="198"/>
    </row>
    <row r="539">
      <c r="A539" s="198"/>
      <c r="B539" s="208" t="str">
        <f>vlookup(A539,Price!A:B,2,false)</f>
        <v>#N/A</v>
      </c>
      <c r="C539" s="198"/>
      <c r="D539" s="198"/>
      <c r="E539" s="198"/>
      <c r="F539" s="198"/>
      <c r="G539" s="198"/>
      <c r="H539" s="198"/>
      <c r="I539" s="198"/>
      <c r="J539" s="198"/>
      <c r="K539" s="198"/>
      <c r="L539" s="198"/>
    </row>
    <row r="540">
      <c r="A540" s="198"/>
      <c r="B540" s="208" t="str">
        <f>vlookup(A540,Price!A:B,2,false)</f>
        <v>#N/A</v>
      </c>
      <c r="C540" s="198"/>
      <c r="D540" s="198"/>
      <c r="E540" s="198"/>
      <c r="F540" s="198"/>
      <c r="G540" s="198"/>
      <c r="H540" s="198"/>
      <c r="I540" s="198"/>
      <c r="J540" s="198"/>
      <c r="K540" s="198"/>
      <c r="L540" s="198"/>
    </row>
    <row r="541">
      <c r="A541" s="198"/>
      <c r="B541" s="208" t="str">
        <f>vlookup(A541,Price!A:B,2,false)</f>
        <v>#N/A</v>
      </c>
      <c r="C541" s="198"/>
      <c r="D541" s="198"/>
      <c r="E541" s="198"/>
      <c r="F541" s="198"/>
      <c r="G541" s="198"/>
      <c r="H541" s="198"/>
      <c r="I541" s="198"/>
      <c r="J541" s="198"/>
      <c r="K541" s="198"/>
      <c r="L541" s="198"/>
    </row>
    <row r="542">
      <c r="A542" s="198"/>
      <c r="B542" s="208" t="str">
        <f>vlookup(A542,Price!A:B,2,false)</f>
        <v>#N/A</v>
      </c>
      <c r="C542" s="198"/>
      <c r="D542" s="198"/>
      <c r="E542" s="198"/>
      <c r="F542" s="198"/>
      <c r="G542" s="198"/>
      <c r="H542" s="198"/>
      <c r="I542" s="198"/>
      <c r="J542" s="198"/>
      <c r="K542" s="198"/>
      <c r="L542" s="198"/>
    </row>
    <row r="543">
      <c r="A543" s="198"/>
      <c r="B543" s="208" t="str">
        <f>vlookup(A543,Price!A:B,2,false)</f>
        <v>#N/A</v>
      </c>
      <c r="C543" s="198"/>
      <c r="D543" s="198"/>
      <c r="E543" s="198"/>
      <c r="F543" s="198"/>
      <c r="G543" s="198"/>
      <c r="H543" s="198"/>
      <c r="I543" s="198"/>
      <c r="J543" s="198"/>
      <c r="K543" s="198"/>
      <c r="L543" s="198"/>
    </row>
    <row r="544">
      <c r="A544" s="198"/>
      <c r="B544" s="208" t="str">
        <f>vlookup(A544,Price!A:B,2,false)</f>
        <v>#N/A</v>
      </c>
      <c r="C544" s="198"/>
      <c r="D544" s="198"/>
      <c r="E544" s="198"/>
      <c r="F544" s="198"/>
      <c r="G544" s="198"/>
      <c r="H544" s="198"/>
      <c r="I544" s="198"/>
      <c r="J544" s="198"/>
      <c r="K544" s="198"/>
      <c r="L544" s="198"/>
    </row>
    <row r="545">
      <c r="A545" s="198"/>
      <c r="B545" s="208" t="str">
        <f>vlookup(A545,Price!A:B,2,false)</f>
        <v>#N/A</v>
      </c>
      <c r="C545" s="198"/>
      <c r="D545" s="198"/>
      <c r="E545" s="198"/>
      <c r="F545" s="198"/>
      <c r="G545" s="198"/>
      <c r="H545" s="198"/>
      <c r="I545" s="198"/>
      <c r="J545" s="198"/>
      <c r="K545" s="198"/>
      <c r="L545" s="198"/>
    </row>
    <row r="546">
      <c r="A546" s="198"/>
      <c r="B546" s="208" t="str">
        <f>vlookup(A546,Price!A:B,2,false)</f>
        <v>#N/A</v>
      </c>
      <c r="C546" s="198"/>
      <c r="D546" s="198"/>
      <c r="E546" s="198"/>
      <c r="F546" s="198"/>
      <c r="G546" s="198"/>
      <c r="H546" s="198"/>
      <c r="I546" s="198"/>
      <c r="J546" s="198"/>
      <c r="K546" s="198"/>
      <c r="L546" s="198"/>
    </row>
    <row r="547">
      <c r="A547" s="198"/>
      <c r="B547" s="208" t="str">
        <f>vlookup(A547,Price!A:B,2,false)</f>
        <v>#N/A</v>
      </c>
      <c r="C547" s="198"/>
      <c r="D547" s="198"/>
      <c r="E547" s="198"/>
      <c r="F547" s="198"/>
      <c r="G547" s="198"/>
      <c r="H547" s="198"/>
      <c r="I547" s="198"/>
      <c r="J547" s="198"/>
      <c r="K547" s="198"/>
      <c r="L547" s="198"/>
    </row>
    <row r="548">
      <c r="A548" s="198"/>
      <c r="B548" s="208" t="str">
        <f>vlookup(A548,Price!A:B,2,false)</f>
        <v>#N/A</v>
      </c>
      <c r="C548" s="198"/>
      <c r="D548" s="198"/>
      <c r="E548" s="198"/>
      <c r="F548" s="198"/>
      <c r="G548" s="198"/>
      <c r="H548" s="198"/>
      <c r="I548" s="198"/>
      <c r="J548" s="198"/>
      <c r="K548" s="198"/>
      <c r="L548" s="198"/>
    </row>
    <row r="549">
      <c r="A549" s="198"/>
      <c r="B549" s="208" t="str">
        <f>vlookup(A549,Price!A:B,2,false)</f>
        <v>#N/A</v>
      </c>
      <c r="C549" s="198"/>
      <c r="D549" s="198"/>
      <c r="E549" s="198"/>
      <c r="F549" s="198"/>
      <c r="G549" s="198"/>
      <c r="H549" s="198"/>
      <c r="I549" s="198"/>
      <c r="J549" s="198"/>
      <c r="K549" s="198"/>
      <c r="L549" s="198"/>
    </row>
    <row r="550">
      <c r="A550" s="198"/>
      <c r="B550" s="208" t="str">
        <f>vlookup(A550,Price!A:B,2,false)</f>
        <v>#N/A</v>
      </c>
      <c r="C550" s="198"/>
      <c r="D550" s="198"/>
      <c r="E550" s="198"/>
      <c r="F550" s="198"/>
      <c r="G550" s="198"/>
      <c r="H550" s="198"/>
      <c r="I550" s="198"/>
      <c r="J550" s="198"/>
      <c r="K550" s="198"/>
      <c r="L550" s="198"/>
    </row>
    <row r="551">
      <c r="A551" s="198"/>
      <c r="B551" s="208" t="str">
        <f>vlookup(A551,Price!A:B,2,false)</f>
        <v>#N/A</v>
      </c>
      <c r="C551" s="198"/>
      <c r="D551" s="198"/>
      <c r="E551" s="198"/>
      <c r="F551" s="198"/>
      <c r="G551" s="198"/>
      <c r="H551" s="198"/>
      <c r="I551" s="198"/>
      <c r="J551" s="198"/>
      <c r="K551" s="198"/>
      <c r="L551" s="198"/>
    </row>
    <row r="552">
      <c r="A552" s="198"/>
      <c r="B552" s="208" t="str">
        <f>vlookup(A552,Price!A:B,2,false)</f>
        <v>#N/A</v>
      </c>
      <c r="C552" s="198"/>
      <c r="D552" s="198"/>
      <c r="E552" s="198"/>
      <c r="F552" s="198"/>
      <c r="G552" s="198"/>
      <c r="H552" s="198"/>
      <c r="I552" s="198"/>
      <c r="J552" s="198"/>
      <c r="K552" s="198"/>
      <c r="L552" s="198"/>
    </row>
    <row r="553">
      <c r="A553" s="198"/>
      <c r="B553" s="208" t="str">
        <f>vlookup(A553,Price!A:B,2,false)</f>
        <v>#N/A</v>
      </c>
      <c r="C553" s="198"/>
      <c r="D553" s="198"/>
      <c r="E553" s="198"/>
      <c r="F553" s="198"/>
      <c r="G553" s="198"/>
      <c r="H553" s="198"/>
      <c r="I553" s="198"/>
      <c r="J553" s="198"/>
      <c r="K553" s="198"/>
      <c r="L553" s="198"/>
    </row>
    <row r="554">
      <c r="A554" s="198"/>
      <c r="B554" s="208" t="str">
        <f>vlookup(A554,Price!A:B,2,false)</f>
        <v>#N/A</v>
      </c>
      <c r="C554" s="198"/>
      <c r="D554" s="198"/>
      <c r="E554" s="198"/>
      <c r="F554" s="198"/>
      <c r="G554" s="198"/>
      <c r="H554" s="198"/>
      <c r="I554" s="198"/>
      <c r="J554" s="198"/>
      <c r="K554" s="198"/>
      <c r="L554" s="198"/>
    </row>
    <row r="555">
      <c r="A555" s="198"/>
      <c r="B555" s="208" t="str">
        <f>vlookup(A555,Price!A:B,2,false)</f>
        <v>#N/A</v>
      </c>
      <c r="C555" s="198"/>
      <c r="D555" s="198"/>
      <c r="E555" s="198"/>
      <c r="F555" s="198"/>
      <c r="G555" s="198"/>
      <c r="H555" s="198"/>
      <c r="I555" s="198"/>
      <c r="J555" s="198"/>
      <c r="K555" s="198"/>
      <c r="L555" s="198"/>
    </row>
    <row r="556">
      <c r="A556" s="198"/>
      <c r="B556" s="208" t="str">
        <f>vlookup(A556,Price!A:B,2,false)</f>
        <v>#N/A</v>
      </c>
      <c r="C556" s="198"/>
      <c r="D556" s="198"/>
      <c r="E556" s="198"/>
      <c r="F556" s="198"/>
      <c r="G556" s="198"/>
      <c r="H556" s="198"/>
      <c r="I556" s="198"/>
      <c r="J556" s="198"/>
      <c r="K556" s="198"/>
      <c r="L556" s="198"/>
    </row>
    <row r="557">
      <c r="A557" s="198"/>
      <c r="B557" s="208" t="str">
        <f>vlookup(A557,Price!A:B,2,false)</f>
        <v>#N/A</v>
      </c>
      <c r="C557" s="198"/>
      <c r="D557" s="198"/>
      <c r="E557" s="198"/>
      <c r="F557" s="198"/>
      <c r="G557" s="198"/>
      <c r="H557" s="198"/>
      <c r="I557" s="198"/>
      <c r="J557" s="198"/>
      <c r="K557" s="198"/>
      <c r="L557" s="198"/>
    </row>
    <row r="558">
      <c r="A558" s="198"/>
      <c r="B558" s="208" t="str">
        <f>vlookup(A558,Price!A:B,2,false)</f>
        <v>#N/A</v>
      </c>
      <c r="C558" s="198"/>
      <c r="D558" s="198"/>
      <c r="E558" s="198"/>
      <c r="F558" s="198"/>
      <c r="G558" s="198"/>
      <c r="H558" s="198"/>
      <c r="I558" s="198"/>
      <c r="J558" s="198"/>
      <c r="K558" s="198"/>
      <c r="L558" s="198"/>
    </row>
    <row r="559">
      <c r="A559" s="198"/>
      <c r="B559" s="208" t="str">
        <f>vlookup(A559,Price!A:B,2,false)</f>
        <v>#N/A</v>
      </c>
      <c r="C559" s="198"/>
      <c r="D559" s="198"/>
      <c r="E559" s="198"/>
      <c r="F559" s="198"/>
      <c r="G559" s="198"/>
      <c r="H559" s="198"/>
      <c r="I559" s="198"/>
      <c r="J559" s="198"/>
      <c r="K559" s="198"/>
      <c r="L559" s="198"/>
    </row>
    <row r="560">
      <c r="A560" s="198"/>
      <c r="B560" s="208" t="str">
        <f>vlookup(A560,Price!A:B,2,false)</f>
        <v>#N/A</v>
      </c>
      <c r="C560" s="198"/>
      <c r="D560" s="198"/>
      <c r="E560" s="198"/>
      <c r="F560" s="198"/>
      <c r="G560" s="198"/>
      <c r="H560" s="198"/>
      <c r="I560" s="198"/>
      <c r="J560" s="198"/>
      <c r="K560" s="198"/>
      <c r="L560" s="198"/>
    </row>
    <row r="561">
      <c r="A561" s="198"/>
      <c r="B561" s="208" t="str">
        <f>vlookup(A561,Price!A:B,2,false)</f>
        <v>#N/A</v>
      </c>
      <c r="C561" s="198"/>
      <c r="D561" s="198"/>
      <c r="E561" s="198"/>
      <c r="F561" s="198"/>
      <c r="G561" s="198"/>
      <c r="H561" s="198"/>
      <c r="I561" s="198"/>
      <c r="J561" s="198"/>
      <c r="K561" s="198"/>
      <c r="L561" s="198"/>
    </row>
    <row r="562">
      <c r="A562" s="198"/>
      <c r="B562" s="208" t="str">
        <f>vlookup(A562,Price!A:B,2,false)</f>
        <v>#N/A</v>
      </c>
      <c r="C562" s="198"/>
      <c r="D562" s="198"/>
      <c r="E562" s="198"/>
      <c r="F562" s="198"/>
      <c r="G562" s="198"/>
      <c r="H562" s="198"/>
      <c r="I562" s="198"/>
      <c r="J562" s="198"/>
      <c r="K562" s="198"/>
      <c r="L562" s="198"/>
    </row>
    <row r="563">
      <c r="A563" s="198"/>
      <c r="B563" s="208" t="str">
        <f>vlookup(A563,Price!A:B,2,false)</f>
        <v>#N/A</v>
      </c>
      <c r="C563" s="198"/>
      <c r="D563" s="198"/>
      <c r="E563" s="198"/>
      <c r="F563" s="198"/>
      <c r="G563" s="198"/>
      <c r="H563" s="198"/>
      <c r="I563" s="198"/>
      <c r="J563" s="198"/>
      <c r="K563" s="198"/>
      <c r="L563" s="198"/>
    </row>
    <row r="564">
      <c r="A564" s="198"/>
      <c r="B564" s="208" t="str">
        <f>vlookup(A564,Price!A:B,2,false)</f>
        <v>#N/A</v>
      </c>
      <c r="C564" s="198"/>
      <c r="D564" s="198"/>
      <c r="E564" s="198"/>
      <c r="F564" s="198"/>
      <c r="G564" s="198"/>
      <c r="H564" s="198"/>
      <c r="I564" s="198"/>
      <c r="J564" s="198"/>
      <c r="K564" s="198"/>
      <c r="L564" s="198"/>
    </row>
    <row r="565">
      <c r="A565" s="198"/>
      <c r="B565" s="208" t="str">
        <f>vlookup(A565,Price!A:B,2,false)</f>
        <v>#N/A</v>
      </c>
      <c r="C565" s="198"/>
      <c r="D565" s="198"/>
      <c r="E565" s="198"/>
      <c r="F565" s="198"/>
      <c r="G565" s="198"/>
      <c r="H565" s="198"/>
      <c r="I565" s="198"/>
      <c r="J565" s="198"/>
      <c r="K565" s="198"/>
      <c r="L565" s="198"/>
    </row>
    <row r="566">
      <c r="A566" s="198"/>
      <c r="B566" s="208" t="str">
        <f>vlookup(A566,Price!A:B,2,false)</f>
        <v>#N/A</v>
      </c>
      <c r="C566" s="198"/>
      <c r="D566" s="198"/>
      <c r="E566" s="198"/>
      <c r="F566" s="198"/>
      <c r="G566" s="198"/>
      <c r="H566" s="198"/>
      <c r="I566" s="198"/>
      <c r="J566" s="198"/>
      <c r="K566" s="198"/>
      <c r="L566" s="198"/>
    </row>
    <row r="567">
      <c r="A567" s="198"/>
      <c r="B567" s="208" t="str">
        <f>vlookup(A567,Price!A:B,2,false)</f>
        <v>#N/A</v>
      </c>
      <c r="C567" s="198"/>
      <c r="D567" s="198"/>
      <c r="E567" s="198"/>
      <c r="F567" s="198"/>
      <c r="G567" s="198"/>
      <c r="H567" s="198"/>
      <c r="I567" s="198"/>
      <c r="J567" s="198"/>
      <c r="K567" s="198"/>
      <c r="L567" s="198"/>
    </row>
    <row r="568">
      <c r="A568" s="198"/>
      <c r="B568" s="208" t="str">
        <f>vlookup(A568,Price!A:B,2,false)</f>
        <v>#N/A</v>
      </c>
      <c r="C568" s="198"/>
      <c r="D568" s="198"/>
      <c r="E568" s="198"/>
      <c r="F568" s="198"/>
      <c r="G568" s="198"/>
      <c r="H568" s="198"/>
      <c r="I568" s="198"/>
      <c r="J568" s="198"/>
      <c r="K568" s="198"/>
      <c r="L568" s="198"/>
    </row>
    <row r="569">
      <c r="A569" s="198"/>
      <c r="B569" s="208" t="str">
        <f>vlookup(A569,Price!A:B,2,false)</f>
        <v>#N/A</v>
      </c>
      <c r="C569" s="198"/>
      <c r="D569" s="198"/>
      <c r="E569" s="198"/>
      <c r="F569" s="198"/>
      <c r="G569" s="198"/>
      <c r="H569" s="198"/>
      <c r="I569" s="198"/>
      <c r="J569" s="198"/>
      <c r="K569" s="198"/>
      <c r="L569" s="198"/>
    </row>
    <row r="570">
      <c r="A570" s="198"/>
      <c r="B570" s="208" t="str">
        <f>vlookup(A570,Price!A:B,2,false)</f>
        <v>#N/A</v>
      </c>
      <c r="C570" s="198"/>
      <c r="D570" s="198"/>
      <c r="E570" s="198"/>
      <c r="F570" s="198"/>
      <c r="G570" s="198"/>
      <c r="H570" s="198"/>
      <c r="I570" s="198"/>
      <c r="J570" s="198"/>
      <c r="K570" s="198"/>
      <c r="L570" s="198"/>
    </row>
    <row r="571">
      <c r="A571" s="198"/>
      <c r="B571" s="208" t="str">
        <f>vlookup(A571,Price!A:B,2,false)</f>
        <v>#N/A</v>
      </c>
      <c r="C571" s="198"/>
      <c r="D571" s="198"/>
      <c r="E571" s="198"/>
      <c r="F571" s="198"/>
      <c r="G571" s="198"/>
      <c r="H571" s="198"/>
      <c r="I571" s="198"/>
      <c r="J571" s="198"/>
      <c r="K571" s="198"/>
      <c r="L571" s="198"/>
    </row>
    <row r="572">
      <c r="A572" s="198"/>
      <c r="B572" s="208" t="str">
        <f>vlookup(A572,Price!A:B,2,false)</f>
        <v>#N/A</v>
      </c>
      <c r="C572" s="198"/>
      <c r="D572" s="198"/>
      <c r="E572" s="198"/>
      <c r="F572" s="198"/>
      <c r="G572" s="198"/>
      <c r="H572" s="198"/>
      <c r="I572" s="198"/>
      <c r="J572" s="198"/>
      <c r="K572" s="198"/>
      <c r="L572" s="198"/>
    </row>
    <row r="573">
      <c r="A573" s="198"/>
      <c r="B573" s="208" t="str">
        <f>vlookup(A573,Price!A:B,2,false)</f>
        <v>#N/A</v>
      </c>
      <c r="C573" s="198"/>
      <c r="D573" s="198"/>
      <c r="E573" s="198"/>
      <c r="F573" s="198"/>
      <c r="G573" s="198"/>
      <c r="H573" s="198"/>
      <c r="I573" s="198"/>
      <c r="J573" s="198"/>
      <c r="K573" s="198"/>
      <c r="L573" s="198"/>
    </row>
    <row r="574">
      <c r="A574" s="198"/>
      <c r="B574" s="208" t="str">
        <f>vlookup(A574,Price!A:B,2,false)</f>
        <v>#N/A</v>
      </c>
      <c r="C574" s="198"/>
      <c r="D574" s="198"/>
      <c r="E574" s="198"/>
      <c r="F574" s="198"/>
      <c r="G574" s="198"/>
      <c r="H574" s="198"/>
      <c r="I574" s="198"/>
      <c r="J574" s="198"/>
      <c r="K574" s="198"/>
      <c r="L574" s="198"/>
    </row>
    <row r="575">
      <c r="A575" s="198"/>
      <c r="B575" s="208" t="str">
        <f>vlookup(A575,Price!A:B,2,false)</f>
        <v>#N/A</v>
      </c>
      <c r="C575" s="198"/>
      <c r="D575" s="198"/>
      <c r="E575" s="198"/>
      <c r="F575" s="198"/>
      <c r="G575" s="198"/>
      <c r="H575" s="198"/>
      <c r="I575" s="198"/>
      <c r="J575" s="198"/>
      <c r="K575" s="198"/>
      <c r="L575" s="198"/>
    </row>
    <row r="576">
      <c r="A576" s="198"/>
      <c r="B576" s="208" t="str">
        <f>vlookup(A576,Price!A:B,2,false)</f>
        <v>#N/A</v>
      </c>
      <c r="C576" s="198"/>
      <c r="D576" s="198"/>
      <c r="E576" s="198"/>
      <c r="F576" s="198"/>
      <c r="G576" s="198"/>
      <c r="H576" s="198"/>
      <c r="I576" s="198"/>
      <c r="J576" s="198"/>
      <c r="K576" s="198"/>
      <c r="L576" s="198"/>
    </row>
    <row r="577">
      <c r="A577" s="198"/>
      <c r="B577" s="208" t="str">
        <f>vlookup(A577,Price!A:B,2,false)</f>
        <v>#N/A</v>
      </c>
      <c r="C577" s="198"/>
      <c r="D577" s="198"/>
      <c r="E577" s="198"/>
      <c r="F577" s="198"/>
      <c r="G577" s="198"/>
      <c r="H577" s="198"/>
      <c r="I577" s="198"/>
      <c r="J577" s="198"/>
      <c r="K577" s="198"/>
      <c r="L577" s="198"/>
    </row>
    <row r="578">
      <c r="A578" s="198"/>
      <c r="B578" s="208" t="str">
        <f>vlookup(A578,Price!A:B,2,false)</f>
        <v>#N/A</v>
      </c>
      <c r="C578" s="198"/>
      <c r="D578" s="198"/>
      <c r="E578" s="198"/>
      <c r="F578" s="198"/>
      <c r="G578" s="198"/>
      <c r="H578" s="198"/>
      <c r="I578" s="198"/>
      <c r="J578" s="198"/>
      <c r="K578" s="198"/>
      <c r="L578" s="198"/>
    </row>
    <row r="579">
      <c r="A579" s="198"/>
      <c r="B579" s="208" t="str">
        <f>vlookup(A579,Price!A:B,2,false)</f>
        <v>#N/A</v>
      </c>
      <c r="C579" s="198"/>
      <c r="D579" s="198"/>
      <c r="E579" s="198"/>
      <c r="F579" s="198"/>
      <c r="G579" s="198"/>
      <c r="H579" s="198"/>
      <c r="I579" s="198"/>
      <c r="J579" s="198"/>
      <c r="K579" s="198"/>
      <c r="L579" s="198"/>
    </row>
    <row r="580">
      <c r="A580" s="198"/>
      <c r="B580" s="208" t="str">
        <f>vlookup(A580,Price!A:B,2,false)</f>
        <v>#N/A</v>
      </c>
      <c r="C580" s="198"/>
      <c r="D580" s="198"/>
      <c r="E580" s="198"/>
      <c r="F580" s="198"/>
      <c r="G580" s="198"/>
      <c r="H580" s="198"/>
      <c r="I580" s="198"/>
      <c r="J580" s="198"/>
      <c r="K580" s="198"/>
      <c r="L580" s="198"/>
    </row>
    <row r="581">
      <c r="A581" s="198"/>
      <c r="B581" s="208" t="str">
        <f>vlookup(A581,Price!A:B,2,false)</f>
        <v>#N/A</v>
      </c>
      <c r="C581" s="198"/>
      <c r="D581" s="198"/>
      <c r="E581" s="198"/>
      <c r="F581" s="198"/>
      <c r="G581" s="198"/>
      <c r="H581" s="198"/>
      <c r="I581" s="198"/>
      <c r="J581" s="198"/>
      <c r="K581" s="198"/>
      <c r="L581" s="198"/>
    </row>
    <row r="582">
      <c r="A582" s="198"/>
      <c r="B582" s="208" t="str">
        <f>vlookup(A582,Price!A:B,2,false)</f>
        <v>#N/A</v>
      </c>
      <c r="C582" s="198"/>
      <c r="D582" s="198"/>
      <c r="E582" s="198"/>
      <c r="F582" s="198"/>
      <c r="G582" s="198"/>
      <c r="H582" s="198"/>
      <c r="I582" s="198"/>
      <c r="J582" s="198"/>
      <c r="K582" s="198"/>
      <c r="L582" s="198"/>
    </row>
    <row r="583">
      <c r="A583" s="198"/>
      <c r="B583" s="208" t="str">
        <f>vlookup(A583,Price!A:B,2,false)</f>
        <v>#N/A</v>
      </c>
      <c r="C583" s="198"/>
      <c r="D583" s="198"/>
      <c r="E583" s="198"/>
      <c r="F583" s="198"/>
      <c r="G583" s="198"/>
      <c r="H583" s="198"/>
      <c r="I583" s="198"/>
      <c r="J583" s="198"/>
      <c r="K583" s="198"/>
      <c r="L583" s="198"/>
    </row>
    <row r="584">
      <c r="A584" s="198"/>
      <c r="B584" s="208" t="str">
        <f>vlookup(A584,Price!A:B,2,false)</f>
        <v>#N/A</v>
      </c>
      <c r="C584" s="198"/>
      <c r="D584" s="198"/>
      <c r="E584" s="198"/>
      <c r="F584" s="198"/>
      <c r="G584" s="198"/>
      <c r="H584" s="198"/>
      <c r="I584" s="198"/>
      <c r="J584" s="198"/>
      <c r="K584" s="198"/>
      <c r="L584" s="198"/>
    </row>
    <row r="585">
      <c r="A585" s="198"/>
      <c r="B585" s="208" t="str">
        <f>vlookup(A585,Price!A:B,2,false)</f>
        <v>#N/A</v>
      </c>
      <c r="C585" s="198"/>
      <c r="D585" s="198"/>
      <c r="E585" s="198"/>
      <c r="F585" s="198"/>
      <c r="G585" s="198"/>
      <c r="H585" s="198"/>
      <c r="I585" s="198"/>
      <c r="J585" s="198"/>
      <c r="K585" s="198"/>
      <c r="L585" s="198"/>
    </row>
    <row r="586">
      <c r="A586" s="198"/>
      <c r="B586" s="208" t="str">
        <f>vlookup(A586,Price!A:B,2,false)</f>
        <v>#N/A</v>
      </c>
      <c r="C586" s="198"/>
      <c r="D586" s="198"/>
      <c r="E586" s="198"/>
      <c r="F586" s="198"/>
      <c r="G586" s="198"/>
      <c r="H586" s="198"/>
      <c r="I586" s="198"/>
      <c r="J586" s="198"/>
      <c r="K586" s="198"/>
      <c r="L586" s="198"/>
    </row>
    <row r="587">
      <c r="A587" s="198"/>
      <c r="B587" s="208" t="str">
        <f>vlookup(A587,Price!A:B,2,false)</f>
        <v>#N/A</v>
      </c>
      <c r="C587" s="198"/>
      <c r="D587" s="198"/>
      <c r="E587" s="198"/>
      <c r="F587" s="198"/>
      <c r="G587" s="198"/>
      <c r="H587" s="198"/>
      <c r="I587" s="198"/>
      <c r="J587" s="198"/>
      <c r="K587" s="198"/>
      <c r="L587" s="198"/>
    </row>
    <row r="588">
      <c r="A588" s="198"/>
      <c r="B588" s="208" t="str">
        <f>vlookup(A588,Price!A:B,2,false)</f>
        <v>#N/A</v>
      </c>
      <c r="C588" s="198"/>
      <c r="D588" s="198"/>
      <c r="E588" s="198"/>
      <c r="F588" s="198"/>
      <c r="G588" s="198"/>
      <c r="H588" s="198"/>
      <c r="I588" s="198"/>
      <c r="J588" s="198"/>
      <c r="K588" s="198"/>
      <c r="L588" s="198"/>
    </row>
    <row r="589">
      <c r="A589" s="198"/>
      <c r="B589" s="208" t="str">
        <f>vlookup(A589,Price!A:B,2,false)</f>
        <v>#N/A</v>
      </c>
      <c r="C589" s="198"/>
      <c r="D589" s="198"/>
      <c r="E589" s="198"/>
      <c r="F589" s="198"/>
      <c r="G589" s="198"/>
      <c r="H589" s="198"/>
      <c r="I589" s="198"/>
      <c r="J589" s="198"/>
      <c r="K589" s="198"/>
      <c r="L589" s="198"/>
    </row>
    <row r="590">
      <c r="A590" s="198"/>
      <c r="B590" s="208" t="str">
        <f>vlookup(A590,Price!A:B,2,false)</f>
        <v>#N/A</v>
      </c>
      <c r="C590" s="198"/>
      <c r="D590" s="198"/>
      <c r="E590" s="198"/>
      <c r="F590" s="198"/>
      <c r="G590" s="198"/>
      <c r="H590" s="198"/>
      <c r="I590" s="198"/>
      <c r="J590" s="198"/>
      <c r="K590" s="198"/>
      <c r="L590" s="198"/>
    </row>
    <row r="591">
      <c r="A591" s="198"/>
      <c r="B591" s="208" t="str">
        <f>vlookup(A591,Price!A:B,2,false)</f>
        <v>#N/A</v>
      </c>
      <c r="C591" s="198"/>
      <c r="D591" s="198"/>
      <c r="E591" s="198"/>
      <c r="F591" s="198"/>
      <c r="G591" s="198"/>
      <c r="H591" s="198"/>
      <c r="I591" s="198"/>
      <c r="J591" s="198"/>
      <c r="K591" s="198"/>
      <c r="L591" s="198"/>
    </row>
    <row r="592">
      <c r="A592" s="198"/>
      <c r="B592" s="208" t="str">
        <f>vlookup(A592,Price!A:B,2,false)</f>
        <v>#N/A</v>
      </c>
      <c r="C592" s="198"/>
      <c r="D592" s="198"/>
      <c r="E592" s="198"/>
      <c r="F592" s="198"/>
      <c r="G592" s="198"/>
      <c r="H592" s="198"/>
      <c r="I592" s="198"/>
      <c r="J592" s="198"/>
      <c r="K592" s="198"/>
      <c r="L592" s="198"/>
    </row>
    <row r="593">
      <c r="A593" s="198"/>
      <c r="B593" s="208" t="str">
        <f>vlookup(A593,Price!A:B,2,false)</f>
        <v>#N/A</v>
      </c>
      <c r="C593" s="198"/>
      <c r="D593" s="198"/>
      <c r="E593" s="198"/>
      <c r="F593" s="198"/>
      <c r="G593" s="198"/>
      <c r="H593" s="198"/>
      <c r="I593" s="198"/>
      <c r="J593" s="198"/>
      <c r="K593" s="198"/>
      <c r="L593" s="198"/>
    </row>
    <row r="594">
      <c r="A594" s="198"/>
      <c r="B594" s="208" t="str">
        <f>vlookup(A594,Price!A:B,2,false)</f>
        <v>#N/A</v>
      </c>
      <c r="C594" s="198"/>
      <c r="D594" s="198"/>
      <c r="E594" s="198"/>
      <c r="F594" s="198"/>
      <c r="G594" s="198"/>
      <c r="H594" s="198"/>
      <c r="I594" s="198"/>
      <c r="J594" s="198"/>
      <c r="K594" s="198"/>
      <c r="L594" s="198"/>
    </row>
    <row r="595">
      <c r="A595" s="198"/>
      <c r="B595" s="208" t="str">
        <f>vlookup(A595,Price!A:B,2,false)</f>
        <v>#N/A</v>
      </c>
      <c r="C595" s="198"/>
      <c r="D595" s="198"/>
      <c r="E595" s="198"/>
      <c r="F595" s="198"/>
      <c r="G595" s="198"/>
      <c r="H595" s="198"/>
      <c r="I595" s="198"/>
      <c r="J595" s="198"/>
      <c r="K595" s="198"/>
      <c r="L595" s="198"/>
    </row>
    <row r="596">
      <c r="A596" s="198"/>
      <c r="B596" s="208" t="str">
        <f>vlookup(A596,Price!A:B,2,false)</f>
        <v>#N/A</v>
      </c>
      <c r="C596" s="198"/>
      <c r="D596" s="198"/>
      <c r="E596" s="198"/>
      <c r="F596" s="198"/>
      <c r="G596" s="198"/>
      <c r="H596" s="198"/>
      <c r="I596" s="198"/>
      <c r="J596" s="198"/>
      <c r="K596" s="198"/>
      <c r="L596" s="198"/>
    </row>
    <row r="597">
      <c r="A597" s="198"/>
      <c r="B597" s="208" t="str">
        <f>vlookup(A597,Price!A:B,2,false)</f>
        <v>#N/A</v>
      </c>
      <c r="C597" s="198"/>
      <c r="D597" s="198"/>
      <c r="E597" s="198"/>
      <c r="F597" s="198"/>
      <c r="G597" s="198"/>
      <c r="H597" s="198"/>
      <c r="I597" s="198"/>
      <c r="J597" s="198"/>
      <c r="K597" s="198"/>
      <c r="L597" s="198"/>
    </row>
    <row r="598">
      <c r="A598" s="198"/>
      <c r="B598" s="208" t="str">
        <f>vlookup(A598,Price!A:B,2,false)</f>
        <v>#N/A</v>
      </c>
      <c r="C598" s="198"/>
      <c r="D598" s="198"/>
      <c r="E598" s="198"/>
      <c r="F598" s="198"/>
      <c r="G598" s="198"/>
      <c r="H598" s="198"/>
      <c r="I598" s="198"/>
      <c r="J598" s="198"/>
      <c r="K598" s="198"/>
      <c r="L598" s="198"/>
    </row>
    <row r="599">
      <c r="A599" s="198"/>
      <c r="B599" s="208" t="str">
        <f>vlookup(A599,Price!A:B,2,false)</f>
        <v>#N/A</v>
      </c>
      <c r="C599" s="198"/>
      <c r="D599" s="198"/>
      <c r="E599" s="198"/>
      <c r="F599" s="198"/>
      <c r="G599" s="198"/>
      <c r="H599" s="198"/>
      <c r="I599" s="198"/>
      <c r="J599" s="198"/>
      <c r="K599" s="198"/>
      <c r="L599" s="198"/>
    </row>
    <row r="600">
      <c r="A600" s="198"/>
      <c r="B600" s="208" t="str">
        <f>vlookup(A600,Price!A:B,2,false)</f>
        <v>#N/A</v>
      </c>
      <c r="C600" s="198"/>
      <c r="D600" s="198"/>
      <c r="E600" s="198"/>
      <c r="F600" s="198"/>
      <c r="G600" s="198"/>
      <c r="H600" s="198"/>
      <c r="I600" s="198"/>
      <c r="J600" s="198"/>
      <c r="K600" s="198"/>
      <c r="L600" s="198"/>
    </row>
    <row r="601">
      <c r="A601" s="198"/>
      <c r="B601" s="208" t="str">
        <f>vlookup(A601,Price!A:B,2,false)</f>
        <v>#N/A</v>
      </c>
      <c r="C601" s="198"/>
      <c r="D601" s="198"/>
      <c r="E601" s="198"/>
      <c r="F601" s="198"/>
      <c r="G601" s="198"/>
      <c r="H601" s="198"/>
      <c r="I601" s="198"/>
      <c r="J601" s="198"/>
      <c r="K601" s="198"/>
      <c r="L601" s="198"/>
    </row>
    <row r="602">
      <c r="A602" s="198"/>
      <c r="B602" s="208" t="str">
        <f>vlookup(A602,Price!A:B,2,false)</f>
        <v>#N/A</v>
      </c>
      <c r="C602" s="198"/>
      <c r="D602" s="198"/>
      <c r="E602" s="198"/>
      <c r="F602" s="198"/>
      <c r="G602" s="198"/>
      <c r="H602" s="198"/>
      <c r="I602" s="198"/>
      <c r="J602" s="198"/>
      <c r="K602" s="198"/>
      <c r="L602" s="198"/>
    </row>
    <row r="603">
      <c r="A603" s="198"/>
      <c r="B603" s="208" t="str">
        <f>vlookup(A603,Price!A:B,2,false)</f>
        <v>#N/A</v>
      </c>
      <c r="C603" s="198"/>
      <c r="D603" s="198"/>
      <c r="E603" s="198"/>
      <c r="F603" s="198"/>
      <c r="G603" s="198"/>
      <c r="H603" s="198"/>
      <c r="I603" s="198"/>
      <c r="J603" s="198"/>
      <c r="K603" s="198"/>
      <c r="L603" s="198"/>
    </row>
    <row r="604">
      <c r="A604" s="198"/>
      <c r="B604" s="208" t="str">
        <f>vlookup(A604,Price!A:B,2,false)</f>
        <v>#N/A</v>
      </c>
      <c r="C604" s="198"/>
      <c r="D604" s="198"/>
      <c r="E604" s="198"/>
      <c r="F604" s="198"/>
      <c r="G604" s="198"/>
      <c r="H604" s="198"/>
      <c r="I604" s="198"/>
      <c r="J604" s="198"/>
      <c r="K604" s="198"/>
      <c r="L604" s="198"/>
    </row>
    <row r="605">
      <c r="A605" s="198"/>
      <c r="B605" s="208" t="str">
        <f>vlookup(A605,Price!A:B,2,false)</f>
        <v>#N/A</v>
      </c>
      <c r="C605" s="198"/>
      <c r="D605" s="198"/>
      <c r="E605" s="198"/>
      <c r="F605" s="198"/>
      <c r="G605" s="198"/>
      <c r="H605" s="198"/>
      <c r="I605" s="198"/>
      <c r="J605" s="198"/>
      <c r="K605" s="198"/>
      <c r="L605" s="198"/>
    </row>
    <row r="606">
      <c r="A606" s="198"/>
      <c r="B606" s="208" t="str">
        <f>vlookup(A606,Price!A:B,2,false)</f>
        <v>#N/A</v>
      </c>
      <c r="C606" s="198"/>
      <c r="D606" s="198"/>
      <c r="E606" s="198"/>
      <c r="F606" s="198"/>
      <c r="G606" s="198"/>
      <c r="H606" s="198"/>
      <c r="I606" s="198"/>
      <c r="J606" s="198"/>
      <c r="K606" s="198"/>
      <c r="L606" s="198"/>
    </row>
    <row r="607">
      <c r="A607" s="198"/>
      <c r="B607" s="208" t="str">
        <f>vlookup(A607,Price!A:B,2,false)</f>
        <v>#N/A</v>
      </c>
      <c r="C607" s="198"/>
      <c r="D607" s="198"/>
      <c r="E607" s="198"/>
      <c r="F607" s="198"/>
      <c r="G607" s="198"/>
      <c r="H607" s="198"/>
      <c r="I607" s="198"/>
      <c r="J607" s="198"/>
      <c r="K607" s="198"/>
      <c r="L607" s="198"/>
    </row>
    <row r="608">
      <c r="A608" s="198"/>
      <c r="B608" s="208" t="str">
        <f>vlookup(A608,Price!A:B,2,false)</f>
        <v>#N/A</v>
      </c>
      <c r="C608" s="198"/>
      <c r="D608" s="198"/>
      <c r="E608" s="198"/>
      <c r="F608" s="198"/>
      <c r="G608" s="198"/>
      <c r="H608" s="198"/>
      <c r="I608" s="198"/>
      <c r="J608" s="198"/>
      <c r="K608" s="198"/>
      <c r="L608" s="198"/>
    </row>
    <row r="609">
      <c r="A609" s="198"/>
      <c r="B609" s="208" t="str">
        <f>vlookup(A609,Price!A:B,2,false)</f>
        <v>#N/A</v>
      </c>
      <c r="C609" s="198"/>
      <c r="D609" s="198"/>
      <c r="E609" s="198"/>
      <c r="F609" s="198"/>
      <c r="G609" s="198"/>
      <c r="H609" s="198"/>
      <c r="I609" s="198"/>
      <c r="J609" s="198"/>
      <c r="K609" s="198"/>
      <c r="L609" s="198"/>
    </row>
    <row r="610">
      <c r="A610" s="198"/>
      <c r="B610" s="208" t="str">
        <f>vlookup(A610,Price!A:B,2,false)</f>
        <v>#N/A</v>
      </c>
      <c r="C610" s="198"/>
      <c r="D610" s="198"/>
      <c r="E610" s="198"/>
      <c r="F610" s="198"/>
      <c r="G610" s="198"/>
      <c r="H610" s="198"/>
      <c r="I610" s="198"/>
      <c r="J610" s="198"/>
      <c r="K610" s="198"/>
      <c r="L610" s="198"/>
    </row>
    <row r="611">
      <c r="A611" s="198"/>
      <c r="B611" s="208" t="str">
        <f>vlookup(A611,Price!A:B,2,false)</f>
        <v>#N/A</v>
      </c>
      <c r="C611" s="198"/>
      <c r="D611" s="198"/>
      <c r="E611" s="198"/>
      <c r="F611" s="198"/>
      <c r="G611" s="198"/>
      <c r="H611" s="198"/>
      <c r="I611" s="198"/>
      <c r="J611" s="198"/>
      <c r="K611" s="198"/>
      <c r="L611" s="198"/>
    </row>
    <row r="612">
      <c r="A612" s="198"/>
      <c r="B612" s="208" t="str">
        <f>vlookup(A612,Price!A:B,2,false)</f>
        <v>#N/A</v>
      </c>
      <c r="C612" s="198"/>
      <c r="D612" s="198"/>
      <c r="E612" s="198"/>
      <c r="F612" s="198"/>
      <c r="G612" s="198"/>
      <c r="H612" s="198"/>
      <c r="I612" s="198"/>
      <c r="J612" s="198"/>
      <c r="K612" s="198"/>
      <c r="L612" s="198"/>
    </row>
    <row r="613">
      <c r="A613" s="198"/>
      <c r="B613" s="208" t="str">
        <f>vlookup(A613,Price!A:B,2,false)</f>
        <v>#N/A</v>
      </c>
      <c r="C613" s="198"/>
      <c r="D613" s="198"/>
      <c r="E613" s="198"/>
      <c r="F613" s="198"/>
      <c r="G613" s="198"/>
      <c r="H613" s="198"/>
      <c r="I613" s="198"/>
      <c r="J613" s="198"/>
      <c r="K613" s="198"/>
      <c r="L613" s="198"/>
    </row>
    <row r="614">
      <c r="A614" s="198"/>
      <c r="B614" s="208" t="str">
        <f>vlookup(A614,Price!A:B,2,false)</f>
        <v>#N/A</v>
      </c>
      <c r="C614" s="198"/>
      <c r="D614" s="198"/>
      <c r="E614" s="198"/>
      <c r="F614" s="198"/>
      <c r="G614" s="198"/>
      <c r="H614" s="198"/>
      <c r="I614" s="198"/>
      <c r="J614" s="198"/>
      <c r="K614" s="198"/>
      <c r="L614" s="198"/>
    </row>
    <row r="615">
      <c r="A615" s="198"/>
      <c r="B615" s="208" t="str">
        <f>vlookup(A615,Price!A:B,2,false)</f>
        <v>#N/A</v>
      </c>
      <c r="C615" s="198"/>
      <c r="D615" s="198"/>
      <c r="E615" s="198"/>
      <c r="F615" s="198"/>
      <c r="G615" s="198"/>
      <c r="H615" s="198"/>
      <c r="I615" s="198"/>
      <c r="J615" s="198"/>
      <c r="K615" s="198"/>
      <c r="L615" s="198"/>
    </row>
    <row r="616">
      <c r="A616" s="198"/>
      <c r="B616" s="208" t="str">
        <f>vlookup(A616,Price!A:B,2,false)</f>
        <v>#N/A</v>
      </c>
      <c r="C616" s="198"/>
      <c r="D616" s="198"/>
      <c r="E616" s="198"/>
      <c r="F616" s="198"/>
      <c r="G616" s="198"/>
      <c r="H616" s="198"/>
      <c r="I616" s="198"/>
      <c r="J616" s="198"/>
      <c r="K616" s="198"/>
      <c r="L616" s="198"/>
    </row>
    <row r="617">
      <c r="A617" s="198"/>
      <c r="B617" s="208" t="str">
        <f>vlookup(A617,Price!A:B,2,false)</f>
        <v>#N/A</v>
      </c>
      <c r="C617" s="198"/>
      <c r="D617" s="198"/>
      <c r="E617" s="198"/>
      <c r="F617" s="198"/>
      <c r="G617" s="198"/>
      <c r="H617" s="198"/>
      <c r="I617" s="198"/>
      <c r="J617" s="198"/>
      <c r="K617" s="198"/>
      <c r="L617" s="198"/>
    </row>
    <row r="618">
      <c r="A618" s="198"/>
      <c r="B618" s="208" t="str">
        <f>vlookup(A618,Price!A:B,2,false)</f>
        <v>#N/A</v>
      </c>
      <c r="C618" s="198"/>
      <c r="D618" s="198"/>
      <c r="E618" s="198"/>
      <c r="F618" s="198"/>
      <c r="G618" s="198"/>
      <c r="H618" s="198"/>
      <c r="I618" s="198"/>
      <c r="J618" s="198"/>
      <c r="K618" s="198"/>
      <c r="L618" s="198"/>
    </row>
    <row r="619">
      <c r="A619" s="198"/>
      <c r="B619" s="208" t="str">
        <f>vlookup(A619,Price!A:B,2,false)</f>
        <v>#N/A</v>
      </c>
      <c r="C619" s="198"/>
      <c r="D619" s="198"/>
      <c r="E619" s="198"/>
      <c r="F619" s="198"/>
      <c r="G619" s="198"/>
      <c r="H619" s="198"/>
      <c r="I619" s="198"/>
      <c r="J619" s="198"/>
      <c r="K619" s="198"/>
      <c r="L619" s="198"/>
    </row>
    <row r="620">
      <c r="A620" s="198"/>
      <c r="B620" s="208" t="str">
        <f>vlookup(A620,Price!A:B,2,false)</f>
        <v>#N/A</v>
      </c>
      <c r="C620" s="198"/>
      <c r="D620" s="198"/>
      <c r="E620" s="198"/>
      <c r="F620" s="198"/>
      <c r="G620" s="198"/>
      <c r="H620" s="198"/>
      <c r="I620" s="198"/>
      <c r="J620" s="198"/>
      <c r="K620" s="198"/>
      <c r="L620" s="198"/>
    </row>
    <row r="621">
      <c r="A621" s="198"/>
      <c r="B621" s="208" t="str">
        <f>vlookup(A621,Price!A:B,2,false)</f>
        <v>#N/A</v>
      </c>
      <c r="C621" s="198"/>
      <c r="D621" s="198"/>
      <c r="E621" s="198"/>
      <c r="F621" s="198"/>
      <c r="G621" s="198"/>
      <c r="H621" s="198"/>
      <c r="I621" s="198"/>
      <c r="J621" s="198"/>
      <c r="K621" s="198"/>
      <c r="L621" s="198"/>
    </row>
    <row r="622">
      <c r="A622" s="198"/>
      <c r="B622" s="208" t="str">
        <f>vlookup(A622,Price!A:B,2,false)</f>
        <v>#N/A</v>
      </c>
      <c r="C622" s="198"/>
      <c r="D622" s="198"/>
      <c r="E622" s="198"/>
      <c r="F622" s="198"/>
      <c r="G622" s="198"/>
      <c r="H622" s="198"/>
      <c r="I622" s="198"/>
      <c r="J622" s="198"/>
      <c r="K622" s="198"/>
      <c r="L622" s="198"/>
    </row>
    <row r="623">
      <c r="A623" s="198"/>
      <c r="B623" s="208" t="str">
        <f>vlookup(A623,Price!A:B,2,false)</f>
        <v>#N/A</v>
      </c>
      <c r="C623" s="198"/>
      <c r="D623" s="198"/>
      <c r="E623" s="198"/>
      <c r="F623" s="198"/>
      <c r="G623" s="198"/>
      <c r="H623" s="198"/>
      <c r="I623" s="198"/>
      <c r="J623" s="198"/>
      <c r="K623" s="198"/>
      <c r="L623" s="198"/>
    </row>
    <row r="624">
      <c r="A624" s="198"/>
      <c r="B624" s="208" t="str">
        <f>vlookup(A624,Price!A:B,2,false)</f>
        <v>#N/A</v>
      </c>
      <c r="C624" s="198"/>
      <c r="D624" s="198"/>
      <c r="E624" s="198"/>
      <c r="F624" s="198"/>
      <c r="G624" s="198"/>
      <c r="H624" s="198"/>
      <c r="I624" s="198"/>
      <c r="J624" s="198"/>
      <c r="K624" s="198"/>
      <c r="L624" s="198"/>
    </row>
    <row r="625">
      <c r="A625" s="198"/>
      <c r="B625" s="208" t="str">
        <f>vlookup(A625,Price!A:B,2,false)</f>
        <v>#N/A</v>
      </c>
      <c r="C625" s="198"/>
      <c r="D625" s="198"/>
      <c r="E625" s="198"/>
      <c r="F625" s="198"/>
      <c r="G625" s="198"/>
      <c r="H625" s="198"/>
      <c r="I625" s="198"/>
      <c r="J625" s="198"/>
      <c r="K625" s="198"/>
      <c r="L625" s="198"/>
    </row>
    <row r="626">
      <c r="A626" s="198"/>
      <c r="B626" s="208" t="str">
        <f>vlookup(A626,Price!A:B,2,false)</f>
        <v>#N/A</v>
      </c>
      <c r="C626" s="198"/>
      <c r="D626" s="198"/>
      <c r="E626" s="198"/>
      <c r="F626" s="198"/>
      <c r="G626" s="198"/>
      <c r="H626" s="198"/>
      <c r="I626" s="198"/>
      <c r="J626" s="198"/>
      <c r="K626" s="198"/>
      <c r="L626" s="198"/>
    </row>
    <row r="627">
      <c r="A627" s="198"/>
      <c r="B627" s="208" t="str">
        <f>vlookup(A627,Price!A:B,2,false)</f>
        <v>#N/A</v>
      </c>
      <c r="C627" s="198"/>
      <c r="D627" s="198"/>
      <c r="E627" s="198"/>
      <c r="F627" s="198"/>
      <c r="G627" s="198"/>
      <c r="H627" s="198"/>
      <c r="I627" s="198"/>
      <c r="J627" s="198"/>
      <c r="K627" s="198"/>
      <c r="L627" s="198"/>
    </row>
    <row r="628">
      <c r="A628" s="198"/>
      <c r="B628" s="208" t="str">
        <f>vlookup(A628,Price!A:B,2,false)</f>
        <v>#N/A</v>
      </c>
      <c r="C628" s="198"/>
      <c r="D628" s="198"/>
      <c r="E628" s="198"/>
      <c r="F628" s="198"/>
      <c r="G628" s="198"/>
      <c r="H628" s="198"/>
      <c r="I628" s="198"/>
      <c r="J628" s="198"/>
      <c r="K628" s="198"/>
      <c r="L628" s="198"/>
    </row>
    <row r="629">
      <c r="A629" s="198"/>
      <c r="B629" s="208" t="str">
        <f>vlookup(A629,Price!A:B,2,false)</f>
        <v>#N/A</v>
      </c>
      <c r="C629" s="198"/>
      <c r="D629" s="198"/>
      <c r="E629" s="198"/>
      <c r="F629" s="198"/>
      <c r="G629" s="198"/>
      <c r="H629" s="198"/>
      <c r="I629" s="198"/>
      <c r="J629" s="198"/>
      <c r="K629" s="198"/>
      <c r="L629" s="198"/>
    </row>
    <row r="630">
      <c r="A630" s="198"/>
      <c r="B630" s="208" t="str">
        <f>vlookup(A630,Price!A:B,2,false)</f>
        <v>#N/A</v>
      </c>
      <c r="C630" s="198"/>
      <c r="D630" s="198"/>
      <c r="E630" s="198"/>
      <c r="F630" s="198"/>
      <c r="G630" s="198"/>
      <c r="H630" s="198"/>
      <c r="I630" s="198"/>
      <c r="J630" s="198"/>
      <c r="K630" s="198"/>
      <c r="L630" s="198"/>
    </row>
    <row r="631">
      <c r="A631" s="198"/>
      <c r="B631" s="208" t="str">
        <f>vlookup(A631,Price!A:B,2,false)</f>
        <v>#N/A</v>
      </c>
      <c r="C631" s="198"/>
      <c r="D631" s="198"/>
      <c r="E631" s="198"/>
      <c r="F631" s="198"/>
      <c r="G631" s="198"/>
      <c r="H631" s="198"/>
      <c r="I631" s="198"/>
      <c r="J631" s="198"/>
      <c r="K631" s="198"/>
      <c r="L631" s="198"/>
    </row>
    <row r="632">
      <c r="A632" s="198"/>
      <c r="B632" s="208" t="str">
        <f>vlookup(A632,Price!A:B,2,false)</f>
        <v>#N/A</v>
      </c>
      <c r="C632" s="198"/>
      <c r="D632" s="198"/>
      <c r="E632" s="198"/>
      <c r="F632" s="198"/>
      <c r="G632" s="198"/>
      <c r="H632" s="198"/>
      <c r="I632" s="198"/>
      <c r="J632" s="198"/>
      <c r="K632" s="198"/>
      <c r="L632" s="198"/>
    </row>
    <row r="633">
      <c r="A633" s="198"/>
      <c r="B633" s="208" t="str">
        <f>vlookup(A633,Price!A:B,2,false)</f>
        <v>#N/A</v>
      </c>
      <c r="C633" s="198"/>
      <c r="D633" s="198"/>
      <c r="E633" s="198"/>
      <c r="F633" s="198"/>
      <c r="G633" s="198"/>
      <c r="H633" s="198"/>
      <c r="I633" s="198"/>
      <c r="J633" s="198"/>
      <c r="K633" s="198"/>
      <c r="L633" s="198"/>
    </row>
    <row r="634">
      <c r="A634" s="198"/>
      <c r="B634" s="208" t="str">
        <f>vlookup(A634,Price!A:B,2,false)</f>
        <v>#N/A</v>
      </c>
      <c r="C634" s="198"/>
      <c r="D634" s="198"/>
      <c r="E634" s="198"/>
      <c r="F634" s="198"/>
      <c r="G634" s="198"/>
      <c r="H634" s="198"/>
      <c r="I634" s="198"/>
      <c r="J634" s="198"/>
      <c r="K634" s="198"/>
      <c r="L634" s="198"/>
    </row>
    <row r="635">
      <c r="A635" s="198"/>
      <c r="B635" s="208" t="str">
        <f>vlookup(A635,Price!A:B,2,false)</f>
        <v>#N/A</v>
      </c>
      <c r="C635" s="198"/>
      <c r="D635" s="198"/>
      <c r="E635" s="198"/>
      <c r="F635" s="198"/>
      <c r="G635" s="198"/>
      <c r="H635" s="198"/>
      <c r="I635" s="198"/>
      <c r="J635" s="198"/>
      <c r="K635" s="198"/>
      <c r="L635" s="198"/>
    </row>
    <row r="636">
      <c r="A636" s="198"/>
      <c r="B636" s="208" t="str">
        <f>vlookup(A636,Price!A:B,2,false)</f>
        <v>#N/A</v>
      </c>
      <c r="C636" s="198"/>
      <c r="D636" s="198"/>
      <c r="E636" s="198"/>
      <c r="F636" s="198"/>
      <c r="G636" s="198"/>
      <c r="H636" s="198"/>
      <c r="I636" s="198"/>
      <c r="J636" s="198"/>
      <c r="K636" s="198"/>
      <c r="L636" s="198"/>
    </row>
    <row r="637">
      <c r="A637" s="198"/>
      <c r="B637" s="208" t="str">
        <f>vlookup(A637,Price!A:B,2,false)</f>
        <v>#N/A</v>
      </c>
      <c r="C637" s="198"/>
      <c r="D637" s="198"/>
      <c r="E637" s="198"/>
      <c r="F637" s="198"/>
      <c r="G637" s="198"/>
      <c r="H637" s="198"/>
      <c r="I637" s="198"/>
      <c r="J637" s="198"/>
      <c r="K637" s="198"/>
      <c r="L637" s="198"/>
    </row>
    <row r="638">
      <c r="A638" s="198"/>
      <c r="B638" s="208" t="str">
        <f>vlookup(A638,Price!A:B,2,false)</f>
        <v>#N/A</v>
      </c>
      <c r="C638" s="198"/>
      <c r="D638" s="198"/>
      <c r="E638" s="198"/>
      <c r="F638" s="198"/>
      <c r="G638" s="198"/>
      <c r="H638" s="198"/>
      <c r="I638" s="198"/>
      <c r="J638" s="198"/>
      <c r="K638" s="198"/>
      <c r="L638" s="198"/>
    </row>
    <row r="639">
      <c r="A639" s="198"/>
      <c r="B639" s="208" t="str">
        <f>vlookup(A639,Price!A:B,2,false)</f>
        <v>#N/A</v>
      </c>
      <c r="C639" s="198"/>
      <c r="D639" s="198"/>
      <c r="E639" s="198"/>
      <c r="F639" s="198"/>
      <c r="G639" s="198"/>
      <c r="H639" s="198"/>
      <c r="I639" s="198"/>
      <c r="J639" s="198"/>
      <c r="K639" s="198"/>
      <c r="L639" s="198"/>
    </row>
    <row r="640">
      <c r="A640" s="198"/>
      <c r="B640" s="208" t="str">
        <f>vlookup(A640,Price!A:B,2,false)</f>
        <v>#N/A</v>
      </c>
      <c r="C640" s="198"/>
      <c r="D640" s="198"/>
      <c r="E640" s="198"/>
      <c r="F640" s="198"/>
      <c r="G640" s="198"/>
      <c r="H640" s="198"/>
      <c r="I640" s="198"/>
      <c r="J640" s="198"/>
      <c r="K640" s="198"/>
      <c r="L640" s="198"/>
    </row>
    <row r="641">
      <c r="A641" s="198"/>
      <c r="B641" s="208" t="str">
        <f>vlookup(A641,Price!A:B,2,false)</f>
        <v>#N/A</v>
      </c>
      <c r="C641" s="198"/>
      <c r="D641" s="198"/>
      <c r="E641" s="198"/>
      <c r="F641" s="198"/>
      <c r="G641" s="198"/>
      <c r="H641" s="198"/>
      <c r="I641" s="198"/>
      <c r="J641" s="198"/>
      <c r="K641" s="198"/>
      <c r="L641" s="198"/>
    </row>
    <row r="642">
      <c r="A642" s="198"/>
      <c r="B642" s="208" t="str">
        <f>vlookup(A642,Price!A:B,2,false)</f>
        <v>#N/A</v>
      </c>
      <c r="C642" s="198"/>
      <c r="D642" s="198"/>
      <c r="E642" s="198"/>
      <c r="F642" s="198"/>
      <c r="G642" s="198"/>
      <c r="H642" s="198"/>
      <c r="I642" s="198"/>
      <c r="J642" s="198"/>
      <c r="K642" s="198"/>
      <c r="L642" s="198"/>
    </row>
    <row r="643">
      <c r="A643" s="198"/>
      <c r="B643" s="208" t="str">
        <f>vlookup(A643,Price!A:B,2,false)</f>
        <v>#N/A</v>
      </c>
      <c r="C643" s="198"/>
      <c r="D643" s="198"/>
      <c r="E643" s="198"/>
      <c r="F643" s="198"/>
      <c r="G643" s="198"/>
      <c r="H643" s="198"/>
      <c r="I643" s="198"/>
      <c r="J643" s="198"/>
      <c r="K643" s="198"/>
      <c r="L643" s="198"/>
    </row>
    <row r="644">
      <c r="A644" s="198"/>
      <c r="B644" s="208" t="str">
        <f>vlookup(A644,Price!A:B,2,false)</f>
        <v>#N/A</v>
      </c>
      <c r="C644" s="198"/>
      <c r="D644" s="198"/>
      <c r="E644" s="198"/>
      <c r="F644" s="198"/>
      <c r="G644" s="198"/>
      <c r="H644" s="198"/>
      <c r="I644" s="198"/>
      <c r="J644" s="198"/>
      <c r="K644" s="198"/>
      <c r="L644" s="198"/>
    </row>
    <row r="645">
      <c r="A645" s="198"/>
      <c r="B645" s="208" t="str">
        <f>vlookup(A645,Price!A:B,2,false)</f>
        <v>#N/A</v>
      </c>
      <c r="C645" s="198"/>
      <c r="D645" s="198"/>
      <c r="E645" s="198"/>
      <c r="F645" s="198"/>
      <c r="G645" s="198"/>
      <c r="H645" s="198"/>
      <c r="I645" s="198"/>
      <c r="J645" s="198"/>
      <c r="K645" s="198"/>
      <c r="L645" s="198"/>
    </row>
    <row r="646">
      <c r="A646" s="198"/>
      <c r="B646" s="208" t="str">
        <f>vlookup(A646,Price!A:B,2,false)</f>
        <v>#N/A</v>
      </c>
      <c r="C646" s="198"/>
      <c r="D646" s="198"/>
      <c r="E646" s="198"/>
      <c r="F646" s="198"/>
      <c r="G646" s="198"/>
      <c r="H646" s="198"/>
      <c r="I646" s="198"/>
      <c r="J646" s="198"/>
      <c r="K646" s="198"/>
      <c r="L646" s="198"/>
    </row>
    <row r="647">
      <c r="A647" s="198"/>
      <c r="B647" s="208" t="str">
        <f>vlookup(A647,Price!A:B,2,false)</f>
        <v>#N/A</v>
      </c>
      <c r="C647" s="198"/>
      <c r="D647" s="198"/>
      <c r="E647" s="198"/>
      <c r="F647" s="198"/>
      <c r="G647" s="198"/>
      <c r="H647" s="198"/>
      <c r="I647" s="198"/>
      <c r="J647" s="198"/>
      <c r="K647" s="198"/>
      <c r="L647" s="198"/>
    </row>
    <row r="648">
      <c r="A648" s="198"/>
      <c r="B648" s="208" t="str">
        <f>vlookup(A648,Price!A:B,2,false)</f>
        <v>#N/A</v>
      </c>
      <c r="C648" s="198"/>
      <c r="D648" s="198"/>
      <c r="E648" s="198"/>
      <c r="F648" s="198"/>
      <c r="G648" s="198"/>
      <c r="H648" s="198"/>
      <c r="I648" s="198"/>
      <c r="J648" s="198"/>
      <c r="K648" s="198"/>
      <c r="L648" s="198"/>
    </row>
    <row r="649">
      <c r="A649" s="198"/>
      <c r="B649" s="208" t="str">
        <f>vlookup(A649,Price!A:B,2,false)</f>
        <v>#N/A</v>
      </c>
      <c r="C649" s="198"/>
      <c r="D649" s="198"/>
      <c r="E649" s="198"/>
      <c r="F649" s="198"/>
      <c r="G649" s="198"/>
      <c r="H649" s="198"/>
      <c r="I649" s="198"/>
      <c r="J649" s="198"/>
      <c r="K649" s="198"/>
      <c r="L649" s="198"/>
    </row>
    <row r="650">
      <c r="A650" s="198"/>
      <c r="B650" s="208" t="str">
        <f>vlookup(A650,Price!A:B,2,false)</f>
        <v>#N/A</v>
      </c>
      <c r="C650" s="198"/>
      <c r="D650" s="198"/>
      <c r="E650" s="198"/>
      <c r="F650" s="198"/>
      <c r="G650" s="198"/>
      <c r="H650" s="198"/>
      <c r="I650" s="198"/>
      <c r="J650" s="198"/>
      <c r="K650" s="198"/>
      <c r="L650" s="198"/>
    </row>
    <row r="651">
      <c r="A651" s="198"/>
      <c r="B651" s="208" t="str">
        <f>vlookup(A651,Price!A:B,2,false)</f>
        <v>#N/A</v>
      </c>
      <c r="C651" s="198"/>
      <c r="D651" s="198"/>
      <c r="E651" s="198"/>
      <c r="F651" s="198"/>
      <c r="G651" s="198"/>
      <c r="H651" s="198"/>
      <c r="I651" s="198"/>
      <c r="J651" s="198"/>
      <c r="K651" s="198"/>
      <c r="L651" s="198"/>
    </row>
    <row r="652">
      <c r="A652" s="198"/>
      <c r="B652" s="208" t="str">
        <f>vlookup(A652,Price!A:B,2,false)</f>
        <v>#N/A</v>
      </c>
      <c r="C652" s="198"/>
      <c r="D652" s="198"/>
      <c r="E652" s="198"/>
      <c r="F652" s="198"/>
      <c r="G652" s="198"/>
      <c r="H652" s="198"/>
      <c r="I652" s="198"/>
      <c r="J652" s="198"/>
      <c r="K652" s="198"/>
      <c r="L652" s="198"/>
    </row>
    <row r="653">
      <c r="A653" s="198"/>
      <c r="B653" s="208" t="str">
        <f>vlookup(A653,Price!A:B,2,false)</f>
        <v>#N/A</v>
      </c>
      <c r="C653" s="198"/>
      <c r="D653" s="198"/>
      <c r="E653" s="198"/>
      <c r="F653" s="198"/>
      <c r="G653" s="198"/>
      <c r="H653" s="198"/>
      <c r="I653" s="198"/>
      <c r="J653" s="198"/>
      <c r="K653" s="198"/>
      <c r="L653" s="198"/>
    </row>
    <row r="654">
      <c r="A654" s="198"/>
      <c r="B654" s="208" t="str">
        <f>vlookup(A654,Price!A:B,2,false)</f>
        <v>#N/A</v>
      </c>
      <c r="C654" s="198"/>
      <c r="D654" s="198"/>
      <c r="E654" s="198"/>
      <c r="F654" s="198"/>
      <c r="G654" s="198"/>
      <c r="H654" s="198"/>
      <c r="I654" s="198"/>
      <c r="J654" s="198"/>
      <c r="K654" s="198"/>
      <c r="L654" s="198"/>
    </row>
    <row r="655">
      <c r="A655" s="198"/>
      <c r="B655" s="208" t="str">
        <f>vlookup(A655,Price!A:B,2,false)</f>
        <v>#N/A</v>
      </c>
      <c r="C655" s="198"/>
      <c r="D655" s="198"/>
      <c r="E655" s="198"/>
      <c r="F655" s="198"/>
      <c r="G655" s="198"/>
      <c r="H655" s="198"/>
      <c r="I655" s="198"/>
      <c r="J655" s="198"/>
      <c r="K655" s="198"/>
      <c r="L655" s="198"/>
    </row>
    <row r="656">
      <c r="A656" s="198"/>
      <c r="B656" s="208" t="str">
        <f>vlookup(A656,Price!A:B,2,false)</f>
        <v>#N/A</v>
      </c>
      <c r="C656" s="198"/>
      <c r="D656" s="198"/>
      <c r="E656" s="198"/>
      <c r="F656" s="198"/>
      <c r="G656" s="198"/>
      <c r="H656" s="198"/>
      <c r="I656" s="198"/>
      <c r="J656" s="198"/>
      <c r="K656" s="198"/>
      <c r="L656" s="198"/>
    </row>
    <row r="657">
      <c r="A657" s="198"/>
      <c r="B657" s="208" t="str">
        <f>vlookup(A657,Price!A:B,2,false)</f>
        <v>#N/A</v>
      </c>
      <c r="C657" s="198"/>
      <c r="D657" s="198"/>
      <c r="E657" s="198"/>
      <c r="F657" s="198"/>
      <c r="G657" s="198"/>
      <c r="H657" s="198"/>
      <c r="I657" s="198"/>
      <c r="J657" s="198"/>
      <c r="K657" s="198"/>
      <c r="L657" s="198"/>
    </row>
    <row r="658">
      <c r="A658" s="198"/>
      <c r="B658" s="208" t="str">
        <f>vlookup(A658,Price!A:B,2,false)</f>
        <v>#N/A</v>
      </c>
      <c r="C658" s="198"/>
      <c r="D658" s="198"/>
      <c r="E658" s="198"/>
      <c r="F658" s="198"/>
      <c r="G658" s="198"/>
      <c r="H658" s="198"/>
      <c r="I658" s="198"/>
      <c r="J658" s="198"/>
      <c r="K658" s="198"/>
      <c r="L658" s="198"/>
    </row>
    <row r="659">
      <c r="A659" s="198"/>
      <c r="B659" s="208" t="str">
        <f>vlookup(A659,Price!A:B,2,false)</f>
        <v>#N/A</v>
      </c>
      <c r="C659" s="198"/>
      <c r="D659" s="198"/>
      <c r="E659" s="198"/>
      <c r="F659" s="198"/>
      <c r="G659" s="198"/>
      <c r="H659" s="198"/>
      <c r="I659" s="198"/>
      <c r="J659" s="198"/>
      <c r="K659" s="198"/>
      <c r="L659" s="198"/>
    </row>
    <row r="660">
      <c r="A660" s="198"/>
      <c r="B660" s="208" t="str">
        <f>vlookup(A660,Price!A:B,2,false)</f>
        <v>#N/A</v>
      </c>
      <c r="C660" s="198"/>
      <c r="D660" s="198"/>
      <c r="E660" s="198"/>
      <c r="F660" s="198"/>
      <c r="G660" s="198"/>
      <c r="H660" s="198"/>
      <c r="I660" s="198"/>
      <c r="J660" s="198"/>
      <c r="K660" s="198"/>
      <c r="L660" s="198"/>
    </row>
    <row r="661">
      <c r="A661" s="198"/>
      <c r="B661" s="208" t="str">
        <f>vlookup(A661,Price!A:B,2,false)</f>
        <v>#N/A</v>
      </c>
      <c r="C661" s="198"/>
      <c r="D661" s="198"/>
      <c r="E661" s="198"/>
      <c r="F661" s="198"/>
      <c r="G661" s="198"/>
      <c r="H661" s="198"/>
      <c r="I661" s="198"/>
      <c r="J661" s="198"/>
      <c r="K661" s="198"/>
      <c r="L661" s="198"/>
    </row>
    <row r="662">
      <c r="A662" s="198"/>
      <c r="B662" s="208" t="str">
        <f>vlookup(A662,Price!A:B,2,false)</f>
        <v>#N/A</v>
      </c>
      <c r="C662" s="198"/>
      <c r="D662" s="198"/>
      <c r="E662" s="198"/>
      <c r="F662" s="198"/>
      <c r="G662" s="198"/>
      <c r="H662" s="198"/>
      <c r="I662" s="198"/>
      <c r="J662" s="198"/>
      <c r="K662" s="198"/>
      <c r="L662" s="198"/>
    </row>
    <row r="663">
      <c r="A663" s="198"/>
      <c r="B663" s="208" t="str">
        <f>vlookup(A663,Price!A:B,2,false)</f>
        <v>#N/A</v>
      </c>
      <c r="C663" s="198"/>
      <c r="D663" s="198"/>
      <c r="E663" s="198"/>
      <c r="F663" s="198"/>
      <c r="G663" s="198"/>
      <c r="H663" s="198"/>
      <c r="I663" s="198"/>
      <c r="J663" s="198"/>
      <c r="K663" s="198"/>
      <c r="L663" s="198"/>
    </row>
    <row r="664">
      <c r="A664" s="198"/>
      <c r="B664" s="208" t="str">
        <f>vlookup(A664,Price!A:B,2,false)</f>
        <v>#N/A</v>
      </c>
      <c r="C664" s="198"/>
      <c r="D664" s="198"/>
      <c r="E664" s="198"/>
      <c r="F664" s="198"/>
      <c r="G664" s="198"/>
      <c r="H664" s="198"/>
      <c r="I664" s="198"/>
      <c r="J664" s="198"/>
      <c r="K664" s="198"/>
      <c r="L664" s="198"/>
    </row>
    <row r="665">
      <c r="A665" s="198"/>
      <c r="B665" s="208" t="str">
        <f>vlookup(A665,Price!A:B,2,false)</f>
        <v>#N/A</v>
      </c>
      <c r="C665" s="198"/>
      <c r="D665" s="198"/>
      <c r="E665" s="198"/>
      <c r="F665" s="198"/>
      <c r="G665" s="198"/>
      <c r="H665" s="198"/>
      <c r="I665" s="198"/>
      <c r="J665" s="198"/>
      <c r="K665" s="198"/>
      <c r="L665" s="198"/>
    </row>
    <row r="666">
      <c r="A666" s="198"/>
      <c r="B666" s="208" t="str">
        <f>vlookup(A666,Price!A:B,2,false)</f>
        <v>#N/A</v>
      </c>
      <c r="C666" s="198"/>
      <c r="D666" s="198"/>
      <c r="E666" s="198"/>
      <c r="F666" s="198"/>
      <c r="G666" s="198"/>
      <c r="H666" s="198"/>
      <c r="I666" s="198"/>
      <c r="J666" s="198"/>
      <c r="K666" s="198"/>
      <c r="L666" s="198"/>
    </row>
    <row r="667">
      <c r="A667" s="198"/>
      <c r="B667" s="208" t="str">
        <f>vlookup(A667,Price!A:B,2,false)</f>
        <v>#N/A</v>
      </c>
      <c r="C667" s="198"/>
      <c r="D667" s="198"/>
      <c r="E667" s="198"/>
      <c r="F667" s="198"/>
      <c r="G667" s="198"/>
      <c r="H667" s="198"/>
      <c r="I667" s="198"/>
      <c r="J667" s="198"/>
      <c r="K667" s="198"/>
      <c r="L667" s="198"/>
    </row>
    <row r="668">
      <c r="A668" s="198"/>
      <c r="B668" s="208" t="str">
        <f>vlookup(A668,Price!A:B,2,false)</f>
        <v>#N/A</v>
      </c>
      <c r="C668" s="198"/>
      <c r="D668" s="198"/>
      <c r="E668" s="198"/>
      <c r="F668" s="198"/>
      <c r="G668" s="198"/>
      <c r="H668" s="198"/>
      <c r="I668" s="198"/>
      <c r="J668" s="198"/>
      <c r="K668" s="198"/>
      <c r="L668" s="198"/>
    </row>
    <row r="669">
      <c r="A669" s="198"/>
      <c r="B669" s="208" t="str">
        <f>vlookup(A669,Price!A:B,2,false)</f>
        <v>#N/A</v>
      </c>
      <c r="C669" s="198"/>
      <c r="D669" s="198"/>
      <c r="E669" s="198"/>
      <c r="F669" s="198"/>
      <c r="G669" s="198"/>
      <c r="H669" s="198"/>
      <c r="I669" s="198"/>
      <c r="J669" s="198"/>
      <c r="K669" s="198"/>
      <c r="L669" s="198"/>
    </row>
    <row r="670">
      <c r="A670" s="198"/>
      <c r="B670" s="208" t="str">
        <f>vlookup(A670,Price!A:B,2,false)</f>
        <v>#N/A</v>
      </c>
      <c r="C670" s="198"/>
      <c r="D670" s="198"/>
      <c r="E670" s="198"/>
      <c r="F670" s="198"/>
      <c r="G670" s="198"/>
      <c r="H670" s="198"/>
      <c r="I670" s="198"/>
      <c r="J670" s="198"/>
      <c r="K670" s="198"/>
      <c r="L670" s="198"/>
    </row>
    <row r="671">
      <c r="A671" s="198"/>
      <c r="B671" s="208" t="str">
        <f>vlookup(A671,Price!A:B,2,false)</f>
        <v>#N/A</v>
      </c>
      <c r="C671" s="198"/>
      <c r="D671" s="198"/>
      <c r="E671" s="198"/>
      <c r="F671" s="198"/>
      <c r="G671" s="198"/>
      <c r="H671" s="198"/>
      <c r="I671" s="198"/>
      <c r="J671" s="198"/>
      <c r="K671" s="198"/>
      <c r="L671" s="198"/>
    </row>
    <row r="672">
      <c r="A672" s="198"/>
      <c r="B672" s="208" t="str">
        <f>vlookup(A672,Price!A:B,2,false)</f>
        <v>#N/A</v>
      </c>
      <c r="C672" s="198"/>
      <c r="D672" s="198"/>
      <c r="E672" s="198"/>
      <c r="F672" s="198"/>
      <c r="G672" s="198"/>
      <c r="H672" s="198"/>
      <c r="I672" s="198"/>
      <c r="J672" s="198"/>
      <c r="K672" s="198"/>
      <c r="L672" s="198"/>
    </row>
    <row r="673">
      <c r="A673" s="198"/>
      <c r="B673" s="208" t="str">
        <f>vlookup(A673,Price!A:B,2,false)</f>
        <v>#N/A</v>
      </c>
      <c r="C673" s="198"/>
      <c r="D673" s="198"/>
      <c r="E673" s="198"/>
      <c r="F673" s="198"/>
      <c r="G673" s="198"/>
      <c r="H673" s="198"/>
      <c r="I673" s="198"/>
      <c r="J673" s="198"/>
      <c r="K673" s="198"/>
      <c r="L673" s="198"/>
    </row>
    <row r="674">
      <c r="A674" s="198"/>
      <c r="B674" s="208" t="str">
        <f>vlookup(A674,Price!A:B,2,false)</f>
        <v>#N/A</v>
      </c>
      <c r="C674" s="198"/>
      <c r="D674" s="198"/>
      <c r="E674" s="198"/>
      <c r="F674" s="198"/>
      <c r="G674" s="198"/>
      <c r="H674" s="198"/>
      <c r="I674" s="198"/>
      <c r="J674" s="198"/>
      <c r="K674" s="198"/>
      <c r="L674" s="198"/>
    </row>
    <row r="675">
      <c r="A675" s="198"/>
      <c r="B675" s="208" t="str">
        <f>vlookup(A675,Price!A:B,2,false)</f>
        <v>#N/A</v>
      </c>
      <c r="C675" s="198"/>
      <c r="D675" s="198"/>
      <c r="E675" s="198"/>
      <c r="F675" s="198"/>
      <c r="G675" s="198"/>
      <c r="H675" s="198"/>
      <c r="I675" s="198"/>
      <c r="J675" s="198"/>
      <c r="K675" s="198"/>
      <c r="L675" s="198"/>
    </row>
    <row r="676">
      <c r="A676" s="198"/>
      <c r="B676" s="208" t="str">
        <f>vlookup(A676,Price!A:B,2,false)</f>
        <v>#N/A</v>
      </c>
      <c r="C676" s="198"/>
      <c r="D676" s="198"/>
      <c r="E676" s="198"/>
      <c r="F676" s="198"/>
      <c r="G676" s="198"/>
      <c r="H676" s="198"/>
      <c r="I676" s="198"/>
      <c r="J676" s="198"/>
      <c r="K676" s="198"/>
      <c r="L676" s="198"/>
    </row>
    <row r="677">
      <c r="A677" s="198"/>
      <c r="B677" s="208" t="str">
        <f>vlookup(A677,Price!A:B,2,false)</f>
        <v>#N/A</v>
      </c>
      <c r="C677" s="198"/>
      <c r="D677" s="198"/>
      <c r="E677" s="198"/>
      <c r="F677" s="198"/>
      <c r="G677" s="198"/>
      <c r="H677" s="198"/>
      <c r="I677" s="198"/>
      <c r="J677" s="198"/>
      <c r="K677" s="198"/>
      <c r="L677" s="198"/>
    </row>
    <row r="678">
      <c r="A678" s="198"/>
      <c r="B678" s="208" t="str">
        <f>vlookup(A678,Price!A:B,2,false)</f>
        <v>#N/A</v>
      </c>
      <c r="C678" s="198"/>
      <c r="D678" s="198"/>
      <c r="E678" s="198"/>
      <c r="F678" s="198"/>
      <c r="G678" s="198"/>
      <c r="H678" s="198"/>
      <c r="I678" s="198"/>
      <c r="J678" s="198"/>
      <c r="K678" s="198"/>
      <c r="L678" s="198"/>
    </row>
    <row r="679">
      <c r="A679" s="198"/>
      <c r="B679" s="208" t="str">
        <f>vlookup(A679,Price!A:B,2,false)</f>
        <v>#N/A</v>
      </c>
      <c r="C679" s="198"/>
      <c r="D679" s="198"/>
      <c r="E679" s="198"/>
      <c r="F679" s="198"/>
      <c r="G679" s="198"/>
      <c r="H679" s="198"/>
      <c r="I679" s="198"/>
      <c r="J679" s="198"/>
      <c r="K679" s="198"/>
      <c r="L679" s="198"/>
    </row>
    <row r="680">
      <c r="A680" s="198"/>
      <c r="B680" s="208" t="str">
        <f>vlookup(A680,Price!A:B,2,false)</f>
        <v>#N/A</v>
      </c>
      <c r="C680" s="198"/>
      <c r="D680" s="198"/>
      <c r="E680" s="198"/>
      <c r="F680" s="198"/>
      <c r="G680" s="198"/>
      <c r="H680" s="198"/>
      <c r="I680" s="198"/>
      <c r="J680" s="198"/>
      <c r="K680" s="198"/>
      <c r="L680" s="198"/>
    </row>
    <row r="681">
      <c r="A681" s="198"/>
      <c r="B681" s="208" t="str">
        <f>vlookup(A681,Price!A:B,2,false)</f>
        <v>#N/A</v>
      </c>
      <c r="C681" s="198"/>
      <c r="D681" s="198"/>
      <c r="E681" s="198"/>
      <c r="F681" s="198"/>
      <c r="G681" s="198"/>
      <c r="H681" s="198"/>
      <c r="I681" s="198"/>
      <c r="J681" s="198"/>
      <c r="K681" s="198"/>
      <c r="L681" s="198"/>
    </row>
    <row r="682">
      <c r="A682" s="198"/>
      <c r="B682" s="208" t="str">
        <f>vlookup(A682,Price!A:B,2,false)</f>
        <v>#N/A</v>
      </c>
      <c r="C682" s="198"/>
      <c r="D682" s="198"/>
      <c r="E682" s="198"/>
      <c r="F682" s="198"/>
      <c r="G682" s="198"/>
      <c r="H682" s="198"/>
      <c r="I682" s="198"/>
      <c r="J682" s="198"/>
      <c r="K682" s="198"/>
      <c r="L682" s="198"/>
    </row>
    <row r="683">
      <c r="A683" s="198"/>
      <c r="B683" s="208" t="str">
        <f>vlookup(A683,Price!A:B,2,false)</f>
        <v>#N/A</v>
      </c>
      <c r="C683" s="198"/>
      <c r="D683" s="198"/>
      <c r="E683" s="198"/>
      <c r="F683" s="198"/>
      <c r="G683" s="198"/>
      <c r="H683" s="198"/>
      <c r="I683" s="198"/>
      <c r="J683" s="198"/>
      <c r="K683" s="198"/>
      <c r="L683" s="198"/>
    </row>
    <row r="684">
      <c r="A684" s="198"/>
      <c r="B684" s="208" t="str">
        <f>vlookup(A684,Price!A:B,2,false)</f>
        <v>#N/A</v>
      </c>
      <c r="C684" s="198"/>
      <c r="D684" s="198"/>
      <c r="E684" s="198"/>
      <c r="F684" s="198"/>
      <c r="G684" s="198"/>
      <c r="H684" s="198"/>
      <c r="I684" s="198"/>
      <c r="J684" s="198"/>
      <c r="K684" s="198"/>
      <c r="L684" s="198"/>
    </row>
    <row r="685">
      <c r="A685" s="198"/>
      <c r="B685" s="208" t="str">
        <f>vlookup(A685,Price!A:B,2,false)</f>
        <v>#N/A</v>
      </c>
      <c r="C685" s="198"/>
      <c r="D685" s="198"/>
      <c r="E685" s="198"/>
      <c r="F685" s="198"/>
      <c r="G685" s="198"/>
      <c r="H685" s="198"/>
      <c r="I685" s="198"/>
      <c r="J685" s="198"/>
      <c r="K685" s="198"/>
      <c r="L685" s="198"/>
    </row>
    <row r="686">
      <c r="A686" s="198"/>
      <c r="B686" s="208" t="str">
        <f>vlookup(A686,Price!A:B,2,false)</f>
        <v>#N/A</v>
      </c>
      <c r="C686" s="198"/>
      <c r="D686" s="198"/>
      <c r="E686" s="198"/>
      <c r="F686" s="198"/>
      <c r="G686" s="198"/>
      <c r="H686" s="198"/>
      <c r="I686" s="198"/>
      <c r="J686" s="198"/>
      <c r="K686" s="198"/>
      <c r="L686" s="198"/>
    </row>
    <row r="687">
      <c r="A687" s="198"/>
      <c r="B687" s="208" t="str">
        <f>vlookup(A687,Price!A:B,2,false)</f>
        <v>#N/A</v>
      </c>
      <c r="C687" s="198"/>
      <c r="D687" s="198"/>
      <c r="E687" s="198"/>
      <c r="F687" s="198"/>
      <c r="G687" s="198"/>
      <c r="H687" s="198"/>
      <c r="I687" s="198"/>
      <c r="J687" s="198"/>
      <c r="K687" s="198"/>
      <c r="L687" s="198"/>
    </row>
    <row r="688">
      <c r="A688" s="198"/>
      <c r="B688" s="208" t="str">
        <f>vlookup(A688,Price!A:B,2,false)</f>
        <v>#N/A</v>
      </c>
      <c r="C688" s="198"/>
      <c r="D688" s="198"/>
      <c r="E688" s="198"/>
      <c r="F688" s="198"/>
      <c r="G688" s="198"/>
      <c r="H688" s="198"/>
      <c r="I688" s="198"/>
      <c r="J688" s="198"/>
      <c r="K688" s="198"/>
      <c r="L688" s="198"/>
    </row>
    <row r="689">
      <c r="A689" s="198"/>
      <c r="B689" s="208" t="str">
        <f>vlookup(A689,Price!A:B,2,false)</f>
        <v>#N/A</v>
      </c>
      <c r="C689" s="198"/>
      <c r="D689" s="198"/>
      <c r="E689" s="198"/>
      <c r="F689" s="198"/>
      <c r="G689" s="198"/>
      <c r="H689" s="198"/>
      <c r="I689" s="198"/>
      <c r="J689" s="198"/>
      <c r="K689" s="198"/>
      <c r="L689" s="198"/>
    </row>
    <row r="690">
      <c r="A690" s="198"/>
      <c r="B690" s="208" t="str">
        <f>vlookup(A690,Price!A:B,2,false)</f>
        <v>#N/A</v>
      </c>
      <c r="C690" s="198"/>
      <c r="D690" s="198"/>
      <c r="E690" s="198"/>
      <c r="F690" s="198"/>
      <c r="G690" s="198"/>
      <c r="H690" s="198"/>
      <c r="I690" s="198"/>
      <c r="J690" s="198"/>
      <c r="K690" s="198"/>
      <c r="L690" s="198"/>
    </row>
    <row r="691">
      <c r="A691" s="198"/>
      <c r="B691" s="208" t="str">
        <f>vlookup(A691,Price!A:B,2,false)</f>
        <v>#N/A</v>
      </c>
      <c r="C691" s="198"/>
      <c r="D691" s="198"/>
      <c r="E691" s="198"/>
      <c r="F691" s="198"/>
      <c r="G691" s="198"/>
      <c r="H691" s="198"/>
      <c r="I691" s="198"/>
      <c r="J691" s="198"/>
      <c r="K691" s="198"/>
      <c r="L691" s="198"/>
    </row>
    <row r="692">
      <c r="A692" s="198"/>
      <c r="B692" s="208" t="str">
        <f>vlookup(A692,Price!A:B,2,false)</f>
        <v>#N/A</v>
      </c>
      <c r="C692" s="198"/>
      <c r="D692" s="198"/>
      <c r="E692" s="198"/>
      <c r="F692" s="198"/>
      <c r="G692" s="198"/>
      <c r="H692" s="198"/>
      <c r="I692" s="198"/>
      <c r="J692" s="198"/>
      <c r="K692" s="198"/>
      <c r="L692" s="198"/>
    </row>
    <row r="693">
      <c r="A693" s="198"/>
      <c r="B693" s="208" t="str">
        <f>vlookup(A693,Price!A:B,2,false)</f>
        <v>#N/A</v>
      </c>
      <c r="C693" s="198"/>
      <c r="D693" s="198"/>
      <c r="E693" s="198"/>
      <c r="F693" s="198"/>
      <c r="G693" s="198"/>
      <c r="H693" s="198"/>
      <c r="I693" s="198"/>
      <c r="J693" s="198"/>
      <c r="K693" s="198"/>
      <c r="L693" s="198"/>
    </row>
    <row r="694">
      <c r="A694" s="198"/>
      <c r="B694" s="208" t="str">
        <f>vlookup(A694,Price!A:B,2,false)</f>
        <v>#N/A</v>
      </c>
      <c r="C694" s="198"/>
      <c r="D694" s="198"/>
      <c r="E694" s="198"/>
      <c r="F694" s="198"/>
      <c r="G694" s="198"/>
      <c r="H694" s="198"/>
      <c r="I694" s="198"/>
      <c r="J694" s="198"/>
      <c r="K694" s="198"/>
      <c r="L694" s="198"/>
    </row>
    <row r="695">
      <c r="A695" s="198"/>
      <c r="B695" s="208" t="str">
        <f>vlookup(A695,Price!A:B,2,false)</f>
        <v>#N/A</v>
      </c>
      <c r="C695" s="198"/>
      <c r="D695" s="198"/>
      <c r="E695" s="198"/>
      <c r="F695" s="198"/>
      <c r="G695" s="198"/>
      <c r="H695" s="198"/>
      <c r="I695" s="198"/>
      <c r="J695" s="198"/>
      <c r="K695" s="198"/>
      <c r="L695" s="198"/>
    </row>
    <row r="696">
      <c r="A696" s="198"/>
      <c r="B696" s="208" t="str">
        <f>vlookup(A696,Price!A:B,2,false)</f>
        <v>#N/A</v>
      </c>
      <c r="C696" s="198"/>
      <c r="D696" s="198"/>
      <c r="E696" s="198"/>
      <c r="F696" s="198"/>
      <c r="G696" s="198"/>
      <c r="H696" s="198"/>
      <c r="I696" s="198"/>
      <c r="J696" s="198"/>
      <c r="K696" s="198"/>
      <c r="L696" s="198"/>
    </row>
    <row r="697">
      <c r="A697" s="198"/>
      <c r="B697" s="208" t="str">
        <f>vlookup(A697,Price!A:B,2,false)</f>
        <v>#N/A</v>
      </c>
      <c r="C697" s="198"/>
      <c r="D697" s="198"/>
      <c r="E697" s="198"/>
      <c r="F697" s="198"/>
      <c r="G697" s="198"/>
      <c r="H697" s="198"/>
      <c r="I697" s="198"/>
      <c r="J697" s="198"/>
      <c r="K697" s="198"/>
      <c r="L697" s="198"/>
    </row>
    <row r="698">
      <c r="A698" s="198"/>
      <c r="B698" s="208" t="str">
        <f>vlookup(A698,Price!A:B,2,false)</f>
        <v>#N/A</v>
      </c>
      <c r="C698" s="198"/>
      <c r="D698" s="198"/>
      <c r="E698" s="198"/>
      <c r="F698" s="198"/>
      <c r="G698" s="198"/>
      <c r="H698" s="198"/>
      <c r="I698" s="198"/>
      <c r="J698" s="198"/>
      <c r="K698" s="198"/>
      <c r="L698" s="198"/>
    </row>
    <row r="699">
      <c r="A699" s="198"/>
      <c r="B699" s="208" t="str">
        <f>vlookup(A699,Price!A:B,2,false)</f>
        <v>#N/A</v>
      </c>
      <c r="C699" s="198"/>
      <c r="D699" s="198"/>
      <c r="E699" s="198"/>
      <c r="F699" s="198"/>
      <c r="G699" s="198"/>
      <c r="H699" s="198"/>
      <c r="I699" s="198"/>
      <c r="J699" s="198"/>
      <c r="K699" s="198"/>
      <c r="L699" s="198"/>
    </row>
    <row r="700">
      <c r="A700" s="198"/>
      <c r="B700" s="208" t="str">
        <f>vlookup(A700,Price!A:B,2,false)</f>
        <v>#N/A</v>
      </c>
      <c r="C700" s="198"/>
      <c r="D700" s="198"/>
      <c r="E700" s="198"/>
      <c r="F700" s="198"/>
      <c r="G700" s="198"/>
      <c r="H700" s="198"/>
      <c r="I700" s="198"/>
      <c r="J700" s="198"/>
      <c r="K700" s="198"/>
      <c r="L700" s="198"/>
    </row>
    <row r="701">
      <c r="A701" s="198"/>
      <c r="B701" s="208" t="str">
        <f>vlookup(A701,Price!A:B,2,false)</f>
        <v>#N/A</v>
      </c>
      <c r="C701" s="198"/>
      <c r="D701" s="198"/>
      <c r="E701" s="198"/>
      <c r="F701" s="198"/>
      <c r="G701" s="198"/>
      <c r="H701" s="198"/>
      <c r="I701" s="198"/>
      <c r="J701" s="198"/>
      <c r="K701" s="198"/>
      <c r="L701" s="198"/>
    </row>
    <row r="702">
      <c r="A702" s="198"/>
      <c r="B702" s="208" t="str">
        <f>vlookup(A702,Price!A:B,2,false)</f>
        <v>#N/A</v>
      </c>
      <c r="C702" s="198"/>
      <c r="D702" s="198"/>
      <c r="E702" s="198"/>
      <c r="F702" s="198"/>
      <c r="G702" s="198"/>
      <c r="H702" s="198"/>
      <c r="I702" s="198"/>
      <c r="J702" s="198"/>
      <c r="K702" s="198"/>
      <c r="L702" s="198"/>
    </row>
    <row r="703">
      <c r="A703" s="198"/>
      <c r="B703" s="208" t="str">
        <f>vlookup(A703,Price!A:B,2,false)</f>
        <v>#N/A</v>
      </c>
      <c r="C703" s="198"/>
      <c r="D703" s="198"/>
      <c r="E703" s="198"/>
      <c r="F703" s="198"/>
      <c r="G703" s="198"/>
      <c r="H703" s="198"/>
      <c r="I703" s="198"/>
      <c r="J703" s="198"/>
      <c r="K703" s="198"/>
      <c r="L703" s="198"/>
    </row>
    <row r="704">
      <c r="A704" s="198"/>
      <c r="B704" s="208" t="str">
        <f>vlookup(A704,Price!A:B,2,false)</f>
        <v>#N/A</v>
      </c>
      <c r="C704" s="198"/>
      <c r="D704" s="198"/>
      <c r="E704" s="198"/>
      <c r="F704" s="198"/>
      <c r="G704" s="198"/>
      <c r="H704" s="198"/>
      <c r="I704" s="198"/>
      <c r="J704" s="198"/>
      <c r="K704" s="198"/>
      <c r="L704" s="198"/>
    </row>
    <row r="705">
      <c r="A705" s="198"/>
      <c r="B705" s="208" t="str">
        <f>vlookup(A705,Price!A:B,2,false)</f>
        <v>#N/A</v>
      </c>
      <c r="C705" s="198"/>
      <c r="D705" s="198"/>
      <c r="E705" s="198"/>
      <c r="F705" s="198"/>
      <c r="G705" s="198"/>
      <c r="H705" s="198"/>
      <c r="I705" s="198"/>
      <c r="J705" s="198"/>
      <c r="K705" s="198"/>
      <c r="L705" s="198"/>
    </row>
    <row r="706">
      <c r="A706" s="198"/>
      <c r="B706" s="208" t="str">
        <f>vlookup(A706,Price!A:B,2,false)</f>
        <v>#N/A</v>
      </c>
      <c r="C706" s="198"/>
      <c r="D706" s="198"/>
      <c r="E706" s="198"/>
      <c r="F706" s="198"/>
      <c r="G706" s="198"/>
      <c r="H706" s="198"/>
      <c r="I706" s="198"/>
      <c r="J706" s="198"/>
      <c r="K706" s="198"/>
      <c r="L706" s="198"/>
    </row>
    <row r="707">
      <c r="A707" s="198"/>
      <c r="B707" s="208" t="str">
        <f>vlookup(A707,Price!A:B,2,false)</f>
        <v>#N/A</v>
      </c>
      <c r="C707" s="198"/>
      <c r="D707" s="198"/>
      <c r="E707" s="198"/>
      <c r="F707" s="198"/>
      <c r="G707" s="198"/>
      <c r="H707" s="198"/>
      <c r="I707" s="198"/>
      <c r="J707" s="198"/>
      <c r="K707" s="198"/>
      <c r="L707" s="198"/>
    </row>
    <row r="708">
      <c r="A708" s="198"/>
      <c r="B708" s="208" t="str">
        <f>vlookup(A708,Price!A:B,2,false)</f>
        <v>#N/A</v>
      </c>
      <c r="C708" s="198"/>
      <c r="D708" s="198"/>
      <c r="E708" s="198"/>
      <c r="F708" s="198"/>
      <c r="G708" s="198"/>
      <c r="H708" s="198"/>
      <c r="I708" s="198"/>
      <c r="J708" s="198"/>
      <c r="K708" s="198"/>
      <c r="L708" s="198"/>
    </row>
    <row r="709">
      <c r="A709" s="198"/>
      <c r="B709" s="208" t="str">
        <f>vlookup(A709,Price!A:B,2,false)</f>
        <v>#N/A</v>
      </c>
      <c r="C709" s="198"/>
      <c r="D709" s="198"/>
      <c r="E709" s="198"/>
      <c r="F709" s="198"/>
      <c r="G709" s="198"/>
      <c r="H709" s="198"/>
      <c r="I709" s="198"/>
      <c r="J709" s="198"/>
      <c r="K709" s="198"/>
      <c r="L709" s="198"/>
    </row>
    <row r="710">
      <c r="A710" s="198"/>
      <c r="B710" s="208" t="str">
        <f>vlookup(A710,Price!A:B,2,false)</f>
        <v>#N/A</v>
      </c>
      <c r="C710" s="198"/>
      <c r="D710" s="198"/>
      <c r="E710" s="198"/>
      <c r="F710" s="198"/>
      <c r="G710" s="198"/>
      <c r="H710" s="198"/>
      <c r="I710" s="198"/>
      <c r="J710" s="198"/>
      <c r="K710" s="198"/>
      <c r="L710" s="198"/>
    </row>
    <row r="711">
      <c r="A711" s="198"/>
      <c r="B711" s="208" t="str">
        <f>vlookup(A711,Price!A:B,2,false)</f>
        <v>#N/A</v>
      </c>
      <c r="C711" s="198"/>
      <c r="D711" s="198"/>
      <c r="E711" s="198"/>
      <c r="F711" s="198"/>
      <c r="G711" s="198"/>
      <c r="H711" s="198"/>
      <c r="I711" s="198"/>
      <c r="J711" s="198"/>
      <c r="K711" s="198"/>
      <c r="L711" s="198"/>
    </row>
    <row r="712">
      <c r="A712" s="198"/>
      <c r="B712" s="208" t="str">
        <f>vlookup(A712,Price!A:B,2,false)</f>
        <v>#N/A</v>
      </c>
      <c r="C712" s="198"/>
      <c r="D712" s="198"/>
      <c r="E712" s="198"/>
      <c r="F712" s="198"/>
      <c r="G712" s="198"/>
      <c r="H712" s="198"/>
      <c r="I712" s="198"/>
      <c r="J712" s="198"/>
      <c r="K712" s="198"/>
      <c r="L712" s="198"/>
    </row>
    <row r="713">
      <c r="A713" s="198"/>
      <c r="B713" s="208" t="str">
        <f>vlookup(A713,Price!A:B,2,false)</f>
        <v>#N/A</v>
      </c>
      <c r="C713" s="198"/>
      <c r="D713" s="198"/>
      <c r="E713" s="198"/>
      <c r="F713" s="198"/>
      <c r="G713" s="198"/>
      <c r="H713" s="198"/>
      <c r="I713" s="198"/>
      <c r="J713" s="198"/>
      <c r="K713" s="198"/>
      <c r="L713" s="198"/>
    </row>
    <row r="714">
      <c r="A714" s="198"/>
      <c r="B714" s="208" t="str">
        <f>vlookup(A714,Price!A:B,2,false)</f>
        <v>#N/A</v>
      </c>
      <c r="C714" s="198"/>
      <c r="D714" s="198"/>
      <c r="E714" s="198"/>
      <c r="F714" s="198"/>
      <c r="G714" s="198"/>
      <c r="H714" s="198"/>
      <c r="I714" s="198"/>
      <c r="J714" s="198"/>
      <c r="K714" s="198"/>
      <c r="L714" s="198"/>
    </row>
    <row r="715">
      <c r="A715" s="198"/>
      <c r="B715" s="208" t="str">
        <f>vlookup(A715,Price!A:B,2,false)</f>
        <v>#N/A</v>
      </c>
      <c r="C715" s="198"/>
      <c r="D715" s="198"/>
      <c r="E715" s="198"/>
      <c r="F715" s="198"/>
      <c r="G715" s="198"/>
      <c r="H715" s="198"/>
      <c r="I715" s="198"/>
      <c r="J715" s="198"/>
      <c r="K715" s="198"/>
      <c r="L715" s="198"/>
    </row>
    <row r="716">
      <c r="A716" s="198"/>
      <c r="B716" s="208" t="str">
        <f>vlookup(A716,Price!A:B,2,false)</f>
        <v>#N/A</v>
      </c>
      <c r="C716" s="198"/>
      <c r="D716" s="198"/>
      <c r="E716" s="198"/>
      <c r="F716" s="198"/>
      <c r="G716" s="198"/>
      <c r="H716" s="198"/>
      <c r="I716" s="198"/>
      <c r="J716" s="198"/>
      <c r="K716" s="198"/>
      <c r="L716" s="198"/>
    </row>
    <row r="717">
      <c r="A717" s="198"/>
      <c r="B717" s="208" t="str">
        <f>vlookup(A717,Price!A:B,2,false)</f>
        <v>#N/A</v>
      </c>
      <c r="C717" s="198"/>
      <c r="D717" s="198"/>
      <c r="E717" s="198"/>
      <c r="F717" s="198"/>
      <c r="G717" s="198"/>
      <c r="H717" s="198"/>
      <c r="I717" s="198"/>
      <c r="J717" s="198"/>
      <c r="K717" s="198"/>
      <c r="L717" s="198"/>
    </row>
    <row r="718">
      <c r="A718" s="198"/>
      <c r="B718" s="208" t="str">
        <f>vlookup(A718,Price!A:B,2,false)</f>
        <v>#N/A</v>
      </c>
      <c r="C718" s="198"/>
      <c r="D718" s="198"/>
      <c r="E718" s="198"/>
      <c r="F718" s="198"/>
      <c r="G718" s="198"/>
      <c r="H718" s="198"/>
      <c r="I718" s="198"/>
      <c r="J718" s="198"/>
      <c r="K718" s="198"/>
      <c r="L718" s="198"/>
    </row>
    <row r="719">
      <c r="A719" s="198"/>
      <c r="B719" s="208" t="str">
        <f>vlookup(A719,Price!A:B,2,false)</f>
        <v>#N/A</v>
      </c>
      <c r="C719" s="198"/>
      <c r="D719" s="198"/>
      <c r="E719" s="198"/>
      <c r="F719" s="198"/>
      <c r="G719" s="198"/>
      <c r="H719" s="198"/>
      <c r="I719" s="198"/>
      <c r="J719" s="198"/>
      <c r="K719" s="198"/>
      <c r="L719" s="198"/>
    </row>
    <row r="720">
      <c r="A720" s="198"/>
      <c r="B720" s="208" t="str">
        <f>vlookup(A720,Price!A:B,2,false)</f>
        <v>#N/A</v>
      </c>
      <c r="C720" s="198"/>
      <c r="D720" s="198"/>
      <c r="E720" s="198"/>
      <c r="F720" s="198"/>
      <c r="G720" s="198"/>
      <c r="H720" s="198"/>
      <c r="I720" s="198"/>
      <c r="J720" s="198"/>
      <c r="K720" s="198"/>
      <c r="L720" s="198"/>
    </row>
    <row r="721">
      <c r="A721" s="198"/>
      <c r="B721" s="208" t="str">
        <f>vlookup(A721,Price!A:B,2,false)</f>
        <v>#N/A</v>
      </c>
      <c r="C721" s="198"/>
      <c r="D721" s="198"/>
      <c r="E721" s="198"/>
      <c r="F721" s="198"/>
      <c r="G721" s="198"/>
      <c r="H721" s="198"/>
      <c r="I721" s="198"/>
      <c r="J721" s="198"/>
      <c r="K721" s="198"/>
      <c r="L721" s="198"/>
    </row>
    <row r="722">
      <c r="A722" s="198"/>
      <c r="B722" s="208" t="str">
        <f>vlookup(A722,Price!A:B,2,false)</f>
        <v>#N/A</v>
      </c>
      <c r="C722" s="198"/>
      <c r="D722" s="198"/>
      <c r="E722" s="198"/>
      <c r="F722" s="198"/>
      <c r="G722" s="198"/>
      <c r="H722" s="198"/>
      <c r="I722" s="198"/>
      <c r="J722" s="198"/>
      <c r="K722" s="198"/>
      <c r="L722" s="198"/>
    </row>
    <row r="723">
      <c r="A723" s="198"/>
      <c r="B723" s="208" t="str">
        <f>vlookup(A723,Price!A:B,2,false)</f>
        <v>#N/A</v>
      </c>
      <c r="C723" s="198"/>
      <c r="D723" s="198"/>
      <c r="E723" s="198"/>
      <c r="F723" s="198"/>
      <c r="G723" s="198"/>
      <c r="H723" s="198"/>
      <c r="I723" s="198"/>
      <c r="J723" s="198"/>
      <c r="K723" s="198"/>
      <c r="L723" s="198"/>
    </row>
    <row r="724">
      <c r="A724" s="198"/>
      <c r="B724" s="208" t="str">
        <f>vlookup(A724,Price!A:B,2,false)</f>
        <v>#N/A</v>
      </c>
      <c r="C724" s="198"/>
      <c r="D724" s="198"/>
      <c r="E724" s="198"/>
      <c r="F724" s="198"/>
      <c r="G724" s="198"/>
      <c r="H724" s="198"/>
      <c r="I724" s="198"/>
      <c r="J724" s="198"/>
      <c r="K724" s="198"/>
      <c r="L724" s="198"/>
    </row>
    <row r="725">
      <c r="A725" s="198"/>
      <c r="B725" s="208" t="str">
        <f>vlookup(A725,Price!A:B,2,false)</f>
        <v>#N/A</v>
      </c>
      <c r="C725" s="198"/>
      <c r="D725" s="198"/>
      <c r="E725" s="198"/>
      <c r="F725" s="198"/>
      <c r="G725" s="198"/>
      <c r="H725" s="198"/>
      <c r="I725" s="198"/>
      <c r="J725" s="198"/>
      <c r="K725" s="198"/>
      <c r="L725" s="198"/>
    </row>
    <row r="726">
      <c r="A726" s="198"/>
      <c r="B726" s="208" t="str">
        <f>vlookup(A726,Price!A:B,2,false)</f>
        <v>#N/A</v>
      </c>
      <c r="C726" s="198"/>
      <c r="D726" s="198"/>
      <c r="E726" s="198"/>
      <c r="F726" s="198"/>
      <c r="G726" s="198"/>
      <c r="H726" s="198"/>
      <c r="I726" s="198"/>
      <c r="J726" s="198"/>
      <c r="K726" s="198"/>
      <c r="L726" s="198"/>
    </row>
    <row r="727">
      <c r="A727" s="198"/>
      <c r="B727" s="208" t="str">
        <f>vlookup(A727,Price!A:B,2,false)</f>
        <v>#N/A</v>
      </c>
      <c r="C727" s="198"/>
      <c r="D727" s="198"/>
      <c r="E727" s="198"/>
      <c r="F727" s="198"/>
      <c r="G727" s="198"/>
      <c r="H727" s="198"/>
      <c r="I727" s="198"/>
      <c r="J727" s="198"/>
      <c r="K727" s="198"/>
      <c r="L727" s="198"/>
    </row>
    <row r="728">
      <c r="A728" s="198"/>
      <c r="B728" s="208" t="str">
        <f>vlookup(A728,Price!A:B,2,false)</f>
        <v>#N/A</v>
      </c>
      <c r="C728" s="198"/>
      <c r="D728" s="198"/>
      <c r="E728" s="198"/>
      <c r="F728" s="198"/>
      <c r="G728" s="198"/>
      <c r="H728" s="198"/>
      <c r="I728" s="198"/>
      <c r="J728" s="198"/>
      <c r="K728" s="198"/>
      <c r="L728" s="198"/>
    </row>
    <row r="729">
      <c r="A729" s="198"/>
      <c r="B729" s="208" t="str">
        <f>vlookup(A729,Price!A:B,2,false)</f>
        <v>#N/A</v>
      </c>
      <c r="C729" s="198"/>
      <c r="D729" s="198"/>
      <c r="E729" s="198"/>
      <c r="F729" s="198"/>
      <c r="G729" s="198"/>
      <c r="H729" s="198"/>
      <c r="I729" s="198"/>
      <c r="J729" s="198"/>
      <c r="K729" s="198"/>
      <c r="L729" s="198"/>
    </row>
    <row r="730">
      <c r="A730" s="198"/>
      <c r="B730" s="208" t="str">
        <f>vlookup(A730,Price!A:B,2,false)</f>
        <v>#N/A</v>
      </c>
      <c r="C730" s="198"/>
      <c r="D730" s="198"/>
      <c r="E730" s="198"/>
      <c r="F730" s="198"/>
      <c r="G730" s="198"/>
      <c r="H730" s="198"/>
      <c r="I730" s="198"/>
      <c r="J730" s="198"/>
      <c r="K730" s="198"/>
      <c r="L730" s="198"/>
    </row>
    <row r="731">
      <c r="A731" s="198"/>
      <c r="B731" s="208" t="str">
        <f>vlookup(A731,Price!A:B,2,false)</f>
        <v>#N/A</v>
      </c>
      <c r="C731" s="198"/>
      <c r="D731" s="198"/>
      <c r="E731" s="198"/>
      <c r="F731" s="198"/>
      <c r="G731" s="198"/>
      <c r="H731" s="198"/>
      <c r="I731" s="198"/>
      <c r="J731" s="198"/>
      <c r="K731" s="198"/>
      <c r="L731" s="198"/>
    </row>
    <row r="732">
      <c r="A732" s="198"/>
      <c r="B732" s="208" t="str">
        <f>vlookup(A732,Price!A:B,2,false)</f>
        <v>#N/A</v>
      </c>
      <c r="C732" s="198"/>
      <c r="D732" s="198"/>
      <c r="E732" s="198"/>
      <c r="F732" s="198"/>
      <c r="G732" s="198"/>
      <c r="H732" s="198"/>
      <c r="I732" s="198"/>
      <c r="J732" s="198"/>
      <c r="K732" s="198"/>
      <c r="L732" s="198"/>
    </row>
    <row r="733">
      <c r="A733" s="198"/>
      <c r="B733" s="208" t="str">
        <f>vlookup(A733,Price!A:B,2,false)</f>
        <v>#N/A</v>
      </c>
      <c r="C733" s="198"/>
      <c r="D733" s="198"/>
      <c r="E733" s="198"/>
      <c r="F733" s="198"/>
      <c r="G733" s="198"/>
      <c r="H733" s="198"/>
      <c r="I733" s="198"/>
      <c r="J733" s="198"/>
      <c r="K733" s="198"/>
      <c r="L733" s="198"/>
    </row>
    <row r="734">
      <c r="A734" s="198"/>
      <c r="B734" s="208" t="str">
        <f>vlookup(A734,Price!A:B,2,false)</f>
        <v>#N/A</v>
      </c>
      <c r="C734" s="198"/>
      <c r="D734" s="198"/>
      <c r="E734" s="198"/>
      <c r="F734" s="198"/>
      <c r="G734" s="198"/>
      <c r="H734" s="198"/>
      <c r="I734" s="198"/>
      <c r="J734" s="198"/>
      <c r="K734" s="198"/>
      <c r="L734" s="198"/>
    </row>
    <row r="735">
      <c r="A735" s="198"/>
      <c r="B735" s="208" t="str">
        <f>vlookup(A735,Price!A:B,2,false)</f>
        <v>#N/A</v>
      </c>
      <c r="C735" s="198"/>
      <c r="D735" s="198"/>
      <c r="E735" s="198"/>
      <c r="F735" s="198"/>
      <c r="G735" s="198"/>
      <c r="H735" s="198"/>
      <c r="I735" s="198"/>
      <c r="J735" s="198"/>
      <c r="K735" s="198"/>
      <c r="L735" s="198"/>
    </row>
    <row r="736">
      <c r="A736" s="198"/>
      <c r="B736" s="208" t="str">
        <f>vlookup(A736,Price!A:B,2,false)</f>
        <v>#N/A</v>
      </c>
      <c r="C736" s="198"/>
      <c r="D736" s="198"/>
      <c r="E736" s="198"/>
      <c r="F736" s="198"/>
      <c r="G736" s="198"/>
      <c r="H736" s="198"/>
      <c r="I736" s="198"/>
      <c r="J736" s="198"/>
      <c r="K736" s="198"/>
      <c r="L736" s="198"/>
    </row>
    <row r="737">
      <c r="A737" s="198"/>
      <c r="B737" s="208" t="str">
        <f>vlookup(A737,Price!A:B,2,false)</f>
        <v>#N/A</v>
      </c>
      <c r="C737" s="198"/>
      <c r="D737" s="198"/>
      <c r="E737" s="198"/>
      <c r="F737" s="198"/>
      <c r="G737" s="198"/>
      <c r="H737" s="198"/>
      <c r="I737" s="198"/>
      <c r="J737" s="198"/>
      <c r="K737" s="198"/>
      <c r="L737" s="198"/>
    </row>
    <row r="738">
      <c r="A738" s="198"/>
      <c r="B738" s="208" t="str">
        <f>vlookup(A738,Price!A:B,2,false)</f>
        <v>#N/A</v>
      </c>
      <c r="C738" s="198"/>
      <c r="D738" s="198"/>
      <c r="E738" s="198"/>
      <c r="F738" s="198"/>
      <c r="G738" s="198"/>
      <c r="H738" s="198"/>
      <c r="I738" s="198"/>
      <c r="J738" s="198"/>
      <c r="K738" s="198"/>
      <c r="L738" s="198"/>
    </row>
    <row r="739">
      <c r="A739" s="198"/>
      <c r="B739" s="208" t="str">
        <f>vlookup(A739,Price!A:B,2,false)</f>
        <v>#N/A</v>
      </c>
      <c r="C739" s="198"/>
      <c r="D739" s="198"/>
      <c r="E739" s="198"/>
      <c r="F739" s="198"/>
      <c r="G739" s="198"/>
      <c r="H739" s="198"/>
      <c r="I739" s="198"/>
      <c r="J739" s="198"/>
      <c r="K739" s="198"/>
      <c r="L739" s="198"/>
    </row>
    <row r="740">
      <c r="A740" s="198"/>
      <c r="B740" s="208" t="str">
        <f>vlookup(A740,Price!A:B,2,false)</f>
        <v>#N/A</v>
      </c>
      <c r="C740" s="198"/>
      <c r="D740" s="198"/>
      <c r="E740" s="198"/>
      <c r="F740" s="198"/>
      <c r="G740" s="198"/>
      <c r="H740" s="198"/>
      <c r="I740" s="198"/>
      <c r="J740" s="198"/>
      <c r="K740" s="198"/>
      <c r="L740" s="198"/>
    </row>
    <row r="741">
      <c r="A741" s="198"/>
      <c r="B741" s="208" t="str">
        <f>vlookup(A741,Price!A:B,2,false)</f>
        <v>#N/A</v>
      </c>
      <c r="C741" s="198"/>
      <c r="D741" s="198"/>
      <c r="E741" s="198"/>
      <c r="F741" s="198"/>
      <c r="G741" s="198"/>
      <c r="H741" s="198"/>
      <c r="I741" s="198"/>
      <c r="J741" s="198"/>
      <c r="K741" s="198"/>
      <c r="L741" s="198"/>
    </row>
    <row r="742">
      <c r="A742" s="198"/>
      <c r="B742" s="208" t="str">
        <f>vlookup(A742,Price!A:B,2,false)</f>
        <v>#N/A</v>
      </c>
      <c r="C742" s="198"/>
      <c r="D742" s="198"/>
      <c r="E742" s="198"/>
      <c r="F742" s="198"/>
      <c r="G742" s="198"/>
      <c r="H742" s="198"/>
      <c r="I742" s="198"/>
      <c r="J742" s="198"/>
      <c r="K742" s="198"/>
      <c r="L742" s="198"/>
    </row>
    <row r="743">
      <c r="A743" s="198"/>
      <c r="B743" s="208" t="str">
        <f>vlookup(A743,Price!A:B,2,false)</f>
        <v>#N/A</v>
      </c>
      <c r="C743" s="198"/>
      <c r="D743" s="198"/>
      <c r="E743" s="198"/>
      <c r="F743" s="198"/>
      <c r="G743" s="198"/>
      <c r="H743" s="198"/>
      <c r="I743" s="198"/>
      <c r="J743" s="198"/>
      <c r="K743" s="198"/>
      <c r="L743" s="198"/>
    </row>
    <row r="744">
      <c r="A744" s="198"/>
      <c r="B744" s="208" t="str">
        <f>vlookup(A744,Price!A:B,2,false)</f>
        <v>#N/A</v>
      </c>
      <c r="C744" s="198"/>
      <c r="D744" s="198"/>
      <c r="E744" s="198"/>
      <c r="F744" s="198"/>
      <c r="G744" s="198"/>
      <c r="H744" s="198"/>
      <c r="I744" s="198"/>
      <c r="J744" s="198"/>
      <c r="K744" s="198"/>
      <c r="L744" s="198"/>
    </row>
    <row r="745">
      <c r="A745" s="198"/>
      <c r="B745" s="208" t="str">
        <f>vlookup(A745,Price!A:B,2,false)</f>
        <v>#N/A</v>
      </c>
      <c r="C745" s="198"/>
      <c r="D745" s="198"/>
      <c r="E745" s="198"/>
      <c r="F745" s="198"/>
      <c r="G745" s="198"/>
      <c r="H745" s="198"/>
      <c r="I745" s="198"/>
      <c r="J745" s="198"/>
      <c r="K745" s="198"/>
      <c r="L745" s="198"/>
    </row>
    <row r="746">
      <c r="A746" s="198"/>
      <c r="B746" s="208" t="str">
        <f>vlookup(A746,Price!A:B,2,false)</f>
        <v>#N/A</v>
      </c>
      <c r="C746" s="198"/>
      <c r="D746" s="198"/>
      <c r="E746" s="198"/>
      <c r="F746" s="198"/>
      <c r="G746" s="198"/>
      <c r="H746" s="198"/>
      <c r="I746" s="198"/>
      <c r="J746" s="198"/>
      <c r="K746" s="198"/>
      <c r="L746" s="198"/>
    </row>
    <row r="747">
      <c r="A747" s="198"/>
      <c r="B747" s="208" t="str">
        <f>vlookup(A747,Price!A:B,2,false)</f>
        <v>#N/A</v>
      </c>
      <c r="C747" s="198"/>
      <c r="D747" s="198"/>
      <c r="E747" s="198"/>
      <c r="F747" s="198"/>
      <c r="G747" s="198"/>
      <c r="H747" s="198"/>
      <c r="I747" s="198"/>
      <c r="J747" s="198"/>
      <c r="K747" s="198"/>
      <c r="L747" s="198"/>
    </row>
    <row r="748">
      <c r="A748" s="198"/>
      <c r="B748" s="208" t="str">
        <f>vlookup(A748,Price!A:B,2,false)</f>
        <v>#N/A</v>
      </c>
      <c r="C748" s="198"/>
      <c r="D748" s="198"/>
      <c r="E748" s="198"/>
      <c r="F748" s="198"/>
      <c r="G748" s="198"/>
      <c r="H748" s="198"/>
      <c r="I748" s="198"/>
      <c r="J748" s="198"/>
      <c r="K748" s="198"/>
      <c r="L748" s="198"/>
    </row>
    <row r="749">
      <c r="A749" s="198"/>
      <c r="B749" s="208" t="str">
        <f>vlookup(A749,Price!A:B,2,false)</f>
        <v>#N/A</v>
      </c>
      <c r="C749" s="198"/>
      <c r="D749" s="198"/>
      <c r="E749" s="198"/>
      <c r="F749" s="198"/>
      <c r="G749" s="198"/>
      <c r="H749" s="198"/>
      <c r="I749" s="198"/>
      <c r="J749" s="198"/>
      <c r="K749" s="198"/>
      <c r="L749" s="198"/>
    </row>
    <row r="750">
      <c r="A750" s="198"/>
      <c r="B750" s="208" t="str">
        <f>vlookup(A750,Price!A:B,2,false)</f>
        <v>#N/A</v>
      </c>
      <c r="C750" s="198"/>
      <c r="D750" s="198"/>
      <c r="E750" s="198"/>
      <c r="F750" s="198"/>
      <c r="G750" s="198"/>
      <c r="H750" s="198"/>
      <c r="I750" s="198"/>
      <c r="J750" s="198"/>
      <c r="K750" s="198"/>
      <c r="L750" s="198"/>
    </row>
    <row r="751">
      <c r="A751" s="198"/>
      <c r="B751" s="208" t="str">
        <f>vlookup(A751,Price!A:B,2,false)</f>
        <v>#N/A</v>
      </c>
      <c r="C751" s="198"/>
      <c r="D751" s="198"/>
      <c r="E751" s="198"/>
      <c r="F751" s="198"/>
      <c r="G751" s="198"/>
      <c r="H751" s="198"/>
      <c r="I751" s="198"/>
      <c r="J751" s="198"/>
      <c r="K751" s="198"/>
      <c r="L751" s="198"/>
    </row>
    <row r="752">
      <c r="A752" s="198"/>
      <c r="B752" s="208" t="str">
        <f>vlookup(A752,Price!A:B,2,false)</f>
        <v>#N/A</v>
      </c>
      <c r="C752" s="198"/>
      <c r="D752" s="198"/>
      <c r="E752" s="198"/>
      <c r="F752" s="198"/>
      <c r="G752" s="198"/>
      <c r="H752" s="198"/>
      <c r="I752" s="198"/>
      <c r="J752" s="198"/>
      <c r="K752" s="198"/>
      <c r="L752" s="198"/>
    </row>
    <row r="753">
      <c r="A753" s="198"/>
      <c r="B753" s="208" t="str">
        <f>vlookup(A753,Price!A:B,2,false)</f>
        <v>#N/A</v>
      </c>
      <c r="C753" s="198"/>
      <c r="D753" s="198"/>
      <c r="E753" s="198"/>
      <c r="F753" s="198"/>
      <c r="G753" s="198"/>
      <c r="H753" s="198"/>
      <c r="I753" s="198"/>
      <c r="J753" s="198"/>
      <c r="K753" s="198"/>
      <c r="L753" s="198"/>
    </row>
    <row r="754">
      <c r="A754" s="198"/>
      <c r="B754" s="208" t="str">
        <f>vlookup(A754,Price!A:B,2,false)</f>
        <v>#N/A</v>
      </c>
      <c r="C754" s="198"/>
      <c r="D754" s="198"/>
      <c r="E754" s="198"/>
      <c r="F754" s="198"/>
      <c r="G754" s="198"/>
      <c r="H754" s="198"/>
      <c r="I754" s="198"/>
      <c r="J754" s="198"/>
      <c r="K754" s="198"/>
      <c r="L754" s="198"/>
    </row>
    <row r="755">
      <c r="A755" s="198"/>
      <c r="B755" s="208" t="str">
        <f>vlookup(A755,Price!A:B,2,false)</f>
        <v>#N/A</v>
      </c>
      <c r="C755" s="198"/>
      <c r="D755" s="198"/>
      <c r="E755" s="198"/>
      <c r="F755" s="198"/>
      <c r="G755" s="198"/>
      <c r="H755" s="198"/>
      <c r="I755" s="198"/>
      <c r="J755" s="198"/>
      <c r="K755" s="198"/>
      <c r="L755" s="198"/>
    </row>
    <row r="756">
      <c r="A756" s="198"/>
      <c r="B756" s="208" t="str">
        <f>vlookup(A756,Price!A:B,2,false)</f>
        <v>#N/A</v>
      </c>
      <c r="C756" s="198"/>
      <c r="D756" s="198"/>
      <c r="E756" s="198"/>
      <c r="F756" s="198"/>
      <c r="G756" s="198"/>
      <c r="H756" s="198"/>
      <c r="I756" s="198"/>
      <c r="J756" s="198"/>
      <c r="K756" s="198"/>
      <c r="L756" s="198"/>
    </row>
    <row r="757">
      <c r="A757" s="198"/>
      <c r="B757" s="208" t="str">
        <f>vlookup(A757,Price!A:B,2,false)</f>
        <v>#N/A</v>
      </c>
      <c r="C757" s="198"/>
      <c r="D757" s="198"/>
      <c r="E757" s="198"/>
      <c r="F757" s="198"/>
      <c r="G757" s="198"/>
      <c r="H757" s="198"/>
      <c r="I757" s="198"/>
      <c r="J757" s="198"/>
      <c r="K757" s="198"/>
      <c r="L757" s="198"/>
    </row>
    <row r="758">
      <c r="A758" s="198"/>
      <c r="B758" s="208" t="str">
        <f>vlookup(A758,Price!A:B,2,false)</f>
        <v>#N/A</v>
      </c>
      <c r="C758" s="198"/>
      <c r="D758" s="198"/>
      <c r="E758" s="198"/>
      <c r="F758" s="198"/>
      <c r="G758" s="198"/>
      <c r="H758" s="198"/>
      <c r="I758" s="198"/>
      <c r="J758" s="198"/>
      <c r="K758" s="198"/>
      <c r="L758" s="198"/>
    </row>
    <row r="759">
      <c r="A759" s="198"/>
      <c r="B759" s="208" t="str">
        <f>vlookup(A759,Price!A:B,2,false)</f>
        <v>#N/A</v>
      </c>
      <c r="C759" s="198"/>
      <c r="D759" s="198"/>
      <c r="E759" s="198"/>
      <c r="F759" s="198"/>
      <c r="G759" s="198"/>
      <c r="H759" s="198"/>
      <c r="I759" s="198"/>
      <c r="J759" s="198"/>
      <c r="K759" s="198"/>
      <c r="L759" s="198"/>
    </row>
    <row r="760">
      <c r="A760" s="198"/>
      <c r="B760" s="208" t="str">
        <f>vlookup(A760,Price!A:B,2,false)</f>
        <v>#N/A</v>
      </c>
      <c r="C760" s="198"/>
      <c r="D760" s="198"/>
      <c r="E760" s="198"/>
      <c r="F760" s="198"/>
      <c r="G760" s="198"/>
      <c r="H760" s="198"/>
      <c r="I760" s="198"/>
      <c r="J760" s="198"/>
      <c r="K760" s="198"/>
      <c r="L760" s="198"/>
    </row>
    <row r="761">
      <c r="A761" s="198"/>
      <c r="B761" s="208" t="str">
        <f>vlookup(A761,Price!A:B,2,false)</f>
        <v>#N/A</v>
      </c>
      <c r="C761" s="198"/>
      <c r="D761" s="198"/>
      <c r="E761" s="198"/>
      <c r="F761" s="198"/>
      <c r="G761" s="198"/>
      <c r="H761" s="198"/>
      <c r="I761" s="198"/>
      <c r="J761" s="198"/>
      <c r="K761" s="198"/>
      <c r="L761" s="198"/>
    </row>
    <row r="762">
      <c r="A762" s="198"/>
      <c r="B762" s="208" t="str">
        <f>vlookup(A762,Price!A:B,2,false)</f>
        <v>#N/A</v>
      </c>
      <c r="C762" s="198"/>
      <c r="D762" s="198"/>
      <c r="E762" s="198"/>
      <c r="F762" s="198"/>
      <c r="G762" s="198"/>
      <c r="H762" s="198"/>
      <c r="I762" s="198"/>
      <c r="J762" s="198"/>
      <c r="K762" s="198"/>
      <c r="L762" s="198"/>
    </row>
    <row r="763">
      <c r="A763" s="198"/>
      <c r="B763" s="208" t="str">
        <f>vlookup(A763,Price!A:B,2,false)</f>
        <v>#N/A</v>
      </c>
      <c r="C763" s="198"/>
      <c r="D763" s="198"/>
      <c r="E763" s="198"/>
      <c r="F763" s="198"/>
      <c r="G763" s="198"/>
      <c r="H763" s="198"/>
      <c r="I763" s="198"/>
      <c r="J763" s="198"/>
      <c r="K763" s="198"/>
      <c r="L763" s="198"/>
    </row>
    <row r="764">
      <c r="A764" s="198"/>
      <c r="B764" s="208" t="str">
        <f>vlookup(A764,Price!A:B,2,false)</f>
        <v>#N/A</v>
      </c>
      <c r="C764" s="198"/>
      <c r="D764" s="198"/>
      <c r="E764" s="198"/>
      <c r="F764" s="198"/>
      <c r="G764" s="198"/>
      <c r="H764" s="198"/>
      <c r="I764" s="198"/>
      <c r="J764" s="198"/>
      <c r="K764" s="198"/>
      <c r="L764" s="198"/>
    </row>
    <row r="765">
      <c r="A765" s="198"/>
      <c r="B765" s="208" t="str">
        <f>vlookup(A765,Price!A:B,2,false)</f>
        <v>#N/A</v>
      </c>
      <c r="C765" s="198"/>
      <c r="D765" s="198"/>
      <c r="E765" s="198"/>
      <c r="F765" s="198"/>
      <c r="G765" s="198"/>
      <c r="H765" s="198"/>
      <c r="I765" s="198"/>
      <c r="J765" s="198"/>
      <c r="K765" s="198"/>
      <c r="L765" s="198"/>
    </row>
    <row r="766">
      <c r="A766" s="198"/>
      <c r="B766" s="208" t="str">
        <f>vlookup(A766,Price!A:B,2,false)</f>
        <v>#N/A</v>
      </c>
      <c r="C766" s="198"/>
      <c r="D766" s="198"/>
      <c r="E766" s="198"/>
      <c r="F766" s="198"/>
      <c r="G766" s="198"/>
      <c r="H766" s="198"/>
      <c r="I766" s="198"/>
      <c r="J766" s="198"/>
      <c r="K766" s="198"/>
      <c r="L766" s="198"/>
    </row>
    <row r="767">
      <c r="A767" s="198"/>
      <c r="B767" s="208" t="str">
        <f>vlookup(A767,Price!A:B,2,false)</f>
        <v>#N/A</v>
      </c>
      <c r="C767" s="198"/>
      <c r="D767" s="198"/>
      <c r="E767" s="198"/>
      <c r="F767" s="198"/>
      <c r="G767" s="198"/>
      <c r="H767" s="198"/>
      <c r="I767" s="198"/>
      <c r="J767" s="198"/>
      <c r="K767" s="198"/>
      <c r="L767" s="198"/>
    </row>
    <row r="768">
      <c r="A768" s="198"/>
      <c r="B768" s="208" t="str">
        <f>vlookup(A768,Price!A:B,2,false)</f>
        <v>#N/A</v>
      </c>
      <c r="C768" s="198"/>
      <c r="D768" s="198"/>
      <c r="E768" s="198"/>
      <c r="F768" s="198"/>
      <c r="G768" s="198"/>
      <c r="H768" s="198"/>
      <c r="I768" s="198"/>
      <c r="J768" s="198"/>
      <c r="K768" s="198"/>
      <c r="L768" s="198"/>
    </row>
    <row r="769">
      <c r="A769" s="198"/>
      <c r="B769" s="208" t="str">
        <f>vlookup(A769,Price!A:B,2,false)</f>
        <v>#N/A</v>
      </c>
      <c r="C769" s="198"/>
      <c r="D769" s="198"/>
      <c r="E769" s="198"/>
      <c r="F769" s="198"/>
      <c r="G769" s="198"/>
      <c r="H769" s="198"/>
      <c r="I769" s="198"/>
      <c r="J769" s="198"/>
      <c r="K769" s="198"/>
      <c r="L769" s="198"/>
    </row>
    <row r="770">
      <c r="A770" s="198"/>
      <c r="B770" s="208" t="str">
        <f>vlookup(A770,Price!A:B,2,false)</f>
        <v>#N/A</v>
      </c>
      <c r="C770" s="198"/>
      <c r="D770" s="198"/>
      <c r="E770" s="198"/>
      <c r="F770" s="198"/>
      <c r="G770" s="198"/>
      <c r="H770" s="198"/>
      <c r="I770" s="198"/>
      <c r="J770" s="198"/>
      <c r="K770" s="198"/>
      <c r="L770" s="198"/>
    </row>
    <row r="771">
      <c r="A771" s="198"/>
      <c r="B771" s="208" t="str">
        <f>vlookup(A771,Price!A:B,2,false)</f>
        <v>#N/A</v>
      </c>
      <c r="C771" s="198"/>
      <c r="D771" s="198"/>
      <c r="E771" s="198"/>
      <c r="F771" s="198"/>
      <c r="G771" s="198"/>
      <c r="H771" s="198"/>
      <c r="I771" s="198"/>
      <c r="J771" s="198"/>
      <c r="K771" s="198"/>
      <c r="L771" s="198"/>
    </row>
    <row r="772">
      <c r="A772" s="198"/>
      <c r="B772" s="208" t="str">
        <f>vlookup(A772,Price!A:B,2,false)</f>
        <v>#N/A</v>
      </c>
      <c r="C772" s="198"/>
      <c r="D772" s="198"/>
      <c r="E772" s="198"/>
      <c r="F772" s="198"/>
      <c r="G772" s="198"/>
      <c r="H772" s="198"/>
      <c r="I772" s="198"/>
      <c r="J772" s="198"/>
      <c r="K772" s="198"/>
      <c r="L772" s="198"/>
    </row>
    <row r="773">
      <c r="A773" s="198"/>
      <c r="B773" s="208" t="str">
        <f>vlookup(A773,Price!A:B,2,false)</f>
        <v>#N/A</v>
      </c>
      <c r="C773" s="198"/>
      <c r="D773" s="198"/>
      <c r="E773" s="198"/>
      <c r="F773" s="198"/>
      <c r="G773" s="198"/>
      <c r="H773" s="198"/>
      <c r="I773" s="198"/>
      <c r="J773" s="198"/>
      <c r="K773" s="198"/>
      <c r="L773" s="198"/>
    </row>
    <row r="774">
      <c r="A774" s="198"/>
      <c r="B774" s="208" t="str">
        <f>vlookup(A774,Price!A:B,2,false)</f>
        <v>#N/A</v>
      </c>
      <c r="C774" s="198"/>
      <c r="D774" s="198"/>
      <c r="E774" s="198"/>
      <c r="F774" s="198"/>
      <c r="G774" s="198"/>
      <c r="H774" s="198"/>
      <c r="I774" s="198"/>
      <c r="J774" s="198"/>
      <c r="K774" s="198"/>
      <c r="L774" s="198"/>
    </row>
    <row r="775">
      <c r="A775" s="198"/>
      <c r="B775" s="208" t="str">
        <f>vlookup(A775,Price!A:B,2,false)</f>
        <v>#N/A</v>
      </c>
      <c r="C775" s="198"/>
      <c r="D775" s="198"/>
      <c r="E775" s="198"/>
      <c r="F775" s="198"/>
      <c r="G775" s="198"/>
      <c r="H775" s="198"/>
      <c r="I775" s="198"/>
      <c r="J775" s="198"/>
      <c r="K775" s="198"/>
      <c r="L775" s="198"/>
    </row>
    <row r="776">
      <c r="A776" s="198"/>
      <c r="B776" s="208" t="str">
        <f>vlookup(A776,Price!A:B,2,false)</f>
        <v>#N/A</v>
      </c>
      <c r="C776" s="198"/>
      <c r="D776" s="198"/>
      <c r="E776" s="198"/>
      <c r="F776" s="198"/>
      <c r="G776" s="198"/>
      <c r="H776" s="198"/>
      <c r="I776" s="198"/>
      <c r="J776" s="198"/>
      <c r="K776" s="198"/>
      <c r="L776" s="198"/>
    </row>
    <row r="777">
      <c r="A777" s="198"/>
      <c r="B777" s="208" t="str">
        <f>vlookup(A777,Price!A:B,2,false)</f>
        <v>#N/A</v>
      </c>
      <c r="C777" s="198"/>
      <c r="D777" s="198"/>
      <c r="E777" s="198"/>
      <c r="F777" s="198"/>
      <c r="G777" s="198"/>
      <c r="H777" s="198"/>
      <c r="I777" s="198"/>
      <c r="J777" s="198"/>
      <c r="K777" s="198"/>
      <c r="L777" s="198"/>
    </row>
    <row r="778">
      <c r="A778" s="198"/>
      <c r="B778" s="208" t="str">
        <f>vlookup(A778,Price!A:B,2,false)</f>
        <v>#N/A</v>
      </c>
      <c r="C778" s="198"/>
      <c r="D778" s="198"/>
      <c r="E778" s="198"/>
      <c r="F778" s="198"/>
      <c r="G778" s="198"/>
      <c r="H778" s="198"/>
      <c r="I778" s="198"/>
      <c r="J778" s="198"/>
      <c r="K778" s="198"/>
      <c r="L778" s="198"/>
    </row>
    <row r="779">
      <c r="A779" s="198"/>
      <c r="B779" s="208" t="str">
        <f>vlookup(A779,Price!A:B,2,false)</f>
        <v>#N/A</v>
      </c>
      <c r="C779" s="198"/>
      <c r="D779" s="198"/>
      <c r="E779" s="198"/>
      <c r="F779" s="198"/>
      <c r="G779" s="198"/>
      <c r="H779" s="198"/>
      <c r="I779" s="198"/>
      <c r="J779" s="198"/>
      <c r="K779" s="198"/>
      <c r="L779" s="198"/>
    </row>
    <row r="780">
      <c r="A780" s="198"/>
      <c r="B780" s="208" t="str">
        <f>vlookup(A780,Price!A:B,2,false)</f>
        <v>#N/A</v>
      </c>
      <c r="C780" s="198"/>
      <c r="D780" s="198"/>
      <c r="E780" s="198"/>
      <c r="F780" s="198"/>
      <c r="G780" s="198"/>
      <c r="H780" s="198"/>
      <c r="I780" s="198"/>
      <c r="J780" s="198"/>
      <c r="K780" s="198"/>
      <c r="L780" s="198"/>
    </row>
    <row r="781">
      <c r="A781" s="198"/>
      <c r="B781" s="208" t="str">
        <f>vlookup(A781,Price!A:B,2,false)</f>
        <v>#N/A</v>
      </c>
      <c r="C781" s="198"/>
      <c r="D781" s="198"/>
      <c r="E781" s="198"/>
      <c r="F781" s="198"/>
      <c r="G781" s="198"/>
      <c r="H781" s="198"/>
      <c r="I781" s="198"/>
      <c r="J781" s="198"/>
      <c r="K781" s="198"/>
      <c r="L781" s="198"/>
    </row>
    <row r="782">
      <c r="A782" s="198"/>
      <c r="B782" s="208" t="str">
        <f>vlookup(A782,Price!A:B,2,false)</f>
        <v>#N/A</v>
      </c>
      <c r="C782" s="198"/>
      <c r="D782" s="198"/>
      <c r="E782" s="198"/>
      <c r="F782" s="198"/>
      <c r="G782" s="198"/>
      <c r="H782" s="198"/>
      <c r="I782" s="198"/>
      <c r="J782" s="198"/>
      <c r="K782" s="198"/>
      <c r="L782" s="198"/>
    </row>
    <row r="783">
      <c r="A783" s="198"/>
      <c r="B783" s="208" t="str">
        <f>vlookup(A783,Price!A:B,2,false)</f>
        <v>#N/A</v>
      </c>
      <c r="C783" s="198"/>
      <c r="D783" s="198"/>
      <c r="E783" s="198"/>
      <c r="F783" s="198"/>
      <c r="G783" s="198"/>
      <c r="H783" s="198"/>
      <c r="I783" s="198"/>
      <c r="J783" s="198"/>
      <c r="K783" s="198"/>
      <c r="L783" s="198"/>
    </row>
    <row r="784">
      <c r="A784" s="198"/>
      <c r="B784" s="208" t="str">
        <f>vlookup(A784,Price!A:B,2,false)</f>
        <v>#N/A</v>
      </c>
      <c r="C784" s="198"/>
      <c r="D784" s="198"/>
      <c r="E784" s="198"/>
      <c r="F784" s="198"/>
      <c r="G784" s="198"/>
      <c r="H784" s="198"/>
      <c r="I784" s="198"/>
      <c r="J784" s="198"/>
      <c r="K784" s="198"/>
      <c r="L784" s="198"/>
    </row>
    <row r="785">
      <c r="A785" s="198"/>
      <c r="B785" s="208" t="str">
        <f>vlookup(A785,Price!A:B,2,false)</f>
        <v>#N/A</v>
      </c>
      <c r="C785" s="198"/>
      <c r="D785" s="198"/>
      <c r="E785" s="198"/>
      <c r="F785" s="198"/>
      <c r="G785" s="198"/>
      <c r="H785" s="198"/>
      <c r="I785" s="198"/>
      <c r="J785" s="198"/>
      <c r="K785" s="198"/>
      <c r="L785" s="198"/>
    </row>
    <row r="786">
      <c r="A786" s="198"/>
      <c r="B786" s="208" t="str">
        <f>vlookup(A786,Price!A:B,2,false)</f>
        <v>#N/A</v>
      </c>
      <c r="C786" s="198"/>
      <c r="D786" s="198"/>
      <c r="E786" s="198"/>
      <c r="F786" s="198"/>
      <c r="G786" s="198"/>
      <c r="H786" s="198"/>
      <c r="I786" s="198"/>
      <c r="J786" s="198"/>
      <c r="K786" s="198"/>
      <c r="L786" s="198"/>
    </row>
    <row r="787">
      <c r="A787" s="198"/>
      <c r="B787" s="208" t="str">
        <f>vlookup(A787,Price!A:B,2,false)</f>
        <v>#N/A</v>
      </c>
      <c r="C787" s="198"/>
      <c r="D787" s="198"/>
      <c r="E787" s="198"/>
      <c r="F787" s="198"/>
      <c r="G787" s="198"/>
      <c r="H787" s="198"/>
      <c r="I787" s="198"/>
      <c r="J787" s="198"/>
      <c r="K787" s="198"/>
      <c r="L787" s="198"/>
    </row>
    <row r="788">
      <c r="A788" s="198"/>
      <c r="B788" s="208" t="str">
        <f>vlookup(A788,Price!A:B,2,false)</f>
        <v>#N/A</v>
      </c>
      <c r="C788" s="198"/>
      <c r="D788" s="198"/>
      <c r="E788" s="198"/>
      <c r="F788" s="198"/>
      <c r="G788" s="198"/>
      <c r="H788" s="198"/>
      <c r="I788" s="198"/>
      <c r="J788" s="198"/>
      <c r="K788" s="198"/>
      <c r="L788" s="198"/>
    </row>
    <row r="789">
      <c r="A789" s="198"/>
      <c r="B789" s="208" t="str">
        <f>vlookup(A789,Price!A:B,2,false)</f>
        <v>#N/A</v>
      </c>
      <c r="C789" s="198"/>
      <c r="D789" s="198"/>
      <c r="E789" s="198"/>
      <c r="F789" s="198"/>
      <c r="G789" s="198"/>
      <c r="H789" s="198"/>
      <c r="I789" s="198"/>
      <c r="J789" s="198"/>
      <c r="K789" s="198"/>
      <c r="L789" s="198"/>
    </row>
    <row r="790">
      <c r="A790" s="198"/>
      <c r="B790" s="208" t="str">
        <f>vlookup(A790,Price!A:B,2,false)</f>
        <v>#N/A</v>
      </c>
      <c r="C790" s="198"/>
      <c r="D790" s="198"/>
      <c r="E790" s="198"/>
      <c r="F790" s="198"/>
      <c r="G790" s="198"/>
      <c r="H790" s="198"/>
      <c r="I790" s="198"/>
      <c r="J790" s="198"/>
      <c r="K790" s="198"/>
      <c r="L790" s="198"/>
    </row>
    <row r="791">
      <c r="A791" s="198"/>
      <c r="B791" s="208" t="str">
        <f>vlookup(A791,Price!A:B,2,false)</f>
        <v>#N/A</v>
      </c>
      <c r="C791" s="198"/>
      <c r="D791" s="198"/>
      <c r="E791" s="198"/>
      <c r="F791" s="198"/>
      <c r="G791" s="198"/>
      <c r="H791" s="198"/>
      <c r="I791" s="198"/>
      <c r="J791" s="198"/>
      <c r="K791" s="198"/>
      <c r="L791" s="198"/>
    </row>
    <row r="792">
      <c r="A792" s="198"/>
      <c r="B792" s="208" t="str">
        <f>vlookup(A792,Price!A:B,2,false)</f>
        <v>#N/A</v>
      </c>
      <c r="C792" s="198"/>
      <c r="D792" s="198"/>
      <c r="E792" s="198"/>
      <c r="F792" s="198"/>
      <c r="G792" s="198"/>
      <c r="H792" s="198"/>
      <c r="I792" s="198"/>
      <c r="J792" s="198"/>
      <c r="K792" s="198"/>
      <c r="L792" s="198"/>
    </row>
    <row r="793">
      <c r="A793" s="198"/>
      <c r="B793" s="208" t="str">
        <f>vlookup(A793,Price!A:B,2,false)</f>
        <v>#N/A</v>
      </c>
      <c r="C793" s="198"/>
      <c r="D793" s="198"/>
      <c r="E793" s="198"/>
      <c r="F793" s="198"/>
      <c r="G793" s="198"/>
      <c r="H793" s="198"/>
      <c r="I793" s="198"/>
      <c r="J793" s="198"/>
      <c r="K793" s="198"/>
      <c r="L793" s="198"/>
    </row>
    <row r="794">
      <c r="A794" s="198"/>
      <c r="B794" s="208" t="str">
        <f>vlookup(A794,Price!A:B,2,false)</f>
        <v>#N/A</v>
      </c>
      <c r="C794" s="198"/>
      <c r="D794" s="198"/>
      <c r="E794" s="198"/>
      <c r="F794" s="198"/>
      <c r="G794" s="198"/>
      <c r="H794" s="198"/>
      <c r="I794" s="198"/>
      <c r="J794" s="198"/>
      <c r="K794" s="198"/>
      <c r="L794" s="198"/>
    </row>
    <row r="795">
      <c r="A795" s="198"/>
      <c r="B795" s="208" t="str">
        <f>vlookup(A795,Price!A:B,2,false)</f>
        <v>#N/A</v>
      </c>
      <c r="C795" s="198"/>
      <c r="D795" s="198"/>
      <c r="E795" s="198"/>
      <c r="F795" s="198"/>
      <c r="G795" s="198"/>
      <c r="H795" s="198"/>
      <c r="I795" s="198"/>
      <c r="J795" s="198"/>
      <c r="K795" s="198"/>
      <c r="L795" s="198"/>
    </row>
    <row r="796">
      <c r="A796" s="198"/>
      <c r="B796" s="208" t="str">
        <f>vlookup(A796,Price!A:B,2,false)</f>
        <v>#N/A</v>
      </c>
      <c r="C796" s="198"/>
      <c r="D796" s="198"/>
      <c r="E796" s="198"/>
      <c r="F796" s="198"/>
      <c r="G796" s="198"/>
      <c r="H796" s="198"/>
      <c r="I796" s="198"/>
      <c r="J796" s="198"/>
      <c r="K796" s="198"/>
      <c r="L796" s="198"/>
    </row>
    <row r="797">
      <c r="A797" s="198"/>
      <c r="B797" s="208" t="str">
        <f>vlookup(A797,Price!A:B,2,false)</f>
        <v>#N/A</v>
      </c>
      <c r="C797" s="198"/>
      <c r="D797" s="198"/>
      <c r="E797" s="198"/>
      <c r="F797" s="198"/>
      <c r="G797" s="198"/>
      <c r="H797" s="198"/>
      <c r="I797" s="198"/>
      <c r="J797" s="198"/>
      <c r="K797" s="198"/>
      <c r="L797" s="198"/>
    </row>
    <row r="798">
      <c r="A798" s="198"/>
      <c r="B798" s="208" t="str">
        <f>vlookup(A798,Price!A:B,2,false)</f>
        <v>#N/A</v>
      </c>
      <c r="C798" s="198"/>
      <c r="D798" s="198"/>
      <c r="E798" s="198"/>
      <c r="F798" s="198"/>
      <c r="G798" s="198"/>
      <c r="H798" s="198"/>
      <c r="I798" s="198"/>
      <c r="J798" s="198"/>
      <c r="K798" s="198"/>
      <c r="L798" s="198"/>
    </row>
    <row r="799">
      <c r="A799" s="198"/>
      <c r="B799" s="208" t="str">
        <f>vlookup(A799,Price!A:B,2,false)</f>
        <v>#N/A</v>
      </c>
      <c r="C799" s="198"/>
      <c r="D799" s="198"/>
      <c r="E799" s="198"/>
      <c r="F799" s="198"/>
      <c r="G799" s="198"/>
      <c r="H799" s="198"/>
      <c r="I799" s="198"/>
      <c r="J799" s="198"/>
      <c r="K799" s="198"/>
      <c r="L799" s="198"/>
    </row>
    <row r="800">
      <c r="A800" s="198"/>
      <c r="B800" s="208" t="str">
        <f>vlookup(A800,Price!A:B,2,false)</f>
        <v>#N/A</v>
      </c>
      <c r="C800" s="198"/>
      <c r="D800" s="198"/>
      <c r="E800" s="198"/>
      <c r="F800" s="198"/>
      <c r="G800" s="198"/>
      <c r="H800" s="198"/>
      <c r="I800" s="198"/>
      <c r="J800" s="198"/>
      <c r="K800" s="198"/>
      <c r="L800" s="198"/>
    </row>
    <row r="801">
      <c r="A801" s="198"/>
      <c r="B801" s="208" t="str">
        <f>vlookup(A801,Price!A:B,2,false)</f>
        <v>#N/A</v>
      </c>
      <c r="C801" s="198"/>
      <c r="D801" s="198"/>
      <c r="E801" s="198"/>
      <c r="F801" s="198"/>
      <c r="G801" s="198"/>
      <c r="H801" s="198"/>
      <c r="I801" s="198"/>
      <c r="J801" s="198"/>
      <c r="K801" s="198"/>
      <c r="L801" s="198"/>
    </row>
    <row r="802">
      <c r="A802" s="198"/>
      <c r="B802" s="208" t="str">
        <f>vlookup(A802,Price!A:B,2,false)</f>
        <v>#N/A</v>
      </c>
      <c r="C802" s="198"/>
      <c r="D802" s="198"/>
      <c r="E802" s="198"/>
      <c r="F802" s="198"/>
      <c r="G802" s="198"/>
      <c r="H802" s="198"/>
      <c r="I802" s="198"/>
      <c r="J802" s="198"/>
      <c r="K802" s="198"/>
      <c r="L802" s="198"/>
    </row>
    <row r="803">
      <c r="A803" s="198"/>
      <c r="B803" s="208" t="str">
        <f>vlookup(A803,Price!A:B,2,false)</f>
        <v>#N/A</v>
      </c>
      <c r="C803" s="198"/>
      <c r="D803" s="198"/>
      <c r="E803" s="198"/>
      <c r="F803" s="198"/>
      <c r="G803" s="198"/>
      <c r="H803" s="198"/>
      <c r="I803" s="198"/>
      <c r="J803" s="198"/>
      <c r="K803" s="198"/>
      <c r="L803" s="198"/>
    </row>
    <row r="804">
      <c r="A804" s="198"/>
      <c r="B804" s="208" t="str">
        <f>vlookup(A804,Price!A:B,2,false)</f>
        <v>#N/A</v>
      </c>
      <c r="C804" s="198"/>
      <c r="D804" s="198"/>
      <c r="E804" s="198"/>
      <c r="F804" s="198"/>
      <c r="G804" s="198"/>
      <c r="H804" s="198"/>
      <c r="I804" s="198"/>
      <c r="J804" s="198"/>
      <c r="K804" s="198"/>
      <c r="L804" s="198"/>
    </row>
    <row r="805">
      <c r="A805" s="198"/>
      <c r="B805" s="208" t="str">
        <f>vlookup(A805,Price!A:B,2,false)</f>
        <v>#N/A</v>
      </c>
      <c r="C805" s="198"/>
      <c r="D805" s="198"/>
      <c r="E805" s="198"/>
      <c r="F805" s="198"/>
      <c r="G805" s="198"/>
      <c r="H805" s="198"/>
      <c r="I805" s="198"/>
      <c r="J805" s="198"/>
      <c r="K805" s="198"/>
      <c r="L805" s="198"/>
    </row>
    <row r="806">
      <c r="A806" s="198"/>
      <c r="B806" s="208" t="str">
        <f>vlookup(A806,Price!A:B,2,false)</f>
        <v>#N/A</v>
      </c>
      <c r="C806" s="198"/>
      <c r="D806" s="198"/>
      <c r="E806" s="198"/>
      <c r="F806" s="198"/>
      <c r="G806" s="198"/>
      <c r="H806" s="198"/>
      <c r="I806" s="198"/>
      <c r="J806" s="198"/>
      <c r="K806" s="198"/>
      <c r="L806" s="198"/>
    </row>
    <row r="807">
      <c r="A807" s="198"/>
      <c r="B807" s="208" t="str">
        <f>vlookup(A807,Price!A:B,2,false)</f>
        <v>#N/A</v>
      </c>
      <c r="C807" s="198"/>
      <c r="D807" s="198"/>
      <c r="E807" s="198"/>
      <c r="F807" s="198"/>
      <c r="G807" s="198"/>
      <c r="H807" s="198"/>
      <c r="I807" s="198"/>
      <c r="J807" s="198"/>
      <c r="K807" s="198"/>
      <c r="L807" s="198"/>
    </row>
    <row r="808">
      <c r="A808" s="198"/>
      <c r="B808" s="208" t="str">
        <f>vlookup(A808,Price!A:B,2,false)</f>
        <v>#N/A</v>
      </c>
      <c r="C808" s="198"/>
      <c r="D808" s="198"/>
      <c r="E808" s="198"/>
      <c r="F808" s="198"/>
      <c r="G808" s="198"/>
      <c r="H808" s="198"/>
      <c r="I808" s="198"/>
      <c r="J808" s="198"/>
      <c r="K808" s="198"/>
      <c r="L808" s="198"/>
    </row>
    <row r="809">
      <c r="A809" s="198"/>
      <c r="B809" s="208" t="str">
        <f>vlookup(A809,Price!A:B,2,false)</f>
        <v>#N/A</v>
      </c>
      <c r="C809" s="198"/>
      <c r="D809" s="198"/>
      <c r="E809" s="198"/>
      <c r="F809" s="198"/>
      <c r="G809" s="198"/>
      <c r="H809" s="198"/>
      <c r="I809" s="198"/>
      <c r="J809" s="198"/>
      <c r="K809" s="198"/>
      <c r="L809" s="198"/>
    </row>
    <row r="810">
      <c r="A810" s="198"/>
      <c r="B810" s="208" t="str">
        <f>vlookup(A810,Price!A:B,2,false)</f>
        <v>#N/A</v>
      </c>
      <c r="C810" s="198"/>
      <c r="D810" s="198"/>
      <c r="E810" s="198"/>
      <c r="F810" s="198"/>
      <c r="G810" s="198"/>
      <c r="H810" s="198"/>
      <c r="I810" s="198"/>
      <c r="J810" s="198"/>
      <c r="K810" s="198"/>
      <c r="L810" s="198"/>
    </row>
    <row r="811">
      <c r="A811" s="198"/>
      <c r="B811" s="208" t="str">
        <f>vlookup(A811,Price!A:B,2,false)</f>
        <v>#N/A</v>
      </c>
      <c r="C811" s="198"/>
      <c r="D811" s="198"/>
      <c r="E811" s="198"/>
      <c r="F811" s="198"/>
      <c r="G811" s="198"/>
      <c r="H811" s="198"/>
      <c r="I811" s="198"/>
      <c r="J811" s="198"/>
      <c r="K811" s="198"/>
      <c r="L811" s="198"/>
    </row>
    <row r="812">
      <c r="A812" s="198"/>
      <c r="B812" s="208" t="str">
        <f>vlookup(A812,Price!A:B,2,false)</f>
        <v>#N/A</v>
      </c>
      <c r="C812" s="198"/>
      <c r="D812" s="198"/>
      <c r="E812" s="198"/>
      <c r="F812" s="198"/>
      <c r="G812" s="198"/>
      <c r="H812" s="198"/>
      <c r="I812" s="198"/>
      <c r="J812" s="198"/>
      <c r="K812" s="198"/>
      <c r="L812" s="198"/>
    </row>
    <row r="813">
      <c r="A813" s="198"/>
      <c r="B813" s="208" t="str">
        <f>vlookup(A813,Price!A:B,2,false)</f>
        <v>#N/A</v>
      </c>
      <c r="C813" s="198"/>
      <c r="D813" s="198"/>
      <c r="E813" s="198"/>
      <c r="F813" s="198"/>
      <c r="G813" s="198"/>
      <c r="H813" s="198"/>
      <c r="I813" s="198"/>
      <c r="J813" s="198"/>
      <c r="K813" s="198"/>
      <c r="L813" s="198"/>
    </row>
    <row r="814">
      <c r="A814" s="198"/>
      <c r="B814" s="208" t="str">
        <f>vlookup(A814,Price!A:B,2,false)</f>
        <v>#N/A</v>
      </c>
      <c r="C814" s="198"/>
      <c r="D814" s="198"/>
      <c r="E814" s="198"/>
      <c r="F814" s="198"/>
      <c r="G814" s="198"/>
      <c r="H814" s="198"/>
      <c r="I814" s="198"/>
      <c r="J814" s="198"/>
      <c r="K814" s="198"/>
      <c r="L814" s="198"/>
    </row>
    <row r="815">
      <c r="A815" s="198"/>
      <c r="B815" s="208" t="str">
        <f>vlookup(A815,Price!A:B,2,false)</f>
        <v>#N/A</v>
      </c>
      <c r="C815" s="198"/>
      <c r="D815" s="198"/>
      <c r="E815" s="198"/>
      <c r="F815" s="198"/>
      <c r="G815" s="198"/>
      <c r="H815" s="198"/>
      <c r="I815" s="198"/>
      <c r="J815" s="198"/>
      <c r="K815" s="198"/>
      <c r="L815" s="198"/>
    </row>
    <row r="816">
      <c r="A816" s="198"/>
      <c r="B816" s="208" t="str">
        <f>vlookup(A816,Price!A:B,2,false)</f>
        <v>#N/A</v>
      </c>
      <c r="C816" s="198"/>
      <c r="D816" s="198"/>
      <c r="E816" s="198"/>
      <c r="F816" s="198"/>
      <c r="G816" s="198"/>
      <c r="H816" s="198"/>
      <c r="I816" s="198"/>
      <c r="J816" s="198"/>
      <c r="K816" s="198"/>
      <c r="L816" s="198"/>
    </row>
    <row r="817">
      <c r="A817" s="198"/>
      <c r="B817" s="208" t="str">
        <f>vlookup(A817,Price!A:B,2,false)</f>
        <v>#N/A</v>
      </c>
      <c r="C817" s="198"/>
      <c r="D817" s="198"/>
      <c r="E817" s="198"/>
      <c r="F817" s="198"/>
      <c r="G817" s="198"/>
      <c r="H817" s="198"/>
      <c r="I817" s="198"/>
      <c r="J817" s="198"/>
      <c r="K817" s="198"/>
      <c r="L817" s="198"/>
    </row>
    <row r="818">
      <c r="A818" s="198"/>
      <c r="B818" s="208" t="str">
        <f>vlookup(A818,Price!A:B,2,false)</f>
        <v>#N/A</v>
      </c>
      <c r="C818" s="198"/>
      <c r="D818" s="198"/>
      <c r="E818" s="198"/>
      <c r="F818" s="198"/>
      <c r="G818" s="198"/>
      <c r="H818" s="198"/>
      <c r="I818" s="198"/>
      <c r="J818" s="198"/>
      <c r="K818" s="198"/>
      <c r="L818" s="198"/>
    </row>
    <row r="819">
      <c r="A819" s="198"/>
      <c r="B819" s="208" t="str">
        <f>vlookup(A819,Price!A:B,2,false)</f>
        <v>#N/A</v>
      </c>
      <c r="C819" s="198"/>
      <c r="D819" s="198"/>
      <c r="E819" s="198"/>
      <c r="F819" s="198"/>
      <c r="G819" s="198"/>
      <c r="H819" s="198"/>
      <c r="I819" s="198"/>
      <c r="J819" s="198"/>
      <c r="K819" s="198"/>
      <c r="L819" s="198"/>
    </row>
    <row r="820">
      <c r="A820" s="198"/>
      <c r="B820" s="208" t="str">
        <f>vlookup(A820,Price!A:B,2,false)</f>
        <v>#N/A</v>
      </c>
      <c r="C820" s="198"/>
      <c r="D820" s="198"/>
      <c r="E820" s="198"/>
      <c r="F820" s="198"/>
      <c r="G820" s="198"/>
      <c r="H820" s="198"/>
      <c r="I820" s="198"/>
      <c r="J820" s="198"/>
      <c r="K820" s="198"/>
      <c r="L820" s="198"/>
    </row>
    <row r="821">
      <c r="A821" s="198"/>
      <c r="B821" s="208" t="str">
        <f>vlookup(A821,Price!A:B,2,false)</f>
        <v>#N/A</v>
      </c>
      <c r="C821" s="198"/>
      <c r="D821" s="198"/>
      <c r="E821" s="198"/>
      <c r="F821" s="198"/>
      <c r="G821" s="198"/>
      <c r="H821" s="198"/>
      <c r="I821" s="198"/>
      <c r="J821" s="198"/>
      <c r="K821" s="198"/>
      <c r="L821" s="198"/>
    </row>
    <row r="822">
      <c r="A822" s="198"/>
      <c r="B822" s="208" t="str">
        <f>vlookup(A822,Price!A:B,2,false)</f>
        <v>#N/A</v>
      </c>
      <c r="C822" s="198"/>
      <c r="D822" s="198"/>
      <c r="E822" s="198"/>
      <c r="F822" s="198"/>
      <c r="G822" s="198"/>
      <c r="H822" s="198"/>
      <c r="I822" s="198"/>
      <c r="J822" s="198"/>
      <c r="K822" s="198"/>
      <c r="L822" s="198"/>
    </row>
    <row r="823">
      <c r="A823" s="198"/>
      <c r="B823" s="208" t="str">
        <f>vlookup(A823,Price!A:B,2,false)</f>
        <v>#N/A</v>
      </c>
      <c r="C823" s="198"/>
      <c r="D823" s="198"/>
      <c r="E823" s="198"/>
      <c r="F823" s="198"/>
      <c r="G823" s="198"/>
      <c r="H823" s="198"/>
      <c r="I823" s="198"/>
      <c r="J823" s="198"/>
      <c r="K823" s="198"/>
      <c r="L823" s="198"/>
    </row>
    <row r="824">
      <c r="A824" s="198"/>
      <c r="B824" s="208" t="str">
        <f>vlookup(A824,Price!A:B,2,false)</f>
        <v>#N/A</v>
      </c>
      <c r="C824" s="198"/>
      <c r="D824" s="198"/>
      <c r="E824" s="198"/>
      <c r="F824" s="198"/>
      <c r="G824" s="198"/>
      <c r="H824" s="198"/>
      <c r="I824" s="198"/>
      <c r="J824" s="198"/>
      <c r="K824" s="198"/>
      <c r="L824" s="198"/>
    </row>
    <row r="825">
      <c r="A825" s="198"/>
      <c r="B825" s="208" t="str">
        <f>vlookup(A825,Price!A:B,2,false)</f>
        <v>#N/A</v>
      </c>
      <c r="C825" s="198"/>
      <c r="D825" s="198"/>
      <c r="E825" s="198"/>
      <c r="F825" s="198"/>
      <c r="G825" s="198"/>
      <c r="H825" s="198"/>
      <c r="I825" s="198"/>
      <c r="J825" s="198"/>
      <c r="K825" s="198"/>
      <c r="L825" s="198"/>
    </row>
    <row r="826">
      <c r="A826" s="198"/>
      <c r="B826" s="208" t="str">
        <f>vlookup(A826,Price!A:B,2,false)</f>
        <v>#N/A</v>
      </c>
      <c r="C826" s="198"/>
      <c r="D826" s="198"/>
      <c r="E826" s="198"/>
      <c r="F826" s="198"/>
      <c r="G826" s="198"/>
      <c r="H826" s="198"/>
      <c r="I826" s="198"/>
      <c r="J826" s="198"/>
      <c r="K826" s="198"/>
      <c r="L826" s="198"/>
    </row>
    <row r="827">
      <c r="A827" s="198"/>
      <c r="B827" s="208" t="str">
        <f>vlookup(A827,Price!A:B,2,false)</f>
        <v>#N/A</v>
      </c>
      <c r="C827" s="198"/>
      <c r="D827" s="198"/>
      <c r="E827" s="198"/>
      <c r="F827" s="198"/>
      <c r="G827" s="198"/>
      <c r="H827" s="198"/>
      <c r="I827" s="198"/>
      <c r="J827" s="198"/>
      <c r="K827" s="198"/>
      <c r="L827" s="198"/>
    </row>
    <row r="828">
      <c r="A828" s="198"/>
      <c r="B828" s="208" t="str">
        <f>vlookup(A828,Price!A:B,2,false)</f>
        <v>#N/A</v>
      </c>
      <c r="C828" s="198"/>
      <c r="D828" s="198"/>
      <c r="E828" s="198"/>
      <c r="F828" s="198"/>
      <c r="G828" s="198"/>
      <c r="H828" s="198"/>
      <c r="I828" s="198"/>
      <c r="J828" s="198"/>
      <c r="K828" s="198"/>
      <c r="L828" s="198"/>
    </row>
    <row r="829">
      <c r="A829" s="198"/>
      <c r="B829" s="208" t="str">
        <f>vlookup(A829,Price!A:B,2,false)</f>
        <v>#N/A</v>
      </c>
      <c r="C829" s="198"/>
      <c r="D829" s="198"/>
      <c r="E829" s="198"/>
      <c r="F829" s="198"/>
      <c r="G829" s="198"/>
      <c r="H829" s="198"/>
      <c r="I829" s="198"/>
      <c r="J829" s="198"/>
      <c r="K829" s="198"/>
      <c r="L829" s="198"/>
    </row>
    <row r="830">
      <c r="A830" s="198"/>
      <c r="B830" s="208" t="str">
        <f>vlookup(A830,Price!A:B,2,false)</f>
        <v>#N/A</v>
      </c>
      <c r="C830" s="198"/>
      <c r="D830" s="198"/>
      <c r="E830" s="198"/>
      <c r="F830" s="198"/>
      <c r="G830" s="198"/>
      <c r="H830" s="198"/>
      <c r="I830" s="198"/>
      <c r="J830" s="198"/>
      <c r="K830" s="198"/>
      <c r="L830" s="198"/>
    </row>
    <row r="831">
      <c r="A831" s="198"/>
      <c r="B831" s="208" t="str">
        <f>vlookup(A831,Price!A:B,2,false)</f>
        <v>#N/A</v>
      </c>
      <c r="C831" s="198"/>
      <c r="D831" s="198"/>
      <c r="E831" s="198"/>
      <c r="F831" s="198"/>
      <c r="G831" s="198"/>
      <c r="H831" s="198"/>
      <c r="I831" s="198"/>
      <c r="J831" s="198"/>
      <c r="K831" s="198"/>
      <c r="L831" s="198"/>
    </row>
    <row r="832">
      <c r="A832" s="198"/>
      <c r="B832" s="208" t="str">
        <f>vlookup(A832,Price!A:B,2,false)</f>
        <v>#N/A</v>
      </c>
      <c r="C832" s="198"/>
      <c r="D832" s="198"/>
      <c r="E832" s="198"/>
      <c r="F832" s="198"/>
      <c r="G832" s="198"/>
      <c r="H832" s="198"/>
      <c r="I832" s="198"/>
      <c r="J832" s="198"/>
      <c r="K832" s="198"/>
      <c r="L832" s="198"/>
    </row>
    <row r="833">
      <c r="A833" s="198"/>
      <c r="B833" s="208" t="str">
        <f>vlookup(A833,Price!A:B,2,false)</f>
        <v>#N/A</v>
      </c>
      <c r="C833" s="198"/>
      <c r="D833" s="198"/>
      <c r="E833" s="198"/>
      <c r="F833" s="198"/>
      <c r="G833" s="198"/>
      <c r="H833" s="198"/>
      <c r="I833" s="198"/>
      <c r="J833" s="198"/>
      <c r="K833" s="198"/>
      <c r="L833" s="198"/>
    </row>
    <row r="834">
      <c r="A834" s="198"/>
      <c r="B834" s="208" t="str">
        <f>vlookup(A834,Price!A:B,2,false)</f>
        <v>#N/A</v>
      </c>
      <c r="C834" s="198"/>
      <c r="D834" s="198"/>
      <c r="E834" s="198"/>
      <c r="F834" s="198"/>
      <c r="G834" s="198"/>
      <c r="H834" s="198"/>
      <c r="I834" s="198"/>
      <c r="J834" s="198"/>
      <c r="K834" s="198"/>
      <c r="L834" s="198"/>
    </row>
    <row r="835">
      <c r="A835" s="198"/>
      <c r="B835" s="208" t="str">
        <f>vlookup(A835,Price!A:B,2,false)</f>
        <v>#N/A</v>
      </c>
      <c r="C835" s="198"/>
      <c r="D835" s="198"/>
      <c r="E835" s="198"/>
      <c r="F835" s="198"/>
      <c r="G835" s="198"/>
      <c r="H835" s="198"/>
      <c r="I835" s="198"/>
      <c r="J835" s="198"/>
      <c r="K835" s="198"/>
      <c r="L835" s="198"/>
    </row>
    <row r="836">
      <c r="A836" s="198"/>
      <c r="B836" s="208" t="str">
        <f>vlookup(A836,Price!A:B,2,false)</f>
        <v>#N/A</v>
      </c>
      <c r="C836" s="198"/>
      <c r="D836" s="198"/>
      <c r="E836" s="198"/>
      <c r="F836" s="198"/>
      <c r="G836" s="198"/>
      <c r="H836" s="198"/>
      <c r="I836" s="198"/>
      <c r="J836" s="198"/>
      <c r="K836" s="198"/>
      <c r="L836" s="198"/>
    </row>
    <row r="837">
      <c r="A837" s="198"/>
      <c r="B837" s="208" t="str">
        <f>vlookup(A837,Price!A:B,2,false)</f>
        <v>#N/A</v>
      </c>
      <c r="C837" s="198"/>
      <c r="D837" s="198"/>
      <c r="E837" s="198"/>
      <c r="F837" s="198"/>
      <c r="G837" s="198"/>
      <c r="H837" s="198"/>
      <c r="I837" s="198"/>
      <c r="J837" s="198"/>
      <c r="K837" s="198"/>
      <c r="L837" s="198"/>
    </row>
    <row r="838">
      <c r="A838" s="198"/>
      <c r="B838" s="208" t="str">
        <f>vlookup(A838,Price!A:B,2,false)</f>
        <v>#N/A</v>
      </c>
      <c r="C838" s="198"/>
      <c r="D838" s="198"/>
      <c r="E838" s="198"/>
      <c r="F838" s="198"/>
      <c r="G838" s="198"/>
      <c r="H838" s="198"/>
      <c r="I838" s="198"/>
      <c r="J838" s="198"/>
      <c r="K838" s="198"/>
      <c r="L838" s="198"/>
    </row>
    <row r="839">
      <c r="A839" s="198"/>
      <c r="B839" s="208" t="str">
        <f>vlookup(A839,Price!A:B,2,false)</f>
        <v>#N/A</v>
      </c>
      <c r="C839" s="198"/>
      <c r="D839" s="198"/>
      <c r="E839" s="198"/>
      <c r="F839" s="198"/>
      <c r="G839" s="198"/>
      <c r="H839" s="198"/>
      <c r="I839" s="198"/>
      <c r="J839" s="198"/>
      <c r="K839" s="198"/>
      <c r="L839" s="198"/>
    </row>
    <row r="840">
      <c r="A840" s="198"/>
      <c r="B840" s="208" t="str">
        <f>vlookup(A840,Price!A:B,2,false)</f>
        <v>#N/A</v>
      </c>
      <c r="C840" s="198"/>
      <c r="D840" s="198"/>
      <c r="E840" s="198"/>
      <c r="F840" s="198"/>
      <c r="G840" s="198"/>
      <c r="H840" s="198"/>
      <c r="I840" s="198"/>
      <c r="J840" s="198"/>
      <c r="K840" s="198"/>
      <c r="L840" s="198"/>
    </row>
    <row r="841">
      <c r="A841" s="198"/>
      <c r="B841" s="208" t="str">
        <f>vlookup(A841,Price!A:B,2,false)</f>
        <v>#N/A</v>
      </c>
      <c r="C841" s="198"/>
      <c r="D841" s="198"/>
      <c r="E841" s="198"/>
      <c r="F841" s="198"/>
      <c r="G841" s="198"/>
      <c r="H841" s="198"/>
      <c r="I841" s="198"/>
      <c r="J841" s="198"/>
      <c r="K841" s="198"/>
      <c r="L841" s="198"/>
    </row>
    <row r="842">
      <c r="A842" s="198"/>
      <c r="B842" s="208" t="str">
        <f>vlookup(A842,Price!A:B,2,false)</f>
        <v>#N/A</v>
      </c>
      <c r="C842" s="198"/>
      <c r="D842" s="198"/>
      <c r="E842" s="198"/>
      <c r="F842" s="198"/>
      <c r="G842" s="198"/>
      <c r="H842" s="198"/>
      <c r="I842" s="198"/>
      <c r="J842" s="198"/>
      <c r="K842" s="198"/>
      <c r="L842" s="198"/>
    </row>
    <row r="843">
      <c r="A843" s="198"/>
      <c r="B843" s="208" t="str">
        <f>vlookup(A843,Price!A:B,2,false)</f>
        <v>#N/A</v>
      </c>
      <c r="C843" s="198"/>
      <c r="D843" s="198"/>
      <c r="E843" s="198"/>
      <c r="F843" s="198"/>
      <c r="G843" s="198"/>
      <c r="H843" s="198"/>
      <c r="I843" s="198"/>
      <c r="J843" s="198"/>
      <c r="K843" s="198"/>
      <c r="L843" s="198"/>
    </row>
    <row r="844">
      <c r="A844" s="198"/>
      <c r="B844" s="208" t="str">
        <f>vlookup(A844,Price!A:B,2,false)</f>
        <v>#N/A</v>
      </c>
      <c r="C844" s="198"/>
      <c r="D844" s="198"/>
      <c r="E844" s="198"/>
      <c r="F844" s="198"/>
      <c r="G844" s="198"/>
      <c r="H844" s="198"/>
      <c r="I844" s="198"/>
      <c r="J844" s="198"/>
      <c r="K844" s="198"/>
      <c r="L844" s="198"/>
    </row>
    <row r="845">
      <c r="A845" s="198"/>
      <c r="B845" s="208" t="str">
        <f>vlookup(A845,Price!A:B,2,false)</f>
        <v>#N/A</v>
      </c>
      <c r="C845" s="198"/>
      <c r="D845" s="198"/>
      <c r="E845" s="198"/>
      <c r="F845" s="198"/>
      <c r="G845" s="198"/>
      <c r="H845" s="198"/>
      <c r="I845" s="198"/>
      <c r="J845" s="198"/>
      <c r="K845" s="198"/>
      <c r="L845" s="198"/>
    </row>
    <row r="846">
      <c r="A846" s="198"/>
      <c r="B846" s="208" t="str">
        <f>vlookup(A846,Price!A:B,2,false)</f>
        <v>#N/A</v>
      </c>
      <c r="C846" s="198"/>
      <c r="D846" s="198"/>
      <c r="E846" s="198"/>
      <c r="F846" s="198"/>
      <c r="G846" s="198"/>
      <c r="H846" s="198"/>
      <c r="I846" s="198"/>
      <c r="J846" s="198"/>
      <c r="K846" s="198"/>
      <c r="L846" s="198"/>
    </row>
    <row r="847">
      <c r="A847" s="198"/>
      <c r="B847" s="208" t="str">
        <f>vlookup(A847,Price!A:B,2,false)</f>
        <v>#N/A</v>
      </c>
      <c r="C847" s="198"/>
      <c r="D847" s="198"/>
      <c r="E847" s="198"/>
      <c r="F847" s="198"/>
      <c r="G847" s="198"/>
      <c r="H847" s="198"/>
      <c r="I847" s="198"/>
      <c r="J847" s="198"/>
      <c r="K847" s="198"/>
      <c r="L847" s="198"/>
    </row>
    <row r="848">
      <c r="A848" s="198"/>
      <c r="B848" s="208" t="str">
        <f>vlookup(A848,Price!A:B,2,false)</f>
        <v>#N/A</v>
      </c>
      <c r="C848" s="198"/>
      <c r="D848" s="198"/>
      <c r="E848" s="198"/>
      <c r="F848" s="198"/>
      <c r="G848" s="198"/>
      <c r="H848" s="198"/>
      <c r="I848" s="198"/>
      <c r="J848" s="198"/>
      <c r="K848" s="198"/>
      <c r="L848" s="198"/>
    </row>
    <row r="849">
      <c r="A849" s="198"/>
      <c r="B849" s="208" t="str">
        <f>vlookup(A849,Price!A:B,2,false)</f>
        <v>#N/A</v>
      </c>
      <c r="C849" s="198"/>
      <c r="D849" s="198"/>
      <c r="E849" s="198"/>
      <c r="F849" s="198"/>
      <c r="G849" s="198"/>
      <c r="H849" s="198"/>
      <c r="I849" s="198"/>
      <c r="J849" s="198"/>
      <c r="K849" s="198"/>
      <c r="L849" s="198"/>
    </row>
    <row r="850">
      <c r="A850" s="198"/>
      <c r="B850" s="208" t="str">
        <f>vlookup(A850,Price!A:B,2,false)</f>
        <v>#N/A</v>
      </c>
      <c r="C850" s="198"/>
      <c r="D850" s="198"/>
      <c r="E850" s="198"/>
      <c r="F850" s="198"/>
      <c r="G850" s="198"/>
      <c r="H850" s="198"/>
      <c r="I850" s="198"/>
      <c r="J850" s="198"/>
      <c r="K850" s="198"/>
      <c r="L850" s="198"/>
    </row>
    <row r="851">
      <c r="A851" s="198"/>
      <c r="B851" s="208" t="str">
        <f>vlookup(A851,Price!A:B,2,false)</f>
        <v>#N/A</v>
      </c>
      <c r="C851" s="198"/>
      <c r="D851" s="198"/>
      <c r="E851" s="198"/>
      <c r="F851" s="198"/>
      <c r="G851" s="198"/>
      <c r="H851" s="198"/>
      <c r="I851" s="198"/>
      <c r="J851" s="198"/>
      <c r="K851" s="198"/>
      <c r="L851" s="198"/>
    </row>
    <row r="852">
      <c r="A852" s="198"/>
      <c r="B852" s="208" t="str">
        <f>vlookup(A852,Price!A:B,2,false)</f>
        <v>#N/A</v>
      </c>
      <c r="C852" s="198"/>
      <c r="D852" s="198"/>
      <c r="E852" s="198"/>
      <c r="F852" s="198"/>
      <c r="G852" s="198"/>
      <c r="H852" s="198"/>
      <c r="I852" s="198"/>
      <c r="J852" s="198"/>
      <c r="K852" s="198"/>
      <c r="L852" s="198"/>
    </row>
    <row r="853">
      <c r="A853" s="198"/>
      <c r="B853" s="208" t="str">
        <f>vlookup(A853,Price!A:B,2,false)</f>
        <v>#N/A</v>
      </c>
      <c r="C853" s="198"/>
      <c r="D853" s="198"/>
      <c r="E853" s="198"/>
      <c r="F853" s="198"/>
      <c r="G853" s="198"/>
      <c r="H853" s="198"/>
      <c r="I853" s="198"/>
      <c r="J853" s="198"/>
      <c r="K853" s="198"/>
      <c r="L853" s="198"/>
    </row>
    <row r="854">
      <c r="A854" s="198"/>
      <c r="B854" s="208" t="str">
        <f>vlookup(A854,Price!A:B,2,false)</f>
        <v>#N/A</v>
      </c>
      <c r="C854" s="198"/>
      <c r="D854" s="198"/>
      <c r="E854" s="198"/>
      <c r="F854" s="198"/>
      <c r="G854" s="198"/>
      <c r="H854" s="198"/>
      <c r="I854" s="198"/>
      <c r="J854" s="198"/>
      <c r="K854" s="198"/>
      <c r="L854" s="198"/>
    </row>
    <row r="855">
      <c r="A855" s="198"/>
      <c r="B855" s="208" t="str">
        <f>vlookup(A855,Price!A:B,2,false)</f>
        <v>#N/A</v>
      </c>
      <c r="C855" s="198"/>
      <c r="D855" s="198"/>
      <c r="E855" s="198"/>
      <c r="F855" s="198"/>
      <c r="G855" s="198"/>
      <c r="H855" s="198"/>
      <c r="I855" s="198"/>
      <c r="J855" s="198"/>
      <c r="K855" s="198"/>
      <c r="L855" s="198"/>
    </row>
    <row r="856">
      <c r="A856" s="198"/>
      <c r="B856" s="208" t="str">
        <f>vlookup(A856,Price!A:B,2,false)</f>
        <v>#N/A</v>
      </c>
      <c r="C856" s="198"/>
      <c r="D856" s="198"/>
      <c r="E856" s="198"/>
      <c r="F856" s="198"/>
      <c r="G856" s="198"/>
      <c r="H856" s="198"/>
      <c r="I856" s="198"/>
      <c r="J856" s="198"/>
      <c r="K856" s="198"/>
      <c r="L856" s="198"/>
    </row>
    <row r="857">
      <c r="A857" s="198"/>
      <c r="B857" s="208" t="str">
        <f>vlookup(A857,Price!A:B,2,false)</f>
        <v>#N/A</v>
      </c>
      <c r="C857" s="198"/>
      <c r="D857" s="198"/>
      <c r="E857" s="198"/>
      <c r="F857" s="198"/>
      <c r="G857" s="198"/>
      <c r="H857" s="198"/>
      <c r="I857" s="198"/>
      <c r="J857" s="198"/>
      <c r="K857" s="198"/>
      <c r="L857" s="198"/>
    </row>
    <row r="858">
      <c r="A858" s="198"/>
      <c r="B858" s="208" t="str">
        <f>vlookup(A858,Price!A:B,2,false)</f>
        <v>#N/A</v>
      </c>
      <c r="C858" s="198"/>
      <c r="D858" s="198"/>
      <c r="E858" s="198"/>
      <c r="F858" s="198"/>
      <c r="G858" s="198"/>
      <c r="H858" s="198"/>
      <c r="I858" s="198"/>
      <c r="J858" s="198"/>
      <c r="K858" s="198"/>
      <c r="L858" s="198"/>
    </row>
    <row r="859">
      <c r="A859" s="198"/>
      <c r="B859" s="208" t="str">
        <f>vlookup(A859,Price!A:B,2,false)</f>
        <v>#N/A</v>
      </c>
      <c r="C859" s="198"/>
      <c r="D859" s="198"/>
      <c r="E859" s="198"/>
      <c r="F859" s="198"/>
      <c r="G859" s="198"/>
      <c r="H859" s="198"/>
      <c r="I859" s="198"/>
      <c r="J859" s="198"/>
      <c r="K859" s="198"/>
      <c r="L859" s="198"/>
    </row>
    <row r="860">
      <c r="A860" s="198"/>
      <c r="B860" s="208" t="str">
        <f>vlookup(A860,Price!A:B,2,false)</f>
        <v>#N/A</v>
      </c>
      <c r="C860" s="198"/>
      <c r="D860" s="198"/>
      <c r="E860" s="198"/>
      <c r="F860" s="198"/>
      <c r="G860" s="198"/>
      <c r="H860" s="198"/>
      <c r="I860" s="198"/>
      <c r="J860" s="198"/>
      <c r="K860" s="198"/>
      <c r="L860" s="198"/>
    </row>
    <row r="861">
      <c r="A861" s="198"/>
      <c r="B861" s="208" t="str">
        <f>vlookup(A861,Price!A:B,2,false)</f>
        <v>#N/A</v>
      </c>
      <c r="C861" s="198"/>
      <c r="D861" s="198"/>
      <c r="E861" s="198"/>
      <c r="F861" s="198"/>
      <c r="G861" s="198"/>
      <c r="H861" s="198"/>
      <c r="I861" s="198"/>
      <c r="J861" s="198"/>
      <c r="K861" s="198"/>
      <c r="L861" s="198"/>
    </row>
    <row r="862">
      <c r="A862" s="198"/>
      <c r="B862" s="208" t="str">
        <f>vlookup(A862,Price!A:B,2,false)</f>
        <v>#N/A</v>
      </c>
      <c r="C862" s="198"/>
      <c r="D862" s="198"/>
      <c r="E862" s="198"/>
      <c r="F862" s="198"/>
      <c r="G862" s="198"/>
      <c r="H862" s="198"/>
      <c r="I862" s="198"/>
      <c r="J862" s="198"/>
      <c r="K862" s="198"/>
      <c r="L862" s="198"/>
    </row>
    <row r="863">
      <c r="A863" s="198"/>
      <c r="B863" s="208" t="str">
        <f>vlookup(A863,Price!A:B,2,false)</f>
        <v>#N/A</v>
      </c>
      <c r="C863" s="198"/>
      <c r="D863" s="198"/>
      <c r="E863" s="198"/>
      <c r="F863" s="198"/>
      <c r="G863" s="198"/>
      <c r="H863" s="198"/>
      <c r="I863" s="198"/>
      <c r="J863" s="198"/>
      <c r="K863" s="198"/>
      <c r="L863" s="198"/>
    </row>
    <row r="864">
      <c r="A864" s="198"/>
      <c r="B864" s="208" t="str">
        <f>vlookup(A864,Price!A:B,2,false)</f>
        <v>#N/A</v>
      </c>
      <c r="C864" s="198"/>
      <c r="D864" s="198"/>
      <c r="E864" s="198"/>
      <c r="F864" s="198"/>
      <c r="G864" s="198"/>
      <c r="H864" s="198"/>
      <c r="I864" s="198"/>
      <c r="J864" s="198"/>
      <c r="K864" s="198"/>
      <c r="L864" s="198"/>
    </row>
    <row r="865">
      <c r="A865" s="198"/>
      <c r="B865" s="208" t="str">
        <f>vlookup(A865,Price!A:B,2,false)</f>
        <v>#N/A</v>
      </c>
      <c r="C865" s="198"/>
      <c r="D865" s="198"/>
      <c r="E865" s="198"/>
      <c r="F865" s="198"/>
      <c r="G865" s="198"/>
      <c r="H865" s="198"/>
      <c r="I865" s="198"/>
      <c r="J865" s="198"/>
      <c r="K865" s="198"/>
      <c r="L865" s="198"/>
    </row>
    <row r="866">
      <c r="A866" s="198"/>
      <c r="B866" s="208" t="str">
        <f>vlookup(A866,Price!A:B,2,false)</f>
        <v>#N/A</v>
      </c>
      <c r="C866" s="198"/>
      <c r="D866" s="198"/>
      <c r="E866" s="198"/>
      <c r="F866" s="198"/>
      <c r="G866" s="198"/>
      <c r="H866" s="198"/>
      <c r="I866" s="198"/>
      <c r="J866" s="198"/>
      <c r="K866" s="198"/>
      <c r="L866" s="198"/>
    </row>
    <row r="867">
      <c r="A867" s="198"/>
      <c r="B867" s="208" t="str">
        <f>vlookup(A867,Price!A:B,2,false)</f>
        <v>#N/A</v>
      </c>
      <c r="C867" s="198"/>
      <c r="D867" s="198"/>
      <c r="E867" s="198"/>
      <c r="F867" s="198"/>
      <c r="G867" s="198"/>
      <c r="H867" s="198"/>
      <c r="I867" s="198"/>
      <c r="J867" s="198"/>
      <c r="K867" s="198"/>
      <c r="L867" s="198"/>
    </row>
    <row r="868">
      <c r="A868" s="198"/>
      <c r="B868" s="208" t="str">
        <f>vlookup(A868,Price!A:B,2,false)</f>
        <v>#N/A</v>
      </c>
      <c r="C868" s="198"/>
      <c r="D868" s="198"/>
      <c r="E868" s="198"/>
      <c r="F868" s="198"/>
      <c r="G868" s="198"/>
      <c r="H868" s="198"/>
      <c r="I868" s="198"/>
      <c r="J868" s="198"/>
      <c r="K868" s="198"/>
      <c r="L868" s="198"/>
    </row>
    <row r="869">
      <c r="A869" s="198"/>
      <c r="B869" s="208" t="str">
        <f>vlookup(A869,Price!A:B,2,false)</f>
        <v>#N/A</v>
      </c>
      <c r="C869" s="198"/>
      <c r="D869" s="198"/>
      <c r="E869" s="198"/>
      <c r="F869" s="198"/>
      <c r="G869" s="198"/>
      <c r="H869" s="198"/>
      <c r="I869" s="198"/>
      <c r="J869" s="198"/>
      <c r="K869" s="198"/>
      <c r="L869" s="198"/>
    </row>
    <row r="870">
      <c r="A870" s="198"/>
      <c r="B870" s="208" t="str">
        <f>vlookup(A870,Price!A:B,2,false)</f>
        <v>#N/A</v>
      </c>
      <c r="C870" s="198"/>
      <c r="D870" s="198"/>
      <c r="E870" s="198"/>
      <c r="F870" s="198"/>
      <c r="G870" s="198"/>
      <c r="H870" s="198"/>
      <c r="I870" s="198"/>
      <c r="J870" s="198"/>
      <c r="K870" s="198"/>
      <c r="L870" s="198"/>
    </row>
    <row r="871">
      <c r="A871" s="198"/>
      <c r="B871" s="208" t="str">
        <f>vlookup(A871,Price!A:B,2,false)</f>
        <v>#N/A</v>
      </c>
      <c r="C871" s="198"/>
      <c r="D871" s="198"/>
      <c r="E871" s="198"/>
      <c r="F871" s="198"/>
      <c r="G871" s="198"/>
      <c r="H871" s="198"/>
      <c r="I871" s="198"/>
      <c r="J871" s="198"/>
      <c r="K871" s="198"/>
      <c r="L871" s="198"/>
    </row>
    <row r="872">
      <c r="A872" s="198"/>
      <c r="B872" s="208" t="str">
        <f>vlookup(A872,Price!A:B,2,false)</f>
        <v>#N/A</v>
      </c>
      <c r="C872" s="198"/>
      <c r="D872" s="198"/>
      <c r="E872" s="198"/>
      <c r="F872" s="198"/>
      <c r="G872" s="198"/>
      <c r="H872" s="198"/>
      <c r="I872" s="198"/>
      <c r="J872" s="198"/>
      <c r="K872" s="198"/>
      <c r="L872" s="198"/>
    </row>
    <row r="873">
      <c r="A873" s="198"/>
      <c r="B873" s="208" t="str">
        <f>vlookup(A873,Price!A:B,2,false)</f>
        <v>#N/A</v>
      </c>
      <c r="C873" s="198"/>
      <c r="D873" s="198"/>
      <c r="E873" s="198"/>
      <c r="F873" s="198"/>
      <c r="G873" s="198"/>
      <c r="H873" s="198"/>
      <c r="I873" s="198"/>
      <c r="J873" s="198"/>
      <c r="K873" s="198"/>
      <c r="L873" s="198"/>
    </row>
    <row r="874">
      <c r="A874" s="198"/>
      <c r="B874" s="208" t="str">
        <f>vlookup(A874,Price!A:B,2,false)</f>
        <v>#N/A</v>
      </c>
      <c r="C874" s="198"/>
      <c r="D874" s="198"/>
      <c r="E874" s="198"/>
      <c r="F874" s="198"/>
      <c r="G874" s="198"/>
      <c r="H874" s="198"/>
      <c r="I874" s="198"/>
      <c r="J874" s="198"/>
      <c r="K874" s="198"/>
      <c r="L874" s="198"/>
    </row>
    <row r="875">
      <c r="A875" s="198"/>
      <c r="B875" s="208" t="str">
        <f>vlookup(A875,Price!A:B,2,false)</f>
        <v>#N/A</v>
      </c>
      <c r="C875" s="198"/>
      <c r="D875" s="198"/>
      <c r="E875" s="198"/>
      <c r="F875" s="198"/>
      <c r="G875" s="198"/>
      <c r="H875" s="198"/>
      <c r="I875" s="198"/>
      <c r="J875" s="198"/>
      <c r="K875" s="198"/>
      <c r="L875" s="198"/>
    </row>
    <row r="876">
      <c r="A876" s="198"/>
      <c r="B876" s="208" t="str">
        <f>vlookup(A876,Price!A:B,2,false)</f>
        <v>#N/A</v>
      </c>
      <c r="C876" s="198"/>
      <c r="D876" s="198"/>
      <c r="E876" s="198"/>
      <c r="F876" s="198"/>
      <c r="G876" s="198"/>
      <c r="H876" s="198"/>
      <c r="I876" s="198"/>
      <c r="J876" s="198"/>
      <c r="K876" s="198"/>
      <c r="L876" s="198"/>
    </row>
    <row r="877">
      <c r="A877" s="198"/>
      <c r="B877" s="208" t="str">
        <f>vlookup(A877,Price!A:B,2,false)</f>
        <v>#N/A</v>
      </c>
      <c r="C877" s="198"/>
      <c r="D877" s="198"/>
      <c r="E877" s="198"/>
      <c r="F877" s="198"/>
      <c r="G877" s="198"/>
      <c r="H877" s="198"/>
      <c r="I877" s="198"/>
      <c r="J877" s="198"/>
      <c r="K877" s="198"/>
      <c r="L877" s="198"/>
    </row>
    <row r="878">
      <c r="A878" s="198"/>
      <c r="B878" s="208" t="str">
        <f>vlookup(A878,Price!A:B,2,false)</f>
        <v>#N/A</v>
      </c>
      <c r="C878" s="198"/>
      <c r="D878" s="198"/>
      <c r="E878" s="198"/>
      <c r="F878" s="198"/>
      <c r="G878" s="198"/>
      <c r="H878" s="198"/>
      <c r="I878" s="198"/>
      <c r="J878" s="198"/>
      <c r="K878" s="198"/>
      <c r="L878" s="198"/>
    </row>
    <row r="879">
      <c r="A879" s="198"/>
      <c r="B879" s="208" t="str">
        <f>vlookup(A879,Price!A:B,2,false)</f>
        <v>#N/A</v>
      </c>
      <c r="C879" s="198"/>
      <c r="D879" s="198"/>
      <c r="E879" s="198"/>
      <c r="F879" s="198"/>
      <c r="G879" s="198"/>
      <c r="H879" s="198"/>
      <c r="I879" s="198"/>
      <c r="J879" s="198"/>
      <c r="K879" s="198"/>
      <c r="L879" s="198"/>
    </row>
    <row r="880">
      <c r="A880" s="198"/>
      <c r="B880" s="208" t="str">
        <f>vlookup(A880,Price!A:B,2,false)</f>
        <v>#N/A</v>
      </c>
      <c r="C880" s="198"/>
      <c r="D880" s="198"/>
      <c r="E880" s="198"/>
      <c r="F880" s="198"/>
      <c r="G880" s="198"/>
      <c r="H880" s="198"/>
      <c r="I880" s="198"/>
      <c r="J880" s="198"/>
      <c r="K880" s="198"/>
      <c r="L880" s="198"/>
    </row>
    <row r="881">
      <c r="A881" s="198"/>
      <c r="B881" s="208" t="str">
        <f>vlookup(A881,Price!A:B,2,false)</f>
        <v>#N/A</v>
      </c>
      <c r="C881" s="198"/>
      <c r="D881" s="198"/>
      <c r="E881" s="198"/>
      <c r="F881" s="198"/>
      <c r="G881" s="198"/>
      <c r="H881" s="198"/>
      <c r="I881" s="198"/>
      <c r="J881" s="198"/>
      <c r="K881" s="198"/>
      <c r="L881" s="198"/>
    </row>
    <row r="882">
      <c r="A882" s="198"/>
      <c r="B882" s="208" t="str">
        <f>vlookup(A882,Price!A:B,2,false)</f>
        <v>#N/A</v>
      </c>
      <c r="C882" s="198"/>
      <c r="D882" s="198"/>
      <c r="E882" s="198"/>
      <c r="F882" s="198"/>
      <c r="G882" s="198"/>
      <c r="H882" s="198"/>
      <c r="I882" s="198"/>
      <c r="J882" s="198"/>
      <c r="K882" s="198"/>
      <c r="L882" s="198"/>
    </row>
    <row r="883">
      <c r="A883" s="198"/>
      <c r="B883" s="208" t="str">
        <f>vlookup(A883,Price!A:B,2,false)</f>
        <v>#N/A</v>
      </c>
      <c r="C883" s="198"/>
      <c r="D883" s="198"/>
      <c r="E883" s="198"/>
      <c r="F883" s="198"/>
      <c r="G883" s="198"/>
      <c r="H883" s="198"/>
      <c r="I883" s="198"/>
      <c r="J883" s="198"/>
      <c r="K883" s="198"/>
      <c r="L883" s="198"/>
    </row>
    <row r="884">
      <c r="A884" s="198"/>
      <c r="B884" s="208" t="str">
        <f>vlookup(A884,Price!A:B,2,false)</f>
        <v>#N/A</v>
      </c>
      <c r="C884" s="198"/>
      <c r="D884" s="198"/>
      <c r="E884" s="198"/>
      <c r="F884" s="198"/>
      <c r="G884" s="198"/>
      <c r="H884" s="198"/>
      <c r="I884" s="198"/>
      <c r="J884" s="198"/>
      <c r="K884" s="198"/>
      <c r="L884" s="198"/>
    </row>
    <row r="885">
      <c r="A885" s="198"/>
      <c r="B885" s="208" t="str">
        <f>vlookup(A885,Price!A:B,2,false)</f>
        <v>#N/A</v>
      </c>
      <c r="C885" s="198"/>
      <c r="D885" s="198"/>
      <c r="E885" s="198"/>
      <c r="F885" s="198"/>
      <c r="G885" s="198"/>
      <c r="H885" s="198"/>
      <c r="I885" s="198"/>
      <c r="J885" s="198"/>
      <c r="K885" s="198"/>
      <c r="L885" s="198"/>
    </row>
    <row r="886">
      <c r="A886" s="198"/>
      <c r="B886" s="208" t="str">
        <f>vlookup(A886,Price!A:B,2,false)</f>
        <v>#N/A</v>
      </c>
      <c r="C886" s="198"/>
      <c r="D886" s="198"/>
      <c r="E886" s="198"/>
      <c r="F886" s="198"/>
      <c r="G886" s="198"/>
      <c r="H886" s="198"/>
      <c r="I886" s="198"/>
      <c r="J886" s="198"/>
      <c r="K886" s="198"/>
      <c r="L886" s="198"/>
    </row>
    <row r="887">
      <c r="A887" s="198"/>
      <c r="B887" s="208" t="str">
        <f>vlookup(A887,Price!A:B,2,false)</f>
        <v>#N/A</v>
      </c>
      <c r="C887" s="198"/>
      <c r="D887" s="198"/>
      <c r="E887" s="198"/>
      <c r="F887" s="198"/>
      <c r="G887" s="198"/>
      <c r="H887" s="198"/>
      <c r="I887" s="198"/>
      <c r="J887" s="198"/>
      <c r="K887" s="198"/>
      <c r="L887" s="198"/>
    </row>
    <row r="888">
      <c r="A888" s="198"/>
      <c r="B888" s="208" t="str">
        <f>vlookup(A888,Price!A:B,2,false)</f>
        <v>#N/A</v>
      </c>
      <c r="C888" s="198"/>
      <c r="D888" s="198"/>
      <c r="E888" s="198"/>
      <c r="F888" s="198"/>
      <c r="G888" s="198"/>
      <c r="H888" s="198"/>
      <c r="I888" s="198"/>
      <c r="J888" s="198"/>
      <c r="K888" s="198"/>
      <c r="L888" s="198"/>
    </row>
    <row r="889">
      <c r="A889" s="198"/>
      <c r="B889" s="208" t="str">
        <f>vlookup(A889,Price!A:B,2,false)</f>
        <v>#N/A</v>
      </c>
      <c r="C889" s="198"/>
      <c r="D889" s="198"/>
      <c r="E889" s="198"/>
      <c r="F889" s="198"/>
      <c r="G889" s="198"/>
      <c r="H889" s="198"/>
      <c r="I889" s="198"/>
      <c r="J889" s="198"/>
      <c r="K889" s="198"/>
      <c r="L889" s="198"/>
    </row>
    <row r="890">
      <c r="A890" s="198"/>
      <c r="B890" s="208" t="str">
        <f>vlookup(A890,Price!A:B,2,false)</f>
        <v>#N/A</v>
      </c>
      <c r="C890" s="198"/>
      <c r="D890" s="198"/>
      <c r="E890" s="198"/>
      <c r="F890" s="198"/>
      <c r="G890" s="198"/>
      <c r="H890" s="198"/>
      <c r="I890" s="198"/>
      <c r="J890" s="198"/>
      <c r="K890" s="198"/>
      <c r="L890" s="198"/>
    </row>
    <row r="891">
      <c r="A891" s="198"/>
      <c r="B891" s="208" t="str">
        <f>vlookup(A891,Price!A:B,2,false)</f>
        <v>#N/A</v>
      </c>
      <c r="C891" s="198"/>
      <c r="D891" s="198"/>
      <c r="E891" s="198"/>
      <c r="F891" s="198"/>
      <c r="G891" s="198"/>
      <c r="H891" s="198"/>
      <c r="I891" s="198"/>
      <c r="J891" s="198"/>
      <c r="K891" s="198"/>
      <c r="L891" s="198"/>
    </row>
    <row r="892">
      <c r="A892" s="198"/>
      <c r="B892" s="208" t="str">
        <f>vlookup(A892,Price!A:B,2,false)</f>
        <v>#N/A</v>
      </c>
      <c r="C892" s="198"/>
      <c r="D892" s="198"/>
      <c r="E892" s="198"/>
      <c r="F892" s="198"/>
      <c r="G892" s="198"/>
      <c r="H892" s="198"/>
      <c r="I892" s="198"/>
      <c r="J892" s="198"/>
      <c r="K892" s="198"/>
      <c r="L892" s="198"/>
    </row>
    <row r="893">
      <c r="A893" s="198"/>
      <c r="B893" s="208" t="str">
        <f>vlookup(A893,Price!A:B,2,false)</f>
        <v>#N/A</v>
      </c>
      <c r="C893" s="198"/>
      <c r="D893" s="198"/>
      <c r="E893" s="198"/>
      <c r="F893" s="198"/>
      <c r="G893" s="198"/>
      <c r="H893" s="198"/>
      <c r="I893" s="198"/>
      <c r="J893" s="198"/>
      <c r="K893" s="198"/>
      <c r="L893" s="198"/>
    </row>
    <row r="894">
      <c r="A894" s="198"/>
      <c r="B894" s="208" t="str">
        <f>vlookup(A894,Price!A:B,2,false)</f>
        <v>#N/A</v>
      </c>
      <c r="C894" s="198"/>
      <c r="D894" s="198"/>
      <c r="E894" s="198"/>
      <c r="F894" s="198"/>
      <c r="G894" s="198"/>
      <c r="H894" s="198"/>
      <c r="I894" s="198"/>
      <c r="J894" s="198"/>
      <c r="K894" s="198"/>
      <c r="L894" s="198"/>
    </row>
    <row r="895">
      <c r="A895" s="198"/>
      <c r="B895" s="208" t="str">
        <f>vlookup(A895,Price!A:B,2,false)</f>
        <v>#N/A</v>
      </c>
      <c r="C895" s="198"/>
      <c r="D895" s="198"/>
      <c r="E895" s="198"/>
      <c r="F895" s="198"/>
      <c r="G895" s="198"/>
      <c r="H895" s="198"/>
      <c r="I895" s="198"/>
      <c r="J895" s="198"/>
      <c r="K895" s="198"/>
      <c r="L895" s="198"/>
    </row>
    <row r="896">
      <c r="A896" s="198"/>
      <c r="B896" s="208" t="str">
        <f>vlookup(A896,Price!A:B,2,false)</f>
        <v>#N/A</v>
      </c>
      <c r="C896" s="198"/>
      <c r="D896" s="198"/>
      <c r="E896" s="198"/>
      <c r="F896" s="198"/>
      <c r="G896" s="198"/>
      <c r="H896" s="198"/>
      <c r="I896" s="198"/>
      <c r="J896" s="198"/>
      <c r="K896" s="198"/>
      <c r="L896" s="198"/>
    </row>
    <row r="897">
      <c r="A897" s="198"/>
      <c r="B897" s="208" t="str">
        <f>vlookup(A897,Price!A:B,2,false)</f>
        <v>#N/A</v>
      </c>
      <c r="C897" s="198"/>
      <c r="D897" s="198"/>
      <c r="E897" s="198"/>
      <c r="F897" s="198"/>
      <c r="G897" s="198"/>
      <c r="H897" s="198"/>
      <c r="I897" s="198"/>
      <c r="J897" s="198"/>
      <c r="K897" s="198"/>
      <c r="L897" s="198"/>
    </row>
    <row r="898">
      <c r="A898" s="198"/>
      <c r="B898" s="208" t="str">
        <f>vlookup(A898,Price!A:B,2,false)</f>
        <v>#N/A</v>
      </c>
      <c r="C898" s="198"/>
      <c r="D898" s="198"/>
      <c r="E898" s="198"/>
      <c r="F898" s="198"/>
      <c r="G898" s="198"/>
      <c r="H898" s="198"/>
      <c r="I898" s="198"/>
      <c r="J898" s="198"/>
      <c r="K898" s="198"/>
      <c r="L898" s="198"/>
    </row>
    <row r="899">
      <c r="A899" s="198"/>
      <c r="B899" s="208" t="str">
        <f>vlookup(A899,Price!A:B,2,false)</f>
        <v>#N/A</v>
      </c>
      <c r="C899" s="198"/>
      <c r="D899" s="198"/>
      <c r="E899" s="198"/>
      <c r="F899" s="198"/>
      <c r="G899" s="198"/>
      <c r="H899" s="198"/>
      <c r="I899" s="198"/>
      <c r="J899" s="198"/>
      <c r="K899" s="198"/>
      <c r="L899" s="198"/>
    </row>
    <row r="900">
      <c r="A900" s="198"/>
      <c r="B900" s="208" t="str">
        <f>vlookup(A900,Price!A:B,2,false)</f>
        <v>#N/A</v>
      </c>
      <c r="C900" s="198"/>
      <c r="D900" s="198"/>
      <c r="E900" s="198"/>
      <c r="F900" s="198"/>
      <c r="G900" s="198"/>
      <c r="H900" s="198"/>
      <c r="I900" s="198"/>
      <c r="J900" s="198"/>
      <c r="K900" s="198"/>
      <c r="L900" s="198"/>
    </row>
    <row r="901">
      <c r="A901" s="198"/>
      <c r="B901" s="208" t="str">
        <f>vlookup(A901,Price!A:B,2,false)</f>
        <v>#N/A</v>
      </c>
      <c r="C901" s="198"/>
      <c r="D901" s="198"/>
      <c r="E901" s="198"/>
      <c r="F901" s="198"/>
      <c r="G901" s="198"/>
      <c r="H901" s="198"/>
      <c r="I901" s="198"/>
      <c r="J901" s="198"/>
      <c r="K901" s="198"/>
      <c r="L901" s="198"/>
    </row>
    <row r="902">
      <c r="A902" s="198"/>
      <c r="B902" s="208" t="str">
        <f>vlookup(A902,Price!A:B,2,false)</f>
        <v>#N/A</v>
      </c>
      <c r="C902" s="198"/>
      <c r="D902" s="198"/>
      <c r="E902" s="198"/>
      <c r="F902" s="198"/>
      <c r="G902" s="198"/>
      <c r="H902" s="198"/>
      <c r="I902" s="198"/>
      <c r="J902" s="198"/>
      <c r="K902" s="198"/>
      <c r="L902" s="198"/>
    </row>
    <row r="903">
      <c r="A903" s="198"/>
      <c r="B903" s="208" t="str">
        <f>vlookup(A903,Price!A:B,2,false)</f>
        <v>#N/A</v>
      </c>
      <c r="C903" s="198"/>
      <c r="D903" s="198"/>
      <c r="E903" s="198"/>
      <c r="F903" s="198"/>
      <c r="G903" s="198"/>
      <c r="H903" s="198"/>
      <c r="I903" s="198"/>
      <c r="J903" s="198"/>
      <c r="K903" s="198"/>
      <c r="L903" s="198"/>
    </row>
    <row r="904">
      <c r="A904" s="198"/>
      <c r="B904" s="208" t="str">
        <f>vlookup(A904,Price!A:B,2,false)</f>
        <v>#N/A</v>
      </c>
      <c r="C904" s="198"/>
      <c r="D904" s="198"/>
      <c r="E904" s="198"/>
      <c r="F904" s="198"/>
      <c r="G904" s="198"/>
      <c r="H904" s="198"/>
      <c r="I904" s="198"/>
      <c r="J904" s="198"/>
      <c r="K904" s="198"/>
      <c r="L904" s="198"/>
    </row>
    <row r="905">
      <c r="A905" s="198"/>
      <c r="B905" s="208" t="str">
        <f>vlookup(A905,Price!A:B,2,false)</f>
        <v>#N/A</v>
      </c>
      <c r="C905" s="198"/>
      <c r="D905" s="198"/>
      <c r="E905" s="198"/>
      <c r="F905" s="198"/>
      <c r="G905" s="198"/>
      <c r="H905" s="198"/>
      <c r="I905" s="198"/>
      <c r="J905" s="198"/>
      <c r="K905" s="198"/>
      <c r="L905" s="198"/>
    </row>
    <row r="906">
      <c r="A906" s="198"/>
      <c r="B906" s="208" t="str">
        <f>vlookup(A906,Price!A:B,2,false)</f>
        <v>#N/A</v>
      </c>
      <c r="C906" s="198"/>
      <c r="D906" s="198"/>
      <c r="E906" s="198"/>
      <c r="F906" s="198"/>
      <c r="G906" s="198"/>
      <c r="H906" s="198"/>
      <c r="I906" s="198"/>
      <c r="J906" s="198"/>
      <c r="K906" s="198"/>
      <c r="L906" s="198"/>
    </row>
    <row r="907">
      <c r="A907" s="198"/>
      <c r="B907" s="208" t="str">
        <f>vlookup(A907,Price!A:B,2,false)</f>
        <v>#N/A</v>
      </c>
      <c r="C907" s="198"/>
      <c r="D907" s="198"/>
      <c r="E907" s="198"/>
      <c r="F907" s="198"/>
      <c r="G907" s="198"/>
      <c r="H907" s="198"/>
      <c r="I907" s="198"/>
      <c r="J907" s="198"/>
      <c r="K907" s="198"/>
      <c r="L907" s="198"/>
    </row>
    <row r="908">
      <c r="A908" s="198"/>
      <c r="B908" s="208" t="str">
        <f>vlookup(A908,Price!A:B,2,false)</f>
        <v>#N/A</v>
      </c>
      <c r="C908" s="198"/>
      <c r="D908" s="198"/>
      <c r="E908" s="198"/>
      <c r="F908" s="198"/>
      <c r="G908" s="198"/>
      <c r="H908" s="198"/>
      <c r="I908" s="198"/>
      <c r="J908" s="198"/>
      <c r="K908" s="198"/>
      <c r="L908" s="198"/>
    </row>
    <row r="909">
      <c r="A909" s="198"/>
      <c r="B909" s="208" t="str">
        <f>vlookup(A909,Price!A:B,2,false)</f>
        <v>#N/A</v>
      </c>
      <c r="C909" s="198"/>
      <c r="D909" s="198"/>
      <c r="E909" s="198"/>
      <c r="F909" s="198"/>
      <c r="G909" s="198"/>
      <c r="H909" s="198"/>
      <c r="I909" s="198"/>
      <c r="J909" s="198"/>
      <c r="K909" s="198"/>
      <c r="L909" s="198"/>
    </row>
    <row r="910">
      <c r="A910" s="198"/>
      <c r="B910" s="208" t="str">
        <f>vlookup(A910,Price!A:B,2,false)</f>
        <v>#N/A</v>
      </c>
      <c r="C910" s="198"/>
      <c r="D910" s="198"/>
      <c r="E910" s="198"/>
      <c r="F910" s="198"/>
      <c r="G910" s="198"/>
      <c r="H910" s="198"/>
      <c r="I910" s="198"/>
      <c r="J910" s="198"/>
      <c r="K910" s="198"/>
      <c r="L910" s="198"/>
    </row>
    <row r="911">
      <c r="A911" s="198"/>
      <c r="B911" s="208" t="str">
        <f>vlookup(A911,Price!A:B,2,false)</f>
        <v>#N/A</v>
      </c>
      <c r="C911" s="198"/>
      <c r="D911" s="198"/>
      <c r="E911" s="198"/>
      <c r="F911" s="198"/>
      <c r="G911" s="198"/>
      <c r="H911" s="198"/>
      <c r="I911" s="198"/>
      <c r="J911" s="198"/>
      <c r="K911" s="198"/>
      <c r="L911" s="198"/>
    </row>
    <row r="912">
      <c r="A912" s="198"/>
      <c r="B912" s="208" t="str">
        <f>vlookup(A912,Price!A:B,2,false)</f>
        <v>#N/A</v>
      </c>
      <c r="C912" s="198"/>
      <c r="D912" s="198"/>
      <c r="E912" s="198"/>
      <c r="F912" s="198"/>
      <c r="G912" s="198"/>
      <c r="H912" s="198"/>
      <c r="I912" s="198"/>
      <c r="J912" s="198"/>
      <c r="K912" s="198"/>
      <c r="L912" s="198"/>
    </row>
    <row r="913">
      <c r="A913" s="198"/>
      <c r="B913" s="208" t="str">
        <f>vlookup(A913,Price!A:B,2,false)</f>
        <v>#N/A</v>
      </c>
      <c r="C913" s="198"/>
      <c r="D913" s="198"/>
      <c r="E913" s="198"/>
      <c r="F913" s="198"/>
      <c r="G913" s="198"/>
      <c r="H913" s="198"/>
      <c r="I913" s="198"/>
      <c r="J913" s="198"/>
      <c r="K913" s="198"/>
      <c r="L913" s="198"/>
    </row>
    <row r="914">
      <c r="A914" s="198"/>
      <c r="B914" s="208" t="str">
        <f>vlookup(A914,Price!A:B,2,false)</f>
        <v>#N/A</v>
      </c>
      <c r="C914" s="198"/>
      <c r="D914" s="198"/>
      <c r="E914" s="198"/>
      <c r="F914" s="198"/>
      <c r="G914" s="198"/>
      <c r="H914" s="198"/>
      <c r="I914" s="198"/>
      <c r="J914" s="198"/>
      <c r="K914" s="198"/>
      <c r="L914" s="198"/>
    </row>
    <row r="915">
      <c r="A915" s="198"/>
      <c r="B915" s="208" t="str">
        <f>vlookup(A915,Price!A:B,2,false)</f>
        <v>#N/A</v>
      </c>
      <c r="C915" s="198"/>
      <c r="D915" s="198"/>
      <c r="E915" s="198"/>
      <c r="F915" s="198"/>
      <c r="G915" s="198"/>
      <c r="H915" s="198"/>
      <c r="I915" s="198"/>
      <c r="J915" s="198"/>
      <c r="K915" s="198"/>
      <c r="L915" s="198"/>
    </row>
    <row r="916">
      <c r="A916" s="198"/>
      <c r="B916" s="208" t="str">
        <f>vlookup(A916,Price!A:B,2,false)</f>
        <v>#N/A</v>
      </c>
      <c r="C916" s="198"/>
      <c r="D916" s="198"/>
      <c r="E916" s="198"/>
      <c r="F916" s="198"/>
      <c r="G916" s="198"/>
      <c r="H916" s="198"/>
      <c r="I916" s="198"/>
      <c r="J916" s="198"/>
      <c r="K916" s="198"/>
      <c r="L916" s="198"/>
    </row>
    <row r="917">
      <c r="A917" s="198"/>
      <c r="B917" s="208" t="str">
        <f>vlookup(A917,Price!A:B,2,false)</f>
        <v>#N/A</v>
      </c>
      <c r="C917" s="198"/>
      <c r="D917" s="198"/>
      <c r="E917" s="198"/>
      <c r="F917" s="198"/>
      <c r="G917" s="198"/>
      <c r="H917" s="198"/>
      <c r="I917" s="198"/>
      <c r="J917" s="198"/>
      <c r="K917" s="198"/>
      <c r="L917" s="198"/>
    </row>
    <row r="918">
      <c r="A918" s="198"/>
      <c r="B918" s="208" t="str">
        <f>vlookup(A918,Price!A:B,2,false)</f>
        <v>#N/A</v>
      </c>
      <c r="C918" s="198"/>
      <c r="D918" s="198"/>
      <c r="E918" s="198"/>
      <c r="F918" s="198"/>
      <c r="G918" s="198"/>
      <c r="H918" s="198"/>
      <c r="I918" s="198"/>
      <c r="J918" s="198"/>
      <c r="K918" s="198"/>
      <c r="L918" s="198"/>
    </row>
    <row r="919">
      <c r="A919" s="198"/>
      <c r="B919" s="208" t="str">
        <f>vlookup(A919,Price!A:B,2,false)</f>
        <v>#N/A</v>
      </c>
      <c r="C919" s="198"/>
      <c r="D919" s="198"/>
      <c r="E919" s="198"/>
      <c r="F919" s="198"/>
      <c r="G919" s="198"/>
      <c r="H919" s="198"/>
      <c r="I919" s="198"/>
      <c r="J919" s="198"/>
      <c r="K919" s="198"/>
      <c r="L919" s="198"/>
    </row>
    <row r="920">
      <c r="A920" s="198"/>
      <c r="B920" s="208" t="str">
        <f>vlookup(A920,Price!A:B,2,false)</f>
        <v>#N/A</v>
      </c>
      <c r="C920" s="198"/>
      <c r="D920" s="198"/>
      <c r="E920" s="198"/>
      <c r="F920" s="198"/>
      <c r="G920" s="198"/>
      <c r="H920" s="198"/>
      <c r="I920" s="198"/>
      <c r="J920" s="198"/>
      <c r="K920" s="198"/>
      <c r="L920" s="198"/>
    </row>
    <row r="921">
      <c r="A921" s="198"/>
      <c r="B921" s="208" t="str">
        <f>vlookup(A921,Price!A:B,2,false)</f>
        <v>#N/A</v>
      </c>
      <c r="C921" s="198"/>
      <c r="D921" s="198"/>
      <c r="E921" s="198"/>
      <c r="F921" s="198"/>
      <c r="G921" s="198"/>
      <c r="H921" s="198"/>
      <c r="I921" s="198"/>
      <c r="J921" s="198"/>
      <c r="K921" s="198"/>
      <c r="L921" s="198"/>
    </row>
    <row r="922">
      <c r="A922" s="198"/>
      <c r="B922" s="208" t="str">
        <f>vlookup(A922,Price!A:B,2,false)</f>
        <v>#N/A</v>
      </c>
      <c r="C922" s="198"/>
      <c r="D922" s="198"/>
      <c r="E922" s="198"/>
      <c r="F922" s="198"/>
      <c r="G922" s="198"/>
      <c r="H922" s="198"/>
      <c r="I922" s="198"/>
      <c r="J922" s="198"/>
      <c r="K922" s="198"/>
      <c r="L922" s="198"/>
    </row>
    <row r="923">
      <c r="A923" s="198"/>
      <c r="B923" s="208" t="str">
        <f>vlookup(A923,Price!A:B,2,false)</f>
        <v>#N/A</v>
      </c>
      <c r="C923" s="198"/>
      <c r="D923" s="198"/>
      <c r="E923" s="198"/>
      <c r="F923" s="198"/>
      <c r="G923" s="198"/>
      <c r="H923" s="198"/>
      <c r="I923" s="198"/>
      <c r="J923" s="198"/>
      <c r="K923" s="198"/>
      <c r="L923" s="198"/>
    </row>
    <row r="924">
      <c r="A924" s="198"/>
      <c r="B924" s="208" t="str">
        <f>vlookup(A924,Price!A:B,2,false)</f>
        <v>#N/A</v>
      </c>
      <c r="C924" s="198"/>
      <c r="D924" s="198"/>
      <c r="E924" s="198"/>
      <c r="F924" s="198"/>
      <c r="G924" s="198"/>
      <c r="H924" s="198"/>
      <c r="I924" s="198"/>
      <c r="J924" s="198"/>
      <c r="K924" s="198"/>
      <c r="L924" s="198"/>
    </row>
    <row r="925">
      <c r="A925" s="198"/>
      <c r="B925" s="208" t="str">
        <f>vlookup(A925,Price!A:B,2,false)</f>
        <v>#N/A</v>
      </c>
      <c r="C925" s="198"/>
      <c r="D925" s="198"/>
      <c r="E925" s="198"/>
      <c r="F925" s="198"/>
      <c r="G925" s="198"/>
      <c r="H925" s="198"/>
      <c r="I925" s="198"/>
      <c r="J925" s="198"/>
      <c r="K925" s="198"/>
      <c r="L925" s="198"/>
    </row>
    <row r="926">
      <c r="A926" s="198"/>
      <c r="B926" s="208" t="str">
        <f>vlookup(A926,Price!A:B,2,false)</f>
        <v>#N/A</v>
      </c>
      <c r="C926" s="198"/>
      <c r="D926" s="198"/>
      <c r="E926" s="198"/>
      <c r="F926" s="198"/>
      <c r="G926" s="198"/>
      <c r="H926" s="198"/>
      <c r="I926" s="198"/>
      <c r="J926" s="198"/>
      <c r="K926" s="198"/>
      <c r="L926" s="198"/>
    </row>
    <row r="927">
      <c r="A927" s="198"/>
      <c r="B927" s="208" t="str">
        <f>vlookup(A927,Price!A:B,2,false)</f>
        <v>#N/A</v>
      </c>
      <c r="C927" s="198"/>
      <c r="D927" s="198"/>
      <c r="E927" s="198"/>
      <c r="F927" s="198"/>
      <c r="G927" s="198"/>
      <c r="H927" s="198"/>
      <c r="I927" s="198"/>
      <c r="J927" s="198"/>
      <c r="K927" s="198"/>
      <c r="L927" s="198"/>
    </row>
    <row r="928">
      <c r="A928" s="198"/>
      <c r="B928" s="208" t="str">
        <f>vlookup(A928,Price!A:B,2,false)</f>
        <v>#N/A</v>
      </c>
      <c r="C928" s="198"/>
      <c r="D928" s="198"/>
      <c r="E928" s="198"/>
      <c r="F928" s="198"/>
      <c r="G928" s="198"/>
      <c r="H928" s="198"/>
      <c r="I928" s="198"/>
      <c r="J928" s="198"/>
      <c r="K928" s="198"/>
      <c r="L928" s="198"/>
    </row>
    <row r="929">
      <c r="A929" s="198"/>
      <c r="B929" s="208" t="str">
        <f>vlookup(A929,Price!A:B,2,false)</f>
        <v>#N/A</v>
      </c>
      <c r="C929" s="198"/>
      <c r="D929" s="198"/>
      <c r="E929" s="198"/>
      <c r="F929" s="198"/>
      <c r="G929" s="198"/>
      <c r="H929" s="198"/>
      <c r="I929" s="198"/>
      <c r="J929" s="198"/>
      <c r="K929" s="198"/>
      <c r="L929" s="198"/>
    </row>
    <row r="930">
      <c r="A930" s="198"/>
      <c r="B930" s="208" t="str">
        <f>vlookup(A930,Price!A:B,2,false)</f>
        <v>#N/A</v>
      </c>
      <c r="C930" s="198"/>
      <c r="D930" s="198"/>
      <c r="E930" s="198"/>
      <c r="F930" s="198"/>
      <c r="G930" s="198"/>
      <c r="H930" s="198"/>
      <c r="I930" s="198"/>
      <c r="J930" s="198"/>
      <c r="K930" s="198"/>
      <c r="L930" s="198"/>
    </row>
    <row r="931">
      <c r="A931" s="198"/>
      <c r="B931" s="208" t="str">
        <f>vlookup(A931,Price!A:B,2,false)</f>
        <v>#N/A</v>
      </c>
      <c r="C931" s="198"/>
      <c r="D931" s="198"/>
      <c r="E931" s="198"/>
      <c r="F931" s="198"/>
      <c r="G931" s="198"/>
      <c r="H931" s="198"/>
      <c r="I931" s="198"/>
      <c r="J931" s="198"/>
      <c r="K931" s="198"/>
      <c r="L931" s="198"/>
    </row>
    <row r="932">
      <c r="A932" s="198"/>
      <c r="B932" s="208" t="str">
        <f>vlookup(A932,Price!A:B,2,false)</f>
        <v>#N/A</v>
      </c>
      <c r="C932" s="198"/>
      <c r="D932" s="198"/>
      <c r="E932" s="198"/>
      <c r="F932" s="198"/>
      <c r="G932" s="198"/>
      <c r="H932" s="198"/>
      <c r="I932" s="198"/>
      <c r="J932" s="198"/>
      <c r="K932" s="198"/>
      <c r="L932" s="198"/>
    </row>
    <row r="933">
      <c r="A933" s="198"/>
      <c r="B933" s="208" t="str">
        <f>vlookup(A933,Price!A:B,2,false)</f>
        <v>#N/A</v>
      </c>
      <c r="C933" s="198"/>
      <c r="D933" s="198"/>
      <c r="E933" s="198"/>
      <c r="F933" s="198"/>
      <c r="G933" s="198"/>
      <c r="H933" s="198"/>
      <c r="I933" s="198"/>
      <c r="J933" s="198"/>
      <c r="K933" s="198"/>
      <c r="L933" s="198"/>
    </row>
    <row r="934">
      <c r="A934" s="198"/>
      <c r="B934" s="208" t="str">
        <f>vlookup(A934,Price!A:B,2,false)</f>
        <v>#N/A</v>
      </c>
      <c r="C934" s="198"/>
      <c r="D934" s="198"/>
      <c r="E934" s="198"/>
      <c r="F934" s="198"/>
      <c r="G934" s="198"/>
      <c r="H934" s="198"/>
      <c r="I934" s="198"/>
      <c r="J934" s="198"/>
      <c r="K934" s="198"/>
      <c r="L934" s="198"/>
    </row>
    <row r="935">
      <c r="A935" s="198"/>
      <c r="B935" s="208" t="str">
        <f>vlookup(A935,Price!A:B,2,false)</f>
        <v>#N/A</v>
      </c>
      <c r="C935" s="198"/>
      <c r="D935" s="198"/>
      <c r="E935" s="198"/>
      <c r="F935" s="198"/>
      <c r="G935" s="198"/>
      <c r="H935" s="198"/>
      <c r="I935" s="198"/>
      <c r="J935" s="198"/>
      <c r="K935" s="198"/>
      <c r="L935" s="198"/>
    </row>
    <row r="936">
      <c r="A936" s="198"/>
      <c r="B936" s="208" t="str">
        <f>vlookup(A936,Price!A:B,2,false)</f>
        <v>#N/A</v>
      </c>
      <c r="C936" s="198"/>
      <c r="D936" s="198"/>
      <c r="E936" s="198"/>
      <c r="F936" s="198"/>
      <c r="G936" s="198"/>
      <c r="H936" s="198"/>
      <c r="I936" s="198"/>
      <c r="J936" s="198"/>
      <c r="K936" s="198"/>
      <c r="L936" s="198"/>
    </row>
    <row r="937">
      <c r="A937" s="198"/>
      <c r="B937" s="208" t="str">
        <f>vlookup(A937,Price!A:B,2,false)</f>
        <v>#N/A</v>
      </c>
      <c r="C937" s="198"/>
      <c r="D937" s="198"/>
      <c r="E937" s="198"/>
      <c r="F937" s="198"/>
      <c r="G937" s="198"/>
      <c r="H937" s="198"/>
      <c r="I937" s="198"/>
      <c r="J937" s="198"/>
      <c r="K937" s="198"/>
      <c r="L937" s="198"/>
    </row>
    <row r="938">
      <c r="A938" s="198"/>
      <c r="B938" s="208" t="str">
        <f>vlookup(A938,Price!A:B,2,false)</f>
        <v>#N/A</v>
      </c>
      <c r="C938" s="198"/>
      <c r="D938" s="198"/>
      <c r="E938" s="198"/>
      <c r="F938" s="198"/>
      <c r="G938" s="198"/>
      <c r="H938" s="198"/>
      <c r="I938" s="198"/>
      <c r="J938" s="198"/>
      <c r="K938" s="198"/>
      <c r="L938" s="198"/>
    </row>
    <row r="939">
      <c r="A939" s="198"/>
      <c r="B939" s="208" t="str">
        <f>vlookup(A939,Price!A:B,2,false)</f>
        <v>#N/A</v>
      </c>
      <c r="C939" s="198"/>
      <c r="D939" s="198"/>
      <c r="E939" s="198"/>
      <c r="F939" s="198"/>
      <c r="G939" s="198"/>
      <c r="H939" s="198"/>
      <c r="I939" s="198"/>
      <c r="J939" s="198"/>
      <c r="K939" s="198"/>
      <c r="L939" s="198"/>
    </row>
    <row r="940">
      <c r="A940" s="198"/>
      <c r="B940" s="208" t="str">
        <f>vlookup(A940,Price!A:B,2,false)</f>
        <v>#N/A</v>
      </c>
      <c r="C940" s="198"/>
      <c r="D940" s="198"/>
      <c r="E940" s="198"/>
      <c r="F940" s="198"/>
      <c r="G940" s="198"/>
      <c r="H940" s="198"/>
      <c r="I940" s="198"/>
      <c r="J940" s="198"/>
      <c r="K940" s="198"/>
      <c r="L940" s="198"/>
    </row>
    <row r="941">
      <c r="A941" s="198"/>
      <c r="B941" s="208" t="str">
        <f>vlookup(A941,Price!A:B,2,false)</f>
        <v>#N/A</v>
      </c>
      <c r="C941" s="198"/>
      <c r="D941" s="198"/>
      <c r="E941" s="198"/>
      <c r="F941" s="198"/>
      <c r="G941" s="198"/>
      <c r="H941" s="198"/>
      <c r="I941" s="198"/>
      <c r="J941" s="198"/>
      <c r="K941" s="198"/>
      <c r="L941" s="198"/>
    </row>
    <row r="942">
      <c r="A942" s="198"/>
      <c r="B942" s="208" t="str">
        <f>vlookup(A942,Price!A:B,2,false)</f>
        <v>#N/A</v>
      </c>
      <c r="C942" s="198"/>
      <c r="D942" s="198"/>
      <c r="E942" s="198"/>
      <c r="F942" s="198"/>
      <c r="G942" s="198"/>
      <c r="H942" s="198"/>
      <c r="I942" s="198"/>
      <c r="J942" s="198"/>
      <c r="K942" s="198"/>
      <c r="L942" s="198"/>
    </row>
    <row r="943">
      <c r="A943" s="198"/>
      <c r="B943" s="208" t="str">
        <f>vlookup(A943,Price!A:B,2,false)</f>
        <v>#N/A</v>
      </c>
      <c r="C943" s="198"/>
      <c r="D943" s="198"/>
      <c r="E943" s="198"/>
      <c r="F943" s="198"/>
      <c r="G943" s="198"/>
      <c r="H943" s="198"/>
      <c r="I943" s="198"/>
      <c r="J943" s="198"/>
      <c r="K943" s="198"/>
      <c r="L943" s="198"/>
    </row>
    <row r="944">
      <c r="A944" s="198"/>
      <c r="B944" s="208" t="str">
        <f>vlookup(A944,Price!A:B,2,false)</f>
        <v>#N/A</v>
      </c>
      <c r="C944" s="198"/>
      <c r="D944" s="198"/>
      <c r="E944" s="198"/>
      <c r="F944" s="198"/>
      <c r="G944" s="198"/>
      <c r="H944" s="198"/>
      <c r="I944" s="198"/>
      <c r="J944" s="198"/>
      <c r="K944" s="198"/>
      <c r="L944" s="198"/>
    </row>
    <row r="945">
      <c r="A945" s="198"/>
      <c r="B945" s="208" t="str">
        <f>vlookup(A945,Price!A:B,2,false)</f>
        <v>#N/A</v>
      </c>
      <c r="C945" s="198"/>
      <c r="D945" s="198"/>
      <c r="E945" s="198"/>
      <c r="F945" s="198"/>
      <c r="G945" s="198"/>
      <c r="H945" s="198"/>
      <c r="I945" s="198"/>
      <c r="J945" s="198"/>
      <c r="K945" s="198"/>
      <c r="L945" s="198"/>
    </row>
    <row r="946">
      <c r="A946" s="198"/>
      <c r="B946" s="208" t="str">
        <f>vlookup(A946,Price!A:B,2,false)</f>
        <v>#N/A</v>
      </c>
      <c r="C946" s="198"/>
      <c r="D946" s="198"/>
      <c r="E946" s="198"/>
      <c r="F946" s="198"/>
      <c r="G946" s="198"/>
      <c r="H946" s="198"/>
      <c r="I946" s="198"/>
      <c r="J946" s="198"/>
      <c r="K946" s="198"/>
      <c r="L946" s="198"/>
    </row>
    <row r="947">
      <c r="A947" s="198"/>
      <c r="B947" s="208" t="str">
        <f>vlookup(A947,Price!A:B,2,false)</f>
        <v>#N/A</v>
      </c>
      <c r="C947" s="198"/>
      <c r="D947" s="198"/>
      <c r="E947" s="198"/>
      <c r="F947" s="198"/>
      <c r="G947" s="198"/>
      <c r="H947" s="198"/>
      <c r="I947" s="198"/>
      <c r="J947" s="198"/>
      <c r="K947" s="198"/>
      <c r="L947" s="198"/>
    </row>
    <row r="948">
      <c r="A948" s="198"/>
      <c r="B948" s="208" t="str">
        <f>vlookup(A948,Price!A:B,2,false)</f>
        <v>#N/A</v>
      </c>
      <c r="C948" s="198"/>
      <c r="D948" s="198"/>
      <c r="E948" s="198"/>
      <c r="F948" s="198"/>
      <c r="G948" s="198"/>
      <c r="H948" s="198"/>
      <c r="I948" s="198"/>
      <c r="J948" s="198"/>
      <c r="K948" s="198"/>
      <c r="L948" s="198"/>
    </row>
    <row r="949">
      <c r="A949" s="198"/>
      <c r="B949" s="208" t="str">
        <f>vlookup(A949,Price!A:B,2,false)</f>
        <v>#N/A</v>
      </c>
      <c r="C949" s="198"/>
      <c r="D949" s="198"/>
      <c r="E949" s="198"/>
      <c r="F949" s="198"/>
      <c r="G949" s="198"/>
      <c r="H949" s="198"/>
      <c r="I949" s="198"/>
      <c r="J949" s="198"/>
      <c r="K949" s="198"/>
      <c r="L949" s="198"/>
    </row>
    <row r="950">
      <c r="A950" s="198"/>
      <c r="B950" s="208" t="str">
        <f>vlookup(A950,Price!A:B,2,false)</f>
        <v>#N/A</v>
      </c>
      <c r="C950" s="198"/>
      <c r="D950" s="198"/>
      <c r="E950" s="198"/>
      <c r="F950" s="198"/>
      <c r="G950" s="198"/>
      <c r="H950" s="198"/>
      <c r="I950" s="198"/>
      <c r="J950" s="198"/>
      <c r="K950" s="198"/>
      <c r="L950" s="198"/>
    </row>
    <row r="951">
      <c r="A951" s="198"/>
      <c r="B951" s="208" t="str">
        <f>vlookup(A951,Price!A:B,2,false)</f>
        <v>#N/A</v>
      </c>
      <c r="C951" s="198"/>
      <c r="D951" s="198"/>
      <c r="E951" s="198"/>
      <c r="F951" s="198"/>
      <c r="G951" s="198"/>
      <c r="H951" s="198"/>
      <c r="I951" s="198"/>
      <c r="J951" s="198"/>
      <c r="K951" s="198"/>
      <c r="L951" s="198"/>
    </row>
    <row r="952">
      <c r="A952" s="198"/>
      <c r="B952" s="208" t="str">
        <f>vlookup(A952,Price!A:B,2,false)</f>
        <v>#N/A</v>
      </c>
      <c r="C952" s="198"/>
      <c r="D952" s="198"/>
      <c r="E952" s="198"/>
      <c r="F952" s="198"/>
      <c r="G952" s="198"/>
      <c r="H952" s="198"/>
      <c r="I952" s="198"/>
      <c r="J952" s="198"/>
      <c r="K952" s="198"/>
      <c r="L952" s="198"/>
    </row>
    <row r="953">
      <c r="A953" s="198"/>
      <c r="B953" s="208" t="str">
        <f>vlookup(A953,Price!A:B,2,false)</f>
        <v>#N/A</v>
      </c>
      <c r="C953" s="198"/>
      <c r="D953" s="198"/>
      <c r="E953" s="198"/>
      <c r="F953" s="198"/>
      <c r="G953" s="198"/>
      <c r="H953" s="198"/>
      <c r="I953" s="198"/>
      <c r="J953" s="198"/>
      <c r="K953" s="198"/>
      <c r="L953" s="198"/>
    </row>
    <row r="954">
      <c r="A954" s="198"/>
      <c r="B954" s="208" t="str">
        <f>vlookup(A954,Price!A:B,2,false)</f>
        <v>#N/A</v>
      </c>
      <c r="C954" s="198"/>
      <c r="D954" s="198"/>
      <c r="E954" s="198"/>
      <c r="F954" s="198"/>
      <c r="G954" s="198"/>
      <c r="H954" s="198"/>
      <c r="I954" s="198"/>
      <c r="J954" s="198"/>
      <c r="K954" s="198"/>
      <c r="L954" s="198"/>
    </row>
    <row r="955">
      <c r="A955" s="198"/>
      <c r="B955" s="208" t="str">
        <f>vlookup(A955,Price!A:B,2,false)</f>
        <v>#N/A</v>
      </c>
      <c r="C955" s="198"/>
      <c r="D955" s="198"/>
      <c r="E955" s="198"/>
      <c r="F955" s="198"/>
      <c r="G955" s="198"/>
      <c r="H955" s="198"/>
      <c r="I955" s="198"/>
      <c r="J955" s="198"/>
      <c r="K955" s="198"/>
      <c r="L955" s="198"/>
    </row>
    <row r="956">
      <c r="A956" s="198"/>
      <c r="B956" s="208" t="str">
        <f>vlookup(A956,Price!A:B,2,false)</f>
        <v>#N/A</v>
      </c>
      <c r="C956" s="198"/>
      <c r="D956" s="198"/>
      <c r="E956" s="198"/>
      <c r="F956" s="198"/>
      <c r="G956" s="198"/>
      <c r="H956" s="198"/>
      <c r="I956" s="198"/>
      <c r="J956" s="198"/>
      <c r="K956" s="198"/>
      <c r="L956" s="198"/>
    </row>
    <row r="957">
      <c r="A957" s="198"/>
      <c r="B957" s="208" t="str">
        <f>vlookup(A957,Price!A:B,2,false)</f>
        <v>#N/A</v>
      </c>
      <c r="C957" s="198"/>
      <c r="D957" s="198"/>
      <c r="E957" s="198"/>
      <c r="F957" s="198"/>
      <c r="G957" s="198"/>
      <c r="H957" s="198"/>
      <c r="I957" s="198"/>
      <c r="J957" s="198"/>
      <c r="K957" s="198"/>
      <c r="L957" s="198"/>
    </row>
    <row r="958">
      <c r="A958" s="198"/>
      <c r="B958" s="208" t="str">
        <f>vlookup(A958,Price!A:B,2,false)</f>
        <v>#N/A</v>
      </c>
      <c r="C958" s="198"/>
      <c r="D958" s="198"/>
      <c r="E958" s="198"/>
      <c r="F958" s="198"/>
      <c r="G958" s="198"/>
      <c r="H958" s="198"/>
      <c r="I958" s="198"/>
      <c r="J958" s="198"/>
      <c r="K958" s="198"/>
      <c r="L958" s="198"/>
    </row>
    <row r="959">
      <c r="A959" s="198"/>
      <c r="B959" s="208" t="str">
        <f>vlookup(A959,Price!A:B,2,false)</f>
        <v>#N/A</v>
      </c>
      <c r="C959" s="198"/>
      <c r="D959" s="198"/>
      <c r="E959" s="198"/>
      <c r="F959" s="198"/>
      <c r="G959" s="198"/>
      <c r="H959" s="198"/>
      <c r="I959" s="198"/>
      <c r="J959" s="198"/>
      <c r="K959" s="198"/>
      <c r="L959" s="198"/>
    </row>
    <row r="960">
      <c r="A960" s="198"/>
      <c r="B960" s="208" t="str">
        <f>vlookup(A960,Price!A:B,2,false)</f>
        <v>#N/A</v>
      </c>
      <c r="C960" s="198"/>
      <c r="D960" s="198"/>
      <c r="E960" s="198"/>
      <c r="F960" s="198"/>
      <c r="G960" s="198"/>
      <c r="H960" s="198"/>
      <c r="I960" s="198"/>
      <c r="J960" s="198"/>
      <c r="K960" s="198"/>
      <c r="L960" s="198"/>
    </row>
    <row r="961">
      <c r="A961" s="198"/>
      <c r="B961" s="208" t="str">
        <f>vlookup(A961,Price!A:B,2,false)</f>
        <v>#N/A</v>
      </c>
      <c r="C961" s="198"/>
      <c r="D961" s="198"/>
      <c r="E961" s="198"/>
      <c r="F961" s="198"/>
      <c r="G961" s="198"/>
      <c r="H961" s="198"/>
      <c r="I961" s="198"/>
      <c r="J961" s="198"/>
      <c r="K961" s="198"/>
      <c r="L961" s="198"/>
    </row>
    <row r="962">
      <c r="A962" s="198"/>
      <c r="B962" s="208" t="str">
        <f>vlookup(A962,Price!A:B,2,false)</f>
        <v>#N/A</v>
      </c>
      <c r="C962" s="198"/>
      <c r="D962" s="198"/>
      <c r="E962" s="198"/>
      <c r="F962" s="198"/>
      <c r="G962" s="198"/>
      <c r="H962" s="198"/>
      <c r="I962" s="198"/>
      <c r="J962" s="198"/>
      <c r="K962" s="198"/>
      <c r="L962" s="198"/>
    </row>
    <row r="963">
      <c r="A963" s="198"/>
      <c r="B963" s="208" t="str">
        <f>vlookup(A963,Price!A:B,2,false)</f>
        <v>#N/A</v>
      </c>
      <c r="C963" s="198"/>
      <c r="D963" s="198"/>
      <c r="E963" s="198"/>
      <c r="F963" s="198"/>
      <c r="G963" s="198"/>
      <c r="H963" s="198"/>
      <c r="I963" s="198"/>
      <c r="J963" s="198"/>
      <c r="K963" s="198"/>
      <c r="L963" s="198"/>
    </row>
    <row r="964">
      <c r="A964" s="198"/>
      <c r="B964" s="208" t="str">
        <f>vlookup(A964,Price!A:B,2,false)</f>
        <v>#N/A</v>
      </c>
      <c r="C964" s="198"/>
      <c r="D964" s="198"/>
      <c r="E964" s="198"/>
      <c r="F964" s="198"/>
      <c r="G964" s="198"/>
      <c r="H964" s="198"/>
      <c r="I964" s="198"/>
      <c r="J964" s="198"/>
      <c r="K964" s="198"/>
      <c r="L964" s="198"/>
    </row>
    <row r="965">
      <c r="A965" s="198"/>
      <c r="B965" s="208" t="str">
        <f>vlookup(A965,Price!A:B,2,false)</f>
        <v>#N/A</v>
      </c>
      <c r="C965" s="198"/>
      <c r="D965" s="198"/>
      <c r="E965" s="198"/>
      <c r="F965" s="198"/>
      <c r="G965" s="198"/>
      <c r="H965" s="198"/>
      <c r="I965" s="198"/>
      <c r="J965" s="198"/>
      <c r="K965" s="198"/>
      <c r="L965" s="198"/>
    </row>
    <row r="966">
      <c r="A966" s="198"/>
      <c r="B966" s="208" t="str">
        <f>vlookup(A966,Price!A:B,2,false)</f>
        <v>#N/A</v>
      </c>
      <c r="C966" s="198"/>
      <c r="D966" s="198"/>
      <c r="E966" s="198"/>
      <c r="F966" s="198"/>
      <c r="G966" s="198"/>
      <c r="H966" s="198"/>
      <c r="I966" s="198"/>
      <c r="J966" s="198"/>
      <c r="K966" s="198"/>
      <c r="L966" s="198"/>
    </row>
    <row r="967">
      <c r="A967" s="198"/>
      <c r="B967" s="208" t="str">
        <f>vlookup(A967,Price!A:B,2,false)</f>
        <v>#N/A</v>
      </c>
      <c r="C967" s="198"/>
      <c r="D967" s="198"/>
      <c r="E967" s="198"/>
      <c r="F967" s="198"/>
      <c r="G967" s="198"/>
      <c r="H967" s="198"/>
      <c r="I967" s="198"/>
      <c r="J967" s="198"/>
      <c r="K967" s="198"/>
      <c r="L967" s="198"/>
    </row>
    <row r="968">
      <c r="A968" s="198"/>
      <c r="B968" s="208" t="str">
        <f>vlookup(A968,Price!A:B,2,false)</f>
        <v>#N/A</v>
      </c>
      <c r="C968" s="198"/>
      <c r="D968" s="198"/>
      <c r="E968" s="198"/>
      <c r="F968" s="198"/>
      <c r="G968" s="198"/>
      <c r="H968" s="198"/>
      <c r="I968" s="198"/>
      <c r="J968" s="198"/>
      <c r="K968" s="198"/>
      <c r="L968" s="198"/>
    </row>
    <row r="969">
      <c r="A969" s="198"/>
      <c r="B969" s="208" t="str">
        <f>vlookup(A969,Price!A:B,2,false)</f>
        <v>#N/A</v>
      </c>
      <c r="C969" s="198"/>
      <c r="D969" s="198"/>
      <c r="E969" s="198"/>
      <c r="F969" s="198"/>
      <c r="G969" s="198"/>
      <c r="H969" s="198"/>
      <c r="I969" s="198"/>
      <c r="J969" s="198"/>
      <c r="K969" s="198"/>
      <c r="L969" s="198"/>
    </row>
    <row r="970">
      <c r="A970" s="198"/>
      <c r="B970" s="208" t="str">
        <f>vlookup(A970,Price!A:B,2,false)</f>
        <v>#N/A</v>
      </c>
      <c r="C970" s="198"/>
      <c r="D970" s="198"/>
      <c r="E970" s="198"/>
      <c r="F970" s="198"/>
      <c r="G970" s="198"/>
      <c r="H970" s="198"/>
      <c r="I970" s="198"/>
      <c r="J970" s="198"/>
      <c r="K970" s="198"/>
      <c r="L970" s="198"/>
    </row>
    <row r="971">
      <c r="A971" s="198"/>
      <c r="B971" s="208" t="str">
        <f>vlookup(A971,Price!A:B,2,false)</f>
        <v>#N/A</v>
      </c>
      <c r="C971" s="198"/>
      <c r="D971" s="198"/>
      <c r="E971" s="198"/>
      <c r="F971" s="198"/>
      <c r="G971" s="198"/>
      <c r="H971" s="198"/>
      <c r="I971" s="198"/>
      <c r="J971" s="198"/>
      <c r="K971" s="198"/>
      <c r="L971" s="198"/>
    </row>
    <row r="972">
      <c r="A972" s="198"/>
      <c r="B972" s="208" t="str">
        <f>vlookup(A972,Price!A:B,2,false)</f>
        <v>#N/A</v>
      </c>
      <c r="C972" s="198"/>
      <c r="D972" s="198"/>
      <c r="E972" s="198"/>
      <c r="F972" s="198"/>
      <c r="G972" s="198"/>
      <c r="H972" s="198"/>
      <c r="I972" s="198"/>
      <c r="J972" s="198"/>
      <c r="K972" s="198"/>
      <c r="L972" s="198"/>
    </row>
    <row r="973">
      <c r="A973" s="198"/>
      <c r="B973" s="208" t="str">
        <f>vlookup(A973,Price!A:B,2,false)</f>
        <v>#N/A</v>
      </c>
      <c r="C973" s="198"/>
      <c r="D973" s="198"/>
      <c r="E973" s="198"/>
      <c r="F973" s="198"/>
      <c r="G973" s="198"/>
      <c r="H973" s="198"/>
      <c r="I973" s="198"/>
      <c r="J973" s="198"/>
      <c r="K973" s="198"/>
      <c r="L973" s="198"/>
    </row>
    <row r="974">
      <c r="A974" s="198"/>
      <c r="B974" s="208" t="str">
        <f>vlookup(A974,Price!A:B,2,false)</f>
        <v>#N/A</v>
      </c>
      <c r="C974" s="198"/>
      <c r="D974" s="198"/>
      <c r="E974" s="198"/>
      <c r="F974" s="198"/>
      <c r="G974" s="198"/>
      <c r="H974" s="198"/>
      <c r="I974" s="198"/>
      <c r="J974" s="198"/>
      <c r="K974" s="198"/>
      <c r="L974" s="198"/>
    </row>
    <row r="975">
      <c r="A975" s="198"/>
      <c r="B975" s="208" t="str">
        <f>vlookup(A975,Price!A:B,2,false)</f>
        <v>#N/A</v>
      </c>
      <c r="C975" s="198"/>
      <c r="D975" s="198"/>
      <c r="E975" s="198"/>
      <c r="F975" s="198"/>
      <c r="G975" s="198"/>
      <c r="H975" s="198"/>
      <c r="I975" s="198"/>
      <c r="J975" s="198"/>
      <c r="K975" s="198"/>
      <c r="L975" s="198"/>
    </row>
    <row r="976">
      <c r="A976" s="198"/>
      <c r="B976" s="208" t="str">
        <f>vlookup(A976,Price!A:B,2,false)</f>
        <v>#N/A</v>
      </c>
      <c r="C976" s="198"/>
      <c r="D976" s="198"/>
      <c r="E976" s="198"/>
      <c r="F976" s="198"/>
      <c r="G976" s="198"/>
      <c r="H976" s="198"/>
      <c r="I976" s="198"/>
      <c r="J976" s="198"/>
      <c r="K976" s="198"/>
      <c r="L976" s="198"/>
    </row>
    <row r="977">
      <c r="A977" s="198"/>
      <c r="B977" s="208" t="str">
        <f>vlookup(A977,Price!A:B,2,false)</f>
        <v>#N/A</v>
      </c>
      <c r="C977" s="198"/>
      <c r="D977" s="198"/>
      <c r="E977" s="198"/>
      <c r="F977" s="198"/>
      <c r="G977" s="198"/>
      <c r="H977" s="198"/>
      <c r="I977" s="198"/>
      <c r="J977" s="198"/>
      <c r="K977" s="198"/>
      <c r="L977" s="198"/>
    </row>
    <row r="978">
      <c r="A978" s="198"/>
      <c r="B978" s="208" t="str">
        <f>vlookup(A978,Price!A:B,2,false)</f>
        <v>#N/A</v>
      </c>
      <c r="C978" s="198"/>
      <c r="D978" s="198"/>
      <c r="E978" s="198"/>
      <c r="F978" s="198"/>
      <c r="G978" s="198"/>
      <c r="H978" s="198"/>
      <c r="I978" s="198"/>
      <c r="J978" s="198"/>
      <c r="K978" s="198"/>
      <c r="L978" s="198"/>
    </row>
    <row r="979">
      <c r="A979" s="198"/>
      <c r="B979" s="208" t="str">
        <f>vlookup(A979,Price!A:B,2,false)</f>
        <v>#N/A</v>
      </c>
      <c r="C979" s="198"/>
      <c r="D979" s="198"/>
      <c r="E979" s="198"/>
      <c r="F979" s="198"/>
      <c r="G979" s="198"/>
      <c r="H979" s="198"/>
      <c r="I979" s="198"/>
      <c r="J979" s="198"/>
      <c r="K979" s="198"/>
      <c r="L979" s="198"/>
    </row>
    <row r="980">
      <c r="A980" s="198"/>
      <c r="B980" s="208" t="str">
        <f>vlookup(A980,Price!A:B,2,false)</f>
        <v>#N/A</v>
      </c>
      <c r="C980" s="198"/>
      <c r="D980" s="198"/>
      <c r="E980" s="198"/>
      <c r="F980" s="198"/>
      <c r="G980" s="198"/>
      <c r="H980" s="198"/>
      <c r="I980" s="198"/>
      <c r="J980" s="198"/>
      <c r="K980" s="198"/>
      <c r="L980" s="198"/>
    </row>
    <row r="981">
      <c r="A981" s="198"/>
      <c r="B981" s="208" t="str">
        <f>vlookup(A981,Price!A:B,2,false)</f>
        <v>#N/A</v>
      </c>
      <c r="C981" s="198"/>
      <c r="D981" s="198"/>
      <c r="E981" s="198"/>
      <c r="F981" s="198"/>
      <c r="G981" s="198"/>
      <c r="H981" s="198"/>
      <c r="I981" s="198"/>
      <c r="J981" s="198"/>
      <c r="K981" s="198"/>
      <c r="L981" s="198"/>
    </row>
    <row r="982">
      <c r="A982" s="198"/>
      <c r="B982" s="208" t="str">
        <f>vlookup(A982,Price!A:B,2,false)</f>
        <v>#N/A</v>
      </c>
      <c r="C982" s="198"/>
      <c r="D982" s="198"/>
      <c r="E982" s="198"/>
      <c r="F982" s="198"/>
      <c r="G982" s="198"/>
      <c r="H982" s="198"/>
      <c r="I982" s="198"/>
      <c r="J982" s="198"/>
      <c r="K982" s="198"/>
      <c r="L982" s="198"/>
    </row>
    <row r="983">
      <c r="A983" s="198"/>
      <c r="B983" s="208" t="str">
        <f>vlookup(A983,Price!A:B,2,false)</f>
        <v>#N/A</v>
      </c>
      <c r="C983" s="198"/>
      <c r="D983" s="198"/>
      <c r="E983" s="198"/>
      <c r="F983" s="198"/>
      <c r="G983" s="198"/>
      <c r="H983" s="198"/>
      <c r="I983" s="198"/>
      <c r="J983" s="198"/>
      <c r="K983" s="198"/>
      <c r="L983" s="198"/>
    </row>
    <row r="984">
      <c r="A984" s="198"/>
      <c r="B984" s="208" t="str">
        <f>vlookup(A984,Price!A:B,2,false)</f>
        <v>#N/A</v>
      </c>
      <c r="C984" s="198"/>
      <c r="D984" s="198"/>
      <c r="E984" s="198"/>
      <c r="F984" s="198"/>
      <c r="G984" s="198"/>
      <c r="H984" s="198"/>
      <c r="I984" s="198"/>
      <c r="J984" s="198"/>
      <c r="K984" s="198"/>
      <c r="L984" s="198"/>
    </row>
    <row r="985">
      <c r="A985" s="198"/>
      <c r="B985" s="208" t="str">
        <f>vlookup(A985,Price!A:B,2,false)</f>
        <v>#N/A</v>
      </c>
      <c r="C985" s="198"/>
      <c r="D985" s="198"/>
      <c r="E985" s="198"/>
      <c r="F985" s="198"/>
      <c r="G985" s="198"/>
      <c r="H985" s="198"/>
      <c r="I985" s="198"/>
      <c r="J985" s="198"/>
      <c r="K985" s="198"/>
      <c r="L985" s="198"/>
    </row>
    <row r="986">
      <c r="A986" s="198"/>
      <c r="B986" s="208" t="str">
        <f>vlookup(A986,Price!A:B,2,false)</f>
        <v>#N/A</v>
      </c>
      <c r="C986" s="198"/>
      <c r="D986" s="198"/>
      <c r="E986" s="198"/>
      <c r="F986" s="198"/>
      <c r="G986" s="198"/>
      <c r="H986" s="198"/>
      <c r="I986" s="198"/>
      <c r="J986" s="198"/>
      <c r="K986" s="198"/>
      <c r="L986" s="198"/>
    </row>
    <row r="987">
      <c r="A987" s="198"/>
      <c r="B987" s="208" t="str">
        <f>vlookup(A987,Price!A:B,2,false)</f>
        <v>#N/A</v>
      </c>
      <c r="C987" s="198"/>
      <c r="D987" s="198"/>
      <c r="E987" s="198"/>
      <c r="F987" s="198"/>
      <c r="G987" s="198"/>
      <c r="H987" s="198"/>
      <c r="I987" s="198"/>
      <c r="J987" s="198"/>
      <c r="K987" s="198"/>
      <c r="L987" s="198"/>
    </row>
    <row r="988">
      <c r="A988" s="198"/>
      <c r="B988" s="208" t="str">
        <f>vlookup(A988,Price!A:B,2,false)</f>
        <v>#N/A</v>
      </c>
      <c r="C988" s="198"/>
      <c r="D988" s="198"/>
      <c r="E988" s="198"/>
      <c r="F988" s="198"/>
      <c r="G988" s="198"/>
      <c r="H988" s="198"/>
      <c r="I988" s="198"/>
      <c r="J988" s="198"/>
      <c r="K988" s="198"/>
      <c r="L988" s="198"/>
    </row>
    <row r="989">
      <c r="A989" s="198"/>
      <c r="B989" s="208" t="str">
        <f>vlookup(A989,Price!A:B,2,false)</f>
        <v>#N/A</v>
      </c>
      <c r="C989" s="198"/>
      <c r="D989" s="198"/>
      <c r="E989" s="198"/>
      <c r="F989" s="198"/>
      <c r="G989" s="198"/>
      <c r="H989" s="198"/>
      <c r="I989" s="198"/>
      <c r="J989" s="198"/>
      <c r="K989" s="198"/>
      <c r="L989" s="198"/>
    </row>
    <row r="990">
      <c r="A990" s="198"/>
      <c r="B990" s="208" t="str">
        <f>vlookup(A990,Price!A:B,2,false)</f>
        <v>#N/A</v>
      </c>
      <c r="C990" s="198"/>
      <c r="D990" s="198"/>
      <c r="E990" s="198"/>
      <c r="F990" s="198"/>
      <c r="G990" s="198"/>
      <c r="H990" s="198"/>
      <c r="I990" s="198"/>
      <c r="J990" s="198"/>
      <c r="K990" s="198"/>
      <c r="L990" s="198"/>
    </row>
    <row r="991">
      <c r="A991" s="198"/>
      <c r="B991" s="208" t="str">
        <f>vlookup(A991,Price!A:B,2,false)</f>
        <v>#N/A</v>
      </c>
      <c r="C991" s="198"/>
      <c r="D991" s="198"/>
      <c r="E991" s="198"/>
      <c r="F991" s="198"/>
      <c r="G991" s="198"/>
      <c r="H991" s="198"/>
      <c r="I991" s="198"/>
      <c r="J991" s="198"/>
      <c r="K991" s="198"/>
      <c r="L991" s="198"/>
    </row>
    <row r="992">
      <c r="A992" s="198"/>
      <c r="B992" s="208" t="str">
        <f>vlookup(A992,Price!A:B,2,false)</f>
        <v>#N/A</v>
      </c>
      <c r="C992" s="198"/>
      <c r="D992" s="198"/>
      <c r="E992" s="198"/>
      <c r="F992" s="198"/>
      <c r="G992" s="198"/>
      <c r="H992" s="198"/>
      <c r="I992" s="198"/>
      <c r="J992" s="198"/>
      <c r="K992" s="198"/>
      <c r="L992" s="198"/>
    </row>
    <row r="993">
      <c r="A993" s="198"/>
      <c r="B993" s="208" t="str">
        <f>vlookup(A993,Price!A:B,2,false)</f>
        <v>#N/A</v>
      </c>
      <c r="C993" s="198"/>
      <c r="D993" s="198"/>
      <c r="E993" s="198"/>
      <c r="F993" s="198"/>
      <c r="G993" s="198"/>
      <c r="H993" s="198"/>
      <c r="I993" s="198"/>
      <c r="J993" s="198"/>
      <c r="K993" s="198"/>
      <c r="L993" s="198"/>
    </row>
    <row r="994">
      <c r="A994" s="198"/>
      <c r="B994" s="208" t="str">
        <f>vlookup(A994,Price!A:B,2,false)</f>
        <v>#N/A</v>
      </c>
      <c r="C994" s="198"/>
      <c r="D994" s="198"/>
      <c r="E994" s="198"/>
      <c r="F994" s="198"/>
      <c r="G994" s="198"/>
      <c r="H994" s="198"/>
      <c r="I994" s="198"/>
      <c r="J994" s="198"/>
      <c r="K994" s="198"/>
      <c r="L994" s="198"/>
    </row>
    <row r="995">
      <c r="A995" s="198"/>
      <c r="B995" s="208" t="str">
        <f>vlookup(A995,Price!A:B,2,false)</f>
        <v>#N/A</v>
      </c>
      <c r="C995" s="198"/>
      <c r="D995" s="198"/>
      <c r="E995" s="198"/>
      <c r="F995" s="198"/>
      <c r="G995" s="198"/>
      <c r="H995" s="198"/>
      <c r="I995" s="198"/>
      <c r="J995" s="198"/>
      <c r="K995" s="198"/>
      <c r="L995" s="198"/>
    </row>
    <row r="996">
      <c r="A996" s="198"/>
      <c r="B996" s="208" t="str">
        <f>vlookup(A996,Price!A:B,2,false)</f>
        <v>#N/A</v>
      </c>
      <c r="C996" s="198"/>
      <c r="D996" s="198"/>
      <c r="E996" s="198"/>
      <c r="F996" s="198"/>
      <c r="G996" s="198"/>
      <c r="H996" s="198"/>
      <c r="I996" s="198"/>
      <c r="J996" s="198"/>
      <c r="K996" s="198"/>
      <c r="L996" s="198"/>
    </row>
    <row r="997">
      <c r="A997" s="198"/>
      <c r="B997" s="208" t="str">
        <f>vlookup(A997,Price!A:B,2,false)</f>
        <v>#N/A</v>
      </c>
      <c r="C997" s="198"/>
      <c r="D997" s="198"/>
      <c r="E997" s="198"/>
      <c r="F997" s="198"/>
      <c r="G997" s="198"/>
      <c r="H997" s="198"/>
      <c r="I997" s="198"/>
      <c r="J997" s="198"/>
      <c r="K997" s="198"/>
      <c r="L997" s="198"/>
    </row>
    <row r="998">
      <c r="A998" s="198"/>
      <c r="B998" s="208" t="str">
        <f>vlookup(A998,Price!A:B,2,false)</f>
        <v>#N/A</v>
      </c>
      <c r="C998" s="198"/>
      <c r="D998" s="198"/>
      <c r="E998" s="198"/>
      <c r="F998" s="198"/>
      <c r="G998" s="198"/>
      <c r="H998" s="198"/>
      <c r="I998" s="198"/>
      <c r="J998" s="198"/>
      <c r="K998" s="198"/>
      <c r="L998" s="198"/>
    </row>
    <row r="999">
      <c r="A999" s="198"/>
      <c r="B999" s="208" t="str">
        <f>vlookup(A999,Price!A:B,2,false)</f>
        <v>#N/A</v>
      </c>
      <c r="C999" s="198"/>
      <c r="D999" s="198"/>
      <c r="E999" s="198"/>
      <c r="F999" s="198"/>
      <c r="G999" s="198"/>
      <c r="H999" s="198"/>
      <c r="I999" s="198"/>
      <c r="J999" s="198"/>
      <c r="K999" s="198"/>
      <c r="L999" s="198"/>
    </row>
    <row r="1000">
      <c r="A1000" s="198"/>
      <c r="B1000" s="208" t="str">
        <f>vlookup(A1000,Price!A:B,2,false)</f>
        <v>#N/A</v>
      </c>
      <c r="C1000" s="198"/>
      <c r="D1000" s="198"/>
      <c r="E1000" s="198"/>
      <c r="F1000" s="198"/>
      <c r="G1000" s="198"/>
      <c r="H1000" s="198"/>
      <c r="I1000" s="198"/>
      <c r="J1000" s="198"/>
      <c r="K1000" s="198"/>
      <c r="L1000" s="19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2" max="2" width="20.0"/>
    <col customWidth="1" min="3" max="3" width="15.75"/>
    <col customWidth="1" min="6" max="6" width="16.38"/>
    <col customWidth="1" min="9" max="9" width="15.25"/>
    <col customWidth="1" min="10" max="10" width="20.63"/>
    <col customWidth="1" min="11" max="11" width="13.75"/>
  </cols>
  <sheetData>
    <row r="1">
      <c r="A1" s="60" t="s">
        <v>38</v>
      </c>
      <c r="B1" s="61" t="s">
        <v>39</v>
      </c>
      <c r="C1" s="62" t="s">
        <v>40</v>
      </c>
      <c r="D1" s="63" t="s">
        <v>2</v>
      </c>
      <c r="E1" s="60" t="s">
        <v>3</v>
      </c>
      <c r="F1" s="60" t="s">
        <v>41</v>
      </c>
      <c r="G1" s="60" t="s">
        <v>42</v>
      </c>
      <c r="H1" s="60" t="s">
        <v>43</v>
      </c>
      <c r="I1" s="64" t="s">
        <v>44</v>
      </c>
      <c r="J1" s="62" t="s">
        <v>45</v>
      </c>
      <c r="K1" s="63" t="s">
        <v>46</v>
      </c>
      <c r="L1" s="60" t="s">
        <v>47</v>
      </c>
      <c r="M1" s="60"/>
      <c r="N1" s="60" t="s">
        <v>48</v>
      </c>
      <c r="O1" s="60" t="s">
        <v>49</v>
      </c>
      <c r="P1" s="60" t="s">
        <v>50</v>
      </c>
      <c r="Q1" s="60" t="s">
        <v>51</v>
      </c>
      <c r="R1" s="60" t="s">
        <v>52</v>
      </c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</row>
    <row r="2">
      <c r="A2" s="66" t="s">
        <v>53</v>
      </c>
      <c r="B2" s="67">
        <f>SUMIF(Pivot_Data!A:A,$A2,Pivot_Data!E:E)</f>
        <v>119491.6335</v>
      </c>
      <c r="C2" s="19">
        <f>SUMIF(Pivot_Data!A:A,$A2,Pivot_Data!H:H)</f>
        <v>5534210826</v>
      </c>
      <c r="D2" s="68">
        <f t="shared" ref="D2:D66" si="1">C2/$C$69</f>
        <v>0.2592743159</v>
      </c>
      <c r="E2" s="68">
        <f>SUMIF(Pivot_Data!A:A,$A2,Pivot_Data!J:J)/$C2</f>
        <v>0.01013263943</v>
      </c>
      <c r="F2" s="68">
        <f>SUMIF(Pivot_Data!A:A,$A2,Pivot_Data!I:I)/$C2</f>
        <v>0.02121936192</v>
      </c>
      <c r="G2" s="68">
        <f t="shared" ref="G2:G66" si="2">E2-F2</f>
        <v>-0.01108672248</v>
      </c>
      <c r="H2" s="68">
        <f>iferror(VLOOKUP(A2,COFA!A:B,2,False),0)</f>
        <v>0.0298</v>
      </c>
      <c r="I2" s="69">
        <f t="shared" ref="I2:I66" si="3">B2*K2</f>
        <v>22607.6205</v>
      </c>
      <c r="J2" s="19">
        <f>SUMIFS(Pivot_Data!H:H, Pivot_Data!A:A,$A2,Pivot_Data!B:B,"undeployed")</f>
        <v>1047063585</v>
      </c>
      <c r="K2" s="68">
        <f t="shared" ref="K2:K66" si="4">J2/C2</f>
        <v>0.1891983551</v>
      </c>
      <c r="L2" s="70">
        <f t="shared" ref="L2:L66" si="5">J2/SUM(J:J)</f>
        <v>0.4161795164</v>
      </c>
      <c r="N2" s="38">
        <f t="shared" ref="N2:N66" si="6">C2*E2/52</f>
        <v>1078387.747</v>
      </c>
      <c r="O2" s="38">
        <f t="shared" ref="O2:O66" si="7">H2*C2/52</f>
        <v>3171528.512</v>
      </c>
      <c r="P2" s="38">
        <f t="shared" ref="P2:P66" si="8">N2-O2</f>
        <v>-2093140.765</v>
      </c>
      <c r="Q2" s="38">
        <f t="shared" ref="Q2:Q66" si="9">F2*C2/52</f>
        <v>2258315.816</v>
      </c>
      <c r="R2" s="38">
        <f t="shared" ref="R2:R66" si="10">N2-Q2</f>
        <v>-1179928.069</v>
      </c>
      <c r="S2" s="39">
        <f t="shared" ref="S2:S67" si="11">if(E2&lt;F2,E2*0.8,F2)</f>
        <v>0.008106111547</v>
      </c>
    </row>
    <row r="3">
      <c r="A3" s="66" t="s">
        <v>54</v>
      </c>
      <c r="B3" s="67">
        <f>SUMIF(Pivot_Data!A:A,$A3,Pivot_Data!E:E)</f>
        <v>1628325.81</v>
      </c>
      <c r="C3" s="19">
        <f>SUMIF(Pivot_Data!A:A,$A3,Pivot_Data!H:H)</f>
        <v>6219676256</v>
      </c>
      <c r="D3" s="68">
        <f t="shared" si="1"/>
        <v>0.2913879425</v>
      </c>
      <c r="E3" s="68">
        <f>SUMIF(Pivot_Data!A:A,$A3,Pivot_Data!J:J)/$C3</f>
        <v>0.02928207375</v>
      </c>
      <c r="F3" s="68">
        <f>SUMIF(Pivot_Data!A:A,$A3,Pivot_Data!I:I)/$C3</f>
        <v>0.03056534071</v>
      </c>
      <c r="G3" s="68">
        <f t="shared" si="2"/>
        <v>-0.001283266964</v>
      </c>
      <c r="H3" s="68">
        <f>iferror(VLOOKUP(A3,COFA!A:B,2,False),0)</f>
        <v>0.0384</v>
      </c>
      <c r="I3" s="69">
        <f t="shared" si="3"/>
        <v>115211.2693</v>
      </c>
      <c r="J3" s="19">
        <f>SUMIFS(Pivot_Data!H:H, Pivot_Data!A:A,$A3,Pivot_Data!B:B,"undeployed")</f>
        <v>440069666.5</v>
      </c>
      <c r="K3" s="68">
        <f t="shared" si="4"/>
        <v>0.07075443294</v>
      </c>
      <c r="L3" s="70">
        <f t="shared" si="5"/>
        <v>0.1749158156</v>
      </c>
      <c r="N3" s="38">
        <f t="shared" si="6"/>
        <v>3502404.208</v>
      </c>
      <c r="O3" s="38">
        <f t="shared" si="7"/>
        <v>4592991.696</v>
      </c>
      <c r="P3" s="38">
        <f t="shared" si="8"/>
        <v>-1090587.488</v>
      </c>
      <c r="Q3" s="38">
        <f t="shared" si="9"/>
        <v>3655894.69</v>
      </c>
      <c r="R3" s="38">
        <f t="shared" si="10"/>
        <v>-153490.482</v>
      </c>
      <c r="S3" s="39">
        <f t="shared" si="11"/>
        <v>0.023425659</v>
      </c>
    </row>
    <row r="4">
      <c r="A4" s="66" t="s">
        <v>55</v>
      </c>
      <c r="B4" s="67">
        <f>SUMIF(Pivot_Data!A:A,$A4,Pivot_Data!E:E)</f>
        <v>3034465294</v>
      </c>
      <c r="C4" s="19">
        <f>SUMIF(Pivot_Data!A:A,$A4,Pivot_Data!H:H)</f>
        <v>3034465294</v>
      </c>
      <c r="D4" s="68">
        <f t="shared" si="1"/>
        <v>0.1421628011</v>
      </c>
      <c r="E4" s="68">
        <f>SUMIF(Pivot_Data!A:A,$A4,Pivot_Data!J:J)/$C4</f>
        <v>0.08799987823</v>
      </c>
      <c r="F4" s="68">
        <f>SUMIF(Pivot_Data!A:A,$A4,Pivot_Data!I:I)/$C4</f>
        <v>0.09586835307</v>
      </c>
      <c r="G4" s="68">
        <f t="shared" si="2"/>
        <v>-0.007868474834</v>
      </c>
      <c r="H4" s="68">
        <f>iferror(VLOOKUP(A4,COFA!A:B,2,False),0)</f>
        <v>0.0959</v>
      </c>
      <c r="I4" s="69">
        <f t="shared" si="3"/>
        <v>340113506.2</v>
      </c>
      <c r="J4" s="19">
        <f>SUMIFS(Pivot_Data!H:H, Pivot_Data!A:A,$A4,Pivot_Data!B:B,"undeployed")</f>
        <v>340113506.2</v>
      </c>
      <c r="K4" s="68">
        <f t="shared" si="4"/>
        <v>0.1120835051</v>
      </c>
      <c r="L4" s="70">
        <f t="shared" si="5"/>
        <v>0.1351859396</v>
      </c>
      <c r="N4" s="38">
        <f t="shared" si="6"/>
        <v>5135241.853</v>
      </c>
      <c r="O4" s="38">
        <f t="shared" si="7"/>
        <v>5596254.263</v>
      </c>
      <c r="P4" s="38">
        <f t="shared" si="8"/>
        <v>-461012.41</v>
      </c>
      <c r="Q4" s="38">
        <f t="shared" si="9"/>
        <v>5594407.503</v>
      </c>
      <c r="R4" s="38">
        <f t="shared" si="10"/>
        <v>-459165.6499</v>
      </c>
      <c r="S4" s="39">
        <f t="shared" si="11"/>
        <v>0.07039990259</v>
      </c>
    </row>
    <row r="5">
      <c r="A5" s="66" t="s">
        <v>56</v>
      </c>
      <c r="B5" s="67">
        <f>SUMIF(Pivot_Data!A:A,$A5,Pivot_Data!E:E)</f>
        <v>657294226.9</v>
      </c>
      <c r="C5" s="19">
        <f>SUMIF(Pivot_Data!A:A,$A5,Pivot_Data!H:H)</f>
        <v>2574373250</v>
      </c>
      <c r="D5" s="68">
        <f t="shared" si="1"/>
        <v>0.1206077767</v>
      </c>
      <c r="E5" s="68">
        <f>SUMIF(Pivot_Data!A:A,$A5,Pivot_Data!J:J)/$C5</f>
        <v>0.002227326753</v>
      </c>
      <c r="F5" s="68">
        <f>SUMIF(Pivot_Data!A:A,$A5,Pivot_Data!I:I)/$C5</f>
        <v>0.02354575295</v>
      </c>
      <c r="G5" s="68">
        <f t="shared" si="2"/>
        <v>-0.02131842619</v>
      </c>
      <c r="H5" s="68">
        <f>iferror(VLOOKUP(A5,COFA!A:B,2,False),0)</f>
        <v>0.0415</v>
      </c>
      <c r="I5" s="69">
        <f t="shared" si="3"/>
        <v>57931977.42</v>
      </c>
      <c r="J5" s="19">
        <f>SUMIFS(Pivot_Data!H:H, Pivot_Data!A:A,$A5,Pivot_Data!B:B,"undeployed")</f>
        <v>226897676.7</v>
      </c>
      <c r="K5" s="68">
        <f t="shared" si="4"/>
        <v>0.08813705499</v>
      </c>
      <c r="L5" s="70">
        <f t="shared" si="5"/>
        <v>0.09018570289</v>
      </c>
      <c r="N5" s="38">
        <f t="shared" si="6"/>
        <v>110268.6618</v>
      </c>
      <c r="O5" s="38">
        <f t="shared" si="7"/>
        <v>2054547.883</v>
      </c>
      <c r="P5" s="38">
        <f t="shared" si="8"/>
        <v>-1944279.221</v>
      </c>
      <c r="Q5" s="38">
        <f t="shared" si="9"/>
        <v>1165683.78</v>
      </c>
      <c r="R5" s="38">
        <f t="shared" si="10"/>
        <v>-1055415.118</v>
      </c>
      <c r="S5" s="39">
        <f t="shared" si="11"/>
        <v>0.001781861403</v>
      </c>
    </row>
    <row r="6">
      <c r="A6" s="66" t="s">
        <v>57</v>
      </c>
      <c r="B6" s="67">
        <f>SUMIF(Pivot_Data!A:A,$A6,Pivot_Data!E:E)</f>
        <v>544624406</v>
      </c>
      <c r="C6" s="19">
        <f>SUMIF(Pivot_Data!A:A,$A6,Pivot_Data!H:H)</f>
        <v>1142408290</v>
      </c>
      <c r="D6" s="68">
        <f t="shared" si="1"/>
        <v>0.05352111387</v>
      </c>
      <c r="E6" s="68">
        <f>SUMIF(Pivot_Data!A:A,$A6,Pivot_Data!J:J)/$C6</f>
        <v>0.08060448646</v>
      </c>
      <c r="F6" s="68">
        <f>SUMIF(Pivot_Data!A:A,$A6,Pivot_Data!I:I)/$C6</f>
        <v>0.0818</v>
      </c>
      <c r="G6" s="68">
        <f t="shared" si="2"/>
        <v>-0.001195513543</v>
      </c>
      <c r="H6" s="68">
        <f>iferror(VLOOKUP(A6,COFA!A:B,2,False),0)</f>
        <v>0.0818</v>
      </c>
      <c r="I6" s="69">
        <f t="shared" si="3"/>
        <v>31547183.85</v>
      </c>
      <c r="J6" s="19">
        <f>SUMIFS(Pivot_Data!H:H, Pivot_Data!A:A,$A6,Pivot_Data!B:B,"undeployed")</f>
        <v>66173612.41</v>
      </c>
      <c r="K6" s="68">
        <f t="shared" si="4"/>
        <v>0.05792466056</v>
      </c>
      <c r="L6" s="70">
        <f t="shared" si="5"/>
        <v>0.02630222501</v>
      </c>
      <c r="N6" s="38">
        <f t="shared" si="6"/>
        <v>1770831.414</v>
      </c>
      <c r="O6" s="38">
        <f t="shared" si="7"/>
        <v>1797096.118</v>
      </c>
      <c r="P6" s="38">
        <f t="shared" si="8"/>
        <v>-26264.70351</v>
      </c>
      <c r="Q6" s="38">
        <f t="shared" si="9"/>
        <v>1797096.118</v>
      </c>
      <c r="R6" s="38">
        <f t="shared" si="10"/>
        <v>-26264.70351</v>
      </c>
      <c r="S6" s="39">
        <f t="shared" si="11"/>
        <v>0.06448358917</v>
      </c>
    </row>
    <row r="7">
      <c r="A7" s="58" t="s">
        <v>58</v>
      </c>
      <c r="B7" s="67">
        <f>SUMIF(Pivot_Data!A:A,$A7,Pivot_Data!E:E)</f>
        <v>180412345.6</v>
      </c>
      <c r="C7" s="19">
        <f>SUMIF(Pivot_Data!A:A,$A7,Pivot_Data!H:H)</f>
        <v>599928725.6</v>
      </c>
      <c r="D7" s="68">
        <f t="shared" si="1"/>
        <v>0.02810628557</v>
      </c>
      <c r="E7" s="68">
        <f>SUMIF(Pivot_Data!A:A,$A7,Pivot_Data!J:J)/$C7</f>
        <v>0.02667290737</v>
      </c>
      <c r="F7" s="68">
        <f>SUMIF(Pivot_Data!A:A,$A7,Pivot_Data!I:I)/$C7</f>
        <v>0</v>
      </c>
      <c r="G7" s="68">
        <f t="shared" si="2"/>
        <v>0.02667290737</v>
      </c>
      <c r="H7" s="68">
        <f>iferror(VLOOKUP(A7,COFA!A:B,2,False),0)</f>
        <v>0</v>
      </c>
      <c r="I7" s="69">
        <f t="shared" si="3"/>
        <v>20006134.92</v>
      </c>
      <c r="J7" s="19">
        <f>SUMIFS(Pivot_Data!H:H, Pivot_Data!A:A,$A7,Pivot_Data!B:B,"undeployed")</f>
        <v>66526794.41</v>
      </c>
      <c r="K7" s="68">
        <f t="shared" si="4"/>
        <v>0.1108911635</v>
      </c>
      <c r="L7" s="70">
        <f t="shared" si="5"/>
        <v>0.02644260532</v>
      </c>
      <c r="N7" s="38">
        <f t="shared" si="6"/>
        <v>307727.7562</v>
      </c>
      <c r="O7" s="38">
        <f t="shared" si="7"/>
        <v>0</v>
      </c>
      <c r="P7" s="38">
        <f t="shared" si="8"/>
        <v>307727.7562</v>
      </c>
      <c r="Q7" s="38">
        <f t="shared" si="9"/>
        <v>0</v>
      </c>
      <c r="R7" s="38">
        <f t="shared" si="10"/>
        <v>307727.7562</v>
      </c>
      <c r="S7" s="39">
        <f t="shared" si="11"/>
        <v>0</v>
      </c>
    </row>
    <row r="8">
      <c r="A8" s="66" t="s">
        <v>59</v>
      </c>
      <c r="B8" s="67">
        <f>SUMIF(Pivot_Data!A:A,$A8,Pivot_Data!E:E)</f>
        <v>16767659.26</v>
      </c>
      <c r="C8" s="19">
        <f>SUMIF(Pivot_Data!A:A,$A8,Pivot_Data!H:H)</f>
        <v>662634692.2</v>
      </c>
      <c r="D8" s="68">
        <f t="shared" si="1"/>
        <v>0.03104402089</v>
      </c>
      <c r="E8" s="68">
        <f>SUMIF(Pivot_Data!A:A,$A8,Pivot_Data!J:J)/$C8</f>
        <v>0.022283985</v>
      </c>
      <c r="F8" s="68">
        <f>SUMIF(Pivot_Data!A:A,$A8,Pivot_Data!I:I)/$C8</f>
        <v>0</v>
      </c>
      <c r="G8" s="68">
        <f t="shared" si="2"/>
        <v>0.022283985</v>
      </c>
      <c r="H8" s="68" t="str">
        <f>iferror(VLOOKUP(A8,COFA!A:B,2,False),0)</f>
        <v>N/A</v>
      </c>
      <c r="I8" s="69">
        <f t="shared" si="3"/>
        <v>2619746.47</v>
      </c>
      <c r="J8" s="19">
        <f>SUMIFS(Pivot_Data!H:H, Pivot_Data!A:A,$A8,Pivot_Data!B:B,"undeployed")</f>
        <v>103528755.5</v>
      </c>
      <c r="K8" s="68">
        <f t="shared" si="4"/>
        <v>0.156238055</v>
      </c>
      <c r="L8" s="70">
        <f t="shared" si="5"/>
        <v>0.04114988622</v>
      </c>
      <c r="N8" s="38">
        <f t="shared" si="6"/>
        <v>283964.2604</v>
      </c>
      <c r="O8" s="66" t="str">
        <f t="shared" si="7"/>
        <v>#VALUE!</v>
      </c>
      <c r="P8" s="66" t="str">
        <f t="shared" si="8"/>
        <v>#VALUE!</v>
      </c>
      <c r="Q8" s="38">
        <f t="shared" si="9"/>
        <v>0</v>
      </c>
      <c r="R8" s="38">
        <f t="shared" si="10"/>
        <v>283964.2604</v>
      </c>
      <c r="S8" s="39">
        <f t="shared" si="11"/>
        <v>0</v>
      </c>
    </row>
    <row r="9">
      <c r="A9" s="66" t="s">
        <v>60</v>
      </c>
      <c r="B9" s="67">
        <f>SUMIF(Pivot_Data!A:A,$A9,Pivot_Data!E:E)</f>
        <v>258993004.4</v>
      </c>
      <c r="C9" s="19">
        <f>SUMIF(Pivot_Data!A:A,$A9,Pivot_Data!H:H)</f>
        <v>317247536</v>
      </c>
      <c r="D9" s="68">
        <f t="shared" si="1"/>
        <v>0.01486284864</v>
      </c>
      <c r="E9" s="68">
        <f>SUMIF(Pivot_Data!A:A,$A9,Pivot_Data!J:J)/$C9</f>
        <v>0.04833197332</v>
      </c>
      <c r="F9" s="68">
        <f>SUMIF(Pivot_Data!A:A,$A9,Pivot_Data!I:I)/$C9</f>
        <v>0.0205</v>
      </c>
      <c r="G9" s="68">
        <f t="shared" si="2"/>
        <v>0.02783197332</v>
      </c>
      <c r="H9" s="68">
        <f>iferror(VLOOKUP(A9,COFA!A:B,2,False),0)</f>
        <v>0.0205</v>
      </c>
      <c r="I9" s="69">
        <f t="shared" si="3"/>
        <v>22641789.36</v>
      </c>
      <c r="J9" s="19">
        <f>SUMIFS(Pivot_Data!H:H, Pivot_Data!A:A,$A9,Pivot_Data!B:B,"undeployed")</f>
        <v>27734540.18</v>
      </c>
      <c r="K9" s="68">
        <f t="shared" si="4"/>
        <v>0.08742239742</v>
      </c>
      <c r="L9" s="70">
        <f t="shared" si="5"/>
        <v>0.01102373121</v>
      </c>
      <c r="N9" s="38">
        <f t="shared" si="6"/>
        <v>294869.2201</v>
      </c>
      <c r="O9" s="38">
        <f t="shared" si="7"/>
        <v>125068.7402</v>
      </c>
      <c r="P9" s="38">
        <f t="shared" si="8"/>
        <v>169800.48</v>
      </c>
      <c r="Q9" s="38">
        <f t="shared" si="9"/>
        <v>125068.7402</v>
      </c>
      <c r="R9" s="38">
        <f t="shared" si="10"/>
        <v>169800.48</v>
      </c>
      <c r="S9" s="39">
        <f t="shared" si="11"/>
        <v>0.0205</v>
      </c>
    </row>
    <row r="10">
      <c r="A10" s="66" t="s">
        <v>61</v>
      </c>
      <c r="B10" s="67">
        <f>SUMIF(Pivot_Data!A:A,$A10,Pivot_Data!E:E)</f>
        <v>12923285.7</v>
      </c>
      <c r="C10" s="19">
        <f>SUMIF(Pivot_Data!A:A,$A10,Pivot_Data!H:H)</f>
        <v>239249911.5</v>
      </c>
      <c r="D10" s="68">
        <f t="shared" si="1"/>
        <v>0.01120870872</v>
      </c>
      <c r="E10" s="68">
        <f>SUMIF(Pivot_Data!A:A,$A10,Pivot_Data!J:J)/$C10</f>
        <v>0.01234602303</v>
      </c>
      <c r="F10" s="68">
        <f>SUMIF(Pivot_Data!A:A,$A10,Pivot_Data!I:I)/$C10</f>
        <v>0.01137173394</v>
      </c>
      <c r="G10" s="68">
        <f t="shared" si="2"/>
        <v>0.0009742890894</v>
      </c>
      <c r="H10" s="68">
        <f>iferror(VLOOKUP(A10,COFA!A:B,2,False),0)</f>
        <v>0.0251</v>
      </c>
      <c r="I10" s="69">
        <f t="shared" si="3"/>
        <v>953610.9186</v>
      </c>
      <c r="J10" s="19">
        <f>SUMIFS(Pivot_Data!H:H, Pivot_Data!A:A,$A10,Pivot_Data!B:B,"undeployed")</f>
        <v>17654281.82</v>
      </c>
      <c r="K10" s="68">
        <f t="shared" si="4"/>
        <v>0.07379012895</v>
      </c>
      <c r="L10" s="70">
        <f t="shared" si="5"/>
        <v>0.007017100563</v>
      </c>
      <c r="N10" s="38">
        <f t="shared" si="6"/>
        <v>56803.55611</v>
      </c>
      <c r="O10" s="38">
        <f t="shared" si="7"/>
        <v>115484.0919</v>
      </c>
      <c r="P10" s="71">
        <f t="shared" si="8"/>
        <v>-58680.5358</v>
      </c>
      <c r="Q10" s="38">
        <f t="shared" si="9"/>
        <v>52320.89114</v>
      </c>
      <c r="R10" s="38">
        <f t="shared" si="10"/>
        <v>4482.66497</v>
      </c>
      <c r="S10" s="39">
        <f t="shared" si="11"/>
        <v>0.01137173394</v>
      </c>
    </row>
    <row r="11">
      <c r="A11" s="66" t="s">
        <v>62</v>
      </c>
      <c r="B11" s="67">
        <f>SUMIF(Pivot_Data!A:A,$A11,Pivot_Data!E:E)</f>
        <v>233927383.8</v>
      </c>
      <c r="C11" s="19">
        <f>SUMIF(Pivot_Data!A:A,$A11,Pivot_Data!H:H)</f>
        <v>202705900</v>
      </c>
      <c r="D11" s="68">
        <f t="shared" si="1"/>
        <v>0.009496644633</v>
      </c>
      <c r="E11" s="68">
        <f>SUMIF(Pivot_Data!A:A,$A11,Pivot_Data!J:J)/$C11</f>
        <v>0.03803995521</v>
      </c>
      <c r="F11" s="68">
        <f>SUMIF(Pivot_Data!A:A,$A11,Pivot_Data!I:I)/$C11</f>
        <v>0.01217362651</v>
      </c>
      <c r="G11" s="68">
        <f t="shared" si="2"/>
        <v>0.0258663287</v>
      </c>
      <c r="H11" s="68">
        <f>iferror(VLOOKUP(A11,COFA!A:B,2,False),0)</f>
        <v>0.0127</v>
      </c>
      <c r="I11" s="69">
        <f t="shared" si="3"/>
        <v>31617022.4</v>
      </c>
      <c r="J11" s="19">
        <f>SUMIFS(Pivot_Data!H:H, Pivot_Data!A:A,$A11,Pivot_Data!B:B,"undeployed")</f>
        <v>27397207.1</v>
      </c>
      <c r="K11" s="68">
        <f t="shared" si="4"/>
        <v>0.1351574231</v>
      </c>
      <c r="L11" s="70">
        <f t="shared" si="5"/>
        <v>0.01088965041</v>
      </c>
      <c r="N11" s="38">
        <f t="shared" si="6"/>
        <v>148286.9876</v>
      </c>
      <c r="O11" s="38">
        <f t="shared" si="7"/>
        <v>49507.01788</v>
      </c>
      <c r="P11" s="38">
        <f t="shared" si="8"/>
        <v>98779.96974</v>
      </c>
      <c r="Q11" s="38">
        <f t="shared" si="9"/>
        <v>47455.11382</v>
      </c>
      <c r="R11" s="38">
        <f t="shared" si="10"/>
        <v>100831.8738</v>
      </c>
      <c r="S11" s="39">
        <f t="shared" si="11"/>
        <v>0.01217362651</v>
      </c>
    </row>
    <row r="12">
      <c r="A12" s="66" t="s">
        <v>63</v>
      </c>
      <c r="B12" s="67">
        <f>SUMIF(Pivot_Data!A:A,$A12,Pivot_Data!E:E)</f>
        <v>2835090.677</v>
      </c>
      <c r="C12" s="19">
        <f>SUMIF(Pivot_Data!A:A,$A12,Pivot_Data!H:H)</f>
        <v>214148291.7</v>
      </c>
      <c r="D12" s="68">
        <f t="shared" si="1"/>
        <v>0.01003271353</v>
      </c>
      <c r="E12" s="68">
        <f>SUMIF(Pivot_Data!A:A,$A12,Pivot_Data!J:J)/$C12</f>
        <v>0.09758849374</v>
      </c>
      <c r="F12" s="68">
        <f>SUMIF(Pivot_Data!A:A,$A12,Pivot_Data!I:I)/$C12</f>
        <v>0.0488</v>
      </c>
      <c r="G12" s="68">
        <f t="shared" si="2"/>
        <v>0.04878849374</v>
      </c>
      <c r="H12" s="68">
        <f>iferror(VLOOKUP(A12,COFA!A:B,2,False),0)</f>
        <v>0.0488</v>
      </c>
      <c r="I12" s="69">
        <f t="shared" si="3"/>
        <v>516792.0401</v>
      </c>
      <c r="J12" s="19">
        <f>SUMIFS(Pivot_Data!H:H, Pivot_Data!A:A,$A12,Pivot_Data!B:B,"undeployed")</f>
        <v>39035835.24</v>
      </c>
      <c r="K12" s="68">
        <f t="shared" si="4"/>
        <v>0.1822841309</v>
      </c>
      <c r="L12" s="70">
        <f t="shared" si="5"/>
        <v>0.01551569099</v>
      </c>
      <c r="N12" s="38">
        <f t="shared" si="6"/>
        <v>401892.485</v>
      </c>
      <c r="O12" s="38">
        <f t="shared" si="7"/>
        <v>200969.9353</v>
      </c>
      <c r="P12" s="38">
        <f t="shared" si="8"/>
        <v>200922.5498</v>
      </c>
      <c r="Q12" s="38">
        <f t="shared" si="9"/>
        <v>200969.9353</v>
      </c>
      <c r="R12" s="38">
        <f t="shared" si="10"/>
        <v>200922.5498</v>
      </c>
      <c r="S12" s="39">
        <f t="shared" si="11"/>
        <v>0.0488</v>
      </c>
    </row>
    <row r="13">
      <c r="A13" s="66" t="s">
        <v>64</v>
      </c>
      <c r="B13" s="67">
        <f>SUMIF(Pivot_Data!A:A,$A13,Pivot_Data!E:E)</f>
        <v>541734.265</v>
      </c>
      <c r="C13" s="19">
        <f>SUMIF(Pivot_Data!A:A,$A13,Pivot_Data!H:H)</f>
        <v>81378471.48</v>
      </c>
      <c r="D13" s="68">
        <f t="shared" si="1"/>
        <v>0.003812530491</v>
      </c>
      <c r="E13" s="68">
        <f>SUMIF(Pivot_Data!A:A,$A13,Pivot_Data!J:J)/$C13</f>
        <v>0.03842747111</v>
      </c>
      <c r="F13" s="68">
        <f>SUMIF(Pivot_Data!A:A,$A13,Pivot_Data!I:I)/$C13</f>
        <v>0.0285</v>
      </c>
      <c r="G13" s="68">
        <f t="shared" si="2"/>
        <v>0.009927471112</v>
      </c>
      <c r="H13" s="68">
        <f>iferror(VLOOKUP(A13,COFA!A:B,2,False),0)</f>
        <v>0.0285</v>
      </c>
      <c r="I13" s="69">
        <f t="shared" si="3"/>
        <v>87434.00567</v>
      </c>
      <c r="J13" s="19">
        <f>SUMIFS(Pivot_Data!H:H, Pivot_Data!A:A,$A13,Pivot_Data!B:B,"undeployed")</f>
        <v>13134199.17</v>
      </c>
      <c r="K13" s="68">
        <f t="shared" si="4"/>
        <v>0.1613964841</v>
      </c>
      <c r="L13" s="70">
        <f t="shared" si="5"/>
        <v>0.0052204897</v>
      </c>
      <c r="N13" s="38">
        <f t="shared" si="6"/>
        <v>60137.86273</v>
      </c>
      <c r="O13" s="38">
        <f t="shared" si="7"/>
        <v>44601.66225</v>
      </c>
      <c r="P13" s="38">
        <f t="shared" si="8"/>
        <v>15536.20048</v>
      </c>
      <c r="Q13" s="38">
        <f t="shared" si="9"/>
        <v>44601.66225</v>
      </c>
      <c r="R13" s="38">
        <f t="shared" si="10"/>
        <v>15536.20048</v>
      </c>
      <c r="S13" s="39">
        <f t="shared" si="11"/>
        <v>0.0285</v>
      </c>
    </row>
    <row r="14">
      <c r="A14" s="66" t="s">
        <v>65</v>
      </c>
      <c r="B14" s="67">
        <f>SUMIF(Pivot_Data!A:A,$A14,Pivot_Data!E:E)</f>
        <v>72108.49626</v>
      </c>
      <c r="C14" s="19">
        <f>SUMIF(Pivot_Data!A:A,$A14,Pivot_Data!H:H)</f>
        <v>37503796.6</v>
      </c>
      <c r="D14" s="68">
        <f t="shared" si="1"/>
        <v>0.001757029414</v>
      </c>
      <c r="E14" s="68">
        <f>SUMIF(Pivot_Data!A:A,$A14,Pivot_Data!J:J)/$C14</f>
        <v>0.05889874592</v>
      </c>
      <c r="F14" s="68">
        <f>SUMIF(Pivot_Data!A:A,$A14,Pivot_Data!I:I)/$C14</f>
        <v>0.0581</v>
      </c>
      <c r="G14" s="68">
        <f t="shared" si="2"/>
        <v>0.0007987459214</v>
      </c>
      <c r="H14" s="68">
        <f>iferror(VLOOKUP(A14,COFA!A:B,2,False),0)</f>
        <v>0.0581</v>
      </c>
      <c r="I14" s="69">
        <f t="shared" si="3"/>
        <v>8473.624113</v>
      </c>
      <c r="J14" s="19">
        <f>SUMIFS(Pivot_Data!H:H, Pivot_Data!A:A,$A14,Pivot_Data!B:B,"undeployed")</f>
        <v>4407151.607</v>
      </c>
      <c r="K14" s="68">
        <f t="shared" si="4"/>
        <v>0.1175121456</v>
      </c>
      <c r="L14" s="70">
        <f t="shared" si="5"/>
        <v>0.001751723822</v>
      </c>
      <c r="N14" s="38">
        <f t="shared" si="6"/>
        <v>42479.35744</v>
      </c>
      <c r="O14" s="38">
        <f t="shared" si="7"/>
        <v>41903.28043</v>
      </c>
      <c r="P14" s="71">
        <f t="shared" si="8"/>
        <v>576.077011</v>
      </c>
      <c r="Q14" s="38">
        <f t="shared" si="9"/>
        <v>41903.28043</v>
      </c>
      <c r="R14" s="38">
        <f t="shared" si="10"/>
        <v>576.077011</v>
      </c>
      <c r="S14" s="39">
        <f t="shared" si="11"/>
        <v>0.0581</v>
      </c>
    </row>
    <row r="15">
      <c r="A15" s="66" t="s">
        <v>66</v>
      </c>
      <c r="B15" s="67">
        <f>SUMIF(Pivot_Data!A:A,$A15,Pivot_Data!E:E)</f>
        <v>91609.60096</v>
      </c>
      <c r="C15" s="19">
        <f>SUMIF(Pivot_Data!A:A,$A15,Pivot_Data!H:H)</f>
        <v>39197613.59</v>
      </c>
      <c r="D15" s="68">
        <f t="shared" si="1"/>
        <v>0.001836383681</v>
      </c>
      <c r="E15" s="68">
        <f>SUMIF(Pivot_Data!A:A,$A15,Pivot_Data!J:J)/$C15</f>
        <v>0.03221452641</v>
      </c>
      <c r="F15" s="68">
        <f>SUMIF(Pivot_Data!A:A,$A15,Pivot_Data!I:I)/$C15</f>
        <v>0.01829986709</v>
      </c>
      <c r="G15" s="68">
        <f t="shared" si="2"/>
        <v>0.01391465932</v>
      </c>
      <c r="H15" s="68">
        <f>iferror(VLOOKUP(A15,COFA!A:B,2,False),0)</f>
        <v>0.0225</v>
      </c>
      <c r="I15" s="69">
        <f t="shared" si="3"/>
        <v>2287.240112</v>
      </c>
      <c r="J15" s="19">
        <f>SUMIFS(Pivot_Data!H:H, Pivot_Data!A:A,$A15,Pivot_Data!B:B,"undeployed")</f>
        <v>978656.7472</v>
      </c>
      <c r="K15" s="68">
        <f t="shared" si="4"/>
        <v>0.0249672533</v>
      </c>
      <c r="L15" s="70">
        <f t="shared" si="5"/>
        <v>0.0003889896446</v>
      </c>
      <c r="N15" s="38">
        <f t="shared" si="6"/>
        <v>24283.31843</v>
      </c>
      <c r="O15" s="38">
        <f t="shared" si="7"/>
        <v>16960.50588</v>
      </c>
      <c r="P15" s="71">
        <f t="shared" si="8"/>
        <v>7322.81255</v>
      </c>
      <c r="Q15" s="38">
        <f t="shared" si="9"/>
        <v>13794.4446</v>
      </c>
      <c r="R15" s="38">
        <f t="shared" si="10"/>
        <v>10488.87384</v>
      </c>
      <c r="S15" s="39">
        <f t="shared" si="11"/>
        <v>0.01829986709</v>
      </c>
    </row>
    <row r="16">
      <c r="A16" s="66" t="s">
        <v>67</v>
      </c>
      <c r="B16" s="67">
        <f>SUMIF(Pivot_Data!A:A,$A16,Pivot_Data!E:E)</f>
        <v>7056778.989</v>
      </c>
      <c r="C16" s="19">
        <f>SUMIF(Pivot_Data!A:A,$A16,Pivot_Data!H:H)</f>
        <v>35002871.3</v>
      </c>
      <c r="D16" s="68">
        <f t="shared" si="1"/>
        <v>0.001639862628</v>
      </c>
      <c r="E16" s="68">
        <f>SUMIF(Pivot_Data!A:A,$A16,Pivot_Data!J:J)/$C16</f>
        <v>0.3048636653</v>
      </c>
      <c r="F16" s="68">
        <f>SUMIF(Pivot_Data!A:A,$A16,Pivot_Data!I:I)/$C16</f>
        <v>0.1339</v>
      </c>
      <c r="G16" s="68">
        <f t="shared" si="2"/>
        <v>0.1709636653</v>
      </c>
      <c r="H16" s="68">
        <f>iferror(VLOOKUP(A16,COFA!A:B,2,False),0)</f>
        <v>0.1339</v>
      </c>
      <c r="I16" s="69">
        <f t="shared" si="3"/>
        <v>458813.6326</v>
      </c>
      <c r="J16" s="19">
        <f>SUMIFS(Pivot_Data!H:H, Pivot_Data!A:A,$A16,Pivot_Data!B:B,"undeployed")</f>
        <v>2275796.728</v>
      </c>
      <c r="K16" s="68">
        <f t="shared" si="4"/>
        <v>0.06501742982</v>
      </c>
      <c r="L16" s="70">
        <f t="shared" si="5"/>
        <v>0.0009045677791</v>
      </c>
      <c r="N16" s="38">
        <f t="shared" si="6"/>
        <v>205213.5315</v>
      </c>
      <c r="O16" s="38">
        <f t="shared" si="7"/>
        <v>90132.39359</v>
      </c>
      <c r="P16" s="38">
        <f t="shared" si="8"/>
        <v>115081.1379</v>
      </c>
      <c r="Q16" s="38">
        <f t="shared" si="9"/>
        <v>90132.39359</v>
      </c>
      <c r="R16" s="38">
        <f t="shared" si="10"/>
        <v>115081.1379</v>
      </c>
      <c r="S16" s="39">
        <f t="shared" si="11"/>
        <v>0.1339</v>
      </c>
    </row>
    <row r="17">
      <c r="A17" s="66" t="s">
        <v>68</v>
      </c>
      <c r="B17" s="67">
        <f>SUMIF(Pivot_Data!A:A,$A17,Pivot_Data!E:E)</f>
        <v>131670958.4</v>
      </c>
      <c r="C17" s="19">
        <f>SUMIF(Pivot_Data!A:A,$A17,Pivot_Data!H:H)</f>
        <v>35567880.98</v>
      </c>
      <c r="D17" s="68">
        <f t="shared" si="1"/>
        <v>0.001666332978</v>
      </c>
      <c r="E17" s="68">
        <f>SUMIF(Pivot_Data!A:A,$A17,Pivot_Data!J:J)/$C17</f>
        <v>0.02717899233</v>
      </c>
      <c r="F17" s="68">
        <f>SUMIF(Pivot_Data!A:A,$A17,Pivot_Data!I:I)/$C17</f>
        <v>0.0091</v>
      </c>
      <c r="G17" s="68">
        <f t="shared" si="2"/>
        <v>0.01807899233</v>
      </c>
      <c r="H17" s="68">
        <f>iferror(VLOOKUP(A17,COFA!A:B,2,False),0)</f>
        <v>0.0091</v>
      </c>
      <c r="I17" s="69">
        <f t="shared" si="3"/>
        <v>55153186.76</v>
      </c>
      <c r="J17" s="19">
        <f>SUMIFS(Pivot_Data!H:H, Pivot_Data!A:A,$A17,Pivot_Data!B:B,"undeployed")</f>
        <v>14898364.88</v>
      </c>
      <c r="K17" s="68">
        <f t="shared" si="4"/>
        <v>0.4188713094</v>
      </c>
      <c r="L17" s="70">
        <f t="shared" si="5"/>
        <v>0.005921697956</v>
      </c>
      <c r="N17" s="38">
        <f t="shared" si="6"/>
        <v>18590.36855</v>
      </c>
      <c r="O17" s="38">
        <f t="shared" si="7"/>
        <v>6224.379171</v>
      </c>
      <c r="P17" s="38">
        <f t="shared" si="8"/>
        <v>12365.98938</v>
      </c>
      <c r="Q17" s="38">
        <f t="shared" si="9"/>
        <v>6224.379171</v>
      </c>
      <c r="R17" s="38">
        <f t="shared" si="10"/>
        <v>12365.98938</v>
      </c>
      <c r="S17" s="39">
        <f t="shared" si="11"/>
        <v>0.0091</v>
      </c>
    </row>
    <row r="18">
      <c r="A18" s="66" t="s">
        <v>69</v>
      </c>
      <c r="B18" s="67">
        <f>SUMIF(Pivot_Data!A:A,$A18,Pivot_Data!E:E)</f>
        <v>2310356.807</v>
      </c>
      <c r="C18" s="19">
        <f>SUMIF(Pivot_Data!A:A,$A18,Pivot_Data!H:H)</f>
        <v>33362068.94</v>
      </c>
      <c r="D18" s="68">
        <f t="shared" si="1"/>
        <v>0.001562992064</v>
      </c>
      <c r="E18" s="68">
        <f>SUMIF(Pivot_Data!A:A,$A18,Pivot_Data!J:J)/$C18</f>
        <v>0.03139011778</v>
      </c>
      <c r="F18" s="68">
        <f>SUMIF(Pivot_Data!A:A,$A18,Pivot_Data!I:I)/$C18</f>
        <v>0.0134756484</v>
      </c>
      <c r="G18" s="68">
        <f t="shared" si="2"/>
        <v>0.01791446938</v>
      </c>
      <c r="H18" s="68">
        <f>iferror(VLOOKUP(A18,COFA!A:B,2,False),0)</f>
        <v>0.0228</v>
      </c>
      <c r="I18" s="69">
        <f t="shared" si="3"/>
        <v>152722.1539</v>
      </c>
      <c r="J18" s="19">
        <f>SUMIFS(Pivot_Data!H:H, Pivot_Data!A:A,$A18,Pivot_Data!B:B,"undeployed")</f>
        <v>2205342.055</v>
      </c>
      <c r="K18" s="68">
        <f t="shared" si="4"/>
        <v>0.06610327612</v>
      </c>
      <c r="L18" s="70">
        <f t="shared" si="5"/>
        <v>0.000876563948</v>
      </c>
      <c r="N18" s="38">
        <f t="shared" si="6"/>
        <v>20139.2168</v>
      </c>
      <c r="O18" s="38">
        <f t="shared" si="7"/>
        <v>14627.98407</v>
      </c>
      <c r="P18" s="38">
        <f t="shared" si="8"/>
        <v>5511.232724</v>
      </c>
      <c r="Q18" s="38">
        <f t="shared" si="9"/>
        <v>8645.682903</v>
      </c>
      <c r="R18" s="38">
        <f t="shared" si="10"/>
        <v>11493.53389</v>
      </c>
      <c r="S18" s="39">
        <f t="shared" si="11"/>
        <v>0.0134756484</v>
      </c>
    </row>
    <row r="19">
      <c r="A19" s="66" t="s">
        <v>70</v>
      </c>
      <c r="B19" s="67">
        <f>SUMIF(Pivot_Data!A:A,$A19,Pivot_Data!E:E)</f>
        <v>206066.4409</v>
      </c>
      <c r="C19" s="19">
        <f>SUMIF(Pivot_Data!A:A,$A19,Pivot_Data!H:H)</f>
        <v>35683255.3</v>
      </c>
      <c r="D19" s="68">
        <f t="shared" si="1"/>
        <v>0.001671738193</v>
      </c>
      <c r="E19" s="68">
        <f>SUMIF(Pivot_Data!A:A,$A19,Pivot_Data!J:J)/$C19</f>
        <v>0.05567672778</v>
      </c>
      <c r="F19" s="68">
        <f>SUMIF(Pivot_Data!A:A,$A19,Pivot_Data!I:I)/$C19</f>
        <v>0.03512355642</v>
      </c>
      <c r="G19" s="68">
        <f t="shared" si="2"/>
        <v>0.02055317137</v>
      </c>
      <c r="H19" s="68">
        <f>iferror(VLOOKUP(A19,COFA!A:B,2,False),0)</f>
        <v>0.0385</v>
      </c>
      <c r="I19" s="69">
        <f t="shared" si="3"/>
        <v>10344.61488</v>
      </c>
      <c r="J19" s="19">
        <f>SUMIFS(Pivot_Data!H:H, Pivot_Data!A:A,$A19,Pivot_Data!B:B,"undeployed")</f>
        <v>1791313.19</v>
      </c>
      <c r="K19" s="68">
        <f t="shared" si="4"/>
        <v>0.05020038602</v>
      </c>
      <c r="L19" s="70">
        <f t="shared" si="5"/>
        <v>0.0007119986484</v>
      </c>
      <c r="N19" s="38">
        <f t="shared" si="6"/>
        <v>38206.28638</v>
      </c>
      <c r="O19" s="38">
        <f t="shared" si="7"/>
        <v>26419.33325</v>
      </c>
      <c r="P19" s="38">
        <f t="shared" si="8"/>
        <v>11786.95313</v>
      </c>
      <c r="Q19" s="38">
        <f t="shared" si="9"/>
        <v>24102.36213</v>
      </c>
      <c r="R19" s="38">
        <f t="shared" si="10"/>
        <v>14103.92425</v>
      </c>
      <c r="S19" s="39">
        <f t="shared" si="11"/>
        <v>0.03512355642</v>
      </c>
    </row>
    <row r="20">
      <c r="A20" s="66" t="s">
        <v>71</v>
      </c>
      <c r="B20" s="67">
        <f>SUMIF(Pivot_Data!A:A,$A20,Pivot_Data!E:E)</f>
        <v>9414686.256</v>
      </c>
      <c r="C20" s="19">
        <f>SUMIF(Pivot_Data!A:A,$A20,Pivot_Data!H:H)</f>
        <v>29776280.29</v>
      </c>
      <c r="D20" s="68">
        <f t="shared" si="1"/>
        <v>0.001395000108</v>
      </c>
      <c r="E20" s="68">
        <f>SUMIF(Pivot_Data!A:A,$A20,Pivot_Data!J:J)/$C20</f>
        <v>0.002346268784</v>
      </c>
      <c r="F20" s="68">
        <f>SUMIF(Pivot_Data!A:A,$A20,Pivot_Data!I:I)/$C20</f>
        <v>0.001376370173</v>
      </c>
      <c r="G20" s="68">
        <f t="shared" si="2"/>
        <v>0.000969898611</v>
      </c>
      <c r="H20" s="68">
        <f>iferror(VLOOKUP(A20,COFA!A:B,2,False),0)</f>
        <v>0.0042</v>
      </c>
      <c r="I20" s="69">
        <f t="shared" si="3"/>
        <v>585213.4697</v>
      </c>
      <c r="J20" s="19">
        <f>SUMIFS(Pivot_Data!H:H, Pivot_Data!A:A,$A20,Pivot_Data!B:B,"undeployed")</f>
        <v>1850882.741</v>
      </c>
      <c r="K20" s="68">
        <f t="shared" si="4"/>
        <v>0.06215963589</v>
      </c>
      <c r="L20" s="70">
        <f t="shared" si="5"/>
        <v>0.000735675937</v>
      </c>
      <c r="N20" s="38">
        <f t="shared" si="6"/>
        <v>1343.522249</v>
      </c>
      <c r="O20" s="38">
        <f t="shared" si="7"/>
        <v>2405.007254</v>
      </c>
      <c r="P20" s="38">
        <f t="shared" si="8"/>
        <v>-1061.485005</v>
      </c>
      <c r="Q20" s="38">
        <f t="shared" si="9"/>
        <v>788.1381549</v>
      </c>
      <c r="R20" s="38">
        <f t="shared" si="10"/>
        <v>555.3840941</v>
      </c>
      <c r="S20" s="39">
        <f t="shared" si="11"/>
        <v>0.001376370173</v>
      </c>
    </row>
    <row r="21">
      <c r="A21" s="66" t="s">
        <v>72</v>
      </c>
      <c r="B21" s="67">
        <f>SUMIF(Pivot_Data!A:A,$A21,Pivot_Data!E:E)</f>
        <v>2973378.989</v>
      </c>
      <c r="C21" s="19">
        <f>SUMIF(Pivot_Data!A:A,$A21,Pivot_Data!H:H)</f>
        <v>72111645.11</v>
      </c>
      <c r="D21" s="68">
        <f t="shared" si="1"/>
        <v>0.003378385472</v>
      </c>
      <c r="E21" s="68">
        <f>SUMIF(Pivot_Data!A:A,$A21,Pivot_Data!J:J)/$C21</f>
        <v>0.1157594758</v>
      </c>
      <c r="F21" s="68">
        <f>SUMIF(Pivot_Data!A:A,$A21,Pivot_Data!I:I)/$C21</f>
        <v>0.0668</v>
      </c>
      <c r="G21" s="68">
        <f t="shared" si="2"/>
        <v>0.04895947584</v>
      </c>
      <c r="H21" s="68">
        <f>iferror(VLOOKUP(A21,COFA!A:B,2,False),0)</f>
        <v>0.0668</v>
      </c>
      <c r="I21" s="69">
        <f t="shared" si="3"/>
        <v>190105.0993</v>
      </c>
      <c r="J21" s="19">
        <f>SUMIFS(Pivot_Data!H:H, Pivot_Data!A:A,$A21,Pivot_Data!B:B,"undeployed")</f>
        <v>4610509.291</v>
      </c>
      <c r="K21" s="68">
        <f t="shared" si="4"/>
        <v>0.06393571085</v>
      </c>
      <c r="L21" s="70">
        <f t="shared" si="5"/>
        <v>0.001832553013</v>
      </c>
      <c r="N21" s="38">
        <f t="shared" si="6"/>
        <v>160530.8892</v>
      </c>
      <c r="O21" s="38">
        <f t="shared" si="7"/>
        <v>92635.72872</v>
      </c>
      <c r="P21" s="38">
        <f t="shared" si="8"/>
        <v>67895.16051</v>
      </c>
      <c r="Q21" s="38">
        <f t="shared" si="9"/>
        <v>92635.72872</v>
      </c>
      <c r="R21" s="38">
        <f t="shared" si="10"/>
        <v>67895.16051</v>
      </c>
      <c r="S21" s="39">
        <f t="shared" si="11"/>
        <v>0.0668</v>
      </c>
    </row>
    <row r="22">
      <c r="A22" s="66" t="s">
        <v>73</v>
      </c>
      <c r="B22" s="67">
        <f>SUMIF(Pivot_Data!A:A,$A22,Pivot_Data!E:E)</f>
        <v>6455538.375</v>
      </c>
      <c r="C22" s="19">
        <f>SUMIF(Pivot_Data!A:A,$A22,Pivot_Data!H:H)</f>
        <v>20817783.86</v>
      </c>
      <c r="D22" s="68">
        <f t="shared" si="1"/>
        <v>0.0009753001534</v>
      </c>
      <c r="E22" s="68">
        <f>SUMIF(Pivot_Data!A:A,$A22,Pivot_Data!J:J)/$C22</f>
        <v>0.05626118422</v>
      </c>
      <c r="F22" s="68">
        <f>SUMIF(Pivot_Data!A:A,$A22,Pivot_Data!I:I)/$C22</f>
        <v>0.0288</v>
      </c>
      <c r="G22" s="68">
        <f t="shared" si="2"/>
        <v>0.02746118422</v>
      </c>
      <c r="H22" s="68">
        <f>iferror(VLOOKUP(A22,COFA!A:B,2,False),0)</f>
        <v>0.0288</v>
      </c>
      <c r="I22" s="69">
        <f t="shared" si="3"/>
        <v>837822.8287</v>
      </c>
      <c r="J22" s="19">
        <f>SUMIFS(Pivot_Data!H:H, Pivot_Data!A:A,$A22,Pivot_Data!B:B,"undeployed")</f>
        <v>2701806.348</v>
      </c>
      <c r="K22" s="68">
        <f t="shared" si="4"/>
        <v>0.1297835719</v>
      </c>
      <c r="L22" s="70">
        <f t="shared" si="5"/>
        <v>0.001073895106</v>
      </c>
      <c r="N22" s="38">
        <f t="shared" si="6"/>
        <v>22523.71486</v>
      </c>
      <c r="O22" s="38">
        <f t="shared" si="7"/>
        <v>11529.84952</v>
      </c>
      <c r="P22" s="38">
        <f t="shared" si="8"/>
        <v>10993.86534</v>
      </c>
      <c r="Q22" s="38">
        <f t="shared" si="9"/>
        <v>11529.84952</v>
      </c>
      <c r="R22" s="38">
        <f t="shared" si="10"/>
        <v>10993.86534</v>
      </c>
      <c r="S22" s="39">
        <f t="shared" si="11"/>
        <v>0.0288</v>
      </c>
    </row>
    <row r="23">
      <c r="A23" s="66" t="s">
        <v>74</v>
      </c>
      <c r="B23" s="67">
        <f>SUMIF(Pivot_Data!A:A,$A23,Pivot_Data!E:E)</f>
        <v>18305500.84</v>
      </c>
      <c r="C23" s="19">
        <f>SUMIF(Pivot_Data!A:A,$A23,Pivot_Data!H:H)</f>
        <v>19744366.28</v>
      </c>
      <c r="D23" s="68">
        <f t="shared" si="1"/>
        <v>0.0009250112112</v>
      </c>
      <c r="E23" s="68">
        <f>SUMIF(Pivot_Data!A:A,$A23,Pivot_Data!J:J)/$C23</f>
        <v>0.02281519143</v>
      </c>
      <c r="F23" s="68">
        <f>SUMIF(Pivot_Data!A:A,$A23,Pivot_Data!I:I)/$C23</f>
        <v>0.008375261595</v>
      </c>
      <c r="G23" s="68">
        <f t="shared" si="2"/>
        <v>0.01443992983</v>
      </c>
      <c r="H23" s="68">
        <f>iferror(VLOOKUP(A23,COFA!A:B,2,False),0)</f>
        <v>0.0097</v>
      </c>
      <c r="I23" s="69">
        <f t="shared" si="3"/>
        <v>4061153.844</v>
      </c>
      <c r="J23" s="19">
        <f>SUMIFS(Pivot_Data!H:H, Pivot_Data!A:A,$A23,Pivot_Data!B:B,"undeployed")</f>
        <v>4380372.31</v>
      </c>
      <c r="K23" s="68">
        <f t="shared" si="4"/>
        <v>0.2218542873</v>
      </c>
      <c r="L23" s="70">
        <f t="shared" si="5"/>
        <v>0.001741079774</v>
      </c>
      <c r="N23" s="38">
        <f t="shared" si="6"/>
        <v>8662.913389</v>
      </c>
      <c r="O23" s="38">
        <f t="shared" si="7"/>
        <v>3683.08371</v>
      </c>
      <c r="P23" s="38">
        <f t="shared" si="8"/>
        <v>4979.829679</v>
      </c>
      <c r="Q23" s="38">
        <f t="shared" si="9"/>
        <v>3180.081396</v>
      </c>
      <c r="R23" s="38">
        <f t="shared" si="10"/>
        <v>5482.831993</v>
      </c>
      <c r="S23" s="39">
        <f t="shared" si="11"/>
        <v>0.008375261595</v>
      </c>
    </row>
    <row r="24">
      <c r="A24" s="66" t="s">
        <v>75</v>
      </c>
      <c r="B24" s="67">
        <f>SUMIF(Pivot_Data!A:A,$A24,Pivot_Data!E:E)</f>
        <v>122594.1295</v>
      </c>
      <c r="C24" s="19">
        <f>SUMIF(Pivot_Data!A:A,$A24,Pivot_Data!H:H)</f>
        <v>19554382.34</v>
      </c>
      <c r="D24" s="68">
        <f t="shared" si="1"/>
        <v>0.0009161105826</v>
      </c>
      <c r="E24" s="68">
        <f>SUMIF(Pivot_Data!A:A,$A24,Pivot_Data!J:J)/$C24</f>
        <v>0.007556642423</v>
      </c>
      <c r="F24" s="68">
        <f>SUMIF(Pivot_Data!A:A,$A24,Pivot_Data!I:I)/$C24</f>
        <v>0.0155</v>
      </c>
      <c r="G24" s="68">
        <f t="shared" si="2"/>
        <v>-0.007943357577</v>
      </c>
      <c r="H24" s="68">
        <f>iferror(VLOOKUP(A24,COFA!A:B,2,False),0)</f>
        <v>0.0155</v>
      </c>
      <c r="I24" s="69">
        <f t="shared" si="3"/>
        <v>93963.51496</v>
      </c>
      <c r="J24" s="19">
        <f>SUMIFS(Pivot_Data!H:H, Pivot_Data!A:A,$A24,Pivot_Data!B:B,"undeployed")</f>
        <v>14987654.83</v>
      </c>
      <c r="K24" s="68">
        <f t="shared" si="4"/>
        <v>0.7664601505</v>
      </c>
      <c r="L24" s="70">
        <f t="shared" si="5"/>
        <v>0.005957188302</v>
      </c>
      <c r="N24" s="38">
        <f t="shared" si="6"/>
        <v>2841.643753</v>
      </c>
      <c r="O24" s="38">
        <f t="shared" si="7"/>
        <v>5828.710121</v>
      </c>
      <c r="P24" s="38">
        <f t="shared" si="8"/>
        <v>-2987.066368</v>
      </c>
      <c r="Q24" s="38">
        <f t="shared" si="9"/>
        <v>5828.710121</v>
      </c>
      <c r="R24" s="38">
        <f t="shared" si="10"/>
        <v>-2987.066368</v>
      </c>
      <c r="S24" s="39">
        <f t="shared" si="11"/>
        <v>0.006045313939</v>
      </c>
    </row>
    <row r="25">
      <c r="A25" s="66" t="s">
        <v>76</v>
      </c>
      <c r="B25" s="67">
        <f>SUMIF(Pivot_Data!A:A,$A25,Pivot_Data!E:E)</f>
        <v>136839.8827</v>
      </c>
      <c r="C25" s="19">
        <f>SUMIF(Pivot_Data!A:A,$A25,Pivot_Data!H:H)</f>
        <v>17433202.25</v>
      </c>
      <c r="D25" s="68">
        <f t="shared" si="1"/>
        <v>0.0008167346222</v>
      </c>
      <c r="E25" s="68">
        <f>SUMIF(Pivot_Data!A:A,$A25,Pivot_Data!J:J)/$C25</f>
        <v>0.028964386</v>
      </c>
      <c r="F25" s="68">
        <f>SUMIF(Pivot_Data!A:A,$A25,Pivot_Data!I:I)/$C25</f>
        <v>0.041</v>
      </c>
      <c r="G25" s="68">
        <f t="shared" si="2"/>
        <v>-0.012035614</v>
      </c>
      <c r="H25" s="68">
        <f>iferror(VLOOKUP(A25,COFA!A:B,2,False),0)</f>
        <v>0.041</v>
      </c>
      <c r="I25" s="69">
        <f t="shared" si="3"/>
        <v>19670.23826</v>
      </c>
      <c r="J25" s="19">
        <f>SUMIFS(Pivot_Data!H:H, Pivot_Data!A:A,$A25,Pivot_Data!B:B,"undeployed")</f>
        <v>2505959.777</v>
      </c>
      <c r="K25" s="68">
        <f t="shared" si="4"/>
        <v>0.1437463835</v>
      </c>
      <c r="L25" s="70">
        <f t="shared" si="5"/>
        <v>0.0009960513796</v>
      </c>
      <c r="N25" s="38">
        <f t="shared" si="6"/>
        <v>9710.423062</v>
      </c>
      <c r="O25" s="38">
        <f t="shared" si="7"/>
        <v>13745.40947</v>
      </c>
      <c r="P25" s="71">
        <f t="shared" si="8"/>
        <v>-4034.986408</v>
      </c>
      <c r="Q25" s="38">
        <f t="shared" si="9"/>
        <v>13745.40947</v>
      </c>
      <c r="R25" s="38">
        <f t="shared" si="10"/>
        <v>-4034.986408</v>
      </c>
      <c r="S25" s="39">
        <f t="shared" si="11"/>
        <v>0.0231715088</v>
      </c>
    </row>
    <row r="26">
      <c r="A26" s="66" t="s">
        <v>77</v>
      </c>
      <c r="B26" s="67">
        <f>SUMIF(Pivot_Data!A:A,$A26,Pivot_Data!E:E)</f>
        <v>6885080.064</v>
      </c>
      <c r="C26" s="19">
        <f>SUMIF(Pivot_Data!A:A,$A26,Pivot_Data!H:H)</f>
        <v>16239253.88</v>
      </c>
      <c r="D26" s="68">
        <f t="shared" si="1"/>
        <v>0.0007607988875</v>
      </c>
      <c r="E26" s="68">
        <f>SUMIF(Pivot_Data!A:A,$A26,Pivot_Data!J:J)/$C26</f>
        <v>0</v>
      </c>
      <c r="F26" s="68">
        <f>SUMIF(Pivot_Data!A:A,$A26,Pivot_Data!I:I)/$C26</f>
        <v>0.04</v>
      </c>
      <c r="G26" s="68">
        <f t="shared" si="2"/>
        <v>-0.04</v>
      </c>
      <c r="H26" s="68">
        <f>iferror(VLOOKUP(A26,COFA!A:B,2,False),0)</f>
        <v>0.04</v>
      </c>
      <c r="I26" s="69">
        <f t="shared" si="3"/>
        <v>218413.4035</v>
      </c>
      <c r="J26" s="19">
        <f>SUMIFS(Pivot_Data!H:H, Pivot_Data!A:A,$A26,Pivot_Data!B:B,"undeployed")</f>
        <v>515153.1539</v>
      </c>
      <c r="K26" s="68">
        <f t="shared" si="4"/>
        <v>0.03172271077</v>
      </c>
      <c r="L26" s="70">
        <f t="shared" si="5"/>
        <v>0.0002047594755</v>
      </c>
      <c r="N26" s="38">
        <f t="shared" si="6"/>
        <v>0</v>
      </c>
      <c r="O26" s="38">
        <f t="shared" si="7"/>
        <v>12491.73375</v>
      </c>
      <c r="P26" s="38">
        <f t="shared" si="8"/>
        <v>-12491.73375</v>
      </c>
      <c r="Q26" s="38">
        <f t="shared" si="9"/>
        <v>12491.73375</v>
      </c>
      <c r="R26" s="38">
        <f t="shared" si="10"/>
        <v>-12491.73375</v>
      </c>
      <c r="S26" s="39">
        <f t="shared" si="11"/>
        <v>0</v>
      </c>
    </row>
    <row r="27">
      <c r="A27" s="66" t="s">
        <v>78</v>
      </c>
      <c r="B27" s="67">
        <f>SUMIF(Pivot_Data!A:A,$A27,Pivot_Data!E:E)</f>
        <v>8126.966009</v>
      </c>
      <c r="C27" s="19">
        <f>SUMIF(Pivot_Data!A:A,$A27,Pivot_Data!H:H)</f>
        <v>14678432.31</v>
      </c>
      <c r="D27" s="68">
        <f t="shared" si="1"/>
        <v>0.0006876753731</v>
      </c>
      <c r="E27" s="68">
        <f>SUMIF(Pivot_Data!A:A,$A27,Pivot_Data!J:J)/$C27</f>
        <v>0.0003045416946</v>
      </c>
      <c r="F27" s="68">
        <f>SUMIF(Pivot_Data!A:A,$A27,Pivot_Data!I:I)/$C27</f>
        <v>0.0526</v>
      </c>
      <c r="G27" s="68">
        <f t="shared" si="2"/>
        <v>-0.05229545831</v>
      </c>
      <c r="H27" s="68">
        <f>iferror(VLOOKUP(A27,COFA!A:B,2,False),0)</f>
        <v>0.0526</v>
      </c>
      <c r="I27" s="69">
        <f t="shared" si="3"/>
        <v>8071.966009</v>
      </c>
      <c r="J27" s="19">
        <f>SUMIFS(Pivot_Data!H:H, Pivot_Data!A:A,$A27,Pivot_Data!B:B,"undeployed")</f>
        <v>14579094.65</v>
      </c>
      <c r="K27" s="68">
        <f t="shared" si="4"/>
        <v>0.9932324068</v>
      </c>
      <c r="L27" s="70">
        <f t="shared" si="5"/>
        <v>0.005794796656</v>
      </c>
      <c r="N27" s="38">
        <f t="shared" si="6"/>
        <v>85.96528171</v>
      </c>
      <c r="O27" s="38">
        <f t="shared" si="7"/>
        <v>14847.79883</v>
      </c>
      <c r="P27" s="38">
        <f t="shared" si="8"/>
        <v>-14761.83355</v>
      </c>
      <c r="Q27" s="38">
        <f t="shared" si="9"/>
        <v>14847.79883</v>
      </c>
      <c r="R27" s="38">
        <f t="shared" si="10"/>
        <v>-14761.83355</v>
      </c>
      <c r="S27" s="39">
        <f t="shared" si="11"/>
        <v>0.0002436333557</v>
      </c>
    </row>
    <row r="28">
      <c r="A28" s="66" t="s">
        <v>79</v>
      </c>
      <c r="B28" s="67">
        <f>SUMIF(Pivot_Data!A:A,$A28,Pivot_Data!E:E)</f>
        <v>3966888.508</v>
      </c>
      <c r="C28" s="19">
        <f>SUMIF(Pivot_Data!A:A,$A28,Pivot_Data!H:H)</f>
        <v>12559048.05</v>
      </c>
      <c r="D28" s="68">
        <f t="shared" si="1"/>
        <v>0.000588383546</v>
      </c>
      <c r="E28" s="68">
        <f>SUMIF(Pivot_Data!A:A,$A28,Pivot_Data!J:J)/$C28</f>
        <v>0.1526044794</v>
      </c>
      <c r="F28" s="68">
        <f>SUMIF(Pivot_Data!A:A,$A28,Pivot_Data!I:I)/$C28</f>
        <v>0.0595</v>
      </c>
      <c r="G28" s="68">
        <f t="shared" si="2"/>
        <v>0.09310447937</v>
      </c>
      <c r="H28" s="68">
        <f>iferror(VLOOKUP(A28,COFA!A:B,2,False),0)</f>
        <v>0.0595</v>
      </c>
      <c r="I28" s="69">
        <f t="shared" si="3"/>
        <v>292840.4527</v>
      </c>
      <c r="J28" s="19">
        <f>SUMIFS(Pivot_Data!H:H, Pivot_Data!A:A,$A28,Pivot_Data!B:B,"undeployed")</f>
        <v>927123.9432</v>
      </c>
      <c r="K28" s="68">
        <f t="shared" si="4"/>
        <v>0.07382119566</v>
      </c>
      <c r="L28" s="70">
        <f t="shared" si="5"/>
        <v>0.0003685067458</v>
      </c>
      <c r="N28" s="38">
        <f t="shared" si="6"/>
        <v>36857.05747</v>
      </c>
      <c r="O28" s="38">
        <f t="shared" si="7"/>
        <v>14370.44921</v>
      </c>
      <c r="P28" s="38">
        <f t="shared" si="8"/>
        <v>22486.60827</v>
      </c>
      <c r="Q28" s="38">
        <f t="shared" si="9"/>
        <v>14370.44921</v>
      </c>
      <c r="R28" s="38">
        <f t="shared" si="10"/>
        <v>22486.60827</v>
      </c>
      <c r="S28" s="39">
        <f t="shared" si="11"/>
        <v>0.0595</v>
      </c>
    </row>
    <row r="29">
      <c r="A29" s="66" t="s">
        <v>80</v>
      </c>
      <c r="B29" s="67">
        <f>SUMIF(Pivot_Data!A:A,$A29,Pivot_Data!E:E)</f>
        <v>14817768.8</v>
      </c>
      <c r="C29" s="19">
        <f>SUMIF(Pivot_Data!A:A,$A29,Pivot_Data!H:H)</f>
        <v>11087689.1</v>
      </c>
      <c r="D29" s="68">
        <f t="shared" si="1"/>
        <v>0.0005194512996</v>
      </c>
      <c r="E29" s="68">
        <f>SUMIF(Pivot_Data!A:A,$A29,Pivot_Data!J:J)/$C29</f>
        <v>0.02045466018</v>
      </c>
      <c r="F29" s="68">
        <f>SUMIF(Pivot_Data!A:A,$A29,Pivot_Data!I:I)/$C29</f>
        <v>0.01320698275</v>
      </c>
      <c r="G29" s="68">
        <f t="shared" si="2"/>
        <v>0.007247677434</v>
      </c>
      <c r="H29" s="68">
        <f>iferror(VLOOKUP(A29,COFA!A:B,2,False),0)</f>
        <v>0.0169</v>
      </c>
      <c r="I29" s="69">
        <f t="shared" si="3"/>
        <v>1430995.087</v>
      </c>
      <c r="J29" s="19">
        <f>SUMIFS(Pivot_Data!H:H, Pivot_Data!A:A,$A29,Pivot_Data!B:B,"undeployed")</f>
        <v>1070770.428</v>
      </c>
      <c r="K29" s="68">
        <f t="shared" si="4"/>
        <v>0.09657291236</v>
      </c>
      <c r="L29" s="70">
        <f t="shared" si="5"/>
        <v>0.0004256023465</v>
      </c>
      <c r="N29" s="38">
        <f t="shared" si="6"/>
        <v>4361.44063</v>
      </c>
      <c r="O29" s="38">
        <f t="shared" si="7"/>
        <v>3603.498957</v>
      </c>
      <c r="P29" s="38">
        <f t="shared" si="8"/>
        <v>757.9416724</v>
      </c>
      <c r="Q29" s="38">
        <f t="shared" si="9"/>
        <v>2816.056128</v>
      </c>
      <c r="R29" s="38">
        <f t="shared" si="10"/>
        <v>1545.384502</v>
      </c>
      <c r="S29" s="39">
        <f t="shared" si="11"/>
        <v>0.01320698275</v>
      </c>
    </row>
    <row r="30">
      <c r="A30" s="66" t="s">
        <v>81</v>
      </c>
      <c r="B30" s="67">
        <f>SUMIF(Pivot_Data!A:A,$A30,Pivot_Data!E:E)</f>
        <v>43105.10981</v>
      </c>
      <c r="C30" s="19">
        <f>SUMIF(Pivot_Data!A:A,$A30,Pivot_Data!H:H)</f>
        <v>8085656.498</v>
      </c>
      <c r="D30" s="68">
        <f t="shared" si="1"/>
        <v>0.0003788079498</v>
      </c>
      <c r="E30" s="68">
        <f>SUMIF(Pivot_Data!A:A,$A30,Pivot_Data!J:J)/$C30</f>
        <v>0.04910638001</v>
      </c>
      <c r="F30" s="68">
        <f>SUMIF(Pivot_Data!A:A,$A30,Pivot_Data!I:I)/$C30</f>
        <v>0.03712880966</v>
      </c>
      <c r="G30" s="68">
        <f t="shared" si="2"/>
        <v>0.01197757035</v>
      </c>
      <c r="H30" s="68">
        <f>iferror(VLOOKUP(A30,COFA!A:B,2,False),0)</f>
        <v>0.0453</v>
      </c>
      <c r="I30" s="69">
        <f t="shared" si="3"/>
        <v>20904.70143</v>
      </c>
      <c r="J30" s="19">
        <f>SUMIFS(Pivot_Data!H:H, Pivot_Data!A:A,$A30,Pivot_Data!B:B,"undeployed")</f>
        <v>3921303.895</v>
      </c>
      <c r="K30" s="68">
        <f t="shared" si="4"/>
        <v>0.4849703788</v>
      </c>
      <c r="L30" s="70">
        <f t="shared" si="5"/>
        <v>0.001558612468</v>
      </c>
      <c r="N30" s="38">
        <f t="shared" si="6"/>
        <v>7635.717704</v>
      </c>
      <c r="O30" s="38">
        <f t="shared" si="7"/>
        <v>7043.850757</v>
      </c>
      <c r="P30" s="38">
        <f t="shared" si="8"/>
        <v>591.8669473</v>
      </c>
      <c r="Q30" s="38">
        <f t="shared" si="9"/>
        <v>5773.284636</v>
      </c>
      <c r="R30" s="38">
        <f t="shared" si="10"/>
        <v>1862.433069</v>
      </c>
      <c r="S30" s="39">
        <f t="shared" si="11"/>
        <v>0.03712880966</v>
      </c>
    </row>
    <row r="31">
      <c r="A31" s="66" t="s">
        <v>82</v>
      </c>
      <c r="B31" s="67">
        <f>SUMIF(Pivot_Data!A:A,$A31,Pivot_Data!E:E)</f>
        <v>214644.2002</v>
      </c>
      <c r="C31" s="19">
        <f>SUMIF(Pivot_Data!A:A,$A31,Pivot_Data!H:H)</f>
        <v>7361136.331</v>
      </c>
      <c r="D31" s="68">
        <f t="shared" si="1"/>
        <v>0.0003448646332</v>
      </c>
      <c r="E31" s="68">
        <f>SUMIF(Pivot_Data!A:A,$A31,Pivot_Data!J:J)/$C31</f>
        <v>0.01368426225</v>
      </c>
      <c r="F31" s="68">
        <f>SUMIF(Pivot_Data!A:A,$A31,Pivot_Data!I:I)/$C31</f>
        <v>0.0298</v>
      </c>
      <c r="G31" s="68">
        <f t="shared" si="2"/>
        <v>-0.01611573775</v>
      </c>
      <c r="H31" s="68">
        <f>iferror(VLOOKUP(A31,COFA!A:B,2,False),0)</f>
        <v>0.0298</v>
      </c>
      <c r="I31" s="69">
        <f t="shared" si="3"/>
        <v>32197.82291</v>
      </c>
      <c r="J31" s="19">
        <f>SUMIFS(Pivot_Data!H:H, Pivot_Data!A:A,$A31,Pivot_Data!B:B,"undeployed")</f>
        <v>1104211.359</v>
      </c>
      <c r="K31" s="68">
        <f t="shared" si="4"/>
        <v>0.1500055575</v>
      </c>
      <c r="L31" s="70">
        <f t="shared" si="5"/>
        <v>0.0004388942142</v>
      </c>
      <c r="N31" s="38">
        <f t="shared" si="6"/>
        <v>1937.148462</v>
      </c>
      <c r="O31" s="38">
        <f t="shared" si="7"/>
        <v>4218.497359</v>
      </c>
      <c r="P31" s="38">
        <f t="shared" si="8"/>
        <v>-2281.348897</v>
      </c>
      <c r="Q31" s="38">
        <f t="shared" si="9"/>
        <v>4218.497359</v>
      </c>
      <c r="R31" s="38">
        <f t="shared" si="10"/>
        <v>-2281.348897</v>
      </c>
      <c r="S31" s="39">
        <f t="shared" si="11"/>
        <v>0.0109474098</v>
      </c>
    </row>
    <row r="32">
      <c r="A32" s="66" t="s">
        <v>83</v>
      </c>
      <c r="B32" s="67">
        <f>SUMIF(Pivot_Data!A:A,$A32,Pivot_Data!E:E)</f>
        <v>283060.5414</v>
      </c>
      <c r="C32" s="19">
        <f>SUMIF(Pivot_Data!A:A,$A32,Pivot_Data!H:H)</f>
        <v>8579565.009</v>
      </c>
      <c r="D32" s="68">
        <f t="shared" si="1"/>
        <v>0.0004019472546</v>
      </c>
      <c r="E32" s="68">
        <f>SUMIF(Pivot_Data!A:A,$A32,Pivot_Data!J:J)/$C32</f>
        <v>0</v>
      </c>
      <c r="F32" s="68">
        <f>SUMIF(Pivot_Data!A:A,$A32,Pivot_Data!I:I)/$C32</f>
        <v>0</v>
      </c>
      <c r="G32" s="68">
        <f t="shared" si="2"/>
        <v>0</v>
      </c>
      <c r="H32" s="68" t="str">
        <f>iferror(VLOOKUP(A32,COFA!A:B,2,False),0)</f>
        <v>N/A</v>
      </c>
      <c r="I32" s="69">
        <f t="shared" si="3"/>
        <v>0</v>
      </c>
      <c r="J32" s="19">
        <f>SUMIFS(Pivot_Data!H:H, Pivot_Data!A:A,$A32,Pivot_Data!B:B,"undeployed")</f>
        <v>0</v>
      </c>
      <c r="K32" s="68">
        <f t="shared" si="4"/>
        <v>0</v>
      </c>
      <c r="L32" s="70">
        <f t="shared" si="5"/>
        <v>0</v>
      </c>
      <c r="N32" s="38">
        <f t="shared" si="6"/>
        <v>0</v>
      </c>
      <c r="O32" s="66" t="str">
        <f t="shared" si="7"/>
        <v>#VALUE!</v>
      </c>
      <c r="P32" s="66" t="str">
        <f t="shared" si="8"/>
        <v>#VALUE!</v>
      </c>
      <c r="Q32" s="38">
        <f t="shared" si="9"/>
        <v>0</v>
      </c>
      <c r="R32" s="38">
        <f t="shared" si="10"/>
        <v>0</v>
      </c>
      <c r="S32" s="39">
        <f t="shared" si="11"/>
        <v>0</v>
      </c>
    </row>
    <row r="33">
      <c r="A33" s="66" t="s">
        <v>84</v>
      </c>
      <c r="B33" s="67">
        <f>SUMIF(Pivot_Data!A:A,$A33,Pivot_Data!E:E)</f>
        <v>4352768.658</v>
      </c>
      <c r="C33" s="19">
        <f>SUMIF(Pivot_Data!A:A,$A33,Pivot_Data!H:H)</f>
        <v>5748701.567</v>
      </c>
      <c r="D33" s="68">
        <f t="shared" si="1"/>
        <v>0.0002693230729</v>
      </c>
      <c r="E33" s="68">
        <f>SUMIF(Pivot_Data!A:A,$A33,Pivot_Data!J:J)/$C33</f>
        <v>0</v>
      </c>
      <c r="F33" s="68">
        <f>SUMIF(Pivot_Data!A:A,$A33,Pivot_Data!I:I)/$C33</f>
        <v>0</v>
      </c>
      <c r="G33" s="68">
        <f t="shared" si="2"/>
        <v>0</v>
      </c>
      <c r="H33" s="68" t="str">
        <f>iferror(VLOOKUP(A33,COFA!A:B,2,False),0)</f>
        <v>N/A</v>
      </c>
      <c r="I33" s="69">
        <f t="shared" si="3"/>
        <v>4352768.658</v>
      </c>
      <c r="J33" s="19">
        <f>SUMIFS(Pivot_Data!H:H, Pivot_Data!A:A,$A33,Pivot_Data!B:B,"undeployed")</f>
        <v>5748701.567</v>
      </c>
      <c r="K33" s="68">
        <f t="shared" si="4"/>
        <v>1</v>
      </c>
      <c r="L33" s="70">
        <f t="shared" si="5"/>
        <v>0.002284953724</v>
      </c>
      <c r="N33" s="38">
        <f t="shared" si="6"/>
        <v>0</v>
      </c>
      <c r="O33" s="66" t="str">
        <f t="shared" si="7"/>
        <v>#VALUE!</v>
      </c>
      <c r="P33" s="66" t="str">
        <f t="shared" si="8"/>
        <v>#VALUE!</v>
      </c>
      <c r="Q33" s="38">
        <f t="shared" si="9"/>
        <v>0</v>
      </c>
      <c r="R33" s="38">
        <f t="shared" si="10"/>
        <v>0</v>
      </c>
      <c r="S33" s="39">
        <f t="shared" si="11"/>
        <v>0</v>
      </c>
    </row>
    <row r="34">
      <c r="A34" s="66" t="s">
        <v>85</v>
      </c>
      <c r="B34" s="67">
        <f>SUMIF(Pivot_Data!A:A,$A34,Pivot_Data!E:E)</f>
        <v>7208907.6</v>
      </c>
      <c r="C34" s="19">
        <f>SUMIF(Pivot_Data!A:A,$A34,Pivot_Data!H:H)</f>
        <v>5116882.614</v>
      </c>
      <c r="D34" s="68">
        <f t="shared" si="1"/>
        <v>0.0002397227502</v>
      </c>
      <c r="E34" s="68">
        <f>SUMIF(Pivot_Data!A:A,$A34,Pivot_Data!J:J)/$C34</f>
        <v>0</v>
      </c>
      <c r="F34" s="68">
        <f>SUMIF(Pivot_Data!A:A,$A34,Pivot_Data!I:I)/$C34</f>
        <v>0</v>
      </c>
      <c r="G34" s="68">
        <f t="shared" si="2"/>
        <v>0</v>
      </c>
      <c r="H34" s="68" t="str">
        <f>iferror(VLOOKUP(A34,COFA!A:B,2,False),0)</f>
        <v>N/A</v>
      </c>
      <c r="I34" s="69">
        <f t="shared" si="3"/>
        <v>7208907.6</v>
      </c>
      <c r="J34" s="19">
        <f>SUMIFS(Pivot_Data!H:H, Pivot_Data!A:A,$A34,Pivot_Data!B:B,"undeployed")</f>
        <v>5116882.614</v>
      </c>
      <c r="K34" s="68">
        <f t="shared" si="4"/>
        <v>1</v>
      </c>
      <c r="L34" s="70">
        <f t="shared" si="5"/>
        <v>0.002033822743</v>
      </c>
      <c r="N34" s="38">
        <f t="shared" si="6"/>
        <v>0</v>
      </c>
      <c r="O34" s="66" t="str">
        <f t="shared" si="7"/>
        <v>#VALUE!</v>
      </c>
      <c r="P34" s="66" t="str">
        <f t="shared" si="8"/>
        <v>#VALUE!</v>
      </c>
      <c r="Q34" s="38">
        <f t="shared" si="9"/>
        <v>0</v>
      </c>
      <c r="R34" s="38">
        <f t="shared" si="10"/>
        <v>0</v>
      </c>
      <c r="S34" s="39">
        <f t="shared" si="11"/>
        <v>0</v>
      </c>
    </row>
    <row r="35">
      <c r="A35" s="66" t="s">
        <v>86</v>
      </c>
      <c r="B35" s="67">
        <f>SUMIF(Pivot_Data!A:A,$A35,Pivot_Data!E:E)</f>
        <v>755814.8303</v>
      </c>
      <c r="C35" s="19">
        <f>SUMIF(Pivot_Data!A:A,$A35,Pivot_Data!H:H)</f>
        <v>4355141.2</v>
      </c>
      <c r="D35" s="68">
        <f t="shared" si="1"/>
        <v>0.0002040356413</v>
      </c>
      <c r="E35" s="68">
        <f>SUMIF(Pivot_Data!A:A,$A35,Pivot_Data!J:J)/$C35</f>
        <v>0.04671077325</v>
      </c>
      <c r="F35" s="68">
        <f>SUMIF(Pivot_Data!A:A,$A35,Pivot_Data!I:I)/$C35</f>
        <v>0.0042</v>
      </c>
      <c r="G35" s="68">
        <f t="shared" si="2"/>
        <v>0.04251077325</v>
      </c>
      <c r="H35" s="68">
        <f>iferror(VLOOKUP(A35,COFA!A:B,2,False),0)</f>
        <v>0.0042</v>
      </c>
      <c r="I35" s="69">
        <f t="shared" si="3"/>
        <v>262785.4504</v>
      </c>
      <c r="J35" s="19">
        <f>SUMIFS(Pivot_Data!H:H, Pivot_Data!A:A,$A35,Pivot_Data!B:B,"undeployed")</f>
        <v>1514217.102</v>
      </c>
      <c r="K35" s="68">
        <f t="shared" si="4"/>
        <v>0.3476849618</v>
      </c>
      <c r="L35" s="70">
        <f t="shared" si="5"/>
        <v>0.0006018604316</v>
      </c>
      <c r="N35" s="38">
        <f t="shared" si="6"/>
        <v>3912.154097</v>
      </c>
      <c r="O35" s="38">
        <f t="shared" si="7"/>
        <v>351.7614046</v>
      </c>
      <c r="P35" s="38">
        <f t="shared" si="8"/>
        <v>3560.392693</v>
      </c>
      <c r="Q35" s="38">
        <f t="shared" si="9"/>
        <v>351.7614046</v>
      </c>
      <c r="R35" s="38">
        <f t="shared" si="10"/>
        <v>3560.392693</v>
      </c>
      <c r="S35" s="39">
        <f t="shared" si="11"/>
        <v>0.0042</v>
      </c>
    </row>
    <row r="36">
      <c r="A36" s="66" t="s">
        <v>87</v>
      </c>
      <c r="B36" s="67">
        <f>SUMIF(Pivot_Data!A:A,$A36,Pivot_Data!E:E)</f>
        <v>764865.399</v>
      </c>
      <c r="C36" s="19">
        <f>SUMIF(Pivot_Data!A:A,$A36,Pivot_Data!H:H)</f>
        <v>4005142.407</v>
      </c>
      <c r="D36" s="68">
        <f t="shared" si="1"/>
        <v>0.0001876384168</v>
      </c>
      <c r="E36" s="68">
        <f>SUMIF(Pivot_Data!A:A,$A36,Pivot_Data!J:J)/$C36</f>
        <v>0.0882728595</v>
      </c>
      <c r="F36" s="68">
        <f>SUMIF(Pivot_Data!A:A,$A36,Pivot_Data!I:I)/$C36</f>
        <v>0.0396</v>
      </c>
      <c r="G36" s="68">
        <f t="shared" si="2"/>
        <v>0.0486728595</v>
      </c>
      <c r="H36" s="68">
        <f>iferror(VLOOKUP(A36,COFA!A:B,2,False),0)</f>
        <v>0.0396</v>
      </c>
      <c r="I36" s="69">
        <f t="shared" si="3"/>
        <v>80697.68221</v>
      </c>
      <c r="J36" s="19">
        <f>SUMIFS(Pivot_Data!H:H, Pivot_Data!A:A,$A36,Pivot_Data!B:B,"undeployed")</f>
        <v>422565.473</v>
      </c>
      <c r="K36" s="68">
        <f t="shared" si="4"/>
        <v>0.1055057299</v>
      </c>
      <c r="L36" s="70">
        <f t="shared" si="5"/>
        <v>0.0001679583712</v>
      </c>
      <c r="N36" s="38">
        <f t="shared" si="6"/>
        <v>6798.949479</v>
      </c>
      <c r="O36" s="38">
        <f t="shared" si="7"/>
        <v>3050.069987</v>
      </c>
      <c r="P36" s="38">
        <f t="shared" si="8"/>
        <v>3748.879493</v>
      </c>
      <c r="Q36" s="38">
        <f t="shared" si="9"/>
        <v>3050.069987</v>
      </c>
      <c r="R36" s="38">
        <f t="shared" si="10"/>
        <v>3748.879493</v>
      </c>
      <c r="S36" s="39">
        <f t="shared" si="11"/>
        <v>0.0396</v>
      </c>
    </row>
    <row r="37">
      <c r="A37" s="66" t="s">
        <v>88</v>
      </c>
      <c r="B37" s="67">
        <f>SUMIF(Pivot_Data!A:A,$A37,Pivot_Data!E:E)</f>
        <v>1284979.282</v>
      </c>
      <c r="C37" s="19">
        <f>SUMIF(Pivot_Data!A:A,$A37,Pivot_Data!H:H)</f>
        <v>5129296.031</v>
      </c>
      <c r="D37" s="68">
        <f t="shared" si="1"/>
        <v>0.000240304311</v>
      </c>
      <c r="E37" s="68">
        <f>SUMIF(Pivot_Data!A:A,$A37,Pivot_Data!J:J)/$C37</f>
        <v>0.09368638909</v>
      </c>
      <c r="F37" s="68">
        <f>SUMIF(Pivot_Data!A:A,$A37,Pivot_Data!I:I)/$C37</f>
        <v>0</v>
      </c>
      <c r="G37" s="68">
        <f t="shared" si="2"/>
        <v>0.09368638909</v>
      </c>
      <c r="H37" s="68" t="str">
        <f>iferror(VLOOKUP(A37,COFA!A:B,2,False),0)</f>
        <v>N/A</v>
      </c>
      <c r="I37" s="69">
        <f t="shared" si="3"/>
        <v>122348.0943</v>
      </c>
      <c r="J37" s="19">
        <f>SUMIFS(Pivot_Data!H:H, Pivot_Data!A:A,$A37,Pivot_Data!B:B,"undeployed")</f>
        <v>488381.0992</v>
      </c>
      <c r="K37" s="68">
        <f t="shared" si="4"/>
        <v>0.09521405983</v>
      </c>
      <c r="L37" s="70">
        <f t="shared" si="5"/>
        <v>0.0001941183063</v>
      </c>
      <c r="N37" s="38">
        <f t="shared" si="6"/>
        <v>9241.254303</v>
      </c>
      <c r="O37" s="66" t="str">
        <f t="shared" si="7"/>
        <v>#VALUE!</v>
      </c>
      <c r="P37" s="66" t="str">
        <f t="shared" si="8"/>
        <v>#VALUE!</v>
      </c>
      <c r="Q37" s="38">
        <f t="shared" si="9"/>
        <v>0</v>
      </c>
      <c r="R37" s="38">
        <f t="shared" si="10"/>
        <v>9241.254303</v>
      </c>
      <c r="S37" s="39">
        <f t="shared" si="11"/>
        <v>0</v>
      </c>
    </row>
    <row r="38">
      <c r="A38" s="66" t="s">
        <v>89</v>
      </c>
      <c r="B38" s="67">
        <f>SUMIF(Pivot_Data!A:A,$A38,Pivot_Data!E:E)</f>
        <v>30222.32106</v>
      </c>
      <c r="C38" s="19">
        <f>SUMIF(Pivot_Data!A:A,$A38,Pivot_Data!H:H)</f>
        <v>3677452.027</v>
      </c>
      <c r="D38" s="68">
        <f t="shared" si="1"/>
        <v>0.0001722863274</v>
      </c>
      <c r="E38" s="68">
        <f>SUMIF(Pivot_Data!A:A,$A38,Pivot_Data!J:J)/$C38</f>
        <v>0.04035661971</v>
      </c>
      <c r="F38" s="68">
        <f>SUMIF(Pivot_Data!A:A,$A38,Pivot_Data!I:I)/$C38</f>
        <v>0.0183</v>
      </c>
      <c r="G38" s="68">
        <f t="shared" si="2"/>
        <v>0.02205661971</v>
      </c>
      <c r="H38" s="68">
        <f>iferror(VLOOKUP(A38,COFA!A:B,2,False),0)</f>
        <v>0.0183</v>
      </c>
      <c r="I38" s="69">
        <f t="shared" si="3"/>
        <v>5280.179593</v>
      </c>
      <c r="J38" s="19">
        <f>SUMIFS(Pivot_Data!H:H, Pivot_Data!A:A,$A38,Pivot_Data!B:B,"undeployed")</f>
        <v>642492.2529</v>
      </c>
      <c r="K38" s="68">
        <f t="shared" si="4"/>
        <v>0.1747112534</v>
      </c>
      <c r="L38" s="70">
        <f t="shared" si="5"/>
        <v>0.0002553733307</v>
      </c>
      <c r="N38" s="38">
        <f t="shared" si="6"/>
        <v>2854.02948</v>
      </c>
      <c r="O38" s="38">
        <f t="shared" si="7"/>
        <v>1294.180233</v>
      </c>
      <c r="P38" s="38">
        <f t="shared" si="8"/>
        <v>1559.849247</v>
      </c>
      <c r="Q38" s="38">
        <f t="shared" si="9"/>
        <v>1294.180233</v>
      </c>
      <c r="R38" s="38">
        <f t="shared" si="10"/>
        <v>1559.849247</v>
      </c>
      <c r="S38" s="39">
        <f t="shared" si="11"/>
        <v>0.0183</v>
      </c>
    </row>
    <row r="39">
      <c r="A39" s="66" t="s">
        <v>90</v>
      </c>
      <c r="B39" s="67">
        <f>SUMIF(Pivot_Data!A:A,$A39,Pivot_Data!E:E)</f>
        <v>231511.6258</v>
      </c>
      <c r="C39" s="19">
        <f>SUMIF(Pivot_Data!A:A,$A39,Pivot_Data!H:H)</f>
        <v>3343469.686</v>
      </c>
      <c r="D39" s="68">
        <f t="shared" si="1"/>
        <v>0.0001566394636</v>
      </c>
      <c r="E39" s="68">
        <f>SUMIF(Pivot_Data!A:A,$A39,Pivot_Data!J:J)/$C39</f>
        <v>0.04848309437</v>
      </c>
      <c r="F39" s="68">
        <f>SUMIF(Pivot_Data!A:A,$A39,Pivot_Data!I:I)/$C39</f>
        <v>0</v>
      </c>
      <c r="G39" s="68">
        <f t="shared" si="2"/>
        <v>0.04848309437</v>
      </c>
      <c r="H39" s="68" t="str">
        <f>iferror(VLOOKUP(A39,COFA!A:B,2,False),0)</f>
        <v>N/A</v>
      </c>
      <c r="I39" s="69">
        <f t="shared" si="3"/>
        <v>961.3360518</v>
      </c>
      <c r="J39" s="19">
        <f>SUMIFS(Pivot_Data!H:H, Pivot_Data!A:A,$A39,Pivot_Data!B:B,"undeployed")</f>
        <v>13883.52717</v>
      </c>
      <c r="K39" s="68">
        <f t="shared" si="4"/>
        <v>0.004152431</v>
      </c>
      <c r="L39" s="70">
        <f t="shared" si="5"/>
        <v>0.000005518327356</v>
      </c>
      <c r="N39" s="38">
        <f t="shared" si="6"/>
        <v>3117.341467</v>
      </c>
      <c r="O39" s="66" t="str">
        <f t="shared" si="7"/>
        <v>#VALUE!</v>
      </c>
      <c r="P39" s="66" t="str">
        <f t="shared" si="8"/>
        <v>#VALUE!</v>
      </c>
      <c r="Q39" s="38">
        <f t="shared" si="9"/>
        <v>0</v>
      </c>
      <c r="R39" s="38">
        <f t="shared" si="10"/>
        <v>3117.341467</v>
      </c>
      <c r="S39" s="39">
        <f t="shared" si="11"/>
        <v>0</v>
      </c>
    </row>
    <row r="40">
      <c r="A40" s="66" t="s">
        <v>91</v>
      </c>
      <c r="B40" s="67">
        <f>SUMIF(Pivot_Data!A:A,$A40,Pivot_Data!E:E)</f>
        <v>3348120.317</v>
      </c>
      <c r="C40" s="19">
        <f>SUMIF(Pivot_Data!A:A,$A40,Pivot_Data!H:H)</f>
        <v>2590775.501</v>
      </c>
      <c r="D40" s="68">
        <f t="shared" si="1"/>
        <v>0.0001213762119</v>
      </c>
      <c r="E40" s="68">
        <f>SUMIF(Pivot_Data!A:A,$A40,Pivot_Data!J:J)/$C40</f>
        <v>0</v>
      </c>
      <c r="F40" s="68">
        <f>SUMIF(Pivot_Data!A:A,$A40,Pivot_Data!I:I)/$C40</f>
        <v>0</v>
      </c>
      <c r="G40" s="68">
        <f t="shared" si="2"/>
        <v>0</v>
      </c>
      <c r="H40" s="68" t="str">
        <f>iferror(VLOOKUP(A40,COFA!A:B,2,False),0)</f>
        <v>N/A</v>
      </c>
      <c r="I40" s="69">
        <f t="shared" si="3"/>
        <v>3348120.317</v>
      </c>
      <c r="J40" s="19">
        <f>SUMIFS(Pivot_Data!H:H, Pivot_Data!A:A,$A40,Pivot_Data!B:B,"undeployed")</f>
        <v>2590775.501</v>
      </c>
      <c r="K40" s="68">
        <f t="shared" si="4"/>
        <v>1</v>
      </c>
      <c r="L40" s="70">
        <f t="shared" si="5"/>
        <v>0.001029763341</v>
      </c>
      <c r="N40" s="38">
        <f t="shared" si="6"/>
        <v>0</v>
      </c>
      <c r="O40" s="66" t="str">
        <f t="shared" si="7"/>
        <v>#VALUE!</v>
      </c>
      <c r="P40" s="66" t="str">
        <f t="shared" si="8"/>
        <v>#VALUE!</v>
      </c>
      <c r="Q40" s="38">
        <f t="shared" si="9"/>
        <v>0</v>
      </c>
      <c r="R40" s="38">
        <f t="shared" si="10"/>
        <v>0</v>
      </c>
      <c r="S40" s="39">
        <f t="shared" si="11"/>
        <v>0</v>
      </c>
    </row>
    <row r="41">
      <c r="A41" s="66" t="s">
        <v>92</v>
      </c>
      <c r="B41" s="67">
        <f>SUMIF(Pivot_Data!A:A,$A41,Pivot_Data!E:E)</f>
        <v>18969302.24</v>
      </c>
      <c r="C41" s="19">
        <f>SUMIF(Pivot_Data!A:A,$A41,Pivot_Data!H:H)</f>
        <v>2431864.547</v>
      </c>
      <c r="D41" s="68">
        <f t="shared" si="1"/>
        <v>0.000113931333</v>
      </c>
      <c r="E41" s="68">
        <f>SUMIF(Pivot_Data!A:A,$A41,Pivot_Data!J:J)/$C41</f>
        <v>0</v>
      </c>
      <c r="F41" s="68">
        <f>SUMIF(Pivot_Data!A:A,$A41,Pivot_Data!I:I)/$C41</f>
        <v>0</v>
      </c>
      <c r="G41" s="68">
        <f t="shared" si="2"/>
        <v>0</v>
      </c>
      <c r="H41" s="68" t="str">
        <f>iferror(VLOOKUP(A41,COFA!A:B,2,False),0)</f>
        <v>N/A</v>
      </c>
      <c r="I41" s="69">
        <f t="shared" si="3"/>
        <v>18969302.24</v>
      </c>
      <c r="J41" s="19">
        <f>SUMIFS(Pivot_Data!H:H, Pivot_Data!A:A,$A41,Pivot_Data!B:B,"undeployed")</f>
        <v>2431864.547</v>
      </c>
      <c r="K41" s="68">
        <f t="shared" si="4"/>
        <v>1</v>
      </c>
      <c r="L41" s="70">
        <f t="shared" si="5"/>
        <v>0.0009666005252</v>
      </c>
      <c r="N41" s="38">
        <f t="shared" si="6"/>
        <v>0</v>
      </c>
      <c r="O41" s="66" t="str">
        <f t="shared" si="7"/>
        <v>#VALUE!</v>
      </c>
      <c r="P41" s="66" t="str">
        <f t="shared" si="8"/>
        <v>#VALUE!</v>
      </c>
      <c r="Q41" s="38">
        <f t="shared" si="9"/>
        <v>0</v>
      </c>
      <c r="R41" s="38">
        <f t="shared" si="10"/>
        <v>0</v>
      </c>
      <c r="S41" s="39">
        <f t="shared" si="11"/>
        <v>0</v>
      </c>
    </row>
    <row r="42">
      <c r="A42" s="66" t="s">
        <v>93</v>
      </c>
      <c r="B42" s="67">
        <f>SUMIF(Pivot_Data!A:A,$A42,Pivot_Data!E:E)</f>
        <v>1873281.23</v>
      </c>
      <c r="C42" s="19">
        <f>SUMIF(Pivot_Data!A:A,$A42,Pivot_Data!H:H)</f>
        <v>2314598.251</v>
      </c>
      <c r="D42" s="68">
        <f t="shared" si="1"/>
        <v>0.0001084374804</v>
      </c>
      <c r="E42" s="68">
        <f>SUMIF(Pivot_Data!A:A,$A42,Pivot_Data!J:J)/$C42</f>
        <v>0.01465575152</v>
      </c>
      <c r="F42" s="68">
        <f>SUMIF(Pivot_Data!A:A,$A42,Pivot_Data!I:I)/$C42</f>
        <v>0.0048</v>
      </c>
      <c r="G42" s="68">
        <f t="shared" si="2"/>
        <v>0.009855751523</v>
      </c>
      <c r="H42" s="68">
        <f>iferror(VLOOKUP(A42,COFA!A:B,2,False),0)</f>
        <v>0.0048</v>
      </c>
      <c r="I42" s="69">
        <f t="shared" si="3"/>
        <v>277784.6084</v>
      </c>
      <c r="J42" s="19">
        <f>SUMIFS(Pivot_Data!H:H, Pivot_Data!A:A,$A42,Pivot_Data!B:B,"undeployed")</f>
        <v>343226.5045</v>
      </c>
      <c r="K42" s="68">
        <f t="shared" si="4"/>
        <v>0.1482877231</v>
      </c>
      <c r="L42" s="70">
        <f t="shared" si="5"/>
        <v>0.0001364232724</v>
      </c>
      <c r="N42" s="38">
        <f t="shared" si="6"/>
        <v>652.3495546</v>
      </c>
      <c r="O42" s="38">
        <f t="shared" si="7"/>
        <v>213.6552231</v>
      </c>
      <c r="P42" s="38">
        <f t="shared" si="8"/>
        <v>438.6943315</v>
      </c>
      <c r="Q42" s="38">
        <f t="shared" si="9"/>
        <v>213.6552231</v>
      </c>
      <c r="R42" s="38">
        <f t="shared" si="10"/>
        <v>438.6943315</v>
      </c>
      <c r="S42" s="39">
        <f t="shared" si="11"/>
        <v>0.0048</v>
      </c>
    </row>
    <row r="43">
      <c r="A43" s="66" t="s">
        <v>94</v>
      </c>
      <c r="B43" s="67">
        <f>SUMIF(Pivot_Data!A:A,$A43,Pivot_Data!E:E)</f>
        <v>904018.6009</v>
      </c>
      <c r="C43" s="19">
        <f>SUMIF(Pivot_Data!A:A,$A43,Pivot_Data!H:H)</f>
        <v>2323327.804</v>
      </c>
      <c r="D43" s="68">
        <f t="shared" si="1"/>
        <v>0.0001088464545</v>
      </c>
      <c r="E43" s="68">
        <f>SUMIF(Pivot_Data!A:A,$A43,Pivot_Data!J:J)/$C43</f>
        <v>0</v>
      </c>
      <c r="F43" s="68">
        <f>SUMIF(Pivot_Data!A:A,$A43,Pivot_Data!I:I)/$C43</f>
        <v>0</v>
      </c>
      <c r="G43" s="68">
        <f t="shared" si="2"/>
        <v>0</v>
      </c>
      <c r="H43" s="68" t="str">
        <f>iferror(VLOOKUP(A43,COFA!A:B,2,False),0)</f>
        <v>N/A</v>
      </c>
      <c r="I43" s="69">
        <f t="shared" si="3"/>
        <v>0</v>
      </c>
      <c r="J43" s="19">
        <f>SUMIFS(Pivot_Data!H:H, Pivot_Data!A:A,$A43,Pivot_Data!B:B,"undeployed")</f>
        <v>0</v>
      </c>
      <c r="K43" s="68">
        <f t="shared" si="4"/>
        <v>0</v>
      </c>
      <c r="L43" s="70">
        <f t="shared" si="5"/>
        <v>0</v>
      </c>
      <c r="N43" s="38">
        <f t="shared" si="6"/>
        <v>0</v>
      </c>
      <c r="O43" s="66" t="str">
        <f t="shared" si="7"/>
        <v>#VALUE!</v>
      </c>
      <c r="P43" s="66" t="str">
        <f t="shared" si="8"/>
        <v>#VALUE!</v>
      </c>
      <c r="Q43" s="38">
        <f t="shared" si="9"/>
        <v>0</v>
      </c>
      <c r="R43" s="38">
        <f t="shared" si="10"/>
        <v>0</v>
      </c>
      <c r="S43" s="39">
        <f t="shared" si="11"/>
        <v>0</v>
      </c>
    </row>
    <row r="44">
      <c r="A44" s="66" t="s">
        <v>95</v>
      </c>
      <c r="B44" s="67">
        <f>SUMIF(Pivot_Data!A:A,$A44,Pivot_Data!E:E)</f>
        <v>37.53214397</v>
      </c>
      <c r="C44" s="19">
        <f>SUMIF(Pivot_Data!A:A,$A44,Pivot_Data!H:H)</f>
        <v>1320848.183</v>
      </c>
      <c r="D44" s="68">
        <f t="shared" si="1"/>
        <v>0.00006188091127</v>
      </c>
      <c r="E44" s="68">
        <f>SUMIF(Pivot_Data!A:A,$A44,Pivot_Data!J:J)/$C44</f>
        <v>0.0499957584</v>
      </c>
      <c r="F44" s="68">
        <f>SUMIF(Pivot_Data!A:A,$A44,Pivot_Data!I:I)/$C44</f>
        <v>0</v>
      </c>
      <c r="G44" s="68">
        <f t="shared" si="2"/>
        <v>0.0499957584</v>
      </c>
      <c r="H44" s="68" t="str">
        <f>iferror(VLOOKUP(A44,COFA!A:B,2,False),0)</f>
        <v>N/A</v>
      </c>
      <c r="I44" s="69">
        <f t="shared" si="3"/>
        <v>0</v>
      </c>
      <c r="J44" s="19">
        <f>SUMIFS(Pivot_Data!H:H, Pivot_Data!A:A,$A44,Pivot_Data!B:B,"undeployed")</f>
        <v>0</v>
      </c>
      <c r="K44" s="68">
        <f t="shared" si="4"/>
        <v>0</v>
      </c>
      <c r="L44" s="70">
        <f t="shared" si="5"/>
        <v>0</v>
      </c>
      <c r="N44" s="38">
        <f t="shared" si="6"/>
        <v>1269.938589</v>
      </c>
      <c r="O44" s="66" t="str">
        <f t="shared" si="7"/>
        <v>#VALUE!</v>
      </c>
      <c r="P44" s="66" t="str">
        <f t="shared" si="8"/>
        <v>#VALUE!</v>
      </c>
      <c r="Q44" s="38">
        <f t="shared" si="9"/>
        <v>0</v>
      </c>
      <c r="R44" s="38">
        <f t="shared" si="10"/>
        <v>1269.938589</v>
      </c>
      <c r="S44" s="39">
        <f t="shared" si="11"/>
        <v>0</v>
      </c>
    </row>
    <row r="45">
      <c r="A45" s="66" t="s">
        <v>96</v>
      </c>
      <c r="B45" s="67">
        <f>SUMIF(Pivot_Data!A:A,$A45,Pivot_Data!E:E)</f>
        <v>52.50547601</v>
      </c>
      <c r="C45" s="19">
        <f>SUMIF(Pivot_Data!A:A,$A45,Pivot_Data!H:H)</f>
        <v>1856455.342</v>
      </c>
      <c r="D45" s="68">
        <f t="shared" si="1"/>
        <v>0.00008697377169</v>
      </c>
      <c r="E45" s="68">
        <f>SUMIF(Pivot_Data!A:A,$A45,Pivot_Data!J:J)/$C45</f>
        <v>0.08049571818</v>
      </c>
      <c r="F45" s="68">
        <f>SUMIF(Pivot_Data!A:A,$A45,Pivot_Data!I:I)/$C45</f>
        <v>0</v>
      </c>
      <c r="G45" s="68">
        <f t="shared" si="2"/>
        <v>0.08049571818</v>
      </c>
      <c r="H45" s="68" t="str">
        <f>iferror(VLOOKUP(A45,COFA!A:B,2,False),0)</f>
        <v>N/A</v>
      </c>
      <c r="I45" s="69">
        <f t="shared" si="3"/>
        <v>0.30885492</v>
      </c>
      <c r="J45" s="19">
        <f>SUMIFS(Pivot_Data!H:H, Pivot_Data!A:A,$A45,Pivot_Data!B:B,"undeployed")</f>
        <v>10920.29651</v>
      </c>
      <c r="K45" s="68">
        <f t="shared" si="4"/>
        <v>0.0058823373</v>
      </c>
      <c r="L45" s="70">
        <f t="shared" si="5"/>
        <v>0.000004340523139</v>
      </c>
      <c r="N45" s="38">
        <f t="shared" si="6"/>
        <v>2873.782809</v>
      </c>
      <c r="O45" s="66" t="str">
        <f t="shared" si="7"/>
        <v>#VALUE!</v>
      </c>
      <c r="P45" s="66" t="str">
        <f t="shared" si="8"/>
        <v>#VALUE!</v>
      </c>
      <c r="Q45" s="38">
        <f t="shared" si="9"/>
        <v>0</v>
      </c>
      <c r="R45" s="38">
        <f t="shared" si="10"/>
        <v>2873.782809</v>
      </c>
      <c r="S45" s="39">
        <f t="shared" si="11"/>
        <v>0</v>
      </c>
    </row>
    <row r="46">
      <c r="A46" s="66" t="s">
        <v>97</v>
      </c>
      <c r="B46" s="67">
        <f>SUMIF(Pivot_Data!A:A,$A46,Pivot_Data!E:E)</f>
        <v>126716.3715</v>
      </c>
      <c r="C46" s="19">
        <f>SUMIF(Pivot_Data!A:A,$A46,Pivot_Data!H:H)</f>
        <v>1085889.701</v>
      </c>
      <c r="D46" s="68">
        <f t="shared" si="1"/>
        <v>0.00005087325335</v>
      </c>
      <c r="E46" s="68">
        <f>SUMIF(Pivot_Data!A:A,$A46,Pivot_Data!J:J)/$C46</f>
        <v>0.05588255859</v>
      </c>
      <c r="F46" s="68">
        <f>SUMIF(Pivot_Data!A:A,$A46,Pivot_Data!I:I)/$C46</f>
        <v>0.0093</v>
      </c>
      <c r="G46" s="68">
        <f t="shared" si="2"/>
        <v>0.04658255859</v>
      </c>
      <c r="H46" s="68">
        <f>iferror(VLOOKUP(A46,COFA!A:B,2,False),0)</f>
        <v>0.0093</v>
      </c>
      <c r="I46" s="69">
        <f t="shared" si="3"/>
        <v>31920.7215</v>
      </c>
      <c r="J46" s="19">
        <f>SUMIFS(Pivot_Data!H:H, Pivot_Data!A:A,$A46,Pivot_Data!B:B,"undeployed")</f>
        <v>273543.05</v>
      </c>
      <c r="K46" s="68">
        <f t="shared" si="4"/>
        <v>0.2519068461</v>
      </c>
      <c r="L46" s="70">
        <f t="shared" si="5"/>
        <v>0.0001087259799</v>
      </c>
      <c r="N46" s="38">
        <f t="shared" si="6"/>
        <v>1166.967209</v>
      </c>
      <c r="O46" s="38">
        <f t="shared" si="7"/>
        <v>194.2071966</v>
      </c>
      <c r="P46" s="38">
        <f t="shared" si="8"/>
        <v>972.7600124</v>
      </c>
      <c r="Q46" s="38">
        <f t="shared" si="9"/>
        <v>194.2071966</v>
      </c>
      <c r="R46" s="38">
        <f t="shared" si="10"/>
        <v>972.7600124</v>
      </c>
      <c r="S46" s="39">
        <f t="shared" si="11"/>
        <v>0.0093</v>
      </c>
    </row>
    <row r="47">
      <c r="A47" s="66" t="s">
        <v>98</v>
      </c>
      <c r="B47" s="67">
        <f>SUMIF(Pivot_Data!A:A,$A47,Pivot_Data!E:E)</f>
        <v>338.4017606</v>
      </c>
      <c r="C47" s="19">
        <f>SUMIF(Pivot_Data!A:A,$A47,Pivot_Data!H:H)</f>
        <v>609588.2204</v>
      </c>
      <c r="D47" s="68">
        <f t="shared" si="1"/>
        <v>0.00002855882686</v>
      </c>
      <c r="E47" s="68">
        <f>SUMIF(Pivot_Data!A:A,$A47,Pivot_Data!J:J)/$C47</f>
        <v>0</v>
      </c>
      <c r="F47" s="68">
        <f>SUMIF(Pivot_Data!A:A,$A47,Pivot_Data!I:I)/$C47</f>
        <v>0.0554</v>
      </c>
      <c r="G47" s="68">
        <f t="shared" si="2"/>
        <v>-0.0554</v>
      </c>
      <c r="H47" s="68">
        <f>iferror(VLOOKUP(A47,COFA!A:B,2,False),0)</f>
        <v>0.0554</v>
      </c>
      <c r="I47" s="69">
        <f t="shared" si="3"/>
        <v>237.396921</v>
      </c>
      <c r="J47" s="19">
        <f>SUMIFS(Pivot_Data!H:H, Pivot_Data!A:A,$A47,Pivot_Data!B:B,"undeployed")</f>
        <v>427640.7024</v>
      </c>
      <c r="K47" s="68">
        <f t="shared" si="4"/>
        <v>0.7015238945</v>
      </c>
      <c r="L47" s="70">
        <f t="shared" si="5"/>
        <v>0.0001699756379</v>
      </c>
      <c r="N47" s="38">
        <f t="shared" si="6"/>
        <v>0</v>
      </c>
      <c r="O47" s="38">
        <f t="shared" si="7"/>
        <v>649.4459117</v>
      </c>
      <c r="P47" s="38">
        <f t="shared" si="8"/>
        <v>-649.4459117</v>
      </c>
      <c r="Q47" s="38">
        <f t="shared" si="9"/>
        <v>649.4459117</v>
      </c>
      <c r="R47" s="38">
        <f t="shared" si="10"/>
        <v>-649.4459117</v>
      </c>
      <c r="S47" s="39">
        <f t="shared" si="11"/>
        <v>0</v>
      </c>
    </row>
    <row r="48">
      <c r="A48" s="66" t="s">
        <v>99</v>
      </c>
      <c r="B48" s="67">
        <f>SUMIF(Pivot_Data!A:A,$A48,Pivot_Data!E:E)</f>
        <v>933182.1711</v>
      </c>
      <c r="C48" s="19">
        <f>SUMIF(Pivot_Data!A:A,$A48,Pivot_Data!H:H)</f>
        <v>448472.397</v>
      </c>
      <c r="D48" s="68">
        <f t="shared" si="1"/>
        <v>0.00002101065131</v>
      </c>
      <c r="E48" s="68">
        <f>SUMIF(Pivot_Data!A:A,$A48,Pivot_Data!J:J)/$C48</f>
        <v>0.08121111091</v>
      </c>
      <c r="F48" s="68">
        <f>SUMIF(Pivot_Data!A:A,$A48,Pivot_Data!I:I)/$C48</f>
        <v>0</v>
      </c>
      <c r="G48" s="68">
        <f t="shared" si="2"/>
        <v>0.08121111091</v>
      </c>
      <c r="H48" s="68" t="str">
        <f>iferror(VLOOKUP(A48,COFA!A:B,2,False),0)</f>
        <v>N/A</v>
      </c>
      <c r="I48" s="69">
        <f t="shared" si="3"/>
        <v>129526.1711</v>
      </c>
      <c r="J48" s="19">
        <f>SUMIFS(Pivot_Data!H:H, Pivot_Data!A:A,$A48,Pivot_Data!B:B,"undeployed")</f>
        <v>62248.20215</v>
      </c>
      <c r="K48" s="68">
        <f t="shared" si="4"/>
        <v>0.1388005205</v>
      </c>
      <c r="L48" s="70">
        <f t="shared" si="5"/>
        <v>0.00002474198037</v>
      </c>
      <c r="N48" s="38">
        <f t="shared" si="6"/>
        <v>700.4027226</v>
      </c>
      <c r="O48" s="66" t="str">
        <f t="shared" si="7"/>
        <v>#VALUE!</v>
      </c>
      <c r="P48" s="66" t="str">
        <f t="shared" si="8"/>
        <v>#VALUE!</v>
      </c>
      <c r="Q48" s="38">
        <f t="shared" si="9"/>
        <v>0</v>
      </c>
      <c r="R48" s="38">
        <f t="shared" si="10"/>
        <v>700.4027226</v>
      </c>
      <c r="S48" s="39">
        <f t="shared" si="11"/>
        <v>0</v>
      </c>
    </row>
    <row r="49">
      <c r="A49" s="66" t="s">
        <v>100</v>
      </c>
      <c r="B49" s="67">
        <f>SUMIF(Pivot_Data!A:A,$A49,Pivot_Data!E:E)</f>
        <v>12253.99809</v>
      </c>
      <c r="C49" s="19">
        <f>SUMIF(Pivot_Data!A:A,$A49,Pivot_Data!H:H)</f>
        <v>410137.7426</v>
      </c>
      <c r="D49" s="68">
        <f t="shared" si="1"/>
        <v>0.00001921469672</v>
      </c>
      <c r="E49" s="68">
        <f>SUMIF(Pivot_Data!A:A,$A49,Pivot_Data!J:J)/$C49</f>
        <v>0</v>
      </c>
      <c r="F49" s="68">
        <f>SUMIF(Pivot_Data!A:A,$A49,Pivot_Data!I:I)/$C49</f>
        <v>0</v>
      </c>
      <c r="G49" s="68">
        <f t="shared" si="2"/>
        <v>0</v>
      </c>
      <c r="H49" s="68">
        <f>iferror(VLOOKUP(A49,COFA!A:B,2,False),0)</f>
        <v>0</v>
      </c>
      <c r="I49" s="69">
        <f t="shared" si="3"/>
        <v>12253.99809</v>
      </c>
      <c r="J49" s="19">
        <f>SUMIFS(Pivot_Data!H:H, Pivot_Data!A:A,$A49,Pivot_Data!B:B,"undeployed")</f>
        <v>410137.7426</v>
      </c>
      <c r="K49" s="68">
        <f t="shared" si="4"/>
        <v>1</v>
      </c>
      <c r="L49" s="70">
        <f t="shared" si="5"/>
        <v>0.0001630186837</v>
      </c>
      <c r="N49" s="38">
        <f t="shared" si="6"/>
        <v>0</v>
      </c>
      <c r="O49" s="38">
        <f t="shared" si="7"/>
        <v>0</v>
      </c>
      <c r="P49" s="38">
        <f t="shared" si="8"/>
        <v>0</v>
      </c>
      <c r="Q49" s="38">
        <f t="shared" si="9"/>
        <v>0</v>
      </c>
      <c r="R49" s="38">
        <f t="shared" si="10"/>
        <v>0</v>
      </c>
      <c r="S49" s="39">
        <f t="shared" si="11"/>
        <v>0</v>
      </c>
    </row>
    <row r="50">
      <c r="A50" s="66" t="s">
        <v>101</v>
      </c>
      <c r="B50" s="67">
        <f>SUMIF(Pivot_Data!A:A,$A50,Pivot_Data!E:E)</f>
        <v>552645.0163</v>
      </c>
      <c r="C50" s="19">
        <f>SUMIF(Pivot_Data!A:A,$A50,Pivot_Data!H:H)</f>
        <v>369078.9737</v>
      </c>
      <c r="D50" s="68">
        <f t="shared" si="1"/>
        <v>0.00001729111908</v>
      </c>
      <c r="E50" s="68">
        <f>SUMIF(Pivot_Data!A:A,$A50,Pivot_Data!J:J)/$C50</f>
        <v>0.3087254239</v>
      </c>
      <c r="F50" s="68">
        <f>SUMIF(Pivot_Data!A:A,$A50,Pivot_Data!I:I)/$C50</f>
        <v>0</v>
      </c>
      <c r="G50" s="68">
        <f t="shared" si="2"/>
        <v>0.3087254239</v>
      </c>
      <c r="H50" s="68" t="str">
        <f>iferror(VLOOKUP(A50,COFA!A:B,2,False),0)</f>
        <v>N/A</v>
      </c>
      <c r="I50" s="69">
        <f t="shared" si="3"/>
        <v>0.75136751</v>
      </c>
      <c r="J50" s="19">
        <f>SUMIFS(Pivot_Data!H:H, Pivot_Data!A:A,$A50,Pivot_Data!B:B,"undeployed")</f>
        <v>0.501793993</v>
      </c>
      <c r="K50" s="68">
        <f t="shared" si="4"/>
        <v>0.00000135958434</v>
      </c>
      <c r="L50" s="70">
        <f t="shared" si="5"/>
        <v>0.0000000001994495696</v>
      </c>
      <c r="N50" s="38">
        <f t="shared" si="6"/>
        <v>2191.231973</v>
      </c>
      <c r="O50" s="66" t="str">
        <f t="shared" si="7"/>
        <v>#VALUE!</v>
      </c>
      <c r="P50" s="66" t="str">
        <f t="shared" si="8"/>
        <v>#VALUE!</v>
      </c>
      <c r="Q50" s="38">
        <f t="shared" si="9"/>
        <v>0</v>
      </c>
      <c r="R50" s="38">
        <f t="shared" si="10"/>
        <v>2191.231973</v>
      </c>
      <c r="S50" s="39">
        <f t="shared" si="11"/>
        <v>0</v>
      </c>
    </row>
    <row r="51">
      <c r="A51" s="66" t="s">
        <v>102</v>
      </c>
      <c r="B51" s="67">
        <f>SUMIF(Pivot_Data!A:A,$A51,Pivot_Data!E:E)</f>
        <v>1666.471496</v>
      </c>
      <c r="C51" s="19">
        <f>SUMIF(Pivot_Data!A:A,$A51,Pivot_Data!H:H)</f>
        <v>293232.3244</v>
      </c>
      <c r="D51" s="68">
        <f t="shared" si="1"/>
        <v>0.000013737751</v>
      </c>
      <c r="E51" s="68">
        <f>SUMIF(Pivot_Data!A:A,$A51,Pivot_Data!J:J)/$C51</f>
        <v>0</v>
      </c>
      <c r="F51" s="68">
        <f>SUMIF(Pivot_Data!A:A,$A51,Pivot_Data!I:I)/$C51</f>
        <v>0</v>
      </c>
      <c r="G51" s="68">
        <f t="shared" si="2"/>
        <v>0</v>
      </c>
      <c r="H51" s="68" t="str">
        <f>iferror(VLOOKUP(A51,COFA!A:B,2,False),0)</f>
        <v>N/A</v>
      </c>
      <c r="I51" s="69">
        <f t="shared" si="3"/>
        <v>1666.471496</v>
      </c>
      <c r="J51" s="19">
        <f>SUMIFS(Pivot_Data!H:H, Pivot_Data!A:A,$A51,Pivot_Data!B:B,"undeployed")</f>
        <v>293232.3244</v>
      </c>
      <c r="K51" s="68">
        <f t="shared" si="4"/>
        <v>1</v>
      </c>
      <c r="L51" s="70">
        <f t="shared" si="5"/>
        <v>0.0001165519351</v>
      </c>
      <c r="N51" s="38">
        <f t="shared" si="6"/>
        <v>0</v>
      </c>
      <c r="O51" s="66" t="str">
        <f t="shared" si="7"/>
        <v>#VALUE!</v>
      </c>
      <c r="P51" s="66" t="str">
        <f t="shared" si="8"/>
        <v>#VALUE!</v>
      </c>
      <c r="Q51" s="38">
        <f t="shared" si="9"/>
        <v>0</v>
      </c>
      <c r="R51" s="38">
        <f t="shared" si="10"/>
        <v>0</v>
      </c>
      <c r="S51" s="39">
        <f t="shared" si="11"/>
        <v>0</v>
      </c>
    </row>
    <row r="52">
      <c r="A52" s="66" t="s">
        <v>103</v>
      </c>
      <c r="B52" s="67">
        <f>SUMIF(Pivot_Data!A:A,$A52,Pivot_Data!E:E)</f>
        <v>12376.25604</v>
      </c>
      <c r="C52" s="19">
        <f>SUMIF(Pivot_Data!A:A,$A52,Pivot_Data!H:H)</f>
        <v>218553.7038</v>
      </c>
      <c r="D52" s="68">
        <f t="shared" si="1"/>
        <v>0.00001023910433</v>
      </c>
      <c r="E52" s="68">
        <f>SUMIF(Pivot_Data!A:A,$A52,Pivot_Data!J:J)/$C52</f>
        <v>0.1532506757</v>
      </c>
      <c r="F52" s="68">
        <f>SUMIF(Pivot_Data!A:A,$A52,Pivot_Data!I:I)/$C52</f>
        <v>0</v>
      </c>
      <c r="G52" s="68">
        <f t="shared" si="2"/>
        <v>0.1532506757</v>
      </c>
      <c r="H52" s="68" t="str">
        <f>iferror(VLOOKUP(A52,COFA!A:B,2,False),0)</f>
        <v>N/A</v>
      </c>
      <c r="I52" s="69">
        <f t="shared" si="3"/>
        <v>697.0794665</v>
      </c>
      <c r="J52" s="19">
        <f>SUMIFS(Pivot_Data!H:H, Pivot_Data!A:A,$A52,Pivot_Data!B:B,"undeployed")</f>
        <v>12309.80506</v>
      </c>
      <c r="K52" s="68">
        <f t="shared" si="4"/>
        <v>0.05632393709</v>
      </c>
      <c r="L52" s="70">
        <f t="shared" si="5"/>
        <v>0.00000489281529</v>
      </c>
      <c r="N52" s="38">
        <f t="shared" si="6"/>
        <v>644.1058225</v>
      </c>
      <c r="O52" s="66" t="str">
        <f t="shared" si="7"/>
        <v>#VALUE!</v>
      </c>
      <c r="P52" s="66" t="str">
        <f t="shared" si="8"/>
        <v>#VALUE!</v>
      </c>
      <c r="Q52" s="38">
        <f t="shared" si="9"/>
        <v>0</v>
      </c>
      <c r="R52" s="38">
        <f t="shared" si="10"/>
        <v>644.1058225</v>
      </c>
      <c r="S52" s="39">
        <f t="shared" si="11"/>
        <v>0</v>
      </c>
    </row>
    <row r="53">
      <c r="A53" s="66" t="s">
        <v>104</v>
      </c>
      <c r="B53" s="67">
        <f>SUMIF(Pivot_Data!A:A,$A53,Pivot_Data!E:E)</f>
        <v>3867.471676</v>
      </c>
      <c r="C53" s="19">
        <f>SUMIF(Pivot_Data!A:A,$A53,Pivot_Data!H:H)</f>
        <v>155308.0237</v>
      </c>
      <c r="D53" s="68">
        <f t="shared" si="1"/>
        <v>0.000007276083774</v>
      </c>
      <c r="E53" s="68">
        <f>SUMIF(Pivot_Data!A:A,$A53,Pivot_Data!J:J)/$C53</f>
        <v>0.071</v>
      </c>
      <c r="F53" s="68">
        <f>SUMIF(Pivot_Data!A:A,$A53,Pivot_Data!I:I)/$C53</f>
        <v>0</v>
      </c>
      <c r="G53" s="68">
        <f t="shared" si="2"/>
        <v>0.071</v>
      </c>
      <c r="H53" s="68">
        <f>iferror(VLOOKUP(A53,COFA!A:B,2,False),0)</f>
        <v>0</v>
      </c>
      <c r="I53" s="69">
        <f t="shared" si="3"/>
        <v>0</v>
      </c>
      <c r="J53" s="19">
        <f>SUMIFS(Pivot_Data!H:H, Pivot_Data!A:A,$A53,Pivot_Data!B:B,"undeployed")</f>
        <v>0</v>
      </c>
      <c r="K53" s="68">
        <f t="shared" si="4"/>
        <v>0</v>
      </c>
      <c r="L53" s="70">
        <f t="shared" si="5"/>
        <v>0</v>
      </c>
      <c r="N53" s="38">
        <f t="shared" si="6"/>
        <v>212.0551862</v>
      </c>
      <c r="O53" s="38">
        <f t="shared" si="7"/>
        <v>0</v>
      </c>
      <c r="P53" s="38">
        <f t="shared" si="8"/>
        <v>212.0551862</v>
      </c>
      <c r="Q53" s="38">
        <f t="shared" si="9"/>
        <v>0</v>
      </c>
      <c r="R53" s="38">
        <f t="shared" si="10"/>
        <v>212.0551862</v>
      </c>
      <c r="S53" s="39">
        <f t="shared" si="11"/>
        <v>0</v>
      </c>
    </row>
    <row r="54">
      <c r="A54" s="66" t="s">
        <v>105</v>
      </c>
      <c r="B54" s="67">
        <f>SUMIF(Pivot_Data!A:A,$A54,Pivot_Data!E:E)</f>
        <v>42468.49501</v>
      </c>
      <c r="C54" s="19">
        <f>SUMIF(Pivot_Data!A:A,$A54,Pivot_Data!H:H)</f>
        <v>147365.6777</v>
      </c>
      <c r="D54" s="68">
        <f t="shared" si="1"/>
        <v>0.00000690398983</v>
      </c>
      <c r="E54" s="68">
        <f>SUMIF(Pivot_Data!A:A,$A54,Pivot_Data!J:J)/$C54</f>
        <v>0</v>
      </c>
      <c r="F54" s="68">
        <f>SUMIF(Pivot_Data!A:A,$A54,Pivot_Data!I:I)/$C54</f>
        <v>0</v>
      </c>
      <c r="G54" s="68">
        <f t="shared" si="2"/>
        <v>0</v>
      </c>
      <c r="H54" s="68" t="str">
        <f>iferror(VLOOKUP(A54,COFA!A:B,2,False),0)</f>
        <v>N/A</v>
      </c>
      <c r="I54" s="69">
        <f t="shared" si="3"/>
        <v>0</v>
      </c>
      <c r="J54" s="19">
        <f>SUMIFS(Pivot_Data!H:H, Pivot_Data!A:A,$A54,Pivot_Data!B:B,"undeployed")</f>
        <v>0</v>
      </c>
      <c r="K54" s="68">
        <f t="shared" si="4"/>
        <v>0</v>
      </c>
      <c r="L54" s="70">
        <f t="shared" si="5"/>
        <v>0</v>
      </c>
      <c r="N54" s="38">
        <f t="shared" si="6"/>
        <v>0</v>
      </c>
      <c r="O54" s="66" t="str">
        <f t="shared" si="7"/>
        <v>#VALUE!</v>
      </c>
      <c r="P54" s="66" t="str">
        <f t="shared" si="8"/>
        <v>#VALUE!</v>
      </c>
      <c r="Q54" s="38">
        <f t="shared" si="9"/>
        <v>0</v>
      </c>
      <c r="R54" s="38">
        <f t="shared" si="10"/>
        <v>0</v>
      </c>
      <c r="S54" s="39">
        <f t="shared" si="11"/>
        <v>0</v>
      </c>
    </row>
    <row r="55">
      <c r="A55" s="66" t="s">
        <v>106</v>
      </c>
      <c r="B55" s="67">
        <f>SUMIF(Pivot_Data!A:A,$A55,Pivot_Data!E:E)</f>
        <v>159147.4688</v>
      </c>
      <c r="C55" s="19">
        <f>SUMIF(Pivot_Data!A:A,$A55,Pivot_Data!H:H)</f>
        <v>146809.3767</v>
      </c>
      <c r="D55" s="68">
        <f t="shared" si="1"/>
        <v>0.000006877927479</v>
      </c>
      <c r="E55" s="68">
        <f>SUMIF(Pivot_Data!A:A,$A55,Pivot_Data!J:J)/$C55</f>
        <v>0</v>
      </c>
      <c r="F55" s="68">
        <f>SUMIF(Pivot_Data!A:A,$A55,Pivot_Data!I:I)/$C55</f>
        <v>0</v>
      </c>
      <c r="G55" s="68">
        <f t="shared" si="2"/>
        <v>0</v>
      </c>
      <c r="H55" s="68" t="str">
        <f>iferror(VLOOKUP(A55,COFA!A:B,2,False),0)</f>
        <v>N/A</v>
      </c>
      <c r="I55" s="69">
        <f t="shared" si="3"/>
        <v>0</v>
      </c>
      <c r="J55" s="19">
        <f>SUMIFS(Pivot_Data!H:H, Pivot_Data!A:A,$A55,Pivot_Data!B:B,"undeployed")</f>
        <v>0</v>
      </c>
      <c r="K55" s="68">
        <f t="shared" si="4"/>
        <v>0</v>
      </c>
      <c r="L55" s="70">
        <f t="shared" si="5"/>
        <v>0</v>
      </c>
      <c r="N55" s="38">
        <f t="shared" si="6"/>
        <v>0</v>
      </c>
      <c r="O55" s="66" t="str">
        <f t="shared" si="7"/>
        <v>#VALUE!</v>
      </c>
      <c r="P55" s="66" t="str">
        <f t="shared" si="8"/>
        <v>#VALUE!</v>
      </c>
      <c r="Q55" s="38">
        <f t="shared" si="9"/>
        <v>0</v>
      </c>
      <c r="R55" s="38">
        <f t="shared" si="10"/>
        <v>0</v>
      </c>
      <c r="S55" s="39">
        <f t="shared" si="11"/>
        <v>0</v>
      </c>
    </row>
    <row r="56">
      <c r="A56" s="66" t="s">
        <v>107</v>
      </c>
      <c r="B56" s="67">
        <f>SUMIF(Pivot_Data!A:A,$A56,Pivot_Data!E:E)</f>
        <v>474.2709744</v>
      </c>
      <c r="C56" s="19">
        <f>SUMIF(Pivot_Data!A:A,$A56,Pivot_Data!H:H)</f>
        <v>42090.35112</v>
      </c>
      <c r="D56" s="68">
        <f t="shared" si="1"/>
        <v>0.000001971906625</v>
      </c>
      <c r="E56" s="68">
        <f>SUMIF(Pivot_Data!A:A,$A56,Pivot_Data!J:J)/$C56</f>
        <v>0</v>
      </c>
      <c r="F56" s="68">
        <f>SUMIF(Pivot_Data!A:A,$A56,Pivot_Data!I:I)/$C56</f>
        <v>0</v>
      </c>
      <c r="G56" s="68">
        <f t="shared" si="2"/>
        <v>0</v>
      </c>
      <c r="H56" s="68" t="str">
        <f>iferror(VLOOKUP(A56,COFA!A:B,2,False),0)</f>
        <v>N/A</v>
      </c>
      <c r="I56" s="69">
        <f t="shared" si="3"/>
        <v>0</v>
      </c>
      <c r="J56" s="19">
        <f>SUMIFS(Pivot_Data!H:H, Pivot_Data!A:A,$A56,Pivot_Data!B:B,"undeployed")</f>
        <v>0</v>
      </c>
      <c r="K56" s="68">
        <f t="shared" si="4"/>
        <v>0</v>
      </c>
      <c r="L56" s="70">
        <f t="shared" si="5"/>
        <v>0</v>
      </c>
      <c r="N56" s="38">
        <f t="shared" si="6"/>
        <v>0</v>
      </c>
      <c r="O56" s="66" t="str">
        <f t="shared" si="7"/>
        <v>#VALUE!</v>
      </c>
      <c r="P56" s="66" t="str">
        <f t="shared" si="8"/>
        <v>#VALUE!</v>
      </c>
      <c r="Q56" s="38">
        <f t="shared" si="9"/>
        <v>0</v>
      </c>
      <c r="R56" s="38">
        <f t="shared" si="10"/>
        <v>0</v>
      </c>
      <c r="S56" s="39">
        <f t="shared" si="11"/>
        <v>0</v>
      </c>
    </row>
    <row r="57">
      <c r="A57" s="66" t="s">
        <v>108</v>
      </c>
      <c r="B57" s="67">
        <f>SUMIF(Pivot_Data!A:A,$A57,Pivot_Data!E:E)</f>
        <v>28064.87165</v>
      </c>
      <c r="C57" s="19">
        <f>SUMIF(Pivot_Data!A:A,$A57,Pivot_Data!H:H)</f>
        <v>31432.65625</v>
      </c>
      <c r="D57" s="68">
        <f t="shared" si="1"/>
        <v>0.000001472600286</v>
      </c>
      <c r="E57" s="68">
        <f>SUMIF(Pivot_Data!A:A,$A57,Pivot_Data!J:J)/$C57</f>
        <v>0</v>
      </c>
      <c r="F57" s="68">
        <f>SUMIF(Pivot_Data!A:A,$A57,Pivot_Data!I:I)/$C57</f>
        <v>0</v>
      </c>
      <c r="G57" s="68">
        <f t="shared" si="2"/>
        <v>0</v>
      </c>
      <c r="H57" s="68" t="str">
        <f>iferror(VLOOKUP(A57,COFA!A:B,2,False),0)</f>
        <v>N/A</v>
      </c>
      <c r="I57" s="69">
        <f t="shared" si="3"/>
        <v>0</v>
      </c>
      <c r="J57" s="19">
        <f>SUMIFS(Pivot_Data!H:H, Pivot_Data!A:A,$A57,Pivot_Data!B:B,"undeployed")</f>
        <v>0</v>
      </c>
      <c r="K57" s="68">
        <f t="shared" si="4"/>
        <v>0</v>
      </c>
      <c r="L57" s="70">
        <f t="shared" si="5"/>
        <v>0</v>
      </c>
      <c r="N57" s="38">
        <f t="shared" si="6"/>
        <v>0</v>
      </c>
      <c r="O57" s="66" t="str">
        <f t="shared" si="7"/>
        <v>#VALUE!</v>
      </c>
      <c r="P57" s="66" t="str">
        <f t="shared" si="8"/>
        <v>#VALUE!</v>
      </c>
      <c r="Q57" s="38">
        <f t="shared" si="9"/>
        <v>0</v>
      </c>
      <c r="R57" s="38">
        <f t="shared" si="10"/>
        <v>0</v>
      </c>
      <c r="S57" s="39">
        <f t="shared" si="11"/>
        <v>0</v>
      </c>
    </row>
    <row r="58">
      <c r="A58" s="66" t="s">
        <v>109</v>
      </c>
      <c r="B58" s="67">
        <f>SUMIF(Pivot_Data!A:A,$A58,Pivot_Data!E:E)</f>
        <v>11.87823651</v>
      </c>
      <c r="C58" s="19">
        <f>SUMIF(Pivot_Data!A:A,$A58,Pivot_Data!H:H)</f>
        <v>27254.37747</v>
      </c>
      <c r="D58" s="68">
        <f t="shared" si="1"/>
        <v>0.000001276850539</v>
      </c>
      <c r="E58" s="68">
        <f>SUMIF(Pivot_Data!A:A,$A58,Pivot_Data!J:J)/$C58</f>
        <v>0</v>
      </c>
      <c r="F58" s="68">
        <f>SUMIF(Pivot_Data!A:A,$A58,Pivot_Data!I:I)/$C58</f>
        <v>0</v>
      </c>
      <c r="G58" s="68">
        <f t="shared" si="2"/>
        <v>0</v>
      </c>
      <c r="H58" s="68" t="str">
        <f>iferror(VLOOKUP(A58,COFA!A:B,2,False),0)</f>
        <v>N/A</v>
      </c>
      <c r="I58" s="69">
        <f t="shared" si="3"/>
        <v>11.87371194</v>
      </c>
      <c r="J58" s="19">
        <f>SUMIFS(Pivot_Data!H:H, Pivot_Data!A:A,$A58,Pivot_Data!B:B,"undeployed")</f>
        <v>27243.99593</v>
      </c>
      <c r="K58" s="68">
        <f t="shared" si="4"/>
        <v>0.9996190872</v>
      </c>
      <c r="L58" s="70">
        <f t="shared" si="5"/>
        <v>0.00001082875311</v>
      </c>
      <c r="N58" s="38">
        <f t="shared" si="6"/>
        <v>0</v>
      </c>
      <c r="O58" s="66" t="str">
        <f t="shared" si="7"/>
        <v>#VALUE!</v>
      </c>
      <c r="P58" s="66" t="str">
        <f t="shared" si="8"/>
        <v>#VALUE!</v>
      </c>
      <c r="Q58" s="38">
        <f t="shared" si="9"/>
        <v>0</v>
      </c>
      <c r="R58" s="38">
        <f t="shared" si="10"/>
        <v>0</v>
      </c>
      <c r="S58" s="39">
        <f t="shared" si="11"/>
        <v>0</v>
      </c>
    </row>
    <row r="59">
      <c r="A59" s="66" t="s">
        <v>110</v>
      </c>
      <c r="B59" s="67">
        <f>SUMIF(Pivot_Data!A:A,$A59,Pivot_Data!E:E)</f>
        <v>186214.4927</v>
      </c>
      <c r="C59" s="19">
        <f>SUMIF(Pivot_Data!A:A,$A59,Pivot_Data!H:H)</f>
        <v>15917.73237</v>
      </c>
      <c r="D59" s="68">
        <f t="shared" si="1"/>
        <v>0.000000745735806</v>
      </c>
      <c r="E59" s="68">
        <f>SUMIF(Pivot_Data!A:A,$A59,Pivot_Data!J:J)/$C59</f>
        <v>0</v>
      </c>
      <c r="F59" s="68">
        <f>SUMIF(Pivot_Data!A:A,$A59,Pivot_Data!I:I)/$C59</f>
        <v>0</v>
      </c>
      <c r="G59" s="68">
        <f t="shared" si="2"/>
        <v>0</v>
      </c>
      <c r="H59" s="68">
        <f>iferror(VLOOKUP(A59,COFA!A:B,2,False),0)</f>
        <v>0</v>
      </c>
      <c r="I59" s="69">
        <f t="shared" si="3"/>
        <v>186214.4927</v>
      </c>
      <c r="J59" s="19">
        <f>SUMIFS(Pivot_Data!H:H, Pivot_Data!A:A,$A59,Pivot_Data!B:B,"undeployed")</f>
        <v>15917.73237</v>
      </c>
      <c r="K59" s="68">
        <f t="shared" si="4"/>
        <v>1</v>
      </c>
      <c r="L59" s="70">
        <f t="shared" si="5"/>
        <v>0.000006326869023</v>
      </c>
      <c r="N59" s="38">
        <f t="shared" si="6"/>
        <v>0</v>
      </c>
      <c r="O59" s="38">
        <f t="shared" si="7"/>
        <v>0</v>
      </c>
      <c r="P59" s="38">
        <f t="shared" si="8"/>
        <v>0</v>
      </c>
      <c r="Q59" s="38">
        <f t="shared" si="9"/>
        <v>0</v>
      </c>
      <c r="R59" s="38">
        <f t="shared" si="10"/>
        <v>0</v>
      </c>
      <c r="S59" s="39">
        <f t="shared" si="11"/>
        <v>0</v>
      </c>
    </row>
    <row r="60">
      <c r="A60" s="66" t="s">
        <v>111</v>
      </c>
      <c r="B60" s="67">
        <f>SUMIF(Pivot_Data!A:A,$A60,Pivot_Data!E:E)</f>
        <v>48602.39536</v>
      </c>
      <c r="C60" s="19">
        <f>SUMIF(Pivot_Data!A:A,$A60,Pivot_Data!H:H)</f>
        <v>4707.176766</v>
      </c>
      <c r="D60" s="68">
        <f t="shared" si="1"/>
        <v>0.0000002205282874</v>
      </c>
      <c r="E60" s="68">
        <f>SUMIF(Pivot_Data!A:A,$A60,Pivot_Data!J:J)/$C60</f>
        <v>0</v>
      </c>
      <c r="F60" s="68">
        <f>SUMIF(Pivot_Data!A:A,$A60,Pivot_Data!I:I)/$C60</f>
        <v>0</v>
      </c>
      <c r="G60" s="68">
        <f t="shared" si="2"/>
        <v>0</v>
      </c>
      <c r="H60" s="68" t="str">
        <f>iferror(VLOOKUP(A60,COFA!A:B,2,False),0)</f>
        <v>N/A</v>
      </c>
      <c r="I60" s="69">
        <f t="shared" si="3"/>
        <v>24004.58859</v>
      </c>
      <c r="J60" s="19">
        <f>SUMIFS(Pivot_Data!H:H, Pivot_Data!A:A,$A60,Pivot_Data!B:B,"undeployed")</f>
        <v>2324.86158</v>
      </c>
      <c r="K60" s="68">
        <f t="shared" si="4"/>
        <v>0.4938972331</v>
      </c>
      <c r="L60" s="70">
        <f t="shared" si="5"/>
        <v>0.0000009240697337</v>
      </c>
      <c r="N60" s="38">
        <f t="shared" si="6"/>
        <v>0</v>
      </c>
      <c r="O60" s="66" t="str">
        <f t="shared" si="7"/>
        <v>#VALUE!</v>
      </c>
      <c r="P60" s="66" t="str">
        <f t="shared" si="8"/>
        <v>#VALUE!</v>
      </c>
      <c r="Q60" s="38">
        <f t="shared" si="9"/>
        <v>0</v>
      </c>
      <c r="R60" s="38">
        <f t="shared" si="10"/>
        <v>0</v>
      </c>
      <c r="S60" s="39">
        <f t="shared" si="11"/>
        <v>0</v>
      </c>
    </row>
    <row r="61">
      <c r="A61" s="66" t="s">
        <v>112</v>
      </c>
      <c r="B61" s="67">
        <f>SUMIF(Pivot_Data!A:A,$A61,Pivot_Data!E:E)</f>
        <v>4689.634053</v>
      </c>
      <c r="C61" s="19">
        <f>SUMIF(Pivot_Data!A:A,$A61,Pivot_Data!H:H)</f>
        <v>4261.359989</v>
      </c>
      <c r="D61" s="68">
        <f t="shared" si="1"/>
        <v>0.0000001996420503</v>
      </c>
      <c r="E61" s="68">
        <f>SUMIF(Pivot_Data!A:A,$A61,Pivot_Data!J:J)/$C61</f>
        <v>0</v>
      </c>
      <c r="F61" s="68">
        <f>SUMIF(Pivot_Data!A:A,$A61,Pivot_Data!I:I)/$C61</f>
        <v>0</v>
      </c>
      <c r="G61" s="68">
        <f t="shared" si="2"/>
        <v>0</v>
      </c>
      <c r="H61" s="68" t="str">
        <f>iferror(VLOOKUP(A61,COFA!A:B,2,False),0)</f>
        <v>N/A</v>
      </c>
      <c r="I61" s="69">
        <f t="shared" si="3"/>
        <v>4659.03711</v>
      </c>
      <c r="J61" s="19">
        <f>SUMIFS(Pivot_Data!H:H, Pivot_Data!A:A,$A61,Pivot_Data!B:B,"undeployed")</f>
        <v>4233.557268</v>
      </c>
      <c r="K61" s="68">
        <f t="shared" si="4"/>
        <v>0.9934756225</v>
      </c>
      <c r="L61" s="70">
        <f t="shared" si="5"/>
        <v>0.000001682724757</v>
      </c>
      <c r="N61" s="38">
        <f t="shared" si="6"/>
        <v>0</v>
      </c>
      <c r="O61" s="66" t="str">
        <f t="shared" si="7"/>
        <v>#VALUE!</v>
      </c>
      <c r="P61" s="66" t="str">
        <f t="shared" si="8"/>
        <v>#VALUE!</v>
      </c>
      <c r="Q61" s="38">
        <f t="shared" si="9"/>
        <v>0</v>
      </c>
      <c r="R61" s="38">
        <f t="shared" si="10"/>
        <v>0</v>
      </c>
      <c r="S61" s="39">
        <f t="shared" si="11"/>
        <v>0</v>
      </c>
    </row>
    <row r="62">
      <c r="A62" s="66" t="s">
        <v>113</v>
      </c>
      <c r="B62" s="67">
        <f>SUMIF(Pivot_Data!A:A,$A62,Pivot_Data!E:E)</f>
        <v>273.8501463</v>
      </c>
      <c r="C62" s="19">
        <f>SUMIF(Pivot_Data!A:A,$A62,Pivot_Data!H:H)</f>
        <v>4124.183204</v>
      </c>
      <c r="D62" s="68">
        <f t="shared" si="1"/>
        <v>0.0000001932154037</v>
      </c>
      <c r="E62" s="68">
        <f>SUMIF(Pivot_Data!A:A,$A62,Pivot_Data!J:J)/$C62</f>
        <v>0</v>
      </c>
      <c r="F62" s="68">
        <f>SUMIF(Pivot_Data!A:A,$A62,Pivot_Data!I:I)/$C62</f>
        <v>0</v>
      </c>
      <c r="G62" s="68">
        <f t="shared" si="2"/>
        <v>0</v>
      </c>
      <c r="H62" s="68" t="str">
        <f>iferror(VLOOKUP(A62,COFA!A:B,2,False),0)</f>
        <v>N/A</v>
      </c>
      <c r="I62" s="69">
        <f t="shared" si="3"/>
        <v>0.24452292</v>
      </c>
      <c r="J62" s="19">
        <f>SUMIFS(Pivot_Data!H:H, Pivot_Data!A:A,$A62,Pivot_Data!B:B,"undeployed")</f>
        <v>3.682515175</v>
      </c>
      <c r="K62" s="68">
        <f t="shared" si="4"/>
        <v>0.0008929077573</v>
      </c>
      <c r="L62" s="70">
        <f t="shared" si="5"/>
        <v>0.000000001463700397</v>
      </c>
      <c r="N62" s="38">
        <f t="shared" si="6"/>
        <v>0</v>
      </c>
      <c r="O62" s="66" t="str">
        <f t="shared" si="7"/>
        <v>#VALUE!</v>
      </c>
      <c r="P62" s="66" t="str">
        <f t="shared" si="8"/>
        <v>#VALUE!</v>
      </c>
      <c r="Q62" s="38">
        <f t="shared" si="9"/>
        <v>0</v>
      </c>
      <c r="R62" s="38">
        <f t="shared" si="10"/>
        <v>0</v>
      </c>
      <c r="S62" s="39">
        <f t="shared" si="11"/>
        <v>0</v>
      </c>
    </row>
    <row r="63">
      <c r="A63" s="66" t="s">
        <v>114</v>
      </c>
      <c r="B63" s="67">
        <f>SUMIF(Pivot_Data!A:A,$A63,Pivot_Data!E:E)</f>
        <v>740.7702448</v>
      </c>
      <c r="C63" s="19">
        <f>SUMIF(Pivot_Data!A:A,$A63,Pivot_Data!H:H)</f>
        <v>302.59893</v>
      </c>
      <c r="D63" s="68">
        <f t="shared" si="1"/>
        <v>0.00000001417657061</v>
      </c>
      <c r="E63" s="68">
        <f>SUMIF(Pivot_Data!A:A,$A63,Pivot_Data!J:J)/$C63</f>
        <v>0</v>
      </c>
      <c r="F63" s="68">
        <f>SUMIF(Pivot_Data!A:A,$A63,Pivot_Data!I:I)/$C63</f>
        <v>0</v>
      </c>
      <c r="G63" s="68">
        <f t="shared" si="2"/>
        <v>0</v>
      </c>
      <c r="H63" s="68" t="str">
        <f>iferror(VLOOKUP(A63,COFA!A:B,2,False),0)</f>
        <v>N/A</v>
      </c>
      <c r="I63" s="69">
        <f t="shared" si="3"/>
        <v>0</v>
      </c>
      <c r="J63" s="19">
        <f>SUMIFS(Pivot_Data!H:H, Pivot_Data!A:A,$A63,Pivot_Data!B:B,"undeployed")</f>
        <v>0</v>
      </c>
      <c r="K63" s="68">
        <f t="shared" si="4"/>
        <v>0</v>
      </c>
      <c r="L63" s="70">
        <f t="shared" si="5"/>
        <v>0</v>
      </c>
      <c r="N63" s="38">
        <f t="shared" si="6"/>
        <v>0</v>
      </c>
      <c r="O63" s="66" t="str">
        <f t="shared" si="7"/>
        <v>#VALUE!</v>
      </c>
      <c r="P63" s="66" t="str">
        <f t="shared" si="8"/>
        <v>#VALUE!</v>
      </c>
      <c r="Q63" s="38">
        <f t="shared" si="9"/>
        <v>0</v>
      </c>
      <c r="R63" s="38">
        <f t="shared" si="10"/>
        <v>0</v>
      </c>
      <c r="S63" s="39">
        <f t="shared" si="11"/>
        <v>0</v>
      </c>
    </row>
    <row r="64">
      <c r="A64" s="66" t="s">
        <v>115</v>
      </c>
      <c r="B64" s="67">
        <f>SUMIF(Pivot_Data!A:A,$A64,Pivot_Data!E:E)</f>
        <v>92.04084298</v>
      </c>
      <c r="C64" s="19">
        <f>SUMIF(Pivot_Data!A:A,$A64,Pivot_Data!H:H)</f>
        <v>111.7968254</v>
      </c>
      <c r="D64" s="68">
        <f t="shared" si="1"/>
        <v>0.000000005237611346</v>
      </c>
      <c r="E64" s="68">
        <f>SUMIF(Pivot_Data!A:A,$A64,Pivot_Data!J:J)/$C64</f>
        <v>0</v>
      </c>
      <c r="F64" s="68">
        <f>SUMIF(Pivot_Data!A:A,$A64,Pivot_Data!I:I)/$C64</f>
        <v>0</v>
      </c>
      <c r="G64" s="68">
        <f t="shared" si="2"/>
        <v>0</v>
      </c>
      <c r="H64" s="68">
        <f>iferror(VLOOKUP(A64,COFA!A:B,2,False),0)</f>
        <v>0</v>
      </c>
      <c r="I64" s="69">
        <f t="shared" si="3"/>
        <v>92.04084298</v>
      </c>
      <c r="J64" s="19">
        <f>SUMIFS(Pivot_Data!H:H, Pivot_Data!A:A,$A64,Pivot_Data!B:B,"undeployed")</f>
        <v>111.7968254</v>
      </c>
      <c r="K64" s="68">
        <f t="shared" si="4"/>
        <v>1</v>
      </c>
      <c r="L64" s="70">
        <f t="shared" si="5"/>
        <v>0.00000004443622086</v>
      </c>
      <c r="N64" s="38">
        <f t="shared" si="6"/>
        <v>0</v>
      </c>
      <c r="O64" s="38">
        <f t="shared" si="7"/>
        <v>0</v>
      </c>
      <c r="P64" s="38">
        <f t="shared" si="8"/>
        <v>0</v>
      </c>
      <c r="Q64" s="38">
        <f t="shared" si="9"/>
        <v>0</v>
      </c>
      <c r="R64" s="38">
        <f t="shared" si="10"/>
        <v>0</v>
      </c>
      <c r="S64" s="39">
        <f t="shared" si="11"/>
        <v>0</v>
      </c>
    </row>
    <row r="65">
      <c r="A65" s="66" t="s">
        <v>116</v>
      </c>
      <c r="B65" s="67">
        <f>SUMIF(Pivot_Data!A:A,$A65,Pivot_Data!E:E)</f>
        <v>0.70342021</v>
      </c>
      <c r="C65" s="19">
        <f>SUMIF(Pivot_Data!A:A,$A65,Pivot_Data!H:H)</f>
        <v>101.5339148</v>
      </c>
      <c r="D65" s="68">
        <f t="shared" si="1"/>
        <v>0.000000004756800403</v>
      </c>
      <c r="E65" s="68">
        <f>SUMIF(Pivot_Data!A:A,$A65,Pivot_Data!J:J)/$C65</f>
        <v>0</v>
      </c>
      <c r="F65" s="68">
        <f>SUMIF(Pivot_Data!A:A,$A65,Pivot_Data!I:I)/$C65</f>
        <v>0</v>
      </c>
      <c r="G65" s="68">
        <f t="shared" si="2"/>
        <v>0</v>
      </c>
      <c r="H65" s="68" t="str">
        <f>iferror(VLOOKUP(A65,COFA!A:B,2,False),0)</f>
        <v>N/A</v>
      </c>
      <c r="I65" s="69">
        <f t="shared" si="3"/>
        <v>0.70342021</v>
      </c>
      <c r="J65" s="19">
        <f>SUMIFS(Pivot_Data!H:H, Pivot_Data!A:A,$A65,Pivot_Data!B:B,"undeployed")</f>
        <v>101.5339148</v>
      </c>
      <c r="K65" s="68">
        <f t="shared" si="4"/>
        <v>1</v>
      </c>
      <c r="L65" s="70">
        <f t="shared" si="5"/>
        <v>0.00000004035699088</v>
      </c>
      <c r="N65" s="38">
        <f t="shared" si="6"/>
        <v>0</v>
      </c>
      <c r="O65" s="66" t="str">
        <f t="shared" si="7"/>
        <v>#VALUE!</v>
      </c>
      <c r="P65" s="66" t="str">
        <f t="shared" si="8"/>
        <v>#VALUE!</v>
      </c>
      <c r="Q65" s="38">
        <f t="shared" si="9"/>
        <v>0</v>
      </c>
      <c r="R65" s="38">
        <f t="shared" si="10"/>
        <v>0</v>
      </c>
      <c r="S65" s="39">
        <f t="shared" si="11"/>
        <v>0</v>
      </c>
    </row>
    <row r="66">
      <c r="A66" s="66" t="s">
        <v>117</v>
      </c>
      <c r="B66" s="67">
        <f>SUMIF(Pivot_Data!A:A,$A66,Pivot_Data!E:E)</f>
        <v>12.86675658</v>
      </c>
      <c r="C66" s="19">
        <f>SUMIF(Pivot_Data!A:A,$A66,Pivot_Data!H:H)</f>
        <v>69.09448283</v>
      </c>
      <c r="D66" s="68">
        <f t="shared" si="1"/>
        <v>0.000000003237033306</v>
      </c>
      <c r="E66" s="68">
        <f>SUMIF(Pivot_Data!A:A,$A66,Pivot_Data!J:J)/$C66</f>
        <v>0</v>
      </c>
      <c r="F66" s="68">
        <f>SUMIF(Pivot_Data!A:A,$A66,Pivot_Data!I:I)/$C66</f>
        <v>0</v>
      </c>
      <c r="G66" s="68">
        <f t="shared" si="2"/>
        <v>0</v>
      </c>
      <c r="H66" s="68" t="str">
        <f>iferror(VLOOKUP(A66,COFA!A:B,2,False),0)</f>
        <v>N/A</v>
      </c>
      <c r="I66" s="69">
        <f t="shared" si="3"/>
        <v>0</v>
      </c>
      <c r="J66" s="19">
        <f>SUMIFS(Pivot_Data!H:H, Pivot_Data!A:A,$A66,Pivot_Data!B:B,"undeployed")</f>
        <v>0</v>
      </c>
      <c r="K66" s="68">
        <f t="shared" si="4"/>
        <v>0</v>
      </c>
      <c r="L66" s="70">
        <f t="shared" si="5"/>
        <v>0</v>
      </c>
      <c r="N66" s="38">
        <f t="shared" si="6"/>
        <v>0</v>
      </c>
      <c r="O66" s="66" t="str">
        <f t="shared" si="7"/>
        <v>#VALUE!</v>
      </c>
      <c r="P66" s="66" t="str">
        <f t="shared" si="8"/>
        <v>#VALUE!</v>
      </c>
      <c r="Q66" s="38">
        <f t="shared" si="9"/>
        <v>0</v>
      </c>
      <c r="R66" s="38">
        <f t="shared" si="10"/>
        <v>0</v>
      </c>
      <c r="S66" s="39">
        <f t="shared" si="11"/>
        <v>0</v>
      </c>
    </row>
    <row r="67">
      <c r="B67" s="72"/>
      <c r="I67" s="73"/>
      <c r="K67" s="39"/>
      <c r="R67" s="38">
        <f>sum(R2:R66)</f>
        <v>-1522742.759</v>
      </c>
      <c r="S67" s="39" t="str">
        <f t="shared" si="11"/>
        <v/>
      </c>
    </row>
    <row r="68">
      <c r="B68" s="72"/>
      <c r="I68" s="73"/>
      <c r="K68" s="39"/>
    </row>
    <row r="69">
      <c r="A69" s="58" t="s">
        <v>118</v>
      </c>
      <c r="B69" s="72"/>
      <c r="C69" s="38">
        <f>SUM(C2:C66)</f>
        <v>21345002136</v>
      </c>
      <c r="D69" s="68">
        <f>SUM(D2:D67)</f>
        <v>1</v>
      </c>
      <c r="E69" s="68">
        <f>SUMPRODUCT($C2:$C67,E2:E67)/$C69</f>
        <v>0.03359926394</v>
      </c>
      <c r="F69" s="68"/>
      <c r="G69" s="68"/>
      <c r="H69" s="68">
        <f>SUMPRODUCT($C2:$C67,H2:H67)/$C69</f>
        <v>0.04418348989</v>
      </c>
      <c r="I69" s="73"/>
      <c r="J69" s="39">
        <f>E69-H69</f>
        <v>-0.01058422595</v>
      </c>
      <c r="K69" s="39"/>
    </row>
    <row r="70">
      <c r="B70" s="72"/>
      <c r="I70" s="73"/>
      <c r="K70" s="39"/>
    </row>
    <row r="71">
      <c r="B71" s="72"/>
      <c r="I71" s="73"/>
      <c r="K71" s="39"/>
    </row>
    <row r="72">
      <c r="B72" s="72"/>
      <c r="I72" s="73"/>
      <c r="K72" s="39"/>
    </row>
    <row r="73">
      <c r="B73" s="72"/>
      <c r="I73" s="73"/>
      <c r="K73" s="39"/>
    </row>
    <row r="74">
      <c r="B74" s="72"/>
      <c r="I74" s="73"/>
      <c r="K74" s="39"/>
    </row>
    <row r="75">
      <c r="B75" s="72"/>
      <c r="I75" s="73"/>
      <c r="K75" s="39"/>
    </row>
    <row r="76">
      <c r="B76" s="72"/>
      <c r="I76" s="73"/>
      <c r="K76" s="39"/>
    </row>
    <row r="77">
      <c r="B77" s="72"/>
      <c r="I77" s="73"/>
      <c r="K77" s="39"/>
    </row>
    <row r="78">
      <c r="B78" s="72"/>
      <c r="I78" s="73"/>
      <c r="K78" s="39"/>
    </row>
    <row r="79">
      <c r="B79" s="72"/>
      <c r="I79" s="73"/>
      <c r="K79" s="39"/>
    </row>
    <row r="80">
      <c r="B80" s="72"/>
      <c r="I80" s="73"/>
      <c r="K80" s="39"/>
    </row>
    <row r="81">
      <c r="B81" s="72"/>
      <c r="I81" s="73"/>
      <c r="K81" s="39"/>
    </row>
    <row r="82">
      <c r="B82" s="72"/>
      <c r="I82" s="73"/>
      <c r="K82" s="39"/>
    </row>
    <row r="83">
      <c r="B83" s="72"/>
      <c r="I83" s="73"/>
      <c r="K83" s="39"/>
    </row>
    <row r="84">
      <c r="B84" s="72"/>
      <c r="I84" s="73"/>
      <c r="K84" s="39"/>
    </row>
    <row r="85">
      <c r="B85" s="72"/>
      <c r="I85" s="73"/>
      <c r="K85" s="39"/>
    </row>
    <row r="86">
      <c r="B86" s="72"/>
      <c r="I86" s="73"/>
      <c r="K86" s="39"/>
    </row>
    <row r="87">
      <c r="B87" s="72"/>
      <c r="I87" s="73"/>
      <c r="K87" s="39"/>
    </row>
    <row r="88">
      <c r="B88" s="72"/>
      <c r="I88" s="73"/>
      <c r="K88" s="39"/>
    </row>
    <row r="89">
      <c r="B89" s="72"/>
      <c r="I89" s="73"/>
      <c r="K89" s="39"/>
    </row>
    <row r="90">
      <c r="B90" s="72"/>
      <c r="I90" s="73"/>
      <c r="K90" s="39"/>
    </row>
    <row r="91">
      <c r="B91" s="72"/>
      <c r="I91" s="73"/>
      <c r="K91" s="39"/>
    </row>
    <row r="92">
      <c r="B92" s="72"/>
      <c r="I92" s="73"/>
      <c r="K92" s="39"/>
    </row>
    <row r="93">
      <c r="B93" s="72"/>
      <c r="I93" s="73"/>
      <c r="K93" s="39"/>
    </row>
    <row r="94">
      <c r="B94" s="72"/>
      <c r="I94" s="73"/>
      <c r="K94" s="39"/>
    </row>
    <row r="95">
      <c r="B95" s="72"/>
      <c r="I95" s="73"/>
      <c r="K95" s="39"/>
    </row>
    <row r="96">
      <c r="B96" s="72"/>
      <c r="I96" s="73"/>
      <c r="K96" s="39"/>
    </row>
    <row r="97">
      <c r="B97" s="72"/>
      <c r="I97" s="73"/>
      <c r="K97" s="39"/>
    </row>
    <row r="98">
      <c r="B98" s="72"/>
      <c r="I98" s="73"/>
      <c r="K98" s="39"/>
    </row>
    <row r="99">
      <c r="B99" s="72"/>
      <c r="I99" s="73"/>
      <c r="K99" s="39"/>
    </row>
    <row r="100">
      <c r="B100" s="72"/>
      <c r="I100" s="73"/>
      <c r="K100" s="39"/>
    </row>
    <row r="101">
      <c r="B101" s="72"/>
      <c r="I101" s="73"/>
      <c r="K101" s="39"/>
    </row>
    <row r="102">
      <c r="B102" s="72"/>
      <c r="I102" s="73"/>
      <c r="K102" s="39"/>
    </row>
    <row r="103">
      <c r="B103" s="72"/>
      <c r="I103" s="73"/>
      <c r="K103" s="39"/>
    </row>
    <row r="104">
      <c r="B104" s="72"/>
      <c r="I104" s="73"/>
      <c r="K104" s="39"/>
    </row>
    <row r="105">
      <c r="B105" s="72"/>
      <c r="I105" s="73"/>
      <c r="K105" s="39"/>
    </row>
    <row r="106">
      <c r="B106" s="72"/>
      <c r="I106" s="73"/>
      <c r="K106" s="39"/>
    </row>
    <row r="107">
      <c r="B107" s="72"/>
      <c r="I107" s="73"/>
      <c r="K107" s="39"/>
    </row>
    <row r="108">
      <c r="B108" s="72"/>
      <c r="I108" s="73"/>
      <c r="K108" s="39"/>
    </row>
    <row r="109">
      <c r="B109" s="72"/>
      <c r="I109" s="73"/>
      <c r="K109" s="39"/>
    </row>
    <row r="110">
      <c r="B110" s="72"/>
      <c r="I110" s="73"/>
      <c r="K110" s="39"/>
    </row>
    <row r="111">
      <c r="B111" s="72"/>
      <c r="I111" s="73"/>
      <c r="K111" s="39"/>
    </row>
    <row r="112">
      <c r="B112" s="72"/>
      <c r="I112" s="73"/>
      <c r="K112" s="39"/>
    </row>
    <row r="113">
      <c r="B113" s="72"/>
      <c r="I113" s="73"/>
      <c r="K113" s="39"/>
    </row>
    <row r="114">
      <c r="B114" s="72"/>
      <c r="I114" s="73"/>
      <c r="K114" s="39"/>
    </row>
    <row r="115">
      <c r="B115" s="72"/>
      <c r="I115" s="73"/>
      <c r="K115" s="39"/>
    </row>
    <row r="116">
      <c r="B116" s="72"/>
      <c r="I116" s="73"/>
      <c r="K116" s="39"/>
    </row>
    <row r="117">
      <c r="B117" s="72"/>
      <c r="I117" s="73"/>
      <c r="K117" s="39"/>
    </row>
    <row r="118">
      <c r="B118" s="72"/>
      <c r="I118" s="73"/>
      <c r="K118" s="39"/>
    </row>
    <row r="119">
      <c r="B119" s="72"/>
      <c r="I119" s="73"/>
      <c r="K119" s="39"/>
    </row>
    <row r="120">
      <c r="B120" s="72"/>
      <c r="I120" s="73"/>
      <c r="K120" s="39"/>
    </row>
    <row r="121">
      <c r="B121" s="72"/>
      <c r="I121" s="73"/>
      <c r="K121" s="39"/>
    </row>
    <row r="122">
      <c r="B122" s="72"/>
      <c r="I122" s="73"/>
      <c r="K122" s="39"/>
    </row>
    <row r="123">
      <c r="B123" s="72"/>
      <c r="I123" s="73"/>
      <c r="K123" s="39"/>
    </row>
    <row r="124">
      <c r="B124" s="72"/>
      <c r="I124" s="73"/>
      <c r="K124" s="39"/>
    </row>
    <row r="125">
      <c r="B125" s="72"/>
      <c r="I125" s="73"/>
      <c r="K125" s="39"/>
    </row>
    <row r="126">
      <c r="B126" s="72"/>
      <c r="I126" s="73"/>
      <c r="K126" s="39"/>
    </row>
    <row r="127">
      <c r="B127" s="72"/>
      <c r="I127" s="73"/>
      <c r="K127" s="39"/>
    </row>
    <row r="128">
      <c r="B128" s="72"/>
      <c r="I128" s="73"/>
      <c r="K128" s="39"/>
    </row>
    <row r="129">
      <c r="B129" s="72"/>
      <c r="I129" s="73"/>
      <c r="K129" s="39"/>
    </row>
    <row r="130">
      <c r="B130" s="72"/>
      <c r="I130" s="73"/>
      <c r="K130" s="39"/>
    </row>
    <row r="131">
      <c r="B131" s="72"/>
      <c r="I131" s="73"/>
      <c r="K131" s="39"/>
    </row>
    <row r="132">
      <c r="B132" s="72"/>
      <c r="I132" s="73"/>
      <c r="K132" s="39"/>
    </row>
    <row r="133">
      <c r="B133" s="72"/>
      <c r="I133" s="73"/>
      <c r="K133" s="39"/>
    </row>
    <row r="134">
      <c r="B134" s="72"/>
      <c r="I134" s="73"/>
      <c r="K134" s="39"/>
    </row>
    <row r="135">
      <c r="B135" s="72"/>
      <c r="I135" s="73"/>
      <c r="K135" s="39"/>
    </row>
    <row r="136">
      <c r="B136" s="72"/>
      <c r="I136" s="73"/>
      <c r="K136" s="39"/>
    </row>
    <row r="137">
      <c r="B137" s="72"/>
      <c r="I137" s="73"/>
      <c r="K137" s="39"/>
    </row>
    <row r="138">
      <c r="B138" s="72"/>
      <c r="I138" s="73"/>
      <c r="K138" s="39"/>
    </row>
    <row r="139">
      <c r="B139" s="72"/>
      <c r="I139" s="73"/>
      <c r="K139" s="39"/>
    </row>
    <row r="140">
      <c r="B140" s="72"/>
      <c r="I140" s="73"/>
      <c r="K140" s="39"/>
    </row>
    <row r="141">
      <c r="B141" s="72"/>
      <c r="I141" s="73"/>
      <c r="K141" s="39"/>
    </row>
    <row r="142">
      <c r="B142" s="72"/>
      <c r="I142" s="73"/>
      <c r="K142" s="39"/>
    </row>
    <row r="143">
      <c r="B143" s="72"/>
      <c r="I143" s="73"/>
      <c r="K143" s="39"/>
    </row>
    <row r="144">
      <c r="B144" s="72"/>
      <c r="I144" s="73"/>
      <c r="K144" s="39"/>
    </row>
    <row r="145">
      <c r="B145" s="72"/>
      <c r="I145" s="73"/>
      <c r="K145" s="39"/>
    </row>
    <row r="146">
      <c r="B146" s="72"/>
      <c r="I146" s="73"/>
      <c r="K146" s="39"/>
    </row>
    <row r="147">
      <c r="B147" s="72"/>
      <c r="I147" s="73"/>
      <c r="K147" s="39"/>
    </row>
    <row r="148">
      <c r="B148" s="72"/>
      <c r="I148" s="73"/>
      <c r="K148" s="39"/>
    </row>
    <row r="149">
      <c r="B149" s="72"/>
      <c r="I149" s="73"/>
      <c r="K149" s="39"/>
    </row>
    <row r="150">
      <c r="B150" s="72"/>
      <c r="I150" s="73"/>
      <c r="K150" s="39"/>
    </row>
    <row r="151">
      <c r="B151" s="72"/>
      <c r="I151" s="73"/>
      <c r="K151" s="39"/>
    </row>
    <row r="152">
      <c r="B152" s="72"/>
      <c r="I152" s="73"/>
      <c r="K152" s="39"/>
    </row>
    <row r="153">
      <c r="B153" s="72"/>
      <c r="I153" s="73"/>
      <c r="K153" s="39"/>
    </row>
    <row r="154">
      <c r="B154" s="72"/>
      <c r="I154" s="73"/>
      <c r="K154" s="39"/>
    </row>
    <row r="155">
      <c r="B155" s="72"/>
      <c r="I155" s="73"/>
      <c r="K155" s="39"/>
    </row>
    <row r="156">
      <c r="B156" s="72"/>
      <c r="I156" s="73"/>
      <c r="K156" s="39"/>
    </row>
    <row r="157">
      <c r="B157" s="72"/>
      <c r="I157" s="73"/>
      <c r="K157" s="39"/>
    </row>
    <row r="158">
      <c r="B158" s="72"/>
      <c r="I158" s="73"/>
      <c r="K158" s="39"/>
    </row>
    <row r="159">
      <c r="B159" s="72"/>
      <c r="I159" s="73"/>
      <c r="K159" s="39"/>
    </row>
    <row r="160">
      <c r="B160" s="72"/>
      <c r="I160" s="73"/>
      <c r="K160" s="39"/>
    </row>
    <row r="161">
      <c r="B161" s="72"/>
      <c r="I161" s="73"/>
      <c r="K161" s="39"/>
    </row>
    <row r="162">
      <c r="B162" s="72"/>
      <c r="I162" s="73"/>
      <c r="K162" s="39"/>
    </row>
    <row r="163">
      <c r="B163" s="72"/>
      <c r="I163" s="73"/>
      <c r="K163" s="39"/>
    </row>
    <row r="164">
      <c r="B164" s="72"/>
      <c r="I164" s="73"/>
      <c r="K164" s="39"/>
    </row>
    <row r="165">
      <c r="B165" s="72"/>
      <c r="I165" s="73"/>
      <c r="K165" s="39"/>
    </row>
    <row r="166">
      <c r="B166" s="72"/>
      <c r="I166" s="73"/>
      <c r="K166" s="39"/>
    </row>
    <row r="167">
      <c r="B167" s="72"/>
      <c r="I167" s="73"/>
      <c r="K167" s="39"/>
    </row>
    <row r="168">
      <c r="B168" s="72"/>
      <c r="I168" s="73"/>
      <c r="K168" s="39"/>
    </row>
    <row r="169">
      <c r="B169" s="72"/>
      <c r="I169" s="73"/>
      <c r="K169" s="39"/>
    </row>
    <row r="170">
      <c r="B170" s="72"/>
      <c r="I170" s="73"/>
      <c r="K170" s="39"/>
    </row>
    <row r="171">
      <c r="B171" s="72"/>
      <c r="I171" s="73"/>
      <c r="K171" s="39"/>
    </row>
    <row r="172">
      <c r="B172" s="72"/>
      <c r="I172" s="73"/>
      <c r="K172" s="39"/>
    </row>
    <row r="173">
      <c r="B173" s="72"/>
      <c r="I173" s="73"/>
      <c r="K173" s="39"/>
    </row>
    <row r="174">
      <c r="B174" s="72"/>
      <c r="I174" s="73"/>
      <c r="K174" s="39"/>
    </row>
    <row r="175">
      <c r="B175" s="72"/>
      <c r="I175" s="73"/>
      <c r="K175" s="39"/>
    </row>
    <row r="176">
      <c r="B176" s="72"/>
      <c r="I176" s="73"/>
      <c r="K176" s="39"/>
    </row>
    <row r="177">
      <c r="B177" s="72"/>
      <c r="I177" s="73"/>
      <c r="K177" s="39"/>
    </row>
    <row r="178">
      <c r="B178" s="72"/>
      <c r="I178" s="73"/>
      <c r="K178" s="39"/>
    </row>
    <row r="179">
      <c r="B179" s="72"/>
      <c r="I179" s="73"/>
      <c r="K179" s="39"/>
    </row>
    <row r="180">
      <c r="B180" s="72"/>
      <c r="I180" s="73"/>
      <c r="K180" s="39"/>
    </row>
    <row r="181">
      <c r="B181" s="72"/>
      <c r="I181" s="73"/>
      <c r="K181" s="39"/>
    </row>
    <row r="182">
      <c r="B182" s="72"/>
      <c r="I182" s="73"/>
      <c r="K182" s="39"/>
    </row>
    <row r="183">
      <c r="B183" s="72"/>
      <c r="I183" s="73"/>
      <c r="K183" s="39"/>
    </row>
    <row r="184">
      <c r="B184" s="72"/>
      <c r="I184" s="73"/>
      <c r="K184" s="39"/>
    </row>
    <row r="185">
      <c r="B185" s="72"/>
      <c r="I185" s="73"/>
      <c r="K185" s="39"/>
    </row>
    <row r="186">
      <c r="B186" s="72"/>
      <c r="I186" s="73"/>
      <c r="K186" s="39"/>
    </row>
    <row r="187">
      <c r="B187" s="72"/>
      <c r="I187" s="73"/>
      <c r="K187" s="39"/>
    </row>
    <row r="188">
      <c r="B188" s="72"/>
      <c r="I188" s="73"/>
      <c r="K188" s="39"/>
    </row>
    <row r="189">
      <c r="B189" s="72"/>
      <c r="I189" s="73"/>
      <c r="K189" s="39"/>
    </row>
    <row r="190">
      <c r="B190" s="72"/>
      <c r="I190" s="73"/>
      <c r="K190" s="39"/>
    </row>
    <row r="191">
      <c r="B191" s="72"/>
      <c r="I191" s="73"/>
      <c r="K191" s="39"/>
    </row>
    <row r="192">
      <c r="B192" s="72"/>
      <c r="I192" s="73"/>
      <c r="K192" s="39"/>
    </row>
    <row r="193">
      <c r="B193" s="72"/>
      <c r="I193" s="73"/>
      <c r="K193" s="39"/>
    </row>
    <row r="194">
      <c r="B194" s="72"/>
      <c r="I194" s="73"/>
      <c r="K194" s="39"/>
    </row>
    <row r="195">
      <c r="B195" s="72"/>
      <c r="I195" s="73"/>
      <c r="K195" s="39"/>
    </row>
    <row r="196">
      <c r="B196" s="72"/>
      <c r="I196" s="73"/>
      <c r="K196" s="39"/>
    </row>
    <row r="197">
      <c r="B197" s="72"/>
      <c r="I197" s="73"/>
      <c r="K197" s="39"/>
    </row>
    <row r="198">
      <c r="B198" s="72"/>
      <c r="I198" s="73"/>
      <c r="K198" s="39"/>
    </row>
    <row r="199">
      <c r="B199" s="72"/>
      <c r="I199" s="73"/>
      <c r="K199" s="39"/>
    </row>
    <row r="200">
      <c r="B200" s="72"/>
      <c r="I200" s="73"/>
      <c r="K200" s="39"/>
    </row>
    <row r="201">
      <c r="B201" s="72"/>
      <c r="I201" s="73"/>
      <c r="K201" s="39"/>
    </row>
    <row r="202">
      <c r="B202" s="72"/>
      <c r="I202" s="73"/>
      <c r="K202" s="39"/>
    </row>
    <row r="203">
      <c r="B203" s="72"/>
      <c r="I203" s="73"/>
      <c r="K203" s="39"/>
    </row>
    <row r="204">
      <c r="B204" s="72"/>
      <c r="I204" s="73"/>
      <c r="K204" s="39"/>
    </row>
    <row r="205">
      <c r="B205" s="72"/>
      <c r="I205" s="73"/>
      <c r="K205" s="39"/>
    </row>
    <row r="206">
      <c r="B206" s="72"/>
      <c r="I206" s="73"/>
      <c r="K206" s="39"/>
    </row>
    <row r="207">
      <c r="B207" s="72"/>
      <c r="I207" s="73"/>
      <c r="K207" s="39"/>
    </row>
    <row r="208">
      <c r="B208" s="72"/>
      <c r="I208" s="73"/>
      <c r="K208" s="39"/>
    </row>
    <row r="209">
      <c r="B209" s="72"/>
      <c r="I209" s="73"/>
      <c r="K209" s="39"/>
    </row>
    <row r="210">
      <c r="B210" s="72"/>
      <c r="I210" s="73"/>
      <c r="K210" s="39"/>
    </row>
    <row r="211">
      <c r="B211" s="72"/>
      <c r="I211" s="73"/>
      <c r="K211" s="39"/>
    </row>
    <row r="212">
      <c r="B212" s="72"/>
      <c r="I212" s="73"/>
      <c r="K212" s="39"/>
    </row>
    <row r="213">
      <c r="B213" s="72"/>
      <c r="I213" s="73"/>
      <c r="K213" s="39"/>
    </row>
    <row r="214">
      <c r="B214" s="72"/>
      <c r="I214" s="73"/>
      <c r="K214" s="39"/>
    </row>
    <row r="215">
      <c r="B215" s="72"/>
      <c r="I215" s="73"/>
      <c r="K215" s="39"/>
    </row>
    <row r="216">
      <c r="B216" s="72"/>
      <c r="I216" s="73"/>
      <c r="K216" s="39"/>
    </row>
    <row r="217">
      <c r="B217" s="72"/>
      <c r="I217" s="73"/>
      <c r="K217" s="39"/>
    </row>
    <row r="218">
      <c r="B218" s="72"/>
      <c r="I218" s="73"/>
      <c r="K218" s="39"/>
    </row>
    <row r="219">
      <c r="B219" s="72"/>
      <c r="I219" s="73"/>
      <c r="K219" s="39"/>
    </row>
    <row r="220">
      <c r="B220" s="72"/>
      <c r="I220" s="73"/>
      <c r="K220" s="39"/>
    </row>
    <row r="221">
      <c r="B221" s="72"/>
      <c r="I221" s="73"/>
      <c r="K221" s="39"/>
    </row>
    <row r="222">
      <c r="B222" s="72"/>
      <c r="I222" s="73"/>
      <c r="K222" s="39"/>
    </row>
    <row r="223">
      <c r="B223" s="72"/>
      <c r="I223" s="73"/>
      <c r="K223" s="39"/>
    </row>
    <row r="224">
      <c r="B224" s="72"/>
      <c r="I224" s="73"/>
      <c r="K224" s="39"/>
    </row>
    <row r="225">
      <c r="B225" s="72"/>
      <c r="I225" s="73"/>
      <c r="K225" s="39"/>
    </row>
    <row r="226">
      <c r="B226" s="72"/>
      <c r="I226" s="73"/>
      <c r="K226" s="39"/>
    </row>
    <row r="227">
      <c r="B227" s="72"/>
      <c r="I227" s="73"/>
      <c r="K227" s="39"/>
    </row>
    <row r="228">
      <c r="B228" s="72"/>
      <c r="I228" s="73"/>
      <c r="K228" s="39"/>
    </row>
    <row r="229">
      <c r="B229" s="72"/>
      <c r="I229" s="73"/>
      <c r="K229" s="39"/>
    </row>
    <row r="230">
      <c r="B230" s="72"/>
      <c r="I230" s="73"/>
      <c r="K230" s="39"/>
    </row>
    <row r="231">
      <c r="B231" s="72"/>
      <c r="I231" s="73"/>
      <c r="K231" s="39"/>
    </row>
    <row r="232">
      <c r="B232" s="72"/>
      <c r="I232" s="73"/>
      <c r="K232" s="39"/>
    </row>
    <row r="233">
      <c r="B233" s="72"/>
      <c r="I233" s="73"/>
      <c r="K233" s="39"/>
    </row>
    <row r="234">
      <c r="B234" s="72"/>
      <c r="I234" s="73"/>
      <c r="K234" s="39"/>
    </row>
    <row r="235">
      <c r="B235" s="72"/>
      <c r="I235" s="73"/>
      <c r="K235" s="39"/>
    </row>
    <row r="236">
      <c r="B236" s="72"/>
      <c r="I236" s="73"/>
      <c r="K236" s="39"/>
    </row>
    <row r="237">
      <c r="B237" s="72"/>
      <c r="I237" s="73"/>
      <c r="K237" s="39"/>
    </row>
    <row r="238">
      <c r="B238" s="72"/>
      <c r="I238" s="73"/>
      <c r="K238" s="39"/>
    </row>
    <row r="239">
      <c r="B239" s="72"/>
      <c r="I239" s="73"/>
      <c r="K239" s="39"/>
    </row>
    <row r="240">
      <c r="B240" s="72"/>
      <c r="I240" s="73"/>
      <c r="K240" s="39"/>
    </row>
    <row r="241">
      <c r="B241" s="72"/>
      <c r="I241" s="73"/>
      <c r="K241" s="39"/>
    </row>
    <row r="242">
      <c r="B242" s="72"/>
      <c r="I242" s="73"/>
      <c r="K242" s="39"/>
    </row>
    <row r="243">
      <c r="B243" s="72"/>
      <c r="I243" s="73"/>
      <c r="K243" s="39"/>
    </row>
    <row r="244">
      <c r="B244" s="72"/>
      <c r="I244" s="73"/>
      <c r="K244" s="39"/>
    </row>
    <row r="245">
      <c r="B245" s="72"/>
      <c r="I245" s="73"/>
      <c r="K245" s="39"/>
    </row>
    <row r="246">
      <c r="B246" s="72"/>
      <c r="I246" s="73"/>
      <c r="K246" s="39"/>
    </row>
    <row r="247">
      <c r="B247" s="72"/>
      <c r="I247" s="73"/>
      <c r="K247" s="39"/>
    </row>
    <row r="248">
      <c r="B248" s="72"/>
      <c r="I248" s="73"/>
      <c r="K248" s="39"/>
    </row>
    <row r="249">
      <c r="B249" s="72"/>
      <c r="I249" s="73"/>
      <c r="K249" s="39"/>
    </row>
    <row r="250">
      <c r="B250" s="72"/>
      <c r="I250" s="73"/>
      <c r="K250" s="39"/>
    </row>
    <row r="251">
      <c r="B251" s="72"/>
      <c r="I251" s="73"/>
      <c r="K251" s="39"/>
    </row>
    <row r="252">
      <c r="B252" s="72"/>
      <c r="I252" s="73"/>
      <c r="K252" s="39"/>
    </row>
    <row r="253">
      <c r="B253" s="72"/>
      <c r="I253" s="73"/>
      <c r="K253" s="39"/>
    </row>
    <row r="254">
      <c r="B254" s="72"/>
      <c r="I254" s="73"/>
      <c r="K254" s="39"/>
    </row>
    <row r="255">
      <c r="B255" s="72"/>
      <c r="I255" s="73"/>
      <c r="K255" s="39"/>
    </row>
    <row r="256">
      <c r="B256" s="72"/>
      <c r="I256" s="73"/>
      <c r="K256" s="39"/>
    </row>
    <row r="257">
      <c r="B257" s="72"/>
      <c r="I257" s="73"/>
      <c r="K257" s="39"/>
    </row>
    <row r="258">
      <c r="B258" s="72"/>
      <c r="I258" s="73"/>
      <c r="K258" s="39"/>
    </row>
    <row r="259">
      <c r="B259" s="72"/>
      <c r="I259" s="73"/>
      <c r="K259" s="39"/>
    </row>
    <row r="260">
      <c r="B260" s="72"/>
      <c r="I260" s="73"/>
      <c r="K260" s="39"/>
    </row>
    <row r="261">
      <c r="B261" s="72"/>
      <c r="I261" s="73"/>
      <c r="K261" s="39"/>
    </row>
    <row r="262">
      <c r="B262" s="72"/>
      <c r="I262" s="73"/>
      <c r="K262" s="39"/>
    </row>
    <row r="263">
      <c r="B263" s="72"/>
      <c r="I263" s="73"/>
      <c r="K263" s="39"/>
    </row>
    <row r="264">
      <c r="B264" s="72"/>
      <c r="I264" s="73"/>
      <c r="K264" s="39"/>
    </row>
    <row r="265">
      <c r="B265" s="72"/>
      <c r="I265" s="73"/>
      <c r="K265" s="39"/>
    </row>
    <row r="266">
      <c r="B266" s="72"/>
      <c r="I266" s="73"/>
      <c r="K266" s="39"/>
    </row>
    <row r="267">
      <c r="B267" s="72"/>
      <c r="I267" s="73"/>
      <c r="K267" s="39"/>
    </row>
    <row r="268">
      <c r="B268" s="72"/>
      <c r="I268" s="73"/>
      <c r="K268" s="39"/>
    </row>
    <row r="269">
      <c r="B269" s="72"/>
      <c r="I269" s="73"/>
      <c r="K269" s="39"/>
    </row>
    <row r="270">
      <c r="B270" s="72"/>
      <c r="I270" s="73"/>
      <c r="K270" s="39"/>
    </row>
    <row r="271">
      <c r="B271" s="72"/>
      <c r="I271" s="73"/>
      <c r="K271" s="39"/>
    </row>
    <row r="272">
      <c r="B272" s="72"/>
      <c r="I272" s="73"/>
      <c r="K272" s="39"/>
    </row>
    <row r="273">
      <c r="B273" s="72"/>
      <c r="I273" s="73"/>
      <c r="K273" s="39"/>
    </row>
    <row r="274">
      <c r="B274" s="72"/>
      <c r="I274" s="73"/>
      <c r="K274" s="39"/>
    </row>
    <row r="275">
      <c r="B275" s="72"/>
      <c r="I275" s="73"/>
      <c r="K275" s="39"/>
    </row>
    <row r="276">
      <c r="B276" s="72"/>
      <c r="I276" s="73"/>
      <c r="K276" s="39"/>
    </row>
    <row r="277">
      <c r="B277" s="72"/>
      <c r="I277" s="73"/>
      <c r="K277" s="39"/>
    </row>
    <row r="278">
      <c r="B278" s="72"/>
      <c r="I278" s="73"/>
      <c r="K278" s="39"/>
    </row>
    <row r="279">
      <c r="B279" s="72"/>
      <c r="I279" s="73"/>
      <c r="K279" s="39"/>
    </row>
    <row r="280">
      <c r="B280" s="72"/>
      <c r="I280" s="73"/>
      <c r="K280" s="39"/>
    </row>
    <row r="281">
      <c r="B281" s="72"/>
      <c r="I281" s="73"/>
      <c r="K281" s="39"/>
    </row>
    <row r="282">
      <c r="B282" s="72"/>
      <c r="I282" s="73"/>
      <c r="K282" s="39"/>
    </row>
    <row r="283">
      <c r="B283" s="72"/>
      <c r="I283" s="73"/>
      <c r="K283" s="39"/>
    </row>
    <row r="284">
      <c r="B284" s="72"/>
      <c r="I284" s="73"/>
      <c r="K284" s="39"/>
    </row>
    <row r="285">
      <c r="B285" s="72"/>
      <c r="I285" s="73"/>
      <c r="K285" s="39"/>
    </row>
    <row r="286">
      <c r="B286" s="72"/>
      <c r="I286" s="73"/>
      <c r="K286" s="39"/>
    </row>
    <row r="287">
      <c r="B287" s="72"/>
      <c r="I287" s="73"/>
      <c r="K287" s="39"/>
    </row>
    <row r="288">
      <c r="B288" s="72"/>
      <c r="I288" s="73"/>
      <c r="K288" s="39"/>
    </row>
    <row r="289">
      <c r="B289" s="72"/>
      <c r="I289" s="73"/>
      <c r="K289" s="39"/>
    </row>
    <row r="290">
      <c r="B290" s="72"/>
      <c r="I290" s="73"/>
      <c r="K290" s="39"/>
    </row>
    <row r="291">
      <c r="B291" s="72"/>
      <c r="I291" s="73"/>
      <c r="K291" s="39"/>
    </row>
    <row r="292">
      <c r="B292" s="72"/>
      <c r="I292" s="73"/>
      <c r="K292" s="39"/>
    </row>
    <row r="293">
      <c r="B293" s="72"/>
      <c r="I293" s="73"/>
      <c r="K293" s="39"/>
    </row>
    <row r="294">
      <c r="B294" s="72"/>
      <c r="I294" s="73"/>
      <c r="K294" s="39"/>
    </row>
    <row r="295">
      <c r="B295" s="72"/>
      <c r="I295" s="73"/>
      <c r="K295" s="39"/>
    </row>
    <row r="296">
      <c r="B296" s="72"/>
      <c r="I296" s="73"/>
      <c r="K296" s="39"/>
    </row>
    <row r="297">
      <c r="B297" s="72"/>
      <c r="I297" s="73"/>
      <c r="K297" s="39"/>
    </row>
    <row r="298">
      <c r="B298" s="72"/>
      <c r="I298" s="73"/>
      <c r="K298" s="39"/>
    </row>
    <row r="299">
      <c r="B299" s="72"/>
      <c r="I299" s="73"/>
      <c r="K299" s="39"/>
    </row>
    <row r="300">
      <c r="B300" s="72"/>
      <c r="I300" s="73"/>
      <c r="K300" s="39"/>
    </row>
    <row r="301">
      <c r="B301" s="72"/>
      <c r="I301" s="73"/>
      <c r="K301" s="39"/>
    </row>
    <row r="302">
      <c r="B302" s="72"/>
      <c r="I302" s="73"/>
      <c r="K302" s="39"/>
    </row>
    <row r="303">
      <c r="B303" s="72"/>
      <c r="I303" s="73"/>
      <c r="K303" s="39"/>
    </row>
    <row r="304">
      <c r="B304" s="72"/>
      <c r="I304" s="73"/>
      <c r="K304" s="39"/>
    </row>
    <row r="305">
      <c r="B305" s="72"/>
      <c r="I305" s="73"/>
      <c r="K305" s="39"/>
    </row>
    <row r="306">
      <c r="B306" s="72"/>
      <c r="I306" s="73"/>
      <c r="K306" s="39"/>
    </row>
    <row r="307">
      <c r="B307" s="72"/>
      <c r="I307" s="73"/>
      <c r="K307" s="39"/>
    </row>
    <row r="308">
      <c r="B308" s="72"/>
      <c r="I308" s="73"/>
      <c r="K308" s="39"/>
    </row>
    <row r="309">
      <c r="B309" s="72"/>
      <c r="I309" s="73"/>
      <c r="K309" s="39"/>
    </row>
    <row r="310">
      <c r="B310" s="72"/>
      <c r="I310" s="73"/>
      <c r="K310" s="39"/>
    </row>
    <row r="311">
      <c r="B311" s="72"/>
      <c r="I311" s="73"/>
      <c r="K311" s="39"/>
    </row>
    <row r="312">
      <c r="B312" s="72"/>
      <c r="I312" s="73"/>
      <c r="K312" s="39"/>
    </row>
    <row r="313">
      <c r="B313" s="72"/>
      <c r="I313" s="73"/>
      <c r="K313" s="39"/>
    </row>
    <row r="314">
      <c r="B314" s="72"/>
      <c r="I314" s="73"/>
      <c r="K314" s="39"/>
    </row>
    <row r="315">
      <c r="B315" s="72"/>
      <c r="I315" s="73"/>
      <c r="K315" s="39"/>
    </row>
    <row r="316">
      <c r="B316" s="72"/>
      <c r="I316" s="73"/>
      <c r="K316" s="39"/>
    </row>
    <row r="317">
      <c r="B317" s="72"/>
      <c r="I317" s="73"/>
      <c r="K317" s="39"/>
    </row>
    <row r="318">
      <c r="B318" s="72"/>
      <c r="I318" s="73"/>
      <c r="K318" s="39"/>
    </row>
    <row r="319">
      <c r="B319" s="72"/>
      <c r="I319" s="73"/>
      <c r="K319" s="39"/>
    </row>
    <row r="320">
      <c r="B320" s="72"/>
      <c r="I320" s="73"/>
      <c r="K320" s="39"/>
    </row>
    <row r="321">
      <c r="B321" s="72"/>
      <c r="I321" s="73"/>
      <c r="K321" s="39"/>
    </row>
    <row r="322">
      <c r="B322" s="72"/>
      <c r="I322" s="73"/>
      <c r="K322" s="39"/>
    </row>
    <row r="323">
      <c r="B323" s="72"/>
      <c r="I323" s="73"/>
      <c r="K323" s="39"/>
    </row>
    <row r="324">
      <c r="B324" s="72"/>
      <c r="I324" s="73"/>
      <c r="K324" s="39"/>
    </row>
    <row r="325">
      <c r="B325" s="72"/>
      <c r="I325" s="73"/>
      <c r="K325" s="39"/>
    </row>
    <row r="326">
      <c r="B326" s="72"/>
      <c r="I326" s="73"/>
      <c r="K326" s="39"/>
    </row>
    <row r="327">
      <c r="B327" s="72"/>
      <c r="I327" s="73"/>
      <c r="K327" s="39"/>
    </row>
    <row r="328">
      <c r="B328" s="72"/>
      <c r="I328" s="73"/>
      <c r="K328" s="39"/>
    </row>
    <row r="329">
      <c r="B329" s="72"/>
      <c r="I329" s="73"/>
      <c r="K329" s="39"/>
    </row>
    <row r="330">
      <c r="B330" s="72"/>
      <c r="I330" s="73"/>
      <c r="K330" s="39"/>
    </row>
    <row r="331">
      <c r="B331" s="72"/>
      <c r="I331" s="73"/>
      <c r="K331" s="39"/>
    </row>
    <row r="332">
      <c r="B332" s="72"/>
      <c r="I332" s="73"/>
      <c r="K332" s="39"/>
    </row>
    <row r="333">
      <c r="B333" s="72"/>
      <c r="I333" s="73"/>
      <c r="K333" s="39"/>
    </row>
    <row r="334">
      <c r="B334" s="72"/>
      <c r="I334" s="73"/>
      <c r="K334" s="39"/>
    </row>
    <row r="335">
      <c r="B335" s="72"/>
      <c r="I335" s="73"/>
      <c r="K335" s="39"/>
    </row>
    <row r="336">
      <c r="B336" s="72"/>
      <c r="I336" s="73"/>
      <c r="K336" s="39"/>
    </row>
    <row r="337">
      <c r="B337" s="72"/>
      <c r="I337" s="73"/>
      <c r="K337" s="39"/>
    </row>
    <row r="338">
      <c r="B338" s="72"/>
      <c r="I338" s="73"/>
      <c r="K338" s="39"/>
    </row>
    <row r="339">
      <c r="B339" s="72"/>
      <c r="I339" s="73"/>
      <c r="K339" s="39"/>
    </row>
    <row r="340">
      <c r="B340" s="72"/>
      <c r="I340" s="73"/>
      <c r="K340" s="39"/>
    </row>
    <row r="341">
      <c r="B341" s="72"/>
      <c r="I341" s="73"/>
      <c r="K341" s="39"/>
    </row>
    <row r="342">
      <c r="B342" s="72"/>
      <c r="I342" s="73"/>
      <c r="K342" s="39"/>
    </row>
    <row r="343">
      <c r="B343" s="72"/>
      <c r="I343" s="73"/>
      <c r="K343" s="39"/>
    </row>
    <row r="344">
      <c r="B344" s="72"/>
      <c r="I344" s="73"/>
      <c r="K344" s="39"/>
    </row>
    <row r="345">
      <c r="B345" s="72"/>
      <c r="I345" s="73"/>
      <c r="K345" s="39"/>
    </row>
    <row r="346">
      <c r="B346" s="72"/>
      <c r="I346" s="73"/>
      <c r="K346" s="39"/>
    </row>
    <row r="347">
      <c r="B347" s="72"/>
      <c r="I347" s="73"/>
      <c r="K347" s="39"/>
    </row>
    <row r="348">
      <c r="B348" s="72"/>
      <c r="I348" s="73"/>
      <c r="K348" s="39"/>
    </row>
    <row r="349">
      <c r="B349" s="72"/>
      <c r="I349" s="73"/>
      <c r="K349" s="39"/>
    </row>
    <row r="350">
      <c r="B350" s="72"/>
      <c r="I350" s="73"/>
      <c r="K350" s="39"/>
    </row>
    <row r="351">
      <c r="B351" s="72"/>
      <c r="I351" s="73"/>
      <c r="K351" s="39"/>
    </row>
    <row r="352">
      <c r="B352" s="72"/>
      <c r="I352" s="73"/>
      <c r="K352" s="39"/>
    </row>
    <row r="353">
      <c r="B353" s="72"/>
      <c r="I353" s="73"/>
      <c r="K353" s="39"/>
    </row>
    <row r="354">
      <c r="B354" s="72"/>
      <c r="I354" s="73"/>
      <c r="K354" s="39"/>
    </row>
    <row r="355">
      <c r="B355" s="72"/>
      <c r="I355" s="73"/>
      <c r="K355" s="39"/>
    </row>
    <row r="356">
      <c r="B356" s="72"/>
      <c r="I356" s="73"/>
      <c r="K356" s="39"/>
    </row>
    <row r="357">
      <c r="B357" s="72"/>
      <c r="I357" s="73"/>
      <c r="K357" s="39"/>
    </row>
    <row r="358">
      <c r="B358" s="72"/>
      <c r="I358" s="73"/>
      <c r="K358" s="39"/>
    </row>
    <row r="359">
      <c r="B359" s="72"/>
      <c r="I359" s="73"/>
      <c r="K359" s="39"/>
    </row>
    <row r="360">
      <c r="B360" s="72"/>
      <c r="I360" s="73"/>
      <c r="K360" s="39"/>
    </row>
    <row r="361">
      <c r="B361" s="72"/>
      <c r="I361" s="73"/>
      <c r="K361" s="39"/>
    </row>
    <row r="362">
      <c r="B362" s="72"/>
      <c r="I362" s="73"/>
      <c r="K362" s="39"/>
    </row>
    <row r="363">
      <c r="B363" s="72"/>
      <c r="I363" s="73"/>
      <c r="K363" s="39"/>
    </row>
    <row r="364">
      <c r="B364" s="72"/>
      <c r="I364" s="73"/>
      <c r="K364" s="39"/>
    </row>
    <row r="365">
      <c r="B365" s="72"/>
      <c r="I365" s="73"/>
      <c r="K365" s="39"/>
    </row>
    <row r="366">
      <c r="B366" s="72"/>
      <c r="I366" s="73"/>
      <c r="K366" s="39"/>
    </row>
    <row r="367">
      <c r="B367" s="72"/>
      <c r="I367" s="73"/>
      <c r="K367" s="39"/>
    </row>
    <row r="368">
      <c r="B368" s="72"/>
      <c r="I368" s="73"/>
      <c r="K368" s="39"/>
    </row>
    <row r="369">
      <c r="B369" s="72"/>
      <c r="I369" s="73"/>
      <c r="K369" s="39"/>
    </row>
    <row r="370">
      <c r="B370" s="72"/>
      <c r="I370" s="73"/>
      <c r="K370" s="39"/>
    </row>
    <row r="371">
      <c r="B371" s="72"/>
      <c r="I371" s="73"/>
      <c r="K371" s="39"/>
    </row>
    <row r="372">
      <c r="B372" s="72"/>
      <c r="I372" s="73"/>
      <c r="K372" s="39"/>
    </row>
    <row r="373">
      <c r="B373" s="72"/>
      <c r="I373" s="73"/>
      <c r="K373" s="39"/>
    </row>
    <row r="374">
      <c r="B374" s="72"/>
      <c r="I374" s="73"/>
      <c r="K374" s="39"/>
    </row>
    <row r="375">
      <c r="B375" s="72"/>
      <c r="I375" s="73"/>
      <c r="K375" s="39"/>
    </row>
    <row r="376">
      <c r="B376" s="72"/>
      <c r="I376" s="73"/>
      <c r="K376" s="39"/>
    </row>
    <row r="377">
      <c r="B377" s="72"/>
      <c r="I377" s="73"/>
      <c r="K377" s="39"/>
    </row>
    <row r="378">
      <c r="B378" s="72"/>
      <c r="I378" s="73"/>
      <c r="K378" s="39"/>
    </row>
    <row r="379">
      <c r="B379" s="72"/>
      <c r="I379" s="73"/>
      <c r="K379" s="39"/>
    </row>
    <row r="380">
      <c r="B380" s="72"/>
      <c r="I380" s="73"/>
      <c r="K380" s="39"/>
    </row>
    <row r="381">
      <c r="B381" s="72"/>
      <c r="I381" s="73"/>
      <c r="K381" s="39"/>
    </row>
    <row r="382">
      <c r="B382" s="72"/>
      <c r="I382" s="73"/>
      <c r="K382" s="39"/>
    </row>
    <row r="383">
      <c r="B383" s="72"/>
      <c r="I383" s="73"/>
      <c r="K383" s="39"/>
    </row>
    <row r="384">
      <c r="B384" s="72"/>
      <c r="I384" s="73"/>
      <c r="K384" s="39"/>
    </row>
    <row r="385">
      <c r="B385" s="72"/>
      <c r="I385" s="73"/>
      <c r="K385" s="39"/>
    </row>
    <row r="386">
      <c r="B386" s="72"/>
      <c r="I386" s="73"/>
      <c r="K386" s="39"/>
    </row>
    <row r="387">
      <c r="B387" s="72"/>
      <c r="I387" s="73"/>
      <c r="K387" s="39"/>
    </row>
    <row r="388">
      <c r="B388" s="72"/>
      <c r="I388" s="73"/>
      <c r="K388" s="39"/>
    </row>
    <row r="389">
      <c r="B389" s="72"/>
      <c r="I389" s="73"/>
      <c r="K389" s="39"/>
    </row>
    <row r="390">
      <c r="B390" s="72"/>
      <c r="I390" s="73"/>
      <c r="K390" s="39"/>
    </row>
    <row r="391">
      <c r="B391" s="72"/>
      <c r="I391" s="73"/>
      <c r="K391" s="39"/>
    </row>
    <row r="392">
      <c r="B392" s="72"/>
      <c r="I392" s="73"/>
      <c r="K392" s="39"/>
    </row>
    <row r="393">
      <c r="B393" s="72"/>
      <c r="I393" s="73"/>
      <c r="K393" s="39"/>
    </row>
    <row r="394">
      <c r="B394" s="72"/>
      <c r="I394" s="73"/>
      <c r="K394" s="39"/>
    </row>
    <row r="395">
      <c r="B395" s="72"/>
      <c r="I395" s="73"/>
      <c r="K395" s="39"/>
    </row>
    <row r="396">
      <c r="B396" s="72"/>
      <c r="I396" s="73"/>
      <c r="K396" s="39"/>
    </row>
    <row r="397">
      <c r="B397" s="72"/>
      <c r="I397" s="73"/>
      <c r="K397" s="39"/>
    </row>
    <row r="398">
      <c r="B398" s="72"/>
      <c r="I398" s="73"/>
      <c r="K398" s="39"/>
    </row>
    <row r="399">
      <c r="B399" s="72"/>
      <c r="I399" s="73"/>
      <c r="K399" s="39"/>
    </row>
    <row r="400">
      <c r="B400" s="72"/>
      <c r="I400" s="73"/>
      <c r="K400" s="39"/>
    </row>
    <row r="401">
      <c r="B401" s="72"/>
      <c r="I401" s="73"/>
      <c r="K401" s="39"/>
    </row>
    <row r="402">
      <c r="B402" s="72"/>
      <c r="I402" s="73"/>
      <c r="K402" s="39"/>
    </row>
    <row r="403">
      <c r="B403" s="72"/>
      <c r="I403" s="73"/>
      <c r="K403" s="39"/>
    </row>
    <row r="404">
      <c r="B404" s="72"/>
      <c r="I404" s="73"/>
      <c r="K404" s="39"/>
    </row>
    <row r="405">
      <c r="B405" s="72"/>
      <c r="I405" s="73"/>
      <c r="K405" s="39"/>
    </row>
    <row r="406">
      <c r="B406" s="72"/>
      <c r="I406" s="73"/>
      <c r="K406" s="39"/>
    </row>
    <row r="407">
      <c r="B407" s="72"/>
      <c r="I407" s="73"/>
      <c r="K407" s="39"/>
    </row>
    <row r="408">
      <c r="B408" s="72"/>
      <c r="I408" s="73"/>
      <c r="K408" s="39"/>
    </row>
    <row r="409">
      <c r="B409" s="72"/>
      <c r="I409" s="73"/>
      <c r="K409" s="39"/>
    </row>
    <row r="410">
      <c r="B410" s="72"/>
      <c r="I410" s="73"/>
      <c r="K410" s="39"/>
    </row>
    <row r="411">
      <c r="B411" s="72"/>
      <c r="I411" s="73"/>
      <c r="K411" s="39"/>
    </row>
    <row r="412">
      <c r="B412" s="72"/>
      <c r="I412" s="73"/>
      <c r="K412" s="39"/>
    </row>
    <row r="413">
      <c r="B413" s="72"/>
      <c r="I413" s="73"/>
      <c r="K413" s="39"/>
    </row>
    <row r="414">
      <c r="B414" s="72"/>
      <c r="I414" s="73"/>
      <c r="K414" s="39"/>
    </row>
    <row r="415">
      <c r="B415" s="72"/>
      <c r="I415" s="73"/>
      <c r="K415" s="39"/>
    </row>
    <row r="416">
      <c r="B416" s="72"/>
      <c r="I416" s="73"/>
      <c r="K416" s="39"/>
    </row>
    <row r="417">
      <c r="B417" s="72"/>
      <c r="I417" s="73"/>
      <c r="K417" s="39"/>
    </row>
    <row r="418">
      <c r="B418" s="72"/>
      <c r="I418" s="73"/>
      <c r="K418" s="39"/>
    </row>
    <row r="419">
      <c r="B419" s="72"/>
      <c r="I419" s="73"/>
      <c r="K419" s="39"/>
    </row>
    <row r="420">
      <c r="B420" s="72"/>
      <c r="I420" s="73"/>
      <c r="K420" s="39"/>
    </row>
    <row r="421">
      <c r="B421" s="72"/>
      <c r="I421" s="73"/>
      <c r="K421" s="39"/>
    </row>
    <row r="422">
      <c r="B422" s="72"/>
      <c r="I422" s="73"/>
      <c r="K422" s="39"/>
    </row>
    <row r="423">
      <c r="B423" s="72"/>
      <c r="I423" s="73"/>
      <c r="K423" s="39"/>
    </row>
    <row r="424">
      <c r="B424" s="72"/>
      <c r="I424" s="73"/>
      <c r="K424" s="39"/>
    </row>
    <row r="425">
      <c r="B425" s="72"/>
      <c r="I425" s="73"/>
      <c r="K425" s="39"/>
    </row>
    <row r="426">
      <c r="B426" s="72"/>
      <c r="I426" s="73"/>
      <c r="K426" s="39"/>
    </row>
    <row r="427">
      <c r="B427" s="72"/>
      <c r="I427" s="73"/>
      <c r="K427" s="39"/>
    </row>
    <row r="428">
      <c r="B428" s="72"/>
      <c r="I428" s="73"/>
      <c r="K428" s="39"/>
    </row>
    <row r="429">
      <c r="B429" s="72"/>
      <c r="I429" s="73"/>
      <c r="K429" s="39"/>
    </row>
    <row r="430">
      <c r="B430" s="72"/>
      <c r="I430" s="73"/>
      <c r="K430" s="39"/>
    </row>
    <row r="431">
      <c r="B431" s="72"/>
      <c r="I431" s="73"/>
      <c r="K431" s="39"/>
    </row>
    <row r="432">
      <c r="B432" s="72"/>
      <c r="I432" s="73"/>
      <c r="K432" s="39"/>
    </row>
    <row r="433">
      <c r="B433" s="72"/>
      <c r="I433" s="73"/>
      <c r="K433" s="39"/>
    </row>
    <row r="434">
      <c r="B434" s="72"/>
      <c r="I434" s="73"/>
      <c r="K434" s="39"/>
    </row>
    <row r="435">
      <c r="B435" s="72"/>
      <c r="I435" s="73"/>
      <c r="K435" s="39"/>
    </row>
    <row r="436">
      <c r="B436" s="72"/>
      <c r="I436" s="73"/>
      <c r="K436" s="39"/>
    </row>
    <row r="437">
      <c r="B437" s="72"/>
      <c r="I437" s="73"/>
      <c r="K437" s="39"/>
    </row>
    <row r="438">
      <c r="B438" s="72"/>
      <c r="I438" s="73"/>
      <c r="K438" s="39"/>
    </row>
    <row r="439">
      <c r="B439" s="72"/>
      <c r="I439" s="73"/>
      <c r="K439" s="39"/>
    </row>
    <row r="440">
      <c r="B440" s="72"/>
      <c r="I440" s="73"/>
      <c r="K440" s="39"/>
    </row>
    <row r="441">
      <c r="B441" s="72"/>
      <c r="I441" s="73"/>
      <c r="K441" s="39"/>
    </row>
    <row r="442">
      <c r="B442" s="72"/>
      <c r="I442" s="73"/>
      <c r="K442" s="39"/>
    </row>
    <row r="443">
      <c r="B443" s="72"/>
      <c r="I443" s="73"/>
      <c r="K443" s="39"/>
    </row>
    <row r="444">
      <c r="B444" s="72"/>
      <c r="I444" s="73"/>
      <c r="K444" s="39"/>
    </row>
    <row r="445">
      <c r="B445" s="72"/>
      <c r="I445" s="73"/>
      <c r="K445" s="39"/>
    </row>
    <row r="446">
      <c r="B446" s="72"/>
      <c r="I446" s="73"/>
      <c r="K446" s="39"/>
    </row>
    <row r="447">
      <c r="B447" s="72"/>
      <c r="I447" s="73"/>
      <c r="K447" s="39"/>
    </row>
    <row r="448">
      <c r="B448" s="72"/>
      <c r="I448" s="73"/>
      <c r="K448" s="39"/>
    </row>
    <row r="449">
      <c r="B449" s="72"/>
      <c r="I449" s="73"/>
      <c r="K449" s="39"/>
    </row>
    <row r="450">
      <c r="B450" s="72"/>
      <c r="I450" s="73"/>
      <c r="K450" s="39"/>
    </row>
    <row r="451">
      <c r="B451" s="72"/>
      <c r="I451" s="73"/>
      <c r="K451" s="39"/>
    </row>
    <row r="452">
      <c r="B452" s="72"/>
      <c r="I452" s="73"/>
      <c r="K452" s="39"/>
    </row>
    <row r="453">
      <c r="B453" s="72"/>
      <c r="I453" s="73"/>
      <c r="K453" s="39"/>
    </row>
    <row r="454">
      <c r="B454" s="72"/>
      <c r="I454" s="73"/>
      <c r="K454" s="39"/>
    </row>
    <row r="455">
      <c r="B455" s="72"/>
      <c r="I455" s="73"/>
      <c r="K455" s="39"/>
    </row>
    <row r="456">
      <c r="B456" s="72"/>
      <c r="I456" s="73"/>
      <c r="K456" s="39"/>
    </row>
    <row r="457">
      <c r="B457" s="72"/>
      <c r="I457" s="73"/>
      <c r="K457" s="39"/>
    </row>
    <row r="458">
      <c r="B458" s="72"/>
      <c r="I458" s="73"/>
      <c r="K458" s="39"/>
    </row>
    <row r="459">
      <c r="B459" s="72"/>
      <c r="I459" s="73"/>
      <c r="K459" s="39"/>
    </row>
    <row r="460">
      <c r="B460" s="72"/>
      <c r="I460" s="73"/>
      <c r="K460" s="39"/>
    </row>
    <row r="461">
      <c r="B461" s="72"/>
      <c r="I461" s="73"/>
      <c r="K461" s="39"/>
    </row>
    <row r="462">
      <c r="B462" s="72"/>
      <c r="I462" s="73"/>
      <c r="K462" s="39"/>
    </row>
    <row r="463">
      <c r="B463" s="72"/>
      <c r="I463" s="73"/>
      <c r="K463" s="39"/>
    </row>
    <row r="464">
      <c r="B464" s="72"/>
      <c r="I464" s="73"/>
      <c r="K464" s="39"/>
    </row>
    <row r="465">
      <c r="B465" s="72"/>
      <c r="I465" s="73"/>
      <c r="K465" s="39"/>
    </row>
    <row r="466">
      <c r="B466" s="72"/>
      <c r="I466" s="73"/>
      <c r="K466" s="39"/>
    </row>
    <row r="467">
      <c r="B467" s="72"/>
      <c r="I467" s="73"/>
      <c r="K467" s="39"/>
    </row>
    <row r="468">
      <c r="B468" s="72"/>
      <c r="I468" s="73"/>
      <c r="K468" s="39"/>
    </row>
    <row r="469">
      <c r="B469" s="72"/>
      <c r="I469" s="73"/>
      <c r="K469" s="39"/>
    </row>
    <row r="470">
      <c r="B470" s="72"/>
      <c r="I470" s="73"/>
      <c r="K470" s="39"/>
    </row>
    <row r="471">
      <c r="B471" s="72"/>
      <c r="I471" s="73"/>
      <c r="K471" s="39"/>
    </row>
    <row r="472">
      <c r="B472" s="72"/>
      <c r="I472" s="73"/>
      <c r="K472" s="39"/>
    </row>
    <row r="473">
      <c r="B473" s="72"/>
      <c r="I473" s="73"/>
      <c r="K473" s="39"/>
    </row>
    <row r="474">
      <c r="B474" s="72"/>
      <c r="I474" s="73"/>
      <c r="K474" s="39"/>
    </row>
    <row r="475">
      <c r="B475" s="72"/>
      <c r="I475" s="73"/>
      <c r="K475" s="39"/>
    </row>
    <row r="476">
      <c r="B476" s="72"/>
      <c r="I476" s="73"/>
      <c r="K476" s="39"/>
    </row>
    <row r="477">
      <c r="B477" s="72"/>
      <c r="I477" s="73"/>
      <c r="K477" s="39"/>
    </row>
    <row r="478">
      <c r="B478" s="72"/>
      <c r="I478" s="73"/>
      <c r="K478" s="39"/>
    </row>
    <row r="479">
      <c r="B479" s="72"/>
      <c r="I479" s="73"/>
      <c r="K479" s="39"/>
    </row>
    <row r="480">
      <c r="B480" s="72"/>
      <c r="I480" s="73"/>
      <c r="K480" s="39"/>
    </row>
    <row r="481">
      <c r="B481" s="72"/>
      <c r="I481" s="73"/>
      <c r="K481" s="39"/>
    </row>
    <row r="482">
      <c r="B482" s="72"/>
      <c r="I482" s="73"/>
      <c r="K482" s="39"/>
    </row>
    <row r="483">
      <c r="B483" s="72"/>
      <c r="I483" s="73"/>
      <c r="K483" s="39"/>
    </row>
    <row r="484">
      <c r="B484" s="72"/>
      <c r="I484" s="73"/>
      <c r="K484" s="39"/>
    </row>
    <row r="485">
      <c r="B485" s="72"/>
      <c r="I485" s="73"/>
      <c r="K485" s="39"/>
    </row>
    <row r="486">
      <c r="B486" s="72"/>
      <c r="I486" s="73"/>
      <c r="K486" s="39"/>
    </row>
    <row r="487">
      <c r="B487" s="72"/>
      <c r="I487" s="73"/>
      <c r="K487" s="39"/>
    </row>
    <row r="488">
      <c r="B488" s="72"/>
      <c r="I488" s="73"/>
      <c r="K488" s="39"/>
    </row>
    <row r="489">
      <c r="B489" s="72"/>
      <c r="I489" s="73"/>
      <c r="K489" s="39"/>
    </row>
    <row r="490">
      <c r="B490" s="72"/>
      <c r="I490" s="73"/>
      <c r="K490" s="39"/>
    </row>
    <row r="491">
      <c r="B491" s="72"/>
      <c r="I491" s="73"/>
      <c r="K491" s="39"/>
    </row>
    <row r="492">
      <c r="B492" s="72"/>
      <c r="I492" s="73"/>
      <c r="K492" s="39"/>
    </row>
    <row r="493">
      <c r="B493" s="72"/>
      <c r="I493" s="73"/>
      <c r="K493" s="39"/>
    </row>
    <row r="494">
      <c r="B494" s="72"/>
      <c r="I494" s="73"/>
      <c r="K494" s="39"/>
    </row>
    <row r="495">
      <c r="B495" s="72"/>
      <c r="I495" s="73"/>
      <c r="K495" s="39"/>
    </row>
    <row r="496">
      <c r="B496" s="72"/>
      <c r="I496" s="73"/>
      <c r="K496" s="39"/>
    </row>
    <row r="497">
      <c r="B497" s="72"/>
      <c r="I497" s="73"/>
      <c r="K497" s="39"/>
    </row>
    <row r="498">
      <c r="B498" s="72"/>
      <c r="I498" s="73"/>
      <c r="K498" s="39"/>
    </row>
    <row r="499">
      <c r="B499" s="72"/>
      <c r="I499" s="73"/>
      <c r="K499" s="39"/>
    </row>
    <row r="500">
      <c r="B500" s="72"/>
      <c r="I500" s="73"/>
      <c r="K500" s="39"/>
    </row>
    <row r="501">
      <c r="B501" s="72"/>
      <c r="I501" s="73"/>
      <c r="K501" s="39"/>
    </row>
    <row r="502">
      <c r="B502" s="72"/>
      <c r="I502" s="73"/>
      <c r="K502" s="39"/>
    </row>
    <row r="503">
      <c r="B503" s="72"/>
      <c r="I503" s="73"/>
      <c r="K503" s="39"/>
    </row>
    <row r="504">
      <c r="B504" s="72"/>
      <c r="I504" s="73"/>
      <c r="K504" s="39"/>
    </row>
    <row r="505">
      <c r="B505" s="72"/>
      <c r="I505" s="73"/>
      <c r="K505" s="39"/>
    </row>
    <row r="506">
      <c r="B506" s="72"/>
      <c r="I506" s="73"/>
      <c r="K506" s="39"/>
    </row>
    <row r="507">
      <c r="B507" s="72"/>
      <c r="I507" s="73"/>
      <c r="K507" s="39"/>
    </row>
    <row r="508">
      <c r="B508" s="72"/>
      <c r="I508" s="73"/>
      <c r="K508" s="39"/>
    </row>
    <row r="509">
      <c r="B509" s="72"/>
      <c r="I509" s="73"/>
      <c r="K509" s="39"/>
    </row>
    <row r="510">
      <c r="B510" s="72"/>
      <c r="I510" s="73"/>
      <c r="K510" s="39"/>
    </row>
    <row r="511">
      <c r="B511" s="72"/>
      <c r="I511" s="73"/>
      <c r="K511" s="39"/>
    </row>
    <row r="512">
      <c r="B512" s="72"/>
      <c r="I512" s="73"/>
      <c r="K512" s="39"/>
    </row>
    <row r="513">
      <c r="B513" s="72"/>
      <c r="I513" s="73"/>
      <c r="K513" s="39"/>
    </row>
    <row r="514">
      <c r="B514" s="72"/>
      <c r="I514" s="73"/>
      <c r="K514" s="39"/>
    </row>
    <row r="515">
      <c r="B515" s="72"/>
      <c r="I515" s="73"/>
      <c r="K515" s="39"/>
    </row>
    <row r="516">
      <c r="B516" s="72"/>
      <c r="I516" s="73"/>
      <c r="K516" s="39"/>
    </row>
    <row r="517">
      <c r="B517" s="72"/>
      <c r="I517" s="73"/>
      <c r="K517" s="39"/>
    </row>
    <row r="518">
      <c r="B518" s="72"/>
      <c r="I518" s="73"/>
      <c r="K518" s="39"/>
    </row>
    <row r="519">
      <c r="B519" s="72"/>
      <c r="I519" s="73"/>
      <c r="K519" s="39"/>
    </row>
    <row r="520">
      <c r="B520" s="72"/>
      <c r="I520" s="73"/>
      <c r="K520" s="39"/>
    </row>
    <row r="521">
      <c r="B521" s="72"/>
      <c r="I521" s="73"/>
      <c r="K521" s="39"/>
    </row>
    <row r="522">
      <c r="B522" s="72"/>
      <c r="I522" s="73"/>
      <c r="K522" s="39"/>
    </row>
    <row r="523">
      <c r="B523" s="72"/>
      <c r="I523" s="73"/>
      <c r="K523" s="39"/>
    </row>
    <row r="524">
      <c r="B524" s="72"/>
      <c r="I524" s="73"/>
      <c r="K524" s="39"/>
    </row>
    <row r="525">
      <c r="B525" s="72"/>
      <c r="I525" s="73"/>
      <c r="K525" s="39"/>
    </row>
    <row r="526">
      <c r="B526" s="72"/>
      <c r="I526" s="73"/>
      <c r="K526" s="39"/>
    </row>
    <row r="527">
      <c r="B527" s="72"/>
      <c r="I527" s="73"/>
      <c r="K527" s="39"/>
    </row>
    <row r="528">
      <c r="B528" s="72"/>
      <c r="I528" s="73"/>
      <c r="K528" s="39"/>
    </row>
    <row r="529">
      <c r="B529" s="72"/>
      <c r="I529" s="73"/>
      <c r="K529" s="39"/>
    </row>
    <row r="530">
      <c r="B530" s="72"/>
      <c r="I530" s="73"/>
      <c r="K530" s="39"/>
    </row>
    <row r="531">
      <c r="B531" s="72"/>
      <c r="I531" s="73"/>
      <c r="K531" s="39"/>
    </row>
    <row r="532">
      <c r="B532" s="72"/>
      <c r="I532" s="73"/>
      <c r="K532" s="39"/>
    </row>
    <row r="533">
      <c r="B533" s="72"/>
      <c r="I533" s="73"/>
      <c r="K533" s="39"/>
    </row>
    <row r="534">
      <c r="B534" s="72"/>
      <c r="I534" s="73"/>
      <c r="K534" s="39"/>
    </row>
    <row r="535">
      <c r="B535" s="72"/>
      <c r="I535" s="73"/>
      <c r="K535" s="39"/>
    </row>
    <row r="536">
      <c r="B536" s="72"/>
      <c r="I536" s="73"/>
      <c r="K536" s="39"/>
    </row>
    <row r="537">
      <c r="B537" s="72"/>
      <c r="I537" s="73"/>
      <c r="K537" s="39"/>
    </row>
    <row r="538">
      <c r="B538" s="72"/>
      <c r="I538" s="73"/>
      <c r="K538" s="39"/>
    </row>
    <row r="539">
      <c r="B539" s="72"/>
      <c r="I539" s="73"/>
      <c r="K539" s="39"/>
    </row>
    <row r="540">
      <c r="B540" s="72"/>
      <c r="I540" s="73"/>
      <c r="K540" s="39"/>
    </row>
    <row r="541">
      <c r="B541" s="72"/>
      <c r="I541" s="73"/>
      <c r="K541" s="39"/>
    </row>
    <row r="542">
      <c r="B542" s="72"/>
      <c r="I542" s="73"/>
      <c r="K542" s="39"/>
    </row>
    <row r="543">
      <c r="B543" s="72"/>
      <c r="I543" s="73"/>
      <c r="K543" s="39"/>
    </row>
    <row r="544">
      <c r="B544" s="72"/>
      <c r="I544" s="73"/>
      <c r="K544" s="39"/>
    </row>
    <row r="545">
      <c r="B545" s="72"/>
      <c r="I545" s="73"/>
      <c r="K545" s="39"/>
    </row>
    <row r="546">
      <c r="B546" s="72"/>
      <c r="I546" s="73"/>
      <c r="K546" s="39"/>
    </row>
    <row r="547">
      <c r="B547" s="72"/>
      <c r="I547" s="73"/>
      <c r="K547" s="39"/>
    </row>
    <row r="548">
      <c r="B548" s="72"/>
      <c r="I548" s="73"/>
      <c r="K548" s="39"/>
    </row>
    <row r="549">
      <c r="B549" s="72"/>
      <c r="I549" s="73"/>
      <c r="K549" s="39"/>
    </row>
    <row r="550">
      <c r="B550" s="72"/>
      <c r="I550" s="73"/>
      <c r="K550" s="39"/>
    </row>
    <row r="551">
      <c r="B551" s="72"/>
      <c r="I551" s="73"/>
      <c r="K551" s="39"/>
    </row>
    <row r="552">
      <c r="B552" s="72"/>
      <c r="I552" s="73"/>
      <c r="K552" s="39"/>
    </row>
    <row r="553">
      <c r="B553" s="72"/>
      <c r="I553" s="73"/>
      <c r="K553" s="39"/>
    </row>
    <row r="554">
      <c r="B554" s="72"/>
      <c r="I554" s="73"/>
      <c r="K554" s="39"/>
    </row>
    <row r="555">
      <c r="B555" s="72"/>
      <c r="I555" s="73"/>
      <c r="K555" s="39"/>
    </row>
    <row r="556">
      <c r="B556" s="72"/>
      <c r="I556" s="73"/>
      <c r="K556" s="39"/>
    </row>
    <row r="557">
      <c r="B557" s="72"/>
      <c r="I557" s="73"/>
      <c r="K557" s="39"/>
    </row>
    <row r="558">
      <c r="B558" s="72"/>
      <c r="I558" s="73"/>
      <c r="K558" s="39"/>
    </row>
    <row r="559">
      <c r="B559" s="72"/>
      <c r="I559" s="73"/>
      <c r="K559" s="39"/>
    </row>
    <row r="560">
      <c r="B560" s="72"/>
      <c r="I560" s="73"/>
      <c r="K560" s="39"/>
    </row>
    <row r="561">
      <c r="B561" s="72"/>
      <c r="I561" s="73"/>
      <c r="K561" s="39"/>
    </row>
    <row r="562">
      <c r="B562" s="72"/>
      <c r="I562" s="73"/>
      <c r="K562" s="39"/>
    </row>
    <row r="563">
      <c r="B563" s="72"/>
      <c r="I563" s="73"/>
      <c r="K563" s="39"/>
    </row>
    <row r="564">
      <c r="B564" s="72"/>
      <c r="I564" s="73"/>
      <c r="K564" s="39"/>
    </row>
    <row r="565">
      <c r="B565" s="72"/>
      <c r="I565" s="73"/>
      <c r="K565" s="39"/>
    </row>
    <row r="566">
      <c r="B566" s="72"/>
      <c r="I566" s="73"/>
      <c r="K566" s="39"/>
    </row>
    <row r="567">
      <c r="B567" s="72"/>
      <c r="I567" s="73"/>
      <c r="K567" s="39"/>
    </row>
    <row r="568">
      <c r="B568" s="72"/>
      <c r="I568" s="73"/>
      <c r="K568" s="39"/>
    </row>
    <row r="569">
      <c r="B569" s="72"/>
      <c r="I569" s="73"/>
      <c r="K569" s="39"/>
    </row>
    <row r="570">
      <c r="B570" s="72"/>
      <c r="I570" s="73"/>
      <c r="K570" s="39"/>
    </row>
    <row r="571">
      <c r="B571" s="72"/>
      <c r="I571" s="73"/>
      <c r="K571" s="39"/>
    </row>
    <row r="572">
      <c r="B572" s="72"/>
      <c r="I572" s="73"/>
      <c r="K572" s="39"/>
    </row>
    <row r="573">
      <c r="B573" s="72"/>
      <c r="I573" s="73"/>
      <c r="K573" s="39"/>
    </row>
    <row r="574">
      <c r="B574" s="72"/>
      <c r="I574" s="73"/>
      <c r="K574" s="39"/>
    </row>
    <row r="575">
      <c r="B575" s="72"/>
      <c r="I575" s="73"/>
      <c r="K575" s="39"/>
    </row>
    <row r="576">
      <c r="B576" s="72"/>
      <c r="I576" s="73"/>
      <c r="K576" s="39"/>
    </row>
    <row r="577">
      <c r="B577" s="72"/>
      <c r="I577" s="73"/>
      <c r="K577" s="39"/>
    </row>
    <row r="578">
      <c r="B578" s="72"/>
      <c r="I578" s="73"/>
      <c r="K578" s="39"/>
    </row>
    <row r="579">
      <c r="B579" s="72"/>
      <c r="I579" s="73"/>
      <c r="K579" s="39"/>
    </row>
    <row r="580">
      <c r="B580" s="72"/>
      <c r="I580" s="73"/>
      <c r="K580" s="39"/>
    </row>
    <row r="581">
      <c r="B581" s="72"/>
      <c r="I581" s="73"/>
      <c r="K581" s="39"/>
    </row>
    <row r="582">
      <c r="B582" s="72"/>
      <c r="I582" s="73"/>
      <c r="K582" s="39"/>
    </row>
    <row r="583">
      <c r="B583" s="72"/>
      <c r="I583" s="73"/>
      <c r="K583" s="39"/>
    </row>
    <row r="584">
      <c r="B584" s="72"/>
      <c r="I584" s="73"/>
      <c r="K584" s="39"/>
    </row>
    <row r="585">
      <c r="B585" s="72"/>
      <c r="I585" s="73"/>
      <c r="K585" s="39"/>
    </row>
    <row r="586">
      <c r="B586" s="72"/>
      <c r="I586" s="73"/>
      <c r="K586" s="39"/>
    </row>
    <row r="587">
      <c r="B587" s="72"/>
      <c r="I587" s="73"/>
      <c r="K587" s="39"/>
    </row>
    <row r="588">
      <c r="B588" s="72"/>
      <c r="I588" s="73"/>
      <c r="K588" s="39"/>
    </row>
    <row r="589">
      <c r="B589" s="72"/>
      <c r="I589" s="73"/>
      <c r="K589" s="39"/>
    </row>
    <row r="590">
      <c r="B590" s="72"/>
      <c r="I590" s="73"/>
      <c r="K590" s="39"/>
    </row>
    <row r="591">
      <c r="B591" s="72"/>
      <c r="I591" s="73"/>
      <c r="K591" s="39"/>
    </row>
    <row r="592">
      <c r="B592" s="72"/>
      <c r="I592" s="73"/>
      <c r="K592" s="39"/>
    </row>
    <row r="593">
      <c r="B593" s="72"/>
      <c r="I593" s="73"/>
      <c r="K593" s="39"/>
    </row>
    <row r="594">
      <c r="B594" s="72"/>
      <c r="I594" s="73"/>
      <c r="K594" s="39"/>
    </row>
    <row r="595">
      <c r="B595" s="72"/>
      <c r="I595" s="73"/>
      <c r="K595" s="39"/>
    </row>
    <row r="596">
      <c r="B596" s="72"/>
      <c r="I596" s="73"/>
      <c r="K596" s="39"/>
    </row>
    <row r="597">
      <c r="B597" s="72"/>
      <c r="I597" s="73"/>
      <c r="K597" s="39"/>
    </row>
    <row r="598">
      <c r="B598" s="72"/>
      <c r="I598" s="73"/>
      <c r="K598" s="39"/>
    </row>
    <row r="599">
      <c r="B599" s="72"/>
      <c r="I599" s="73"/>
      <c r="K599" s="39"/>
    </row>
    <row r="600">
      <c r="B600" s="72"/>
      <c r="I600" s="73"/>
      <c r="K600" s="39"/>
    </row>
    <row r="601">
      <c r="B601" s="72"/>
      <c r="I601" s="73"/>
      <c r="K601" s="39"/>
    </row>
    <row r="602">
      <c r="B602" s="72"/>
      <c r="I602" s="73"/>
      <c r="K602" s="39"/>
    </row>
    <row r="603">
      <c r="B603" s="72"/>
      <c r="I603" s="73"/>
      <c r="K603" s="39"/>
    </row>
    <row r="604">
      <c r="B604" s="72"/>
      <c r="I604" s="73"/>
      <c r="K604" s="39"/>
    </row>
    <row r="605">
      <c r="B605" s="72"/>
      <c r="I605" s="73"/>
      <c r="K605" s="39"/>
    </row>
    <row r="606">
      <c r="B606" s="72"/>
      <c r="I606" s="73"/>
      <c r="K606" s="39"/>
    </row>
    <row r="607">
      <c r="B607" s="72"/>
      <c r="I607" s="73"/>
      <c r="K607" s="39"/>
    </row>
    <row r="608">
      <c r="B608" s="72"/>
      <c r="I608" s="73"/>
      <c r="K608" s="39"/>
    </row>
    <row r="609">
      <c r="B609" s="72"/>
      <c r="I609" s="73"/>
      <c r="K609" s="39"/>
    </row>
    <row r="610">
      <c r="B610" s="72"/>
      <c r="I610" s="73"/>
      <c r="K610" s="39"/>
    </row>
    <row r="611">
      <c r="B611" s="72"/>
      <c r="I611" s="73"/>
      <c r="K611" s="39"/>
    </row>
    <row r="612">
      <c r="B612" s="72"/>
      <c r="I612" s="73"/>
      <c r="K612" s="39"/>
    </row>
    <row r="613">
      <c r="B613" s="72"/>
      <c r="I613" s="73"/>
      <c r="K613" s="39"/>
    </row>
    <row r="614">
      <c r="B614" s="72"/>
      <c r="I614" s="73"/>
      <c r="K614" s="39"/>
    </row>
    <row r="615">
      <c r="B615" s="72"/>
      <c r="I615" s="73"/>
      <c r="K615" s="39"/>
    </row>
    <row r="616">
      <c r="B616" s="72"/>
      <c r="I616" s="73"/>
      <c r="K616" s="39"/>
    </row>
    <row r="617">
      <c r="B617" s="72"/>
      <c r="I617" s="73"/>
      <c r="K617" s="39"/>
    </row>
    <row r="618">
      <c r="B618" s="72"/>
      <c r="I618" s="73"/>
      <c r="K618" s="39"/>
    </row>
    <row r="619">
      <c r="B619" s="72"/>
      <c r="I619" s="73"/>
      <c r="K619" s="39"/>
    </row>
    <row r="620">
      <c r="B620" s="72"/>
      <c r="I620" s="73"/>
      <c r="K620" s="39"/>
    </row>
    <row r="621">
      <c r="B621" s="72"/>
      <c r="I621" s="73"/>
      <c r="K621" s="39"/>
    </row>
    <row r="622">
      <c r="B622" s="72"/>
      <c r="I622" s="73"/>
      <c r="K622" s="39"/>
    </row>
    <row r="623">
      <c r="B623" s="72"/>
      <c r="I623" s="73"/>
      <c r="K623" s="39"/>
    </row>
    <row r="624">
      <c r="B624" s="72"/>
      <c r="I624" s="73"/>
      <c r="K624" s="39"/>
    </row>
    <row r="625">
      <c r="B625" s="72"/>
      <c r="I625" s="73"/>
      <c r="K625" s="39"/>
    </row>
    <row r="626">
      <c r="B626" s="72"/>
      <c r="I626" s="73"/>
      <c r="K626" s="39"/>
    </row>
    <row r="627">
      <c r="B627" s="72"/>
      <c r="I627" s="73"/>
      <c r="K627" s="39"/>
    </row>
    <row r="628">
      <c r="B628" s="72"/>
      <c r="I628" s="73"/>
      <c r="K628" s="39"/>
    </row>
    <row r="629">
      <c r="B629" s="72"/>
      <c r="I629" s="73"/>
      <c r="K629" s="39"/>
    </row>
    <row r="630">
      <c r="B630" s="72"/>
      <c r="I630" s="73"/>
      <c r="K630" s="39"/>
    </row>
    <row r="631">
      <c r="B631" s="72"/>
      <c r="I631" s="73"/>
      <c r="K631" s="39"/>
    </row>
    <row r="632">
      <c r="B632" s="72"/>
      <c r="I632" s="73"/>
      <c r="K632" s="39"/>
    </row>
    <row r="633">
      <c r="B633" s="72"/>
      <c r="I633" s="73"/>
      <c r="K633" s="39"/>
    </row>
    <row r="634">
      <c r="B634" s="72"/>
      <c r="I634" s="73"/>
      <c r="K634" s="39"/>
    </row>
    <row r="635">
      <c r="B635" s="72"/>
      <c r="I635" s="73"/>
      <c r="K635" s="39"/>
    </row>
    <row r="636">
      <c r="B636" s="72"/>
      <c r="I636" s="73"/>
      <c r="K636" s="39"/>
    </row>
    <row r="637">
      <c r="B637" s="72"/>
      <c r="I637" s="73"/>
      <c r="K637" s="39"/>
    </row>
    <row r="638">
      <c r="B638" s="72"/>
      <c r="I638" s="73"/>
      <c r="K638" s="39"/>
    </row>
    <row r="639">
      <c r="B639" s="72"/>
      <c r="I639" s="73"/>
      <c r="K639" s="39"/>
    </row>
    <row r="640">
      <c r="B640" s="72"/>
      <c r="I640" s="73"/>
      <c r="K640" s="39"/>
    </row>
    <row r="641">
      <c r="B641" s="72"/>
      <c r="I641" s="73"/>
      <c r="K641" s="39"/>
    </row>
    <row r="642">
      <c r="B642" s="72"/>
      <c r="I642" s="73"/>
      <c r="K642" s="39"/>
    </row>
    <row r="643">
      <c r="B643" s="72"/>
      <c r="I643" s="73"/>
      <c r="K643" s="39"/>
    </row>
    <row r="644">
      <c r="B644" s="72"/>
      <c r="I644" s="73"/>
      <c r="K644" s="39"/>
    </row>
    <row r="645">
      <c r="B645" s="72"/>
      <c r="I645" s="73"/>
      <c r="K645" s="39"/>
    </row>
    <row r="646">
      <c r="B646" s="72"/>
      <c r="I646" s="73"/>
      <c r="K646" s="39"/>
    </row>
    <row r="647">
      <c r="B647" s="72"/>
      <c r="I647" s="73"/>
      <c r="K647" s="39"/>
    </row>
    <row r="648">
      <c r="B648" s="72"/>
      <c r="I648" s="73"/>
      <c r="K648" s="39"/>
    </row>
    <row r="649">
      <c r="B649" s="72"/>
      <c r="I649" s="73"/>
      <c r="K649" s="39"/>
    </row>
    <row r="650">
      <c r="B650" s="72"/>
      <c r="I650" s="73"/>
      <c r="K650" s="39"/>
    </row>
    <row r="651">
      <c r="B651" s="72"/>
      <c r="I651" s="73"/>
      <c r="K651" s="39"/>
    </row>
    <row r="652">
      <c r="B652" s="72"/>
      <c r="I652" s="73"/>
      <c r="K652" s="39"/>
    </row>
    <row r="653">
      <c r="B653" s="72"/>
      <c r="I653" s="73"/>
      <c r="K653" s="39"/>
    </row>
    <row r="654">
      <c r="B654" s="72"/>
      <c r="I654" s="73"/>
      <c r="K654" s="39"/>
    </row>
    <row r="655">
      <c r="B655" s="72"/>
      <c r="I655" s="73"/>
      <c r="K655" s="39"/>
    </row>
    <row r="656">
      <c r="B656" s="72"/>
      <c r="I656" s="73"/>
      <c r="K656" s="39"/>
    </row>
    <row r="657">
      <c r="B657" s="72"/>
      <c r="I657" s="73"/>
      <c r="K657" s="39"/>
    </row>
    <row r="658">
      <c r="B658" s="72"/>
      <c r="I658" s="73"/>
      <c r="K658" s="39"/>
    </row>
    <row r="659">
      <c r="B659" s="72"/>
      <c r="I659" s="73"/>
      <c r="K659" s="39"/>
    </row>
    <row r="660">
      <c r="B660" s="72"/>
      <c r="I660" s="73"/>
      <c r="K660" s="39"/>
    </row>
    <row r="661">
      <c r="B661" s="72"/>
      <c r="I661" s="73"/>
      <c r="K661" s="39"/>
    </row>
    <row r="662">
      <c r="B662" s="72"/>
      <c r="I662" s="73"/>
      <c r="K662" s="39"/>
    </row>
    <row r="663">
      <c r="B663" s="72"/>
      <c r="I663" s="73"/>
      <c r="K663" s="39"/>
    </row>
    <row r="664">
      <c r="B664" s="72"/>
      <c r="I664" s="73"/>
      <c r="K664" s="39"/>
    </row>
    <row r="665">
      <c r="B665" s="72"/>
      <c r="I665" s="73"/>
      <c r="K665" s="39"/>
    </row>
    <row r="666">
      <c r="B666" s="72"/>
      <c r="I666" s="73"/>
      <c r="K666" s="39"/>
    </row>
    <row r="667">
      <c r="B667" s="72"/>
      <c r="I667" s="73"/>
      <c r="K667" s="39"/>
    </row>
    <row r="668">
      <c r="B668" s="72"/>
      <c r="I668" s="73"/>
      <c r="K668" s="39"/>
    </row>
    <row r="669">
      <c r="B669" s="72"/>
      <c r="I669" s="73"/>
      <c r="K669" s="39"/>
    </row>
    <row r="670">
      <c r="B670" s="72"/>
      <c r="I670" s="73"/>
      <c r="K670" s="39"/>
    </row>
    <row r="671">
      <c r="B671" s="72"/>
      <c r="I671" s="73"/>
      <c r="K671" s="39"/>
    </row>
    <row r="672">
      <c r="B672" s="72"/>
      <c r="I672" s="73"/>
      <c r="K672" s="39"/>
    </row>
    <row r="673">
      <c r="B673" s="72"/>
      <c r="I673" s="73"/>
      <c r="K673" s="39"/>
    </row>
    <row r="674">
      <c r="B674" s="72"/>
      <c r="I674" s="73"/>
      <c r="K674" s="39"/>
    </row>
    <row r="675">
      <c r="B675" s="72"/>
      <c r="I675" s="73"/>
      <c r="K675" s="39"/>
    </row>
    <row r="676">
      <c r="B676" s="72"/>
      <c r="I676" s="73"/>
      <c r="K676" s="39"/>
    </row>
    <row r="677">
      <c r="B677" s="72"/>
      <c r="I677" s="73"/>
      <c r="K677" s="39"/>
    </row>
    <row r="678">
      <c r="B678" s="72"/>
      <c r="I678" s="73"/>
      <c r="K678" s="39"/>
    </row>
    <row r="679">
      <c r="B679" s="72"/>
      <c r="I679" s="73"/>
      <c r="K679" s="39"/>
    </row>
    <row r="680">
      <c r="B680" s="72"/>
      <c r="I680" s="73"/>
      <c r="K680" s="39"/>
    </row>
    <row r="681">
      <c r="B681" s="72"/>
      <c r="I681" s="73"/>
      <c r="K681" s="39"/>
    </row>
    <row r="682">
      <c r="B682" s="72"/>
      <c r="I682" s="73"/>
      <c r="K682" s="39"/>
    </row>
    <row r="683">
      <c r="B683" s="72"/>
      <c r="I683" s="73"/>
      <c r="K683" s="39"/>
    </row>
    <row r="684">
      <c r="B684" s="72"/>
      <c r="I684" s="73"/>
      <c r="K684" s="39"/>
    </row>
    <row r="685">
      <c r="B685" s="72"/>
      <c r="I685" s="73"/>
      <c r="K685" s="39"/>
    </row>
    <row r="686">
      <c r="B686" s="72"/>
      <c r="I686" s="73"/>
      <c r="K686" s="39"/>
    </row>
    <row r="687">
      <c r="B687" s="72"/>
      <c r="I687" s="73"/>
      <c r="K687" s="39"/>
    </row>
    <row r="688">
      <c r="B688" s="72"/>
      <c r="I688" s="73"/>
      <c r="K688" s="39"/>
    </row>
    <row r="689">
      <c r="B689" s="72"/>
      <c r="I689" s="73"/>
      <c r="K689" s="39"/>
    </row>
    <row r="690">
      <c r="B690" s="72"/>
      <c r="I690" s="73"/>
      <c r="K690" s="39"/>
    </row>
    <row r="691">
      <c r="B691" s="72"/>
      <c r="I691" s="73"/>
      <c r="K691" s="39"/>
    </row>
    <row r="692">
      <c r="B692" s="72"/>
      <c r="I692" s="73"/>
      <c r="K692" s="39"/>
    </row>
    <row r="693">
      <c r="B693" s="72"/>
      <c r="I693" s="73"/>
      <c r="K693" s="39"/>
    </row>
    <row r="694">
      <c r="B694" s="72"/>
      <c r="I694" s="73"/>
      <c r="K694" s="39"/>
    </row>
    <row r="695">
      <c r="B695" s="72"/>
      <c r="I695" s="73"/>
      <c r="K695" s="39"/>
    </row>
    <row r="696">
      <c r="B696" s="72"/>
      <c r="I696" s="73"/>
      <c r="K696" s="39"/>
    </row>
    <row r="697">
      <c r="B697" s="72"/>
      <c r="I697" s="73"/>
      <c r="K697" s="39"/>
    </row>
    <row r="698">
      <c r="B698" s="72"/>
      <c r="I698" s="73"/>
      <c r="K698" s="39"/>
    </row>
    <row r="699">
      <c r="B699" s="72"/>
      <c r="I699" s="73"/>
      <c r="K699" s="39"/>
    </row>
    <row r="700">
      <c r="B700" s="72"/>
      <c r="I700" s="73"/>
      <c r="K700" s="39"/>
    </row>
    <row r="701">
      <c r="B701" s="72"/>
      <c r="I701" s="73"/>
      <c r="K701" s="39"/>
    </row>
    <row r="702">
      <c r="B702" s="72"/>
      <c r="I702" s="73"/>
      <c r="K702" s="39"/>
    </row>
    <row r="703">
      <c r="B703" s="72"/>
      <c r="I703" s="73"/>
      <c r="K703" s="39"/>
    </row>
    <row r="704">
      <c r="B704" s="72"/>
      <c r="I704" s="73"/>
      <c r="K704" s="39"/>
    </row>
    <row r="705">
      <c r="B705" s="72"/>
      <c r="I705" s="73"/>
      <c r="K705" s="39"/>
    </row>
    <row r="706">
      <c r="B706" s="72"/>
      <c r="I706" s="73"/>
      <c r="K706" s="39"/>
    </row>
    <row r="707">
      <c r="B707" s="72"/>
      <c r="I707" s="73"/>
      <c r="K707" s="39"/>
    </row>
    <row r="708">
      <c r="B708" s="72"/>
      <c r="I708" s="73"/>
      <c r="K708" s="39"/>
    </row>
    <row r="709">
      <c r="B709" s="72"/>
      <c r="I709" s="73"/>
      <c r="K709" s="39"/>
    </row>
    <row r="710">
      <c r="B710" s="72"/>
      <c r="I710" s="73"/>
      <c r="K710" s="39"/>
    </row>
    <row r="711">
      <c r="B711" s="72"/>
      <c r="I711" s="73"/>
      <c r="K711" s="39"/>
    </row>
    <row r="712">
      <c r="B712" s="72"/>
      <c r="I712" s="73"/>
      <c r="K712" s="39"/>
    </row>
    <row r="713">
      <c r="B713" s="72"/>
      <c r="I713" s="73"/>
      <c r="K713" s="39"/>
    </row>
    <row r="714">
      <c r="B714" s="72"/>
      <c r="I714" s="73"/>
      <c r="K714" s="39"/>
    </row>
    <row r="715">
      <c r="B715" s="72"/>
      <c r="I715" s="73"/>
      <c r="K715" s="39"/>
    </row>
    <row r="716">
      <c r="B716" s="72"/>
      <c r="I716" s="73"/>
      <c r="K716" s="39"/>
    </row>
    <row r="717">
      <c r="B717" s="72"/>
      <c r="I717" s="73"/>
      <c r="K717" s="39"/>
    </row>
    <row r="718">
      <c r="B718" s="72"/>
      <c r="I718" s="73"/>
      <c r="K718" s="39"/>
    </row>
    <row r="719">
      <c r="B719" s="72"/>
      <c r="I719" s="73"/>
      <c r="K719" s="39"/>
    </row>
    <row r="720">
      <c r="B720" s="72"/>
      <c r="I720" s="73"/>
      <c r="K720" s="39"/>
    </row>
    <row r="721">
      <c r="B721" s="72"/>
      <c r="I721" s="73"/>
      <c r="K721" s="39"/>
    </row>
    <row r="722">
      <c r="B722" s="72"/>
      <c r="I722" s="73"/>
      <c r="K722" s="39"/>
    </row>
    <row r="723">
      <c r="B723" s="72"/>
      <c r="I723" s="73"/>
      <c r="K723" s="39"/>
    </row>
    <row r="724">
      <c r="B724" s="72"/>
      <c r="I724" s="73"/>
      <c r="K724" s="39"/>
    </row>
    <row r="725">
      <c r="B725" s="72"/>
      <c r="I725" s="73"/>
      <c r="K725" s="39"/>
    </row>
    <row r="726">
      <c r="B726" s="72"/>
      <c r="I726" s="73"/>
      <c r="K726" s="39"/>
    </row>
    <row r="727">
      <c r="B727" s="72"/>
      <c r="I727" s="73"/>
      <c r="K727" s="39"/>
    </row>
    <row r="728">
      <c r="B728" s="72"/>
      <c r="I728" s="73"/>
      <c r="K728" s="39"/>
    </row>
    <row r="729">
      <c r="B729" s="72"/>
      <c r="I729" s="73"/>
      <c r="K729" s="39"/>
    </row>
    <row r="730">
      <c r="B730" s="72"/>
      <c r="I730" s="73"/>
      <c r="K730" s="39"/>
    </row>
    <row r="731">
      <c r="B731" s="72"/>
      <c r="I731" s="73"/>
      <c r="K731" s="39"/>
    </row>
    <row r="732">
      <c r="B732" s="72"/>
      <c r="I732" s="73"/>
      <c r="K732" s="39"/>
    </row>
    <row r="733">
      <c r="B733" s="72"/>
      <c r="I733" s="73"/>
      <c r="K733" s="39"/>
    </row>
    <row r="734">
      <c r="B734" s="72"/>
      <c r="I734" s="73"/>
      <c r="K734" s="39"/>
    </row>
    <row r="735">
      <c r="B735" s="72"/>
      <c r="I735" s="73"/>
      <c r="K735" s="39"/>
    </row>
    <row r="736">
      <c r="B736" s="72"/>
      <c r="I736" s="73"/>
      <c r="K736" s="39"/>
    </row>
    <row r="737">
      <c r="B737" s="72"/>
      <c r="I737" s="73"/>
      <c r="K737" s="39"/>
    </row>
    <row r="738">
      <c r="B738" s="72"/>
      <c r="I738" s="73"/>
      <c r="K738" s="39"/>
    </row>
    <row r="739">
      <c r="B739" s="72"/>
      <c r="I739" s="73"/>
      <c r="K739" s="39"/>
    </row>
    <row r="740">
      <c r="B740" s="72"/>
      <c r="I740" s="73"/>
      <c r="K740" s="39"/>
    </row>
    <row r="741">
      <c r="B741" s="72"/>
      <c r="I741" s="73"/>
      <c r="K741" s="39"/>
    </row>
    <row r="742">
      <c r="B742" s="72"/>
      <c r="I742" s="73"/>
      <c r="K742" s="39"/>
    </row>
    <row r="743">
      <c r="B743" s="72"/>
      <c r="I743" s="73"/>
      <c r="K743" s="39"/>
    </row>
    <row r="744">
      <c r="B744" s="72"/>
      <c r="I744" s="73"/>
      <c r="K744" s="39"/>
    </row>
    <row r="745">
      <c r="B745" s="72"/>
      <c r="I745" s="73"/>
      <c r="K745" s="39"/>
    </row>
    <row r="746">
      <c r="B746" s="72"/>
      <c r="I746" s="73"/>
      <c r="K746" s="39"/>
    </row>
    <row r="747">
      <c r="B747" s="72"/>
      <c r="I747" s="73"/>
      <c r="K747" s="39"/>
    </row>
    <row r="748">
      <c r="B748" s="72"/>
      <c r="I748" s="73"/>
      <c r="K748" s="39"/>
    </row>
    <row r="749">
      <c r="B749" s="72"/>
      <c r="I749" s="73"/>
      <c r="K749" s="39"/>
    </row>
    <row r="750">
      <c r="B750" s="72"/>
      <c r="I750" s="73"/>
      <c r="K750" s="39"/>
    </row>
    <row r="751">
      <c r="B751" s="72"/>
      <c r="I751" s="73"/>
      <c r="K751" s="39"/>
    </row>
    <row r="752">
      <c r="B752" s="72"/>
      <c r="I752" s="73"/>
      <c r="K752" s="39"/>
    </row>
    <row r="753">
      <c r="B753" s="72"/>
      <c r="I753" s="73"/>
      <c r="K753" s="39"/>
    </row>
    <row r="754">
      <c r="B754" s="72"/>
      <c r="I754" s="73"/>
      <c r="K754" s="39"/>
    </row>
    <row r="755">
      <c r="B755" s="72"/>
      <c r="I755" s="73"/>
      <c r="K755" s="39"/>
    </row>
    <row r="756">
      <c r="B756" s="72"/>
      <c r="I756" s="73"/>
      <c r="K756" s="39"/>
    </row>
    <row r="757">
      <c r="B757" s="72"/>
      <c r="I757" s="73"/>
      <c r="K757" s="39"/>
    </row>
    <row r="758">
      <c r="B758" s="72"/>
      <c r="I758" s="73"/>
      <c r="K758" s="39"/>
    </row>
    <row r="759">
      <c r="B759" s="72"/>
      <c r="I759" s="73"/>
      <c r="K759" s="39"/>
    </row>
    <row r="760">
      <c r="B760" s="72"/>
      <c r="I760" s="73"/>
      <c r="K760" s="39"/>
    </row>
    <row r="761">
      <c r="B761" s="72"/>
      <c r="I761" s="73"/>
      <c r="K761" s="39"/>
    </row>
    <row r="762">
      <c r="B762" s="72"/>
      <c r="I762" s="73"/>
      <c r="K762" s="39"/>
    </row>
    <row r="763">
      <c r="B763" s="72"/>
      <c r="I763" s="73"/>
      <c r="K763" s="39"/>
    </row>
    <row r="764">
      <c r="B764" s="72"/>
      <c r="I764" s="73"/>
      <c r="K764" s="39"/>
    </row>
    <row r="765">
      <c r="B765" s="72"/>
      <c r="I765" s="73"/>
      <c r="K765" s="39"/>
    </row>
    <row r="766">
      <c r="B766" s="72"/>
      <c r="I766" s="73"/>
      <c r="K766" s="39"/>
    </row>
    <row r="767">
      <c r="B767" s="72"/>
      <c r="I767" s="73"/>
      <c r="K767" s="39"/>
    </row>
    <row r="768">
      <c r="B768" s="72"/>
      <c r="I768" s="73"/>
      <c r="K768" s="39"/>
    </row>
    <row r="769">
      <c r="B769" s="72"/>
      <c r="I769" s="73"/>
      <c r="K769" s="39"/>
    </row>
    <row r="770">
      <c r="B770" s="72"/>
      <c r="I770" s="73"/>
      <c r="K770" s="39"/>
    </row>
    <row r="771">
      <c r="B771" s="72"/>
      <c r="I771" s="73"/>
      <c r="K771" s="39"/>
    </row>
    <row r="772">
      <c r="B772" s="72"/>
      <c r="I772" s="73"/>
      <c r="K772" s="39"/>
    </row>
    <row r="773">
      <c r="B773" s="72"/>
      <c r="I773" s="73"/>
      <c r="K773" s="39"/>
    </row>
    <row r="774">
      <c r="B774" s="72"/>
      <c r="I774" s="73"/>
      <c r="K774" s="39"/>
    </row>
    <row r="775">
      <c r="B775" s="72"/>
      <c r="I775" s="73"/>
      <c r="K775" s="39"/>
    </row>
    <row r="776">
      <c r="B776" s="72"/>
      <c r="I776" s="73"/>
      <c r="K776" s="39"/>
    </row>
    <row r="777">
      <c r="B777" s="72"/>
      <c r="I777" s="73"/>
      <c r="K777" s="39"/>
    </row>
    <row r="778">
      <c r="B778" s="72"/>
      <c r="I778" s="73"/>
      <c r="K778" s="39"/>
    </row>
    <row r="779">
      <c r="B779" s="72"/>
      <c r="I779" s="73"/>
      <c r="K779" s="39"/>
    </row>
    <row r="780">
      <c r="B780" s="72"/>
      <c r="I780" s="73"/>
      <c r="K780" s="39"/>
    </row>
    <row r="781">
      <c r="B781" s="72"/>
      <c r="I781" s="73"/>
      <c r="K781" s="39"/>
    </row>
    <row r="782">
      <c r="B782" s="72"/>
      <c r="I782" s="73"/>
      <c r="K782" s="39"/>
    </row>
    <row r="783">
      <c r="B783" s="72"/>
      <c r="I783" s="73"/>
      <c r="K783" s="39"/>
    </row>
    <row r="784">
      <c r="B784" s="72"/>
      <c r="I784" s="73"/>
      <c r="K784" s="39"/>
    </row>
    <row r="785">
      <c r="B785" s="72"/>
      <c r="I785" s="73"/>
      <c r="K785" s="39"/>
    </row>
    <row r="786">
      <c r="B786" s="72"/>
      <c r="I786" s="73"/>
      <c r="K786" s="39"/>
    </row>
    <row r="787">
      <c r="B787" s="72"/>
      <c r="I787" s="73"/>
      <c r="K787" s="39"/>
    </row>
    <row r="788">
      <c r="B788" s="72"/>
      <c r="I788" s="73"/>
      <c r="K788" s="39"/>
    </row>
    <row r="789">
      <c r="B789" s="72"/>
      <c r="I789" s="73"/>
      <c r="K789" s="39"/>
    </row>
    <row r="790">
      <c r="B790" s="72"/>
      <c r="I790" s="73"/>
      <c r="K790" s="39"/>
    </row>
    <row r="791">
      <c r="B791" s="72"/>
      <c r="I791" s="73"/>
      <c r="K791" s="39"/>
    </row>
    <row r="792">
      <c r="B792" s="72"/>
      <c r="I792" s="73"/>
      <c r="K792" s="39"/>
    </row>
    <row r="793">
      <c r="B793" s="72"/>
      <c r="I793" s="73"/>
      <c r="K793" s="39"/>
    </row>
    <row r="794">
      <c r="B794" s="72"/>
      <c r="I794" s="73"/>
      <c r="K794" s="39"/>
    </row>
    <row r="795">
      <c r="B795" s="72"/>
      <c r="I795" s="73"/>
      <c r="K795" s="39"/>
    </row>
    <row r="796">
      <c r="B796" s="72"/>
      <c r="I796" s="73"/>
      <c r="K796" s="39"/>
    </row>
    <row r="797">
      <c r="B797" s="72"/>
      <c r="I797" s="73"/>
      <c r="K797" s="39"/>
    </row>
    <row r="798">
      <c r="B798" s="72"/>
      <c r="I798" s="73"/>
      <c r="K798" s="39"/>
    </row>
    <row r="799">
      <c r="B799" s="72"/>
      <c r="I799" s="73"/>
      <c r="K799" s="39"/>
    </row>
    <row r="800">
      <c r="B800" s="72"/>
      <c r="I800" s="73"/>
      <c r="K800" s="39"/>
    </row>
    <row r="801">
      <c r="B801" s="72"/>
      <c r="I801" s="73"/>
      <c r="K801" s="39"/>
    </row>
    <row r="802">
      <c r="B802" s="72"/>
      <c r="I802" s="73"/>
      <c r="K802" s="39"/>
    </row>
    <row r="803">
      <c r="B803" s="72"/>
      <c r="I803" s="73"/>
      <c r="K803" s="39"/>
    </row>
    <row r="804">
      <c r="B804" s="72"/>
      <c r="I804" s="73"/>
      <c r="K804" s="39"/>
    </row>
    <row r="805">
      <c r="B805" s="72"/>
      <c r="I805" s="73"/>
      <c r="K805" s="39"/>
    </row>
    <row r="806">
      <c r="B806" s="72"/>
      <c r="I806" s="73"/>
      <c r="K806" s="39"/>
    </row>
    <row r="807">
      <c r="B807" s="72"/>
      <c r="I807" s="73"/>
      <c r="K807" s="39"/>
    </row>
    <row r="808">
      <c r="B808" s="72"/>
      <c r="I808" s="73"/>
      <c r="K808" s="39"/>
    </row>
    <row r="809">
      <c r="B809" s="72"/>
      <c r="I809" s="73"/>
      <c r="K809" s="39"/>
    </row>
    <row r="810">
      <c r="B810" s="72"/>
      <c r="I810" s="73"/>
      <c r="K810" s="39"/>
    </row>
    <row r="811">
      <c r="B811" s="72"/>
      <c r="I811" s="73"/>
      <c r="K811" s="39"/>
    </row>
    <row r="812">
      <c r="B812" s="72"/>
      <c r="I812" s="73"/>
      <c r="K812" s="39"/>
    </row>
    <row r="813">
      <c r="B813" s="72"/>
      <c r="I813" s="73"/>
      <c r="K813" s="39"/>
    </row>
    <row r="814">
      <c r="B814" s="72"/>
      <c r="I814" s="73"/>
      <c r="K814" s="39"/>
    </row>
    <row r="815">
      <c r="B815" s="72"/>
      <c r="I815" s="73"/>
      <c r="K815" s="39"/>
    </row>
    <row r="816">
      <c r="B816" s="72"/>
      <c r="I816" s="73"/>
      <c r="K816" s="39"/>
    </row>
    <row r="817">
      <c r="B817" s="72"/>
      <c r="I817" s="73"/>
      <c r="K817" s="39"/>
    </row>
    <row r="818">
      <c r="B818" s="72"/>
      <c r="I818" s="73"/>
      <c r="K818" s="39"/>
    </row>
    <row r="819">
      <c r="B819" s="72"/>
      <c r="I819" s="73"/>
      <c r="K819" s="39"/>
    </row>
    <row r="820">
      <c r="B820" s="72"/>
      <c r="I820" s="73"/>
      <c r="K820" s="39"/>
    </row>
    <row r="821">
      <c r="B821" s="72"/>
      <c r="I821" s="73"/>
      <c r="K821" s="39"/>
    </row>
    <row r="822">
      <c r="B822" s="72"/>
      <c r="I822" s="73"/>
      <c r="K822" s="39"/>
    </row>
    <row r="823">
      <c r="B823" s="72"/>
      <c r="I823" s="73"/>
      <c r="K823" s="39"/>
    </row>
    <row r="824">
      <c r="B824" s="72"/>
      <c r="I824" s="73"/>
      <c r="K824" s="39"/>
    </row>
    <row r="825">
      <c r="B825" s="72"/>
      <c r="I825" s="73"/>
      <c r="K825" s="39"/>
    </row>
    <row r="826">
      <c r="B826" s="72"/>
      <c r="I826" s="73"/>
      <c r="K826" s="39"/>
    </row>
    <row r="827">
      <c r="B827" s="72"/>
      <c r="I827" s="73"/>
      <c r="K827" s="39"/>
    </row>
    <row r="828">
      <c r="B828" s="72"/>
      <c r="I828" s="73"/>
      <c r="K828" s="39"/>
    </row>
    <row r="829">
      <c r="B829" s="72"/>
      <c r="I829" s="73"/>
      <c r="K829" s="39"/>
    </row>
    <row r="830">
      <c r="B830" s="72"/>
      <c r="I830" s="73"/>
      <c r="K830" s="39"/>
    </row>
    <row r="831">
      <c r="B831" s="72"/>
      <c r="I831" s="73"/>
      <c r="K831" s="39"/>
    </row>
    <row r="832">
      <c r="B832" s="72"/>
      <c r="I832" s="73"/>
      <c r="K832" s="39"/>
    </row>
    <row r="833">
      <c r="B833" s="72"/>
      <c r="I833" s="73"/>
      <c r="K833" s="39"/>
    </row>
    <row r="834">
      <c r="B834" s="72"/>
      <c r="I834" s="73"/>
      <c r="K834" s="39"/>
    </row>
    <row r="835">
      <c r="B835" s="72"/>
      <c r="I835" s="73"/>
      <c r="K835" s="39"/>
    </row>
    <row r="836">
      <c r="B836" s="72"/>
      <c r="I836" s="73"/>
      <c r="K836" s="39"/>
    </row>
    <row r="837">
      <c r="B837" s="72"/>
      <c r="I837" s="73"/>
      <c r="K837" s="39"/>
    </row>
    <row r="838">
      <c r="B838" s="72"/>
      <c r="I838" s="73"/>
      <c r="K838" s="39"/>
    </row>
    <row r="839">
      <c r="B839" s="72"/>
      <c r="I839" s="73"/>
      <c r="K839" s="39"/>
    </row>
    <row r="840">
      <c r="B840" s="72"/>
      <c r="I840" s="73"/>
      <c r="K840" s="39"/>
    </row>
    <row r="841">
      <c r="B841" s="72"/>
      <c r="I841" s="73"/>
      <c r="K841" s="39"/>
    </row>
    <row r="842">
      <c r="B842" s="72"/>
      <c r="I842" s="73"/>
      <c r="K842" s="39"/>
    </row>
    <row r="843">
      <c r="B843" s="72"/>
      <c r="I843" s="73"/>
      <c r="K843" s="39"/>
    </row>
    <row r="844">
      <c r="B844" s="72"/>
      <c r="I844" s="73"/>
      <c r="K844" s="39"/>
    </row>
    <row r="845">
      <c r="B845" s="72"/>
      <c r="I845" s="73"/>
      <c r="K845" s="39"/>
    </row>
    <row r="846">
      <c r="B846" s="72"/>
      <c r="I846" s="73"/>
      <c r="K846" s="39"/>
    </row>
    <row r="847">
      <c r="B847" s="72"/>
      <c r="I847" s="73"/>
      <c r="K847" s="39"/>
    </row>
    <row r="848">
      <c r="B848" s="72"/>
      <c r="I848" s="73"/>
      <c r="K848" s="39"/>
    </row>
    <row r="849">
      <c r="B849" s="72"/>
      <c r="I849" s="73"/>
      <c r="K849" s="39"/>
    </row>
    <row r="850">
      <c r="B850" s="72"/>
      <c r="I850" s="73"/>
      <c r="K850" s="39"/>
    </row>
    <row r="851">
      <c r="B851" s="72"/>
      <c r="I851" s="73"/>
      <c r="K851" s="39"/>
    </row>
    <row r="852">
      <c r="B852" s="72"/>
      <c r="I852" s="73"/>
      <c r="K852" s="39"/>
    </row>
    <row r="853">
      <c r="B853" s="72"/>
      <c r="I853" s="73"/>
      <c r="K853" s="39"/>
    </row>
    <row r="854">
      <c r="B854" s="72"/>
      <c r="I854" s="73"/>
      <c r="K854" s="39"/>
    </row>
    <row r="855">
      <c r="B855" s="72"/>
      <c r="I855" s="73"/>
      <c r="K855" s="39"/>
    </row>
    <row r="856">
      <c r="B856" s="72"/>
      <c r="I856" s="73"/>
      <c r="K856" s="39"/>
    </row>
    <row r="857">
      <c r="B857" s="72"/>
      <c r="I857" s="73"/>
      <c r="K857" s="39"/>
    </row>
    <row r="858">
      <c r="B858" s="72"/>
      <c r="I858" s="73"/>
      <c r="K858" s="39"/>
    </row>
    <row r="859">
      <c r="B859" s="72"/>
      <c r="I859" s="73"/>
      <c r="K859" s="39"/>
    </row>
    <row r="860">
      <c r="B860" s="72"/>
      <c r="I860" s="73"/>
      <c r="K860" s="39"/>
    </row>
    <row r="861">
      <c r="B861" s="72"/>
      <c r="I861" s="73"/>
      <c r="K861" s="39"/>
    </row>
    <row r="862">
      <c r="B862" s="72"/>
      <c r="I862" s="73"/>
      <c r="K862" s="39"/>
    </row>
    <row r="863">
      <c r="B863" s="72"/>
      <c r="I863" s="73"/>
      <c r="K863" s="39"/>
    </row>
    <row r="864">
      <c r="B864" s="72"/>
      <c r="I864" s="73"/>
      <c r="K864" s="39"/>
    </row>
    <row r="865">
      <c r="B865" s="72"/>
      <c r="I865" s="73"/>
      <c r="K865" s="39"/>
    </row>
    <row r="866">
      <c r="B866" s="72"/>
      <c r="I866" s="73"/>
      <c r="K866" s="39"/>
    </row>
    <row r="867">
      <c r="B867" s="72"/>
      <c r="I867" s="73"/>
      <c r="K867" s="39"/>
    </row>
    <row r="868">
      <c r="B868" s="72"/>
      <c r="I868" s="73"/>
      <c r="K868" s="39"/>
    </row>
    <row r="869">
      <c r="B869" s="72"/>
      <c r="I869" s="73"/>
      <c r="K869" s="39"/>
    </row>
    <row r="870">
      <c r="B870" s="72"/>
      <c r="I870" s="73"/>
      <c r="K870" s="39"/>
    </row>
    <row r="871">
      <c r="B871" s="72"/>
      <c r="I871" s="73"/>
      <c r="K871" s="39"/>
    </row>
    <row r="872">
      <c r="B872" s="72"/>
      <c r="I872" s="73"/>
      <c r="K872" s="39"/>
    </row>
    <row r="873">
      <c r="B873" s="72"/>
      <c r="I873" s="73"/>
      <c r="K873" s="39"/>
    </row>
    <row r="874">
      <c r="B874" s="72"/>
      <c r="I874" s="73"/>
      <c r="K874" s="39"/>
    </row>
    <row r="875">
      <c r="B875" s="72"/>
      <c r="I875" s="73"/>
      <c r="K875" s="39"/>
    </row>
    <row r="876">
      <c r="B876" s="72"/>
      <c r="I876" s="73"/>
      <c r="K876" s="39"/>
    </row>
    <row r="877">
      <c r="B877" s="72"/>
      <c r="I877" s="73"/>
      <c r="K877" s="39"/>
    </row>
    <row r="878">
      <c r="B878" s="72"/>
      <c r="I878" s="73"/>
      <c r="K878" s="39"/>
    </row>
    <row r="879">
      <c r="B879" s="72"/>
      <c r="I879" s="73"/>
      <c r="K879" s="39"/>
    </row>
    <row r="880">
      <c r="B880" s="72"/>
      <c r="I880" s="73"/>
      <c r="K880" s="39"/>
    </row>
    <row r="881">
      <c r="B881" s="72"/>
      <c r="I881" s="73"/>
      <c r="K881" s="39"/>
    </row>
    <row r="882">
      <c r="B882" s="72"/>
      <c r="I882" s="73"/>
      <c r="K882" s="39"/>
    </row>
    <row r="883">
      <c r="B883" s="72"/>
      <c r="I883" s="73"/>
      <c r="K883" s="39"/>
    </row>
    <row r="884">
      <c r="B884" s="72"/>
      <c r="I884" s="73"/>
      <c r="K884" s="39"/>
    </row>
    <row r="885">
      <c r="B885" s="72"/>
      <c r="I885" s="73"/>
      <c r="K885" s="39"/>
    </row>
    <row r="886">
      <c r="B886" s="72"/>
      <c r="I886" s="73"/>
      <c r="K886" s="39"/>
    </row>
    <row r="887">
      <c r="B887" s="72"/>
      <c r="I887" s="73"/>
      <c r="K887" s="39"/>
    </row>
    <row r="888">
      <c r="B888" s="72"/>
      <c r="I888" s="73"/>
      <c r="K888" s="39"/>
    </row>
    <row r="889">
      <c r="B889" s="72"/>
      <c r="I889" s="73"/>
      <c r="K889" s="39"/>
    </row>
    <row r="890">
      <c r="B890" s="72"/>
      <c r="I890" s="73"/>
      <c r="K890" s="39"/>
    </row>
    <row r="891">
      <c r="B891" s="72"/>
      <c r="I891" s="73"/>
      <c r="K891" s="39"/>
    </row>
    <row r="892">
      <c r="B892" s="72"/>
      <c r="I892" s="73"/>
      <c r="K892" s="39"/>
    </row>
    <row r="893">
      <c r="B893" s="72"/>
      <c r="I893" s="73"/>
      <c r="K893" s="39"/>
    </row>
    <row r="894">
      <c r="B894" s="72"/>
      <c r="I894" s="73"/>
      <c r="K894" s="39"/>
    </row>
    <row r="895">
      <c r="B895" s="72"/>
      <c r="I895" s="73"/>
      <c r="K895" s="39"/>
    </row>
    <row r="896">
      <c r="B896" s="72"/>
      <c r="I896" s="73"/>
      <c r="K896" s="39"/>
    </row>
    <row r="897">
      <c r="B897" s="72"/>
      <c r="I897" s="73"/>
      <c r="K897" s="39"/>
    </row>
    <row r="898">
      <c r="B898" s="72"/>
      <c r="I898" s="73"/>
      <c r="K898" s="39"/>
    </row>
    <row r="899">
      <c r="B899" s="72"/>
      <c r="I899" s="73"/>
      <c r="K899" s="39"/>
    </row>
    <row r="900">
      <c r="B900" s="72"/>
      <c r="I900" s="73"/>
      <c r="K900" s="39"/>
    </row>
    <row r="901">
      <c r="B901" s="72"/>
      <c r="I901" s="73"/>
      <c r="K901" s="39"/>
    </row>
    <row r="902">
      <c r="B902" s="72"/>
      <c r="I902" s="73"/>
      <c r="K902" s="39"/>
    </row>
    <row r="903">
      <c r="B903" s="72"/>
      <c r="I903" s="73"/>
      <c r="K903" s="39"/>
    </row>
    <row r="904">
      <c r="B904" s="72"/>
      <c r="I904" s="73"/>
      <c r="K904" s="39"/>
    </row>
    <row r="905">
      <c r="B905" s="72"/>
      <c r="I905" s="73"/>
      <c r="K905" s="39"/>
    </row>
    <row r="906">
      <c r="B906" s="72"/>
      <c r="I906" s="73"/>
      <c r="K906" s="39"/>
    </row>
    <row r="907">
      <c r="B907" s="72"/>
      <c r="I907" s="73"/>
      <c r="K907" s="39"/>
    </row>
    <row r="908">
      <c r="B908" s="72"/>
      <c r="I908" s="73"/>
      <c r="K908" s="39"/>
    </row>
    <row r="909">
      <c r="B909" s="72"/>
      <c r="I909" s="73"/>
      <c r="K909" s="39"/>
    </row>
    <row r="910">
      <c r="B910" s="72"/>
      <c r="I910" s="73"/>
      <c r="K910" s="39"/>
    </row>
    <row r="911">
      <c r="B911" s="72"/>
      <c r="I911" s="73"/>
      <c r="K911" s="39"/>
    </row>
    <row r="912">
      <c r="B912" s="72"/>
      <c r="I912" s="73"/>
      <c r="K912" s="39"/>
    </row>
    <row r="913">
      <c r="B913" s="72"/>
      <c r="I913" s="73"/>
      <c r="K913" s="39"/>
    </row>
    <row r="914">
      <c r="B914" s="72"/>
      <c r="I914" s="73"/>
      <c r="K914" s="39"/>
    </row>
    <row r="915">
      <c r="B915" s="72"/>
      <c r="I915" s="73"/>
      <c r="K915" s="39"/>
    </row>
    <row r="916">
      <c r="B916" s="72"/>
      <c r="I916" s="73"/>
      <c r="K916" s="39"/>
    </row>
    <row r="917">
      <c r="B917" s="72"/>
      <c r="I917" s="73"/>
      <c r="K917" s="39"/>
    </row>
    <row r="918">
      <c r="B918" s="72"/>
      <c r="I918" s="73"/>
      <c r="K918" s="39"/>
    </row>
    <row r="919">
      <c r="B919" s="72"/>
      <c r="I919" s="73"/>
      <c r="K919" s="39"/>
    </row>
    <row r="920">
      <c r="B920" s="72"/>
      <c r="I920" s="73"/>
      <c r="K920" s="39"/>
    </row>
    <row r="921">
      <c r="B921" s="72"/>
      <c r="I921" s="73"/>
      <c r="K921" s="39"/>
    </row>
    <row r="922">
      <c r="B922" s="72"/>
      <c r="I922" s="73"/>
      <c r="K922" s="39"/>
    </row>
    <row r="923">
      <c r="B923" s="72"/>
      <c r="I923" s="73"/>
      <c r="K923" s="39"/>
    </row>
    <row r="924">
      <c r="B924" s="72"/>
      <c r="I924" s="73"/>
      <c r="K924" s="39"/>
    </row>
    <row r="925">
      <c r="B925" s="72"/>
      <c r="I925" s="73"/>
      <c r="K925" s="39"/>
    </row>
    <row r="926">
      <c r="B926" s="72"/>
      <c r="I926" s="73"/>
      <c r="K926" s="39"/>
    </row>
    <row r="927">
      <c r="B927" s="72"/>
      <c r="I927" s="73"/>
      <c r="K927" s="39"/>
    </row>
    <row r="928">
      <c r="B928" s="72"/>
      <c r="I928" s="73"/>
      <c r="K928" s="39"/>
    </row>
    <row r="929">
      <c r="B929" s="72"/>
      <c r="I929" s="73"/>
      <c r="K929" s="39"/>
    </row>
    <row r="930">
      <c r="B930" s="72"/>
      <c r="I930" s="73"/>
      <c r="K930" s="39"/>
    </row>
    <row r="931">
      <c r="B931" s="72"/>
      <c r="I931" s="73"/>
      <c r="K931" s="39"/>
    </row>
    <row r="932">
      <c r="B932" s="72"/>
      <c r="I932" s="73"/>
      <c r="K932" s="39"/>
    </row>
    <row r="933">
      <c r="B933" s="72"/>
      <c r="I933" s="73"/>
      <c r="K933" s="39"/>
    </row>
    <row r="934">
      <c r="B934" s="72"/>
      <c r="I934" s="73"/>
      <c r="K934" s="39"/>
    </row>
    <row r="935">
      <c r="B935" s="72"/>
      <c r="I935" s="73"/>
      <c r="K935" s="39"/>
    </row>
    <row r="936">
      <c r="B936" s="72"/>
      <c r="I936" s="73"/>
      <c r="K936" s="39"/>
    </row>
    <row r="937">
      <c r="B937" s="72"/>
      <c r="I937" s="73"/>
      <c r="K937" s="39"/>
    </row>
    <row r="938">
      <c r="B938" s="72"/>
      <c r="I938" s="73"/>
      <c r="K938" s="39"/>
    </row>
    <row r="939">
      <c r="B939" s="72"/>
      <c r="I939" s="73"/>
      <c r="K939" s="39"/>
    </row>
    <row r="940">
      <c r="B940" s="72"/>
      <c r="I940" s="73"/>
      <c r="K940" s="39"/>
    </row>
    <row r="941">
      <c r="B941" s="72"/>
      <c r="I941" s="73"/>
      <c r="K941" s="39"/>
    </row>
    <row r="942">
      <c r="B942" s="72"/>
      <c r="I942" s="73"/>
      <c r="K942" s="39"/>
    </row>
    <row r="943">
      <c r="B943" s="72"/>
      <c r="I943" s="73"/>
      <c r="K943" s="39"/>
    </row>
    <row r="944">
      <c r="B944" s="72"/>
      <c r="I944" s="73"/>
      <c r="K944" s="39"/>
    </row>
    <row r="945">
      <c r="B945" s="72"/>
      <c r="I945" s="73"/>
      <c r="K945" s="39"/>
    </row>
    <row r="946">
      <c r="B946" s="72"/>
      <c r="I946" s="73"/>
      <c r="K946" s="39"/>
    </row>
    <row r="947">
      <c r="B947" s="72"/>
      <c r="I947" s="73"/>
      <c r="K947" s="39"/>
    </row>
    <row r="948">
      <c r="B948" s="72"/>
      <c r="I948" s="73"/>
      <c r="K948" s="39"/>
    </row>
    <row r="949">
      <c r="B949" s="72"/>
      <c r="I949" s="73"/>
      <c r="K949" s="39"/>
    </row>
    <row r="950">
      <c r="B950" s="72"/>
      <c r="I950" s="73"/>
      <c r="K950" s="39"/>
    </row>
    <row r="951">
      <c r="B951" s="72"/>
      <c r="I951" s="73"/>
      <c r="K951" s="39"/>
    </row>
    <row r="952">
      <c r="B952" s="72"/>
      <c r="I952" s="73"/>
      <c r="K952" s="39"/>
    </row>
    <row r="953">
      <c r="B953" s="72"/>
      <c r="I953" s="73"/>
      <c r="K953" s="39"/>
    </row>
    <row r="954">
      <c r="B954" s="72"/>
      <c r="I954" s="73"/>
      <c r="K954" s="39"/>
    </row>
    <row r="955">
      <c r="B955" s="72"/>
      <c r="I955" s="73"/>
      <c r="K955" s="39"/>
    </row>
    <row r="956">
      <c r="B956" s="72"/>
      <c r="I956" s="73"/>
      <c r="K956" s="39"/>
    </row>
    <row r="957">
      <c r="B957" s="72"/>
      <c r="I957" s="73"/>
      <c r="K957" s="39"/>
    </row>
    <row r="958">
      <c r="B958" s="72"/>
      <c r="I958" s="73"/>
      <c r="K958" s="39"/>
    </row>
    <row r="959">
      <c r="B959" s="72"/>
      <c r="I959" s="73"/>
      <c r="K959" s="39"/>
    </row>
    <row r="960">
      <c r="B960" s="72"/>
      <c r="I960" s="73"/>
      <c r="K960" s="39"/>
    </row>
    <row r="961">
      <c r="B961" s="72"/>
      <c r="I961" s="73"/>
      <c r="K961" s="39"/>
    </row>
    <row r="962">
      <c r="B962" s="72"/>
      <c r="I962" s="73"/>
      <c r="K962" s="39"/>
    </row>
    <row r="963">
      <c r="B963" s="72"/>
      <c r="I963" s="73"/>
      <c r="K963" s="39"/>
    </row>
    <row r="964">
      <c r="B964" s="72"/>
      <c r="I964" s="73"/>
      <c r="K964" s="39"/>
    </row>
    <row r="965">
      <c r="B965" s="72"/>
      <c r="I965" s="73"/>
      <c r="K965" s="39"/>
    </row>
    <row r="966">
      <c r="B966" s="72"/>
      <c r="I966" s="73"/>
      <c r="K966" s="39"/>
    </row>
    <row r="967">
      <c r="B967" s="72"/>
      <c r="I967" s="73"/>
      <c r="K967" s="39"/>
    </row>
    <row r="968">
      <c r="B968" s="72"/>
      <c r="I968" s="73"/>
      <c r="K968" s="39"/>
    </row>
    <row r="969">
      <c r="B969" s="72"/>
      <c r="I969" s="73"/>
      <c r="K969" s="39"/>
    </row>
    <row r="970">
      <c r="B970" s="72"/>
      <c r="I970" s="73"/>
      <c r="K970" s="39"/>
    </row>
    <row r="971">
      <c r="B971" s="72"/>
      <c r="I971" s="73"/>
      <c r="K971" s="39"/>
    </row>
    <row r="972">
      <c r="B972" s="72"/>
      <c r="I972" s="73"/>
      <c r="K972" s="39"/>
    </row>
    <row r="973">
      <c r="B973" s="72"/>
      <c r="I973" s="73"/>
      <c r="K973" s="39"/>
    </row>
    <row r="974">
      <c r="B974" s="72"/>
      <c r="I974" s="73"/>
      <c r="K974" s="39"/>
    </row>
    <row r="975">
      <c r="B975" s="72"/>
      <c r="I975" s="73"/>
      <c r="K975" s="39"/>
    </row>
    <row r="976">
      <c r="B976" s="72"/>
      <c r="I976" s="73"/>
      <c r="K976" s="39"/>
    </row>
    <row r="977">
      <c r="B977" s="72"/>
      <c r="I977" s="73"/>
      <c r="K977" s="39"/>
    </row>
    <row r="978">
      <c r="B978" s="72"/>
      <c r="I978" s="73"/>
      <c r="K978" s="39"/>
    </row>
    <row r="979">
      <c r="B979" s="72"/>
      <c r="I979" s="73"/>
      <c r="K979" s="39"/>
    </row>
    <row r="980">
      <c r="B980" s="72"/>
      <c r="I980" s="73"/>
      <c r="K980" s="39"/>
    </row>
    <row r="981">
      <c r="B981" s="72"/>
      <c r="I981" s="73"/>
      <c r="K981" s="39"/>
    </row>
    <row r="982">
      <c r="B982" s="72"/>
      <c r="I982" s="73"/>
      <c r="K982" s="39"/>
    </row>
    <row r="983">
      <c r="B983" s="72"/>
      <c r="I983" s="73"/>
      <c r="K983" s="39"/>
    </row>
    <row r="984">
      <c r="B984" s="72"/>
      <c r="I984" s="73"/>
      <c r="K984" s="39"/>
    </row>
    <row r="985">
      <c r="B985" s="72"/>
      <c r="I985" s="73"/>
      <c r="K985" s="39"/>
    </row>
    <row r="986">
      <c r="B986" s="72"/>
      <c r="I986" s="73"/>
      <c r="K986" s="39"/>
    </row>
    <row r="987">
      <c r="B987" s="72"/>
      <c r="I987" s="73"/>
      <c r="K987" s="39"/>
    </row>
    <row r="988">
      <c r="B988" s="72"/>
      <c r="I988" s="73"/>
      <c r="K988" s="39"/>
    </row>
    <row r="989">
      <c r="B989" s="72"/>
      <c r="I989" s="73"/>
      <c r="K989" s="39"/>
    </row>
    <row r="990">
      <c r="B990" s="72"/>
      <c r="I990" s="73"/>
      <c r="K990" s="39"/>
    </row>
    <row r="991">
      <c r="B991" s="72"/>
      <c r="I991" s="73"/>
      <c r="K991" s="39"/>
    </row>
    <row r="992">
      <c r="B992" s="72"/>
      <c r="I992" s="73"/>
      <c r="K992" s="39"/>
    </row>
    <row r="993">
      <c r="B993" s="72"/>
      <c r="I993" s="73"/>
      <c r="K993" s="39"/>
    </row>
    <row r="994">
      <c r="B994" s="72"/>
      <c r="I994" s="73"/>
      <c r="K994" s="39"/>
    </row>
    <row r="995">
      <c r="B995" s="72"/>
      <c r="I995" s="73"/>
      <c r="K995" s="39"/>
    </row>
    <row r="996">
      <c r="B996" s="72"/>
      <c r="I996" s="73"/>
      <c r="K996" s="39"/>
    </row>
    <row r="997">
      <c r="B997" s="72"/>
      <c r="I997" s="73"/>
      <c r="K997" s="39"/>
    </row>
    <row r="998">
      <c r="B998" s="72"/>
      <c r="I998" s="73"/>
      <c r="K998" s="39"/>
    </row>
  </sheetData>
  <autoFilter ref="$A$1:$R$67">
    <sortState ref="A1:R67">
      <sortCondition descending="1" ref="D1:D67"/>
      <sortCondition ref="A1:A67"/>
      <sortCondition descending="1" ref="C1:C67"/>
      <sortCondition descending="1" ref="G1:G67"/>
    </sortState>
  </autoFil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98" t="s">
        <v>532</v>
      </c>
      <c r="B1" s="198" t="s">
        <v>533</v>
      </c>
      <c r="C1" s="205" t="s">
        <v>534</v>
      </c>
      <c r="D1" s="198" t="s">
        <v>535</v>
      </c>
      <c r="E1" s="198" t="s">
        <v>536</v>
      </c>
      <c r="F1" s="198" t="s">
        <v>537</v>
      </c>
      <c r="G1" s="198" t="s">
        <v>538</v>
      </c>
      <c r="H1" s="198" t="s">
        <v>539</v>
      </c>
      <c r="I1" s="198" t="s">
        <v>540</v>
      </c>
      <c r="J1" s="206" t="s">
        <v>541</v>
      </c>
      <c r="K1" s="206" t="s">
        <v>542</v>
      </c>
      <c r="L1" s="198" t="s">
        <v>536</v>
      </c>
    </row>
    <row r="2">
      <c r="A2" s="207" t="s">
        <v>54</v>
      </c>
      <c r="B2" s="208">
        <f>vlookup(A2,Price!A:B,2,false)</f>
        <v>3819.675532</v>
      </c>
      <c r="C2" s="209"/>
      <c r="D2" s="210">
        <v>0.0</v>
      </c>
      <c r="E2" s="211">
        <f t="shared" ref="E2:E41" si="1">C2-D2</f>
        <v>0</v>
      </c>
      <c r="F2" s="212">
        <f>iferror(vlookup(A2,'Transfer Pricing Playground'!A:P,16,false))</f>
        <v>0.02928207375</v>
      </c>
      <c r="G2" s="213">
        <f t="shared" ref="G2:G41" si="2">E2*F2/52.14</f>
        <v>0</v>
      </c>
      <c r="H2" s="212"/>
      <c r="I2" s="210">
        <f t="shared" ref="I2:I41" si="3">C2*H2/52.14</f>
        <v>0</v>
      </c>
      <c r="J2" s="214">
        <f t="shared" ref="J2:J41" si="4">I2-G2</f>
        <v>0</v>
      </c>
      <c r="K2" s="215">
        <f t="shared" ref="K2:K41" si="5">J2*B2</f>
        <v>0</v>
      </c>
      <c r="L2" s="216">
        <f t="shared" ref="L2:L41" si="6">C2*B2</f>
        <v>0</v>
      </c>
    </row>
    <row r="3">
      <c r="A3" s="207" t="s">
        <v>53</v>
      </c>
      <c r="B3" s="208">
        <f>vlookup(A3,Price!A:B,2,false)</f>
        <v>46314.63028</v>
      </c>
      <c r="C3" s="209"/>
      <c r="D3" s="210">
        <v>0.0</v>
      </c>
      <c r="E3" s="211">
        <f t="shared" si="1"/>
        <v>0</v>
      </c>
      <c r="F3" s="212">
        <f>iferror(vlookup(A3,'Transfer Pricing Playground'!A:P,16,false))</f>
        <v>0.01013263943</v>
      </c>
      <c r="G3" s="213">
        <f t="shared" si="2"/>
        <v>0</v>
      </c>
      <c r="H3" s="212"/>
      <c r="I3" s="210">
        <f t="shared" si="3"/>
        <v>0</v>
      </c>
      <c r="J3" s="214">
        <f t="shared" si="4"/>
        <v>0</v>
      </c>
      <c r="K3" s="215">
        <f t="shared" si="5"/>
        <v>0</v>
      </c>
      <c r="L3" s="216">
        <f t="shared" si="6"/>
        <v>0</v>
      </c>
    </row>
    <row r="4">
      <c r="A4" s="207" t="s">
        <v>59</v>
      </c>
      <c r="B4" s="208">
        <f>vlookup(A4,Price!A:B,2,false)</f>
        <v>39.51861627</v>
      </c>
      <c r="C4" s="209"/>
      <c r="D4" s="210">
        <v>0.0</v>
      </c>
      <c r="E4" s="211">
        <f t="shared" si="1"/>
        <v>0</v>
      </c>
      <c r="F4" s="212">
        <f>iferror(vlookup(A4,'Transfer Pricing Playground'!A:P,16,false))</f>
        <v>0</v>
      </c>
      <c r="G4" s="213">
        <f t="shared" si="2"/>
        <v>0</v>
      </c>
      <c r="H4" s="212"/>
      <c r="I4" s="210">
        <f t="shared" si="3"/>
        <v>0</v>
      </c>
      <c r="J4" s="214">
        <f t="shared" si="4"/>
        <v>0</v>
      </c>
      <c r="K4" s="215">
        <f t="shared" si="5"/>
        <v>0</v>
      </c>
      <c r="L4" s="216">
        <f t="shared" si="6"/>
        <v>0</v>
      </c>
    </row>
    <row r="5">
      <c r="A5" s="207" t="s">
        <v>67</v>
      </c>
      <c r="B5" s="208">
        <f>vlookup(A5,Price!A:B,2,false)</f>
        <v>4.960176782</v>
      </c>
      <c r="C5" s="209"/>
      <c r="D5" s="210">
        <v>0.0</v>
      </c>
      <c r="E5" s="211">
        <f t="shared" si="1"/>
        <v>0</v>
      </c>
      <c r="F5" s="212">
        <f>iferror(vlookup(A5,'Transfer Pricing Playground'!A:P,16,false))</f>
        <v>0.1339</v>
      </c>
      <c r="G5" s="213">
        <f t="shared" si="2"/>
        <v>0</v>
      </c>
      <c r="H5" s="212"/>
      <c r="I5" s="210">
        <f t="shared" si="3"/>
        <v>0</v>
      </c>
      <c r="J5" s="214">
        <f t="shared" si="4"/>
        <v>0</v>
      </c>
      <c r="K5" s="215">
        <f t="shared" si="5"/>
        <v>0</v>
      </c>
      <c r="L5" s="216">
        <f t="shared" si="6"/>
        <v>0</v>
      </c>
    </row>
    <row r="6">
      <c r="A6" s="207" t="s">
        <v>70</v>
      </c>
      <c r="B6" s="208">
        <f>vlookup(A6,Price!A:B,2,false)</f>
        <v>173.1638356</v>
      </c>
      <c r="C6" s="209"/>
      <c r="D6" s="210">
        <v>0.0</v>
      </c>
      <c r="E6" s="211">
        <f t="shared" si="1"/>
        <v>0</v>
      </c>
      <c r="F6" s="212">
        <f>iferror(vlookup(A6,'Transfer Pricing Playground'!A:P,16,false))</f>
        <v>0.0385</v>
      </c>
      <c r="G6" s="213">
        <f t="shared" si="2"/>
        <v>0</v>
      </c>
      <c r="H6" s="212"/>
      <c r="I6" s="210">
        <f t="shared" si="3"/>
        <v>0</v>
      </c>
      <c r="J6" s="214">
        <f t="shared" si="4"/>
        <v>0</v>
      </c>
      <c r="K6" s="215">
        <f t="shared" si="5"/>
        <v>0</v>
      </c>
      <c r="L6" s="216">
        <f t="shared" si="6"/>
        <v>0</v>
      </c>
    </row>
    <row r="7">
      <c r="A7" s="207" t="s">
        <v>61</v>
      </c>
      <c r="B7" s="208">
        <f>vlookup(A7,Price!A:B,2,false)</f>
        <v>18.51308692</v>
      </c>
      <c r="C7" s="209"/>
      <c r="D7" s="210">
        <v>0.0</v>
      </c>
      <c r="E7" s="211">
        <f t="shared" si="1"/>
        <v>0</v>
      </c>
      <c r="F7" s="212">
        <f>iferror(vlookup(A7,'Transfer Pricing Playground'!A:P,16,false))</f>
        <v>0.01234602303</v>
      </c>
      <c r="G7" s="213">
        <f t="shared" si="2"/>
        <v>0</v>
      </c>
      <c r="H7" s="212"/>
      <c r="I7" s="210">
        <f t="shared" si="3"/>
        <v>0</v>
      </c>
      <c r="J7" s="214">
        <f t="shared" si="4"/>
        <v>0</v>
      </c>
      <c r="K7" s="215">
        <f t="shared" si="5"/>
        <v>0</v>
      </c>
      <c r="L7" s="216">
        <f t="shared" si="6"/>
        <v>0</v>
      </c>
    </row>
    <row r="8">
      <c r="A8" s="217" t="s">
        <v>323</v>
      </c>
      <c r="B8" s="208">
        <f>vlookup(A8,Price!A:B,2,false)</f>
        <v>1</v>
      </c>
      <c r="C8" s="209"/>
      <c r="D8" s="210">
        <v>0.0</v>
      </c>
      <c r="E8" s="211">
        <f t="shared" si="1"/>
        <v>0</v>
      </c>
      <c r="F8" s="212" t="str">
        <f>iferror(vlookup(A8,'Transfer Pricing Playground'!A:P,16,false))</f>
        <v/>
      </c>
      <c r="G8" s="213">
        <f t="shared" si="2"/>
        <v>0</v>
      </c>
      <c r="H8" s="212"/>
      <c r="I8" s="210">
        <f t="shared" si="3"/>
        <v>0</v>
      </c>
      <c r="J8" s="214">
        <f t="shared" si="4"/>
        <v>0</v>
      </c>
      <c r="K8" s="215">
        <f t="shared" si="5"/>
        <v>0</v>
      </c>
      <c r="L8" s="216">
        <f t="shared" si="6"/>
        <v>0</v>
      </c>
    </row>
    <row r="9">
      <c r="A9" s="207" t="s">
        <v>95</v>
      </c>
      <c r="B9" s="208">
        <f>vlookup(A9,Price!A:B,2,false)</f>
        <v>35192.45221</v>
      </c>
      <c r="C9" s="209"/>
      <c r="D9" s="210">
        <v>0.0</v>
      </c>
      <c r="E9" s="211">
        <f t="shared" si="1"/>
        <v>0</v>
      </c>
      <c r="F9" s="212">
        <f>iferror(vlookup(A9,'Transfer Pricing Playground'!A:P,16,false))</f>
        <v>0</v>
      </c>
      <c r="G9" s="213">
        <f t="shared" si="2"/>
        <v>0</v>
      </c>
      <c r="H9" s="212"/>
      <c r="I9" s="210">
        <f t="shared" si="3"/>
        <v>0</v>
      </c>
      <c r="J9" s="214">
        <f t="shared" si="4"/>
        <v>0</v>
      </c>
      <c r="K9" s="215">
        <f t="shared" si="5"/>
        <v>0</v>
      </c>
      <c r="L9" s="216">
        <f t="shared" si="6"/>
        <v>0</v>
      </c>
    </row>
    <row r="10">
      <c r="A10" s="207" t="s">
        <v>74</v>
      </c>
      <c r="B10" s="208">
        <f>vlookup(A10,Price!A:B,2,false)</f>
        <v>1.078602899</v>
      </c>
      <c r="C10" s="209"/>
      <c r="D10" s="210">
        <v>0.0</v>
      </c>
      <c r="E10" s="211">
        <f t="shared" si="1"/>
        <v>0</v>
      </c>
      <c r="F10" s="212">
        <f>iferror(vlookup(A10,'Transfer Pricing Playground'!A:P,16,false))</f>
        <v>0.0097</v>
      </c>
      <c r="G10" s="213">
        <f t="shared" si="2"/>
        <v>0</v>
      </c>
      <c r="H10" s="212"/>
      <c r="I10" s="210">
        <f t="shared" si="3"/>
        <v>0</v>
      </c>
      <c r="J10" s="214">
        <f t="shared" si="4"/>
        <v>0</v>
      </c>
      <c r="K10" s="215">
        <f t="shared" si="5"/>
        <v>0</v>
      </c>
      <c r="L10" s="216">
        <f t="shared" si="6"/>
        <v>0</v>
      </c>
    </row>
    <row r="11">
      <c r="A11" s="207" t="s">
        <v>69</v>
      </c>
      <c r="B11" s="208">
        <f>vlookup(A11,Price!A:B,2,false)</f>
        <v>14.44022362</v>
      </c>
      <c r="C11" s="209"/>
      <c r="D11" s="210">
        <v>0.0</v>
      </c>
      <c r="E11" s="211">
        <f t="shared" si="1"/>
        <v>0</v>
      </c>
      <c r="F11" s="212">
        <f>iferror(vlookup(A11,'Transfer Pricing Playground'!A:P,16,false))</f>
        <v>0.0228</v>
      </c>
      <c r="G11" s="213">
        <f t="shared" si="2"/>
        <v>0</v>
      </c>
      <c r="H11" s="212"/>
      <c r="I11" s="210">
        <f t="shared" si="3"/>
        <v>0</v>
      </c>
      <c r="J11" s="214">
        <f t="shared" si="4"/>
        <v>0</v>
      </c>
      <c r="K11" s="215">
        <f t="shared" si="5"/>
        <v>0</v>
      </c>
      <c r="L11" s="216">
        <f t="shared" si="6"/>
        <v>0</v>
      </c>
    </row>
    <row r="12">
      <c r="A12" s="207" t="s">
        <v>90</v>
      </c>
      <c r="B12" s="208">
        <f>vlookup(A12,Price!A:B,2,false)</f>
        <v>14.44190837</v>
      </c>
      <c r="C12" s="209"/>
      <c r="D12" s="210">
        <v>0.0</v>
      </c>
      <c r="E12" s="211">
        <f t="shared" si="1"/>
        <v>0</v>
      </c>
      <c r="F12" s="212">
        <f>iferror(vlookup(A12,'Transfer Pricing Playground'!A:P,16,false))</f>
        <v>0</v>
      </c>
      <c r="G12" s="213">
        <f t="shared" si="2"/>
        <v>0</v>
      </c>
      <c r="H12" s="212"/>
      <c r="I12" s="210">
        <f t="shared" si="3"/>
        <v>0</v>
      </c>
      <c r="J12" s="214">
        <f t="shared" si="4"/>
        <v>0</v>
      </c>
      <c r="K12" s="215">
        <f t="shared" si="5"/>
        <v>0</v>
      </c>
      <c r="L12" s="216">
        <f t="shared" si="6"/>
        <v>0</v>
      </c>
    </row>
    <row r="13">
      <c r="A13" s="207" t="s">
        <v>87</v>
      </c>
      <c r="B13" s="208">
        <f>vlookup(A13,Price!A:B,2,false)</f>
        <v>5.23640161</v>
      </c>
      <c r="C13" s="209"/>
      <c r="D13" s="210">
        <v>0.0</v>
      </c>
      <c r="E13" s="211">
        <f t="shared" si="1"/>
        <v>0</v>
      </c>
      <c r="F13" s="212">
        <f>iferror(vlookup(A13,'Transfer Pricing Playground'!A:P,16,false))</f>
        <v>0.0396</v>
      </c>
      <c r="G13" s="213">
        <f t="shared" si="2"/>
        <v>0</v>
      </c>
      <c r="H13" s="212"/>
      <c r="I13" s="210">
        <f t="shared" si="3"/>
        <v>0</v>
      </c>
      <c r="J13" s="214">
        <f t="shared" si="4"/>
        <v>0</v>
      </c>
      <c r="K13" s="215">
        <f t="shared" si="5"/>
        <v>0</v>
      </c>
      <c r="L13" s="216">
        <f t="shared" si="6"/>
        <v>0</v>
      </c>
    </row>
    <row r="14">
      <c r="A14" s="207" t="s">
        <v>79</v>
      </c>
      <c r="B14" s="208">
        <f>vlookup(A14,Price!A:B,2,false)</f>
        <v>3.165969505</v>
      </c>
      <c r="C14" s="209"/>
      <c r="D14" s="210">
        <v>0.0</v>
      </c>
      <c r="E14" s="211">
        <f t="shared" si="1"/>
        <v>0</v>
      </c>
      <c r="F14" s="212">
        <f>iferror(vlookup(A14,'Transfer Pricing Playground'!A:P,16,false))</f>
        <v>0.0595</v>
      </c>
      <c r="G14" s="213">
        <f t="shared" si="2"/>
        <v>0</v>
      </c>
      <c r="H14" s="212"/>
      <c r="I14" s="210">
        <f t="shared" si="3"/>
        <v>0</v>
      </c>
      <c r="J14" s="214">
        <f t="shared" si="4"/>
        <v>0</v>
      </c>
      <c r="K14" s="215">
        <f t="shared" si="5"/>
        <v>0</v>
      </c>
      <c r="L14" s="216">
        <f t="shared" si="6"/>
        <v>0</v>
      </c>
    </row>
    <row r="15">
      <c r="A15" s="207" t="s">
        <v>93</v>
      </c>
      <c r="B15" s="208">
        <f>vlookup(A15,Price!A:B,2,false)</f>
        <v>1.235585033</v>
      </c>
      <c r="C15" s="209"/>
      <c r="D15" s="210">
        <v>0.0</v>
      </c>
      <c r="E15" s="211">
        <f t="shared" si="1"/>
        <v>0</v>
      </c>
      <c r="F15" s="212">
        <f>iferror(vlookup(A15,'Transfer Pricing Playground'!A:P,16,false))</f>
        <v>0.0048</v>
      </c>
      <c r="G15" s="213">
        <f t="shared" si="2"/>
        <v>0</v>
      </c>
      <c r="H15" s="212"/>
      <c r="I15" s="210">
        <f t="shared" si="3"/>
        <v>0</v>
      </c>
      <c r="J15" s="214">
        <f t="shared" si="4"/>
        <v>0</v>
      </c>
      <c r="K15" s="215">
        <f t="shared" si="5"/>
        <v>0</v>
      </c>
      <c r="L15" s="216">
        <f t="shared" si="6"/>
        <v>0</v>
      </c>
    </row>
    <row r="16">
      <c r="A16" s="207" t="s">
        <v>81</v>
      </c>
      <c r="B16" s="208">
        <f>vlookup(A16,Price!A:B,2,false)</f>
        <v>187.58</v>
      </c>
      <c r="C16" s="209"/>
      <c r="D16" s="210">
        <v>0.0</v>
      </c>
      <c r="E16" s="211">
        <f t="shared" si="1"/>
        <v>0</v>
      </c>
      <c r="F16" s="212">
        <f>iferror(vlookup(A16,'Transfer Pricing Playground'!A:P,16,false))</f>
        <v>0.0453</v>
      </c>
      <c r="G16" s="213">
        <f t="shared" si="2"/>
        <v>0</v>
      </c>
      <c r="H16" s="212"/>
      <c r="I16" s="210">
        <f t="shared" si="3"/>
        <v>0</v>
      </c>
      <c r="J16" s="214">
        <f t="shared" si="4"/>
        <v>0</v>
      </c>
      <c r="K16" s="215">
        <f t="shared" si="5"/>
        <v>0</v>
      </c>
      <c r="L16" s="216">
        <f t="shared" si="6"/>
        <v>0</v>
      </c>
    </row>
    <row r="17">
      <c r="A17" s="207" t="s">
        <v>94</v>
      </c>
      <c r="B17" s="208">
        <f>vlookup(A17,Price!A:B,2,false)</f>
        <v>2.57</v>
      </c>
      <c r="C17" s="209"/>
      <c r="D17" s="210">
        <v>0.0</v>
      </c>
      <c r="E17" s="211">
        <f t="shared" si="1"/>
        <v>0</v>
      </c>
      <c r="F17" s="212">
        <f>iferror(vlookup(A17,'Transfer Pricing Playground'!A:P,16,false))</f>
        <v>0</v>
      </c>
      <c r="G17" s="213">
        <f t="shared" si="2"/>
        <v>0</v>
      </c>
      <c r="H17" s="212"/>
      <c r="I17" s="210">
        <f t="shared" si="3"/>
        <v>0</v>
      </c>
      <c r="J17" s="214">
        <f t="shared" si="4"/>
        <v>0</v>
      </c>
      <c r="K17" s="215">
        <f t="shared" si="5"/>
        <v>0</v>
      </c>
      <c r="L17" s="216">
        <f t="shared" si="6"/>
        <v>0</v>
      </c>
    </row>
    <row r="18">
      <c r="A18" s="207" t="s">
        <v>83</v>
      </c>
      <c r="B18" s="208">
        <f>vlookup(A18,Price!A:B,2,false)</f>
        <v>30.31</v>
      </c>
      <c r="C18" s="209"/>
      <c r="D18" s="210">
        <v>0.0</v>
      </c>
      <c r="E18" s="211">
        <f t="shared" si="1"/>
        <v>0</v>
      </c>
      <c r="F18" s="212">
        <f>iferror(vlookup(A18,'Transfer Pricing Playground'!A:P,16,false))</f>
        <v>0</v>
      </c>
      <c r="G18" s="213">
        <f t="shared" si="2"/>
        <v>0</v>
      </c>
      <c r="H18" s="212"/>
      <c r="I18" s="210">
        <f t="shared" si="3"/>
        <v>0</v>
      </c>
      <c r="J18" s="214">
        <f t="shared" si="4"/>
        <v>0</v>
      </c>
      <c r="K18" s="215">
        <f t="shared" si="5"/>
        <v>0</v>
      </c>
      <c r="L18" s="216">
        <f t="shared" si="6"/>
        <v>0</v>
      </c>
    </row>
    <row r="19">
      <c r="A19" s="207" t="s">
        <v>248</v>
      </c>
      <c r="B19" s="208">
        <f>vlookup(A19,Price!A:B,2,false)</f>
        <v>208.14</v>
      </c>
      <c r="C19" s="209"/>
      <c r="D19" s="210">
        <v>0.0</v>
      </c>
      <c r="E19" s="211">
        <f t="shared" si="1"/>
        <v>0</v>
      </c>
      <c r="F19" s="212" t="str">
        <f>iferror(vlookup(A19,'Transfer Pricing Playground'!A:P,16,false))</f>
        <v/>
      </c>
      <c r="G19" s="213">
        <f t="shared" si="2"/>
        <v>0</v>
      </c>
      <c r="H19" s="212"/>
      <c r="I19" s="210">
        <f t="shared" si="3"/>
        <v>0</v>
      </c>
      <c r="J19" s="214">
        <f t="shared" si="4"/>
        <v>0</v>
      </c>
      <c r="K19" s="215">
        <f t="shared" si="5"/>
        <v>0</v>
      </c>
      <c r="L19" s="216">
        <f t="shared" si="6"/>
        <v>0</v>
      </c>
    </row>
    <row r="20">
      <c r="A20" s="207" t="s">
        <v>244</v>
      </c>
      <c r="B20" s="208">
        <f>vlookup(A20,Price!A:B,2,false)</f>
        <v>0.146055</v>
      </c>
      <c r="C20" s="209"/>
      <c r="D20" s="210">
        <v>0.0</v>
      </c>
      <c r="E20" s="211">
        <f t="shared" si="1"/>
        <v>0</v>
      </c>
      <c r="F20" s="212" t="str">
        <f>iferror(vlookup(A20,'Transfer Pricing Playground'!A:P,16,false))</f>
        <v/>
      </c>
      <c r="G20" s="213">
        <f t="shared" si="2"/>
        <v>0</v>
      </c>
      <c r="H20" s="212"/>
      <c r="I20" s="210">
        <f t="shared" si="3"/>
        <v>0</v>
      </c>
      <c r="J20" s="214">
        <f t="shared" si="4"/>
        <v>0</v>
      </c>
      <c r="K20" s="215">
        <f t="shared" si="5"/>
        <v>0</v>
      </c>
      <c r="L20" s="216">
        <f t="shared" si="6"/>
        <v>0</v>
      </c>
    </row>
    <row r="21">
      <c r="A21" s="207" t="s">
        <v>101</v>
      </c>
      <c r="B21" s="208">
        <f>vlookup(A21,Price!A:B,2,false)</f>
        <v>0.6678409518</v>
      </c>
      <c r="C21" s="209"/>
      <c r="D21" s="210">
        <v>0.0</v>
      </c>
      <c r="E21" s="211">
        <f t="shared" si="1"/>
        <v>0</v>
      </c>
      <c r="F21" s="212">
        <f>iferror(vlookup(A21,'Transfer Pricing Playground'!A:P,16,false))</f>
        <v>0</v>
      </c>
      <c r="G21" s="213">
        <f t="shared" si="2"/>
        <v>0</v>
      </c>
      <c r="H21" s="212"/>
      <c r="I21" s="210">
        <f t="shared" si="3"/>
        <v>0</v>
      </c>
      <c r="J21" s="214">
        <f t="shared" si="4"/>
        <v>0</v>
      </c>
      <c r="K21" s="215">
        <f t="shared" si="5"/>
        <v>0</v>
      </c>
      <c r="L21" s="216">
        <f t="shared" si="6"/>
        <v>0</v>
      </c>
    </row>
    <row r="22">
      <c r="A22" s="207" t="s">
        <v>246</v>
      </c>
      <c r="B22" s="208">
        <f>vlookup(A22,Price!A:B,2,false)</f>
        <v>0.341427</v>
      </c>
      <c r="C22" s="209"/>
      <c r="D22" s="210">
        <v>0.0</v>
      </c>
      <c r="E22" s="211">
        <f t="shared" si="1"/>
        <v>0</v>
      </c>
      <c r="F22" s="212" t="str">
        <f>iferror(vlookup(A22,'Transfer Pricing Playground'!A:P,16,false))</f>
        <v/>
      </c>
      <c r="G22" s="213">
        <f t="shared" si="2"/>
        <v>0</v>
      </c>
      <c r="H22" s="212"/>
      <c r="I22" s="210">
        <f t="shared" si="3"/>
        <v>0</v>
      </c>
      <c r="J22" s="214">
        <f t="shared" si="4"/>
        <v>0</v>
      </c>
      <c r="K22" s="215">
        <f t="shared" si="5"/>
        <v>0</v>
      </c>
      <c r="L22" s="216">
        <f t="shared" si="6"/>
        <v>0</v>
      </c>
    </row>
    <row r="23">
      <c r="A23" s="207" t="s">
        <v>211</v>
      </c>
      <c r="B23" s="208">
        <f>vlookup(A23,Price!A:B,2,false)</f>
        <v>104.1704915</v>
      </c>
      <c r="C23" s="209"/>
      <c r="D23" s="210">
        <v>0.0</v>
      </c>
      <c r="E23" s="211">
        <f t="shared" si="1"/>
        <v>0</v>
      </c>
      <c r="F23" s="212" t="str">
        <f>iferror(vlookup(A23,'Transfer Pricing Playground'!A:P,16,false))</f>
        <v/>
      </c>
      <c r="G23" s="213">
        <f t="shared" si="2"/>
        <v>0</v>
      </c>
      <c r="H23" s="212"/>
      <c r="I23" s="210">
        <f t="shared" si="3"/>
        <v>0</v>
      </c>
      <c r="J23" s="214">
        <f t="shared" si="4"/>
        <v>0</v>
      </c>
      <c r="K23" s="215">
        <f t="shared" si="5"/>
        <v>0</v>
      </c>
      <c r="L23" s="216">
        <f t="shared" si="6"/>
        <v>0</v>
      </c>
    </row>
    <row r="24">
      <c r="A24" s="207" t="s">
        <v>80</v>
      </c>
      <c r="B24" s="208">
        <f>vlookup(A24,Price!A:B,2,false)</f>
        <v>0.7482698139</v>
      </c>
      <c r="C24" s="209"/>
      <c r="D24" s="210">
        <v>0.0</v>
      </c>
      <c r="E24" s="211">
        <f t="shared" si="1"/>
        <v>0</v>
      </c>
      <c r="F24" s="212">
        <f>iferror(vlookup(A24,'Transfer Pricing Playground'!A:P,16,false))</f>
        <v>0.0169</v>
      </c>
      <c r="G24" s="213">
        <f t="shared" si="2"/>
        <v>0</v>
      </c>
      <c r="H24" s="212"/>
      <c r="I24" s="210">
        <f t="shared" si="3"/>
        <v>0</v>
      </c>
      <c r="J24" s="214">
        <f t="shared" si="4"/>
        <v>0</v>
      </c>
      <c r="K24" s="215">
        <f t="shared" si="5"/>
        <v>0</v>
      </c>
      <c r="L24" s="216">
        <f t="shared" si="6"/>
        <v>0</v>
      </c>
    </row>
    <row r="25">
      <c r="A25" s="207" t="s">
        <v>88</v>
      </c>
      <c r="B25" s="208">
        <f>vlookup(A25,Price!A:B,2,false)</f>
        <v>3.991734421</v>
      </c>
      <c r="C25" s="209"/>
      <c r="D25" s="210">
        <v>0.0</v>
      </c>
      <c r="E25" s="211">
        <f t="shared" si="1"/>
        <v>0</v>
      </c>
      <c r="F25" s="212">
        <f>iferror(vlookup(A25,'Transfer Pricing Playground'!A:P,16,false))</f>
        <v>0</v>
      </c>
      <c r="G25" s="213">
        <f t="shared" si="2"/>
        <v>0</v>
      </c>
      <c r="H25" s="212"/>
      <c r="I25" s="210">
        <f t="shared" si="3"/>
        <v>0</v>
      </c>
      <c r="J25" s="214">
        <f t="shared" si="4"/>
        <v>0</v>
      </c>
      <c r="K25" s="215">
        <f t="shared" si="5"/>
        <v>0</v>
      </c>
      <c r="L25" s="216">
        <f t="shared" si="6"/>
        <v>0</v>
      </c>
    </row>
    <row r="26">
      <c r="A26" s="207" t="s">
        <v>106</v>
      </c>
      <c r="B26" s="208">
        <f>vlookup(A26,Price!A:B,2,false)</f>
        <v>0.9224738405</v>
      </c>
      <c r="C26" s="209"/>
      <c r="D26" s="210">
        <v>0.0</v>
      </c>
      <c r="E26" s="211">
        <f t="shared" si="1"/>
        <v>0</v>
      </c>
      <c r="F26" s="212">
        <f>iferror(vlookup(A26,'Transfer Pricing Playground'!A:P,16,false))</f>
        <v>0</v>
      </c>
      <c r="G26" s="213">
        <f t="shared" si="2"/>
        <v>0</v>
      </c>
      <c r="H26" s="212"/>
      <c r="I26" s="210">
        <f t="shared" si="3"/>
        <v>0</v>
      </c>
      <c r="J26" s="214">
        <f t="shared" si="4"/>
        <v>0</v>
      </c>
      <c r="K26" s="215">
        <f t="shared" si="5"/>
        <v>0</v>
      </c>
      <c r="L26" s="216">
        <f t="shared" si="6"/>
        <v>0</v>
      </c>
    </row>
    <row r="27">
      <c r="A27" s="207" t="s">
        <v>105</v>
      </c>
      <c r="B27" s="208">
        <f>vlookup(A27,Price!A:B,2,false)</f>
        <v>3.47</v>
      </c>
      <c r="C27" s="209"/>
      <c r="D27" s="210">
        <v>0.0</v>
      </c>
      <c r="E27" s="211">
        <f t="shared" si="1"/>
        <v>0</v>
      </c>
      <c r="F27" s="212">
        <f>iferror(vlookup(A27,'Transfer Pricing Playground'!A:P,16,false))</f>
        <v>0</v>
      </c>
      <c r="G27" s="213">
        <f t="shared" si="2"/>
        <v>0</v>
      </c>
      <c r="H27" s="212"/>
      <c r="I27" s="210">
        <f t="shared" si="3"/>
        <v>0</v>
      </c>
      <c r="J27" s="214">
        <f t="shared" si="4"/>
        <v>0</v>
      </c>
      <c r="K27" s="215">
        <f t="shared" si="5"/>
        <v>0</v>
      </c>
      <c r="L27" s="216">
        <f t="shared" si="6"/>
        <v>0</v>
      </c>
    </row>
    <row r="28">
      <c r="A28" s="207" t="s">
        <v>108</v>
      </c>
      <c r="B28" s="208">
        <f>vlookup(A28,Price!A:B,2,false)</f>
        <v>1.12</v>
      </c>
      <c r="C28" s="209"/>
      <c r="D28" s="210">
        <v>0.0</v>
      </c>
      <c r="E28" s="211">
        <f t="shared" si="1"/>
        <v>0</v>
      </c>
      <c r="F28" s="212">
        <f>iferror(vlookup(A28,'Transfer Pricing Playground'!A:P,16,false))</f>
        <v>0</v>
      </c>
      <c r="G28" s="213">
        <f t="shared" si="2"/>
        <v>0</v>
      </c>
      <c r="H28" s="212"/>
      <c r="I28" s="210">
        <f t="shared" si="3"/>
        <v>0</v>
      </c>
      <c r="J28" s="214">
        <f t="shared" si="4"/>
        <v>0</v>
      </c>
      <c r="K28" s="215">
        <f t="shared" si="5"/>
        <v>0</v>
      </c>
      <c r="L28" s="216">
        <f t="shared" si="6"/>
        <v>0</v>
      </c>
    </row>
    <row r="29">
      <c r="A29" s="207" t="s">
        <v>107</v>
      </c>
      <c r="B29" s="208">
        <f>vlookup(A29,Price!A:B,2,false)</f>
        <v>88.74747431</v>
      </c>
      <c r="C29" s="209"/>
      <c r="D29" s="210">
        <v>0.0</v>
      </c>
      <c r="E29" s="211">
        <f t="shared" si="1"/>
        <v>0</v>
      </c>
      <c r="F29" s="212">
        <f>iferror(vlookup(A29,'Transfer Pricing Playground'!A:P,16,false))</f>
        <v>0</v>
      </c>
      <c r="G29" s="213">
        <f t="shared" si="2"/>
        <v>0</v>
      </c>
      <c r="H29" s="212"/>
      <c r="I29" s="210">
        <f t="shared" si="3"/>
        <v>0</v>
      </c>
      <c r="J29" s="214">
        <f t="shared" si="4"/>
        <v>0</v>
      </c>
      <c r="K29" s="215">
        <f t="shared" si="5"/>
        <v>0</v>
      </c>
      <c r="L29" s="216">
        <f t="shared" si="6"/>
        <v>0</v>
      </c>
    </row>
    <row r="30">
      <c r="A30" s="207" t="s">
        <v>96</v>
      </c>
      <c r="B30" s="208">
        <f>vlookup(A30,Price!A:B,2,false)</f>
        <v>35357.36619</v>
      </c>
      <c r="C30" s="209"/>
      <c r="D30" s="210">
        <v>0.0</v>
      </c>
      <c r="E30" s="211">
        <f t="shared" si="1"/>
        <v>0</v>
      </c>
      <c r="F30" s="212">
        <f>iferror(vlookup(A30,'Transfer Pricing Playground'!A:P,16,false))</f>
        <v>0</v>
      </c>
      <c r="G30" s="213">
        <f t="shared" si="2"/>
        <v>0</v>
      </c>
      <c r="H30" s="212"/>
      <c r="I30" s="210">
        <f t="shared" si="3"/>
        <v>0</v>
      </c>
      <c r="J30" s="214">
        <f t="shared" si="4"/>
        <v>0</v>
      </c>
      <c r="K30" s="215">
        <f t="shared" si="5"/>
        <v>0</v>
      </c>
      <c r="L30" s="216">
        <f t="shared" si="6"/>
        <v>0</v>
      </c>
    </row>
    <row r="31">
      <c r="A31" s="207" t="s">
        <v>109</v>
      </c>
      <c r="B31" s="208">
        <f>vlookup(A31,Price!A:B,2,false)</f>
        <v>2294.480115</v>
      </c>
      <c r="C31" s="209"/>
      <c r="D31" s="210">
        <v>0.0</v>
      </c>
      <c r="E31" s="211">
        <f t="shared" si="1"/>
        <v>0</v>
      </c>
      <c r="F31" s="212">
        <f>iferror(vlookup(A31,'Transfer Pricing Playground'!A:P,16,false))</f>
        <v>0</v>
      </c>
      <c r="G31" s="213">
        <f t="shared" si="2"/>
        <v>0</v>
      </c>
      <c r="H31" s="212"/>
      <c r="I31" s="210">
        <f t="shared" si="3"/>
        <v>0</v>
      </c>
      <c r="J31" s="214">
        <f t="shared" si="4"/>
        <v>0</v>
      </c>
      <c r="K31" s="215">
        <f t="shared" si="5"/>
        <v>0</v>
      </c>
      <c r="L31" s="216">
        <f t="shared" si="6"/>
        <v>0</v>
      </c>
    </row>
    <row r="32">
      <c r="A32" s="207" t="s">
        <v>113</v>
      </c>
      <c r="B32" s="208">
        <f>vlookup(A32,Price!A:B,2,false)</f>
        <v>15.06</v>
      </c>
      <c r="C32" s="209"/>
      <c r="D32" s="210">
        <v>0.0</v>
      </c>
      <c r="E32" s="211">
        <f t="shared" si="1"/>
        <v>0</v>
      </c>
      <c r="F32" s="212">
        <f>iferror(vlookup(A32,'Transfer Pricing Playground'!A:P,16,false))</f>
        <v>0</v>
      </c>
      <c r="G32" s="213">
        <f t="shared" si="2"/>
        <v>0</v>
      </c>
      <c r="H32" s="212"/>
      <c r="I32" s="210">
        <f t="shared" si="3"/>
        <v>0</v>
      </c>
      <c r="J32" s="214">
        <f t="shared" si="4"/>
        <v>0</v>
      </c>
      <c r="K32" s="215">
        <f t="shared" si="5"/>
        <v>0</v>
      </c>
      <c r="L32" s="216">
        <f t="shared" si="6"/>
        <v>0</v>
      </c>
    </row>
    <row r="33">
      <c r="A33" s="207" t="s">
        <v>112</v>
      </c>
      <c r="B33" s="208">
        <f>vlookup(A33,Price!A:B,2,false)</f>
        <v>0.9086764428</v>
      </c>
      <c r="C33" s="209"/>
      <c r="D33" s="210">
        <v>0.0</v>
      </c>
      <c r="E33" s="211">
        <f t="shared" si="1"/>
        <v>0</v>
      </c>
      <c r="F33" s="212">
        <f>iferror(vlookup(A33,'Transfer Pricing Playground'!A:P,16,false))</f>
        <v>0</v>
      </c>
      <c r="G33" s="213">
        <f t="shared" si="2"/>
        <v>0</v>
      </c>
      <c r="H33" s="212"/>
      <c r="I33" s="210">
        <f t="shared" si="3"/>
        <v>0</v>
      </c>
      <c r="J33" s="214">
        <f t="shared" si="4"/>
        <v>0</v>
      </c>
      <c r="K33" s="215">
        <f t="shared" si="5"/>
        <v>0</v>
      </c>
      <c r="L33" s="216">
        <f t="shared" si="6"/>
        <v>0</v>
      </c>
    </row>
    <row r="34">
      <c r="A34" s="207" t="s">
        <v>111</v>
      </c>
      <c r="B34" s="208">
        <f>vlookup(A34,Price!A:B,2,false)</f>
        <v>0.0968507155</v>
      </c>
      <c r="C34" s="209"/>
      <c r="D34" s="210">
        <v>0.0</v>
      </c>
      <c r="E34" s="211">
        <f t="shared" si="1"/>
        <v>0</v>
      </c>
      <c r="F34" s="212">
        <f>iferror(vlookup(A34,'Transfer Pricing Playground'!A:P,16,false))</f>
        <v>0</v>
      </c>
      <c r="G34" s="213">
        <f t="shared" si="2"/>
        <v>0</v>
      </c>
      <c r="H34" s="212"/>
      <c r="I34" s="210">
        <f t="shared" si="3"/>
        <v>0</v>
      </c>
      <c r="J34" s="214">
        <f t="shared" si="4"/>
        <v>0</v>
      </c>
      <c r="K34" s="215">
        <f t="shared" si="5"/>
        <v>0</v>
      </c>
      <c r="L34" s="216">
        <f t="shared" si="6"/>
        <v>0</v>
      </c>
    </row>
    <row r="35">
      <c r="A35" s="207" t="s">
        <v>196</v>
      </c>
      <c r="B35" s="208">
        <f>vlookup(A35,Price!A:B,2,false)</f>
        <v>1.02</v>
      </c>
      <c r="C35" s="209"/>
      <c r="D35" s="210">
        <v>0.0</v>
      </c>
      <c r="E35" s="211">
        <f t="shared" si="1"/>
        <v>0</v>
      </c>
      <c r="F35" s="212" t="str">
        <f>iferror(vlookup(A35,'Transfer Pricing Playground'!A:P,16,false))</f>
        <v/>
      </c>
      <c r="G35" s="213">
        <f t="shared" si="2"/>
        <v>0</v>
      </c>
      <c r="H35" s="212"/>
      <c r="I35" s="210">
        <f t="shared" si="3"/>
        <v>0</v>
      </c>
      <c r="J35" s="214">
        <f t="shared" si="4"/>
        <v>0</v>
      </c>
      <c r="K35" s="215">
        <f t="shared" si="5"/>
        <v>0</v>
      </c>
      <c r="L35" s="216">
        <f t="shared" si="6"/>
        <v>0</v>
      </c>
    </row>
    <row r="36">
      <c r="A36" s="207" t="s">
        <v>57</v>
      </c>
      <c r="B36" s="208">
        <f>vlookup(A36,Price!A:B,2,false)</f>
        <v>2.097607594</v>
      </c>
      <c r="C36" s="209"/>
      <c r="D36" s="210">
        <v>0.0</v>
      </c>
      <c r="E36" s="211">
        <f t="shared" si="1"/>
        <v>0</v>
      </c>
      <c r="F36" s="212">
        <f>iferror(vlookup(A36,'Transfer Pricing Playground'!A:P,16,false))</f>
        <v>0.08060448646</v>
      </c>
      <c r="G36" s="213">
        <f t="shared" si="2"/>
        <v>0</v>
      </c>
      <c r="H36" s="212"/>
      <c r="I36" s="210">
        <f t="shared" si="3"/>
        <v>0</v>
      </c>
      <c r="J36" s="214">
        <f t="shared" si="4"/>
        <v>0</v>
      </c>
      <c r="K36" s="215">
        <f t="shared" si="5"/>
        <v>0</v>
      </c>
      <c r="L36" s="216">
        <f t="shared" si="6"/>
        <v>0</v>
      </c>
    </row>
    <row r="37">
      <c r="A37" s="207" t="s">
        <v>114</v>
      </c>
      <c r="B37" s="208">
        <f>vlookup(A37,Price!A:B,2,false)</f>
        <v>0.4084922851</v>
      </c>
      <c r="C37" s="209"/>
      <c r="D37" s="210">
        <v>0.0</v>
      </c>
      <c r="E37" s="211">
        <f t="shared" si="1"/>
        <v>0</v>
      </c>
      <c r="F37" s="212">
        <f>iferror(vlookup(A37,'Transfer Pricing Playground'!A:P,16,false))</f>
        <v>0</v>
      </c>
      <c r="G37" s="213">
        <f t="shared" si="2"/>
        <v>0</v>
      </c>
      <c r="H37" s="212"/>
      <c r="I37" s="210">
        <f t="shared" si="3"/>
        <v>0</v>
      </c>
      <c r="J37" s="214">
        <f t="shared" si="4"/>
        <v>0</v>
      </c>
      <c r="K37" s="215">
        <f t="shared" si="5"/>
        <v>0</v>
      </c>
      <c r="L37" s="216">
        <f t="shared" si="6"/>
        <v>0</v>
      </c>
    </row>
    <row r="38">
      <c r="A38" s="207" t="s">
        <v>117</v>
      </c>
      <c r="B38" s="208">
        <f>vlookup(A38,Price!A:B,2,false)</f>
        <v>5.37</v>
      </c>
      <c r="C38" s="209"/>
      <c r="D38" s="210">
        <v>0.0</v>
      </c>
      <c r="E38" s="211">
        <f t="shared" si="1"/>
        <v>0</v>
      </c>
      <c r="F38" s="212">
        <f>iferror(vlookup(A38,'Transfer Pricing Playground'!A:P,16,false))</f>
        <v>0</v>
      </c>
      <c r="G38" s="213">
        <f t="shared" si="2"/>
        <v>0</v>
      </c>
      <c r="H38" s="212"/>
      <c r="I38" s="210">
        <f t="shared" si="3"/>
        <v>0</v>
      </c>
      <c r="J38" s="214">
        <f t="shared" si="4"/>
        <v>0</v>
      </c>
      <c r="K38" s="215">
        <f t="shared" si="5"/>
        <v>0</v>
      </c>
      <c r="L38" s="216">
        <f t="shared" si="6"/>
        <v>0</v>
      </c>
    </row>
    <row r="39">
      <c r="A39" s="207" t="s">
        <v>103</v>
      </c>
      <c r="B39" s="208">
        <f>vlookup(A39,Price!A:B,2,false)</f>
        <v>17.65911299</v>
      </c>
      <c r="C39" s="209"/>
      <c r="D39" s="210">
        <v>0.0</v>
      </c>
      <c r="E39" s="211">
        <f t="shared" si="1"/>
        <v>0</v>
      </c>
      <c r="F39" s="212">
        <f>iferror(vlookup(A39,'Transfer Pricing Playground'!A:P,16,false))</f>
        <v>0</v>
      </c>
      <c r="G39" s="213">
        <f t="shared" si="2"/>
        <v>0</v>
      </c>
      <c r="H39" s="212"/>
      <c r="I39" s="210">
        <f t="shared" si="3"/>
        <v>0</v>
      </c>
      <c r="J39" s="214">
        <f t="shared" si="4"/>
        <v>0</v>
      </c>
      <c r="K39" s="215">
        <f t="shared" si="5"/>
        <v>0</v>
      </c>
      <c r="L39" s="216">
        <f t="shared" si="6"/>
        <v>0</v>
      </c>
    </row>
    <row r="40">
      <c r="A40" s="207" t="s">
        <v>77</v>
      </c>
      <c r="B40" s="208">
        <f>vlookup(A40,Price!A:B,2,false)</f>
        <v>2.358615111</v>
      </c>
      <c r="C40" s="209"/>
      <c r="D40" s="210">
        <v>0.0</v>
      </c>
      <c r="E40" s="211">
        <f t="shared" si="1"/>
        <v>0</v>
      </c>
      <c r="F40" s="212">
        <f>iferror(vlookup(A40,'Transfer Pricing Playground'!A:P,16,false))</f>
        <v>0</v>
      </c>
      <c r="G40" s="213">
        <f t="shared" si="2"/>
        <v>0</v>
      </c>
      <c r="H40" s="212"/>
      <c r="I40" s="210">
        <f t="shared" si="3"/>
        <v>0</v>
      </c>
      <c r="J40" s="214">
        <f t="shared" si="4"/>
        <v>0</v>
      </c>
      <c r="K40" s="215">
        <f t="shared" si="5"/>
        <v>0</v>
      </c>
      <c r="L40" s="216">
        <f t="shared" si="6"/>
        <v>0</v>
      </c>
    </row>
    <row r="41">
      <c r="A41" s="207" t="s">
        <v>243</v>
      </c>
      <c r="B41" s="208">
        <f>vlookup(A41,Price!A:B,2,false)</f>
        <v>1.362562138</v>
      </c>
      <c r="C41" s="209"/>
      <c r="D41" s="210">
        <v>0.0</v>
      </c>
      <c r="E41" s="211">
        <f t="shared" si="1"/>
        <v>0</v>
      </c>
      <c r="F41" s="212" t="str">
        <f>iferror(vlookup(A41,'Transfer Pricing Playground'!A:P,16,false))</f>
        <v/>
      </c>
      <c r="G41" s="213">
        <f t="shared" si="2"/>
        <v>0</v>
      </c>
      <c r="H41" s="212"/>
      <c r="I41" s="210">
        <f t="shared" si="3"/>
        <v>0</v>
      </c>
      <c r="J41" s="214">
        <f t="shared" si="4"/>
        <v>0</v>
      </c>
      <c r="K41" s="215">
        <f t="shared" si="5"/>
        <v>0</v>
      </c>
      <c r="L41" s="216">
        <f t="shared" si="6"/>
        <v>0</v>
      </c>
    </row>
    <row r="42">
      <c r="A42" s="198"/>
      <c r="B42" s="208"/>
      <c r="C42" s="198"/>
      <c r="D42" s="198"/>
      <c r="E42" s="198"/>
      <c r="F42" s="198"/>
      <c r="G42" s="198"/>
      <c r="H42" s="198"/>
      <c r="I42" s="198"/>
      <c r="J42" s="198"/>
      <c r="K42" s="215">
        <f t="shared" ref="K42:L42" si="7">sum(K2:K41)</f>
        <v>0</v>
      </c>
      <c r="L42" s="216">
        <f t="shared" si="7"/>
        <v>0</v>
      </c>
    </row>
    <row r="43">
      <c r="A43" s="198"/>
      <c r="B43" s="208"/>
      <c r="C43" s="198"/>
      <c r="D43" s="198"/>
      <c r="E43" s="198"/>
      <c r="F43" s="198"/>
      <c r="G43" s="198"/>
      <c r="H43" s="198"/>
      <c r="I43" s="198"/>
      <c r="J43" s="198"/>
      <c r="K43" s="198"/>
      <c r="L43" s="198"/>
    </row>
    <row r="44">
      <c r="A44" s="198"/>
      <c r="B44" s="208"/>
      <c r="C44" s="198"/>
      <c r="D44" s="198"/>
      <c r="E44" s="198"/>
      <c r="F44" s="198"/>
      <c r="G44" s="198"/>
      <c r="H44" s="198"/>
      <c r="I44" s="198"/>
      <c r="J44" s="198"/>
      <c r="K44" s="198"/>
      <c r="L44" s="198"/>
    </row>
    <row r="45">
      <c r="A45" s="198"/>
      <c r="B45" s="208"/>
      <c r="C45" s="198"/>
      <c r="D45" s="198"/>
      <c r="E45" s="198"/>
      <c r="F45" s="198"/>
      <c r="G45" s="198"/>
      <c r="H45" s="198"/>
      <c r="I45" s="198"/>
      <c r="J45" s="198"/>
      <c r="K45" s="198"/>
      <c r="L45" s="198"/>
    </row>
    <row r="46">
      <c r="A46" s="198"/>
      <c r="B46" s="208"/>
      <c r="C46" s="198"/>
      <c r="D46" s="198"/>
      <c r="E46" s="198"/>
      <c r="F46" s="198"/>
      <c r="G46" s="198"/>
      <c r="H46" s="198"/>
      <c r="I46" s="198"/>
      <c r="J46" s="198"/>
      <c r="K46" s="198"/>
      <c r="L46" s="198"/>
    </row>
    <row r="47">
      <c r="A47" s="198"/>
      <c r="B47" s="208"/>
      <c r="C47" s="198"/>
      <c r="D47" s="198"/>
      <c r="E47" s="198"/>
      <c r="F47" s="198"/>
      <c r="G47" s="198"/>
      <c r="H47" s="198"/>
      <c r="I47" s="198"/>
      <c r="J47" s="198"/>
      <c r="K47" s="198"/>
      <c r="L47" s="198"/>
    </row>
    <row r="48">
      <c r="A48" s="198"/>
      <c r="B48" s="208"/>
      <c r="C48" s="198"/>
      <c r="D48" s="198"/>
      <c r="E48" s="198"/>
      <c r="F48" s="198"/>
      <c r="G48" s="198"/>
      <c r="H48" s="198"/>
      <c r="I48" s="198"/>
      <c r="J48" s="198"/>
      <c r="K48" s="198"/>
      <c r="L48" s="198"/>
    </row>
    <row r="49">
      <c r="A49" s="198"/>
      <c r="B49" s="208"/>
      <c r="C49" s="198"/>
      <c r="D49" s="198"/>
      <c r="E49" s="198"/>
      <c r="F49" s="198"/>
      <c r="G49" s="198"/>
      <c r="H49" s="198"/>
      <c r="I49" s="198"/>
      <c r="J49" s="198"/>
      <c r="K49" s="198"/>
      <c r="L49" s="198"/>
    </row>
    <row r="50">
      <c r="A50" s="198"/>
      <c r="B50" s="208"/>
      <c r="C50" s="198"/>
      <c r="D50" s="198"/>
      <c r="E50" s="198"/>
      <c r="F50" s="198"/>
      <c r="G50" s="198"/>
      <c r="H50" s="198"/>
      <c r="I50" s="198"/>
      <c r="J50" s="198"/>
      <c r="K50" s="198"/>
      <c r="L50" s="198"/>
    </row>
    <row r="51">
      <c r="A51" s="198"/>
      <c r="B51" s="208"/>
      <c r="C51" s="198"/>
      <c r="D51" s="198"/>
      <c r="E51" s="198"/>
      <c r="F51" s="198"/>
      <c r="G51" s="198"/>
      <c r="H51" s="198"/>
      <c r="I51" s="198"/>
      <c r="J51" s="198"/>
      <c r="K51" s="198"/>
      <c r="L51" s="198"/>
    </row>
    <row r="52">
      <c r="A52" s="198"/>
      <c r="B52" s="208"/>
      <c r="C52" s="198"/>
      <c r="D52" s="198"/>
      <c r="E52" s="198"/>
      <c r="F52" s="198"/>
      <c r="G52" s="198"/>
      <c r="H52" s="198"/>
      <c r="I52" s="198"/>
      <c r="J52" s="198"/>
      <c r="K52" s="198"/>
      <c r="L52" s="198"/>
    </row>
    <row r="53">
      <c r="A53" s="198"/>
      <c r="B53" s="208"/>
      <c r="C53" s="198"/>
      <c r="D53" s="198"/>
      <c r="E53" s="198"/>
      <c r="F53" s="198"/>
      <c r="G53" s="198"/>
      <c r="H53" s="198"/>
      <c r="I53" s="198"/>
      <c r="J53" s="198"/>
      <c r="K53" s="198"/>
      <c r="L53" s="198"/>
    </row>
    <row r="54">
      <c r="A54" s="198"/>
      <c r="B54" s="208"/>
      <c r="C54" s="198"/>
      <c r="D54" s="198"/>
      <c r="E54" s="198"/>
      <c r="F54" s="198"/>
      <c r="G54" s="198"/>
      <c r="H54" s="198"/>
      <c r="I54" s="198"/>
      <c r="J54" s="198"/>
      <c r="K54" s="198"/>
      <c r="L54" s="198"/>
    </row>
    <row r="55">
      <c r="A55" s="198"/>
      <c r="B55" s="208"/>
      <c r="C55" s="198"/>
      <c r="D55" s="198"/>
      <c r="E55" s="198"/>
      <c r="F55" s="198"/>
      <c r="G55" s="198"/>
      <c r="H55" s="198"/>
      <c r="I55" s="198"/>
      <c r="J55" s="198"/>
      <c r="K55" s="198"/>
      <c r="L55" s="198"/>
    </row>
    <row r="56">
      <c r="A56" s="198"/>
      <c r="B56" s="208"/>
      <c r="C56" s="198"/>
      <c r="D56" s="198"/>
      <c r="E56" s="198"/>
      <c r="F56" s="198"/>
      <c r="G56" s="198"/>
      <c r="H56" s="198"/>
      <c r="I56" s="198"/>
      <c r="J56" s="198"/>
      <c r="K56" s="198"/>
      <c r="L56" s="198"/>
    </row>
    <row r="57">
      <c r="A57" s="198"/>
      <c r="B57" s="208"/>
      <c r="C57" s="198"/>
      <c r="D57" s="198"/>
      <c r="E57" s="198"/>
      <c r="F57" s="198"/>
      <c r="G57" s="198"/>
      <c r="H57" s="198"/>
      <c r="I57" s="198"/>
      <c r="J57" s="198"/>
      <c r="K57" s="198"/>
      <c r="L57" s="198"/>
    </row>
    <row r="58">
      <c r="A58" s="198"/>
      <c r="B58" s="208"/>
      <c r="C58" s="198"/>
      <c r="D58" s="198"/>
      <c r="E58" s="198"/>
      <c r="F58" s="198"/>
      <c r="G58" s="198"/>
      <c r="H58" s="198"/>
      <c r="I58" s="198"/>
      <c r="J58" s="198"/>
      <c r="K58" s="198"/>
      <c r="L58" s="198"/>
    </row>
    <row r="59">
      <c r="A59" s="198"/>
      <c r="B59" s="208"/>
      <c r="C59" s="198"/>
      <c r="D59" s="198"/>
      <c r="E59" s="198"/>
      <c r="F59" s="198"/>
      <c r="G59" s="198"/>
      <c r="H59" s="198"/>
      <c r="I59" s="198"/>
      <c r="J59" s="198"/>
      <c r="K59" s="198"/>
      <c r="L59" s="198"/>
    </row>
    <row r="60">
      <c r="A60" s="198"/>
      <c r="B60" s="208"/>
      <c r="C60" s="198"/>
      <c r="D60" s="198"/>
      <c r="E60" s="198"/>
      <c r="F60" s="198"/>
      <c r="G60" s="198"/>
      <c r="H60" s="198"/>
      <c r="I60" s="198"/>
      <c r="J60" s="198"/>
      <c r="K60" s="198"/>
      <c r="L60" s="198"/>
    </row>
    <row r="61">
      <c r="A61" s="198"/>
      <c r="B61" s="208"/>
      <c r="C61" s="198"/>
      <c r="D61" s="198"/>
      <c r="E61" s="198"/>
      <c r="F61" s="198"/>
      <c r="G61" s="198"/>
      <c r="H61" s="198"/>
      <c r="I61" s="198"/>
      <c r="J61" s="198"/>
      <c r="K61" s="198"/>
      <c r="L61" s="198"/>
    </row>
    <row r="62">
      <c r="A62" s="198"/>
      <c r="B62" s="208"/>
      <c r="C62" s="198"/>
      <c r="D62" s="198"/>
      <c r="E62" s="198"/>
      <c r="F62" s="198"/>
      <c r="G62" s="198"/>
      <c r="H62" s="198"/>
      <c r="I62" s="198"/>
      <c r="J62" s="198"/>
      <c r="K62" s="198"/>
      <c r="L62" s="198"/>
    </row>
    <row r="63">
      <c r="A63" s="198"/>
      <c r="B63" s="208"/>
      <c r="C63" s="198"/>
      <c r="D63" s="198"/>
      <c r="E63" s="198"/>
      <c r="F63" s="198"/>
      <c r="G63" s="198"/>
      <c r="H63" s="198"/>
      <c r="I63" s="198"/>
      <c r="J63" s="198"/>
      <c r="K63" s="198"/>
      <c r="L63" s="198"/>
    </row>
    <row r="64">
      <c r="A64" s="198"/>
      <c r="B64" s="208"/>
      <c r="C64" s="198"/>
      <c r="D64" s="198"/>
      <c r="E64" s="198"/>
      <c r="F64" s="198"/>
      <c r="G64" s="198"/>
      <c r="H64" s="198"/>
      <c r="I64" s="198"/>
      <c r="J64" s="198"/>
      <c r="K64" s="198"/>
      <c r="L64" s="198"/>
    </row>
    <row r="65">
      <c r="A65" s="198"/>
      <c r="B65" s="208"/>
      <c r="C65" s="198"/>
      <c r="D65" s="198"/>
      <c r="E65" s="198"/>
      <c r="F65" s="198"/>
      <c r="G65" s="198"/>
      <c r="H65" s="198"/>
      <c r="I65" s="198"/>
      <c r="J65" s="198"/>
      <c r="K65" s="198"/>
      <c r="L65" s="198"/>
    </row>
    <row r="66">
      <c r="A66" s="198"/>
      <c r="B66" s="208"/>
      <c r="C66" s="198"/>
      <c r="D66" s="198"/>
      <c r="E66" s="198"/>
      <c r="F66" s="198"/>
      <c r="G66" s="198"/>
      <c r="H66" s="198"/>
      <c r="I66" s="198"/>
      <c r="J66" s="198"/>
      <c r="K66" s="198"/>
      <c r="L66" s="198"/>
    </row>
    <row r="67">
      <c r="A67" s="198"/>
      <c r="B67" s="208"/>
      <c r="C67" s="198"/>
      <c r="D67" s="198"/>
      <c r="E67" s="198"/>
      <c r="F67" s="198"/>
      <c r="G67" s="198"/>
      <c r="H67" s="198"/>
      <c r="I67" s="198"/>
      <c r="J67" s="198"/>
      <c r="K67" s="198"/>
      <c r="L67" s="198"/>
    </row>
    <row r="68">
      <c r="A68" s="198"/>
      <c r="B68" s="208"/>
      <c r="C68" s="198"/>
      <c r="D68" s="198"/>
      <c r="E68" s="198"/>
      <c r="F68" s="198"/>
      <c r="G68" s="198"/>
      <c r="H68" s="198"/>
      <c r="I68" s="198"/>
      <c r="J68" s="198"/>
      <c r="K68" s="198"/>
      <c r="L68" s="198"/>
    </row>
    <row r="69">
      <c r="A69" s="198"/>
      <c r="B69" s="208"/>
      <c r="C69" s="198"/>
      <c r="D69" s="198"/>
      <c r="E69" s="198"/>
      <c r="F69" s="198"/>
      <c r="G69" s="198"/>
      <c r="H69" s="198"/>
      <c r="I69" s="198"/>
      <c r="J69" s="198"/>
      <c r="K69" s="198"/>
      <c r="L69" s="198"/>
    </row>
    <row r="70">
      <c r="A70" s="198"/>
      <c r="B70" s="208"/>
      <c r="C70" s="198"/>
      <c r="D70" s="198"/>
      <c r="E70" s="198"/>
      <c r="F70" s="198"/>
      <c r="G70" s="198"/>
      <c r="H70" s="198"/>
      <c r="I70" s="198"/>
      <c r="J70" s="198"/>
      <c r="K70" s="198"/>
      <c r="L70" s="198"/>
    </row>
    <row r="71">
      <c r="A71" s="198"/>
      <c r="B71" s="208"/>
      <c r="C71" s="198"/>
      <c r="D71" s="198"/>
      <c r="E71" s="198"/>
      <c r="F71" s="198"/>
      <c r="G71" s="198"/>
      <c r="H71" s="198"/>
      <c r="I71" s="198"/>
      <c r="J71" s="198"/>
      <c r="K71" s="198"/>
      <c r="L71" s="198"/>
    </row>
    <row r="72">
      <c r="A72" s="198"/>
      <c r="B72" s="208"/>
      <c r="C72" s="198"/>
      <c r="D72" s="198"/>
      <c r="E72" s="198"/>
      <c r="F72" s="198"/>
      <c r="G72" s="198"/>
      <c r="H72" s="198"/>
      <c r="I72" s="198"/>
      <c r="J72" s="198"/>
      <c r="K72" s="198"/>
      <c r="L72" s="198"/>
    </row>
    <row r="73">
      <c r="A73" s="198"/>
      <c r="B73" s="208"/>
      <c r="C73" s="198"/>
      <c r="D73" s="198"/>
      <c r="E73" s="198"/>
      <c r="F73" s="198"/>
      <c r="G73" s="198"/>
      <c r="H73" s="198"/>
      <c r="I73" s="198"/>
      <c r="J73" s="198"/>
      <c r="K73" s="198"/>
      <c r="L73" s="198"/>
    </row>
    <row r="74">
      <c r="A74" s="198"/>
      <c r="B74" s="208"/>
      <c r="C74" s="198"/>
      <c r="D74" s="198"/>
      <c r="E74" s="198"/>
      <c r="F74" s="198"/>
      <c r="G74" s="198"/>
      <c r="H74" s="198"/>
      <c r="I74" s="198"/>
      <c r="J74" s="198"/>
      <c r="K74" s="198"/>
      <c r="L74" s="198"/>
    </row>
    <row r="75">
      <c r="A75" s="198"/>
      <c r="B75" s="208"/>
      <c r="C75" s="198"/>
      <c r="D75" s="198"/>
      <c r="E75" s="198"/>
      <c r="F75" s="198"/>
      <c r="G75" s="198"/>
      <c r="H75" s="198"/>
      <c r="I75" s="198"/>
      <c r="J75" s="198"/>
      <c r="K75" s="198"/>
      <c r="L75" s="198"/>
    </row>
    <row r="76">
      <c r="A76" s="198"/>
      <c r="B76" s="208"/>
      <c r="C76" s="198"/>
      <c r="D76" s="198"/>
      <c r="E76" s="198"/>
      <c r="F76" s="198"/>
      <c r="G76" s="198"/>
      <c r="H76" s="198"/>
      <c r="I76" s="198"/>
      <c r="J76" s="198"/>
      <c r="K76" s="198"/>
      <c r="L76" s="198"/>
    </row>
    <row r="77">
      <c r="A77" s="198"/>
      <c r="B77" s="208"/>
      <c r="C77" s="198"/>
      <c r="D77" s="198"/>
      <c r="E77" s="198"/>
      <c r="F77" s="198"/>
      <c r="G77" s="198"/>
      <c r="H77" s="198"/>
      <c r="I77" s="198"/>
      <c r="J77" s="198"/>
      <c r="K77" s="198"/>
      <c r="L77" s="198"/>
    </row>
    <row r="78">
      <c r="A78" s="198"/>
      <c r="B78" s="208"/>
      <c r="C78" s="198"/>
      <c r="D78" s="198"/>
      <c r="E78" s="198"/>
      <c r="F78" s="198"/>
      <c r="G78" s="198"/>
      <c r="H78" s="198"/>
      <c r="I78" s="198"/>
      <c r="J78" s="198"/>
      <c r="K78" s="198"/>
      <c r="L78" s="198"/>
    </row>
    <row r="79">
      <c r="A79" s="198"/>
      <c r="B79" s="208"/>
      <c r="C79" s="198"/>
      <c r="D79" s="198"/>
      <c r="E79" s="198"/>
      <c r="F79" s="198"/>
      <c r="G79" s="198"/>
      <c r="H79" s="198"/>
      <c r="I79" s="198"/>
      <c r="J79" s="198"/>
      <c r="K79" s="198"/>
      <c r="L79" s="198"/>
    </row>
    <row r="80">
      <c r="A80" s="198"/>
      <c r="B80" s="208"/>
      <c r="C80" s="198"/>
      <c r="D80" s="198"/>
      <c r="E80" s="198"/>
      <c r="F80" s="198"/>
      <c r="G80" s="198"/>
      <c r="H80" s="198"/>
      <c r="I80" s="198"/>
      <c r="J80" s="198"/>
      <c r="K80" s="198"/>
      <c r="L80" s="198"/>
    </row>
    <row r="81">
      <c r="A81" s="198"/>
      <c r="B81" s="208"/>
      <c r="C81" s="198"/>
      <c r="D81" s="198"/>
      <c r="E81" s="198"/>
      <c r="F81" s="198"/>
      <c r="G81" s="198"/>
      <c r="H81" s="198"/>
      <c r="I81" s="198"/>
      <c r="J81" s="198"/>
      <c r="K81" s="198"/>
      <c r="L81" s="198"/>
    </row>
    <row r="82">
      <c r="A82" s="198"/>
      <c r="B82" s="208"/>
      <c r="C82" s="198"/>
      <c r="D82" s="198"/>
      <c r="E82" s="198"/>
      <c r="F82" s="198"/>
      <c r="G82" s="198"/>
      <c r="H82" s="198"/>
      <c r="I82" s="198"/>
      <c r="J82" s="198"/>
      <c r="K82" s="198"/>
      <c r="L82" s="198"/>
    </row>
    <row r="83">
      <c r="A83" s="198"/>
      <c r="B83" s="208"/>
      <c r="C83" s="198"/>
      <c r="D83" s="198"/>
      <c r="E83" s="198"/>
      <c r="F83" s="198"/>
      <c r="G83" s="198"/>
      <c r="H83" s="198"/>
      <c r="I83" s="198"/>
      <c r="J83" s="198"/>
      <c r="K83" s="198"/>
      <c r="L83" s="198"/>
    </row>
    <row r="84">
      <c r="A84" s="198"/>
      <c r="B84" s="208"/>
      <c r="C84" s="198"/>
      <c r="D84" s="198"/>
      <c r="E84" s="198"/>
      <c r="F84" s="198"/>
      <c r="G84" s="198"/>
      <c r="H84" s="198"/>
      <c r="I84" s="198"/>
      <c r="J84" s="198"/>
      <c r="K84" s="198"/>
      <c r="L84" s="198"/>
    </row>
    <row r="85">
      <c r="A85" s="198"/>
      <c r="B85" s="208"/>
      <c r="C85" s="198"/>
      <c r="D85" s="198"/>
      <c r="E85" s="198"/>
      <c r="F85" s="198"/>
      <c r="G85" s="198"/>
      <c r="H85" s="198"/>
      <c r="I85" s="198"/>
      <c r="J85" s="198"/>
      <c r="K85" s="198"/>
      <c r="L85" s="198"/>
    </row>
    <row r="86">
      <c r="A86" s="198"/>
      <c r="B86" s="208"/>
      <c r="C86" s="198"/>
      <c r="D86" s="198"/>
      <c r="E86" s="198"/>
      <c r="F86" s="198"/>
      <c r="G86" s="198"/>
      <c r="H86" s="198"/>
      <c r="I86" s="198"/>
      <c r="J86" s="198"/>
      <c r="K86" s="198"/>
      <c r="L86" s="198"/>
    </row>
    <row r="87">
      <c r="A87" s="198"/>
      <c r="B87" s="208"/>
      <c r="C87" s="198"/>
      <c r="D87" s="198"/>
      <c r="E87" s="198"/>
      <c r="F87" s="198"/>
      <c r="G87" s="198"/>
      <c r="H87" s="198"/>
      <c r="I87" s="198"/>
      <c r="J87" s="198"/>
      <c r="K87" s="198"/>
      <c r="L87" s="198"/>
    </row>
    <row r="88">
      <c r="A88" s="198"/>
      <c r="B88" s="208"/>
      <c r="C88" s="198"/>
      <c r="D88" s="198"/>
      <c r="E88" s="198"/>
      <c r="F88" s="198"/>
      <c r="G88" s="198"/>
      <c r="H88" s="198"/>
      <c r="I88" s="198"/>
      <c r="J88" s="198"/>
      <c r="K88" s="198"/>
      <c r="L88" s="198"/>
    </row>
    <row r="89">
      <c r="A89" s="198"/>
      <c r="B89" s="208"/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>
      <c r="A90" s="198"/>
      <c r="B90" s="208"/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1">
      <c r="A91" s="198"/>
      <c r="B91" s="208"/>
      <c r="C91" s="198"/>
      <c r="D91" s="198"/>
      <c r="E91" s="198"/>
      <c r="F91" s="198"/>
      <c r="G91" s="198"/>
      <c r="H91" s="198"/>
      <c r="I91" s="198"/>
      <c r="J91" s="198"/>
      <c r="K91" s="198"/>
      <c r="L91" s="198"/>
    </row>
    <row r="92">
      <c r="A92" s="198"/>
      <c r="B92" s="208"/>
      <c r="C92" s="198"/>
      <c r="D92" s="198"/>
      <c r="E92" s="198"/>
      <c r="F92" s="198"/>
      <c r="G92" s="198"/>
      <c r="H92" s="198"/>
      <c r="I92" s="198"/>
      <c r="J92" s="198"/>
      <c r="K92" s="198"/>
      <c r="L92" s="198"/>
    </row>
    <row r="93">
      <c r="A93" s="198"/>
      <c r="B93" s="208"/>
      <c r="C93" s="198"/>
      <c r="D93" s="198"/>
      <c r="E93" s="198"/>
      <c r="F93" s="198"/>
      <c r="G93" s="198"/>
      <c r="H93" s="198"/>
      <c r="I93" s="198"/>
      <c r="J93" s="198"/>
      <c r="K93" s="198"/>
      <c r="L93" s="198"/>
    </row>
    <row r="94">
      <c r="A94" s="198"/>
      <c r="B94" s="208"/>
      <c r="C94" s="198"/>
      <c r="D94" s="198"/>
      <c r="E94" s="198"/>
      <c r="F94" s="198"/>
      <c r="G94" s="198"/>
      <c r="H94" s="198"/>
      <c r="I94" s="198"/>
      <c r="J94" s="198"/>
      <c r="K94" s="198"/>
      <c r="L94" s="198"/>
    </row>
    <row r="95">
      <c r="A95" s="198"/>
      <c r="B95" s="208"/>
      <c r="C95" s="198"/>
      <c r="D95" s="198"/>
      <c r="E95" s="198"/>
      <c r="F95" s="198"/>
      <c r="G95" s="198"/>
      <c r="H95" s="198"/>
      <c r="I95" s="198"/>
      <c r="J95" s="198"/>
      <c r="K95" s="198"/>
      <c r="L95" s="198"/>
    </row>
    <row r="96">
      <c r="A96" s="198"/>
      <c r="B96" s="208"/>
      <c r="C96" s="198"/>
      <c r="D96" s="198"/>
      <c r="E96" s="198"/>
      <c r="F96" s="198"/>
      <c r="G96" s="198"/>
      <c r="H96" s="198"/>
      <c r="I96" s="198"/>
      <c r="J96" s="198"/>
      <c r="K96" s="198"/>
      <c r="L96" s="198"/>
    </row>
    <row r="97">
      <c r="A97" s="198"/>
      <c r="B97" s="208"/>
      <c r="C97" s="198"/>
      <c r="D97" s="198"/>
      <c r="E97" s="198"/>
      <c r="F97" s="198"/>
      <c r="G97" s="198"/>
      <c r="H97" s="198"/>
      <c r="I97" s="198"/>
      <c r="J97" s="198"/>
      <c r="K97" s="198"/>
      <c r="L97" s="198"/>
    </row>
    <row r="98">
      <c r="A98" s="198"/>
      <c r="B98" s="208"/>
      <c r="C98" s="198"/>
      <c r="D98" s="198"/>
      <c r="E98" s="198"/>
      <c r="F98" s="198"/>
      <c r="G98" s="198"/>
      <c r="H98" s="198"/>
      <c r="I98" s="198"/>
      <c r="J98" s="198"/>
      <c r="K98" s="198"/>
      <c r="L98" s="198"/>
    </row>
    <row r="99">
      <c r="A99" s="198"/>
      <c r="B99" s="208"/>
      <c r="C99" s="198"/>
      <c r="D99" s="198"/>
      <c r="E99" s="198"/>
      <c r="F99" s="198"/>
      <c r="G99" s="198"/>
      <c r="H99" s="198"/>
      <c r="I99" s="198"/>
      <c r="J99" s="198"/>
      <c r="K99" s="198"/>
      <c r="L99" s="198"/>
    </row>
    <row r="100">
      <c r="A100" s="198"/>
      <c r="B100" s="20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</row>
    <row r="101">
      <c r="A101" s="198"/>
      <c r="B101" s="20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</row>
    <row r="102">
      <c r="A102" s="198"/>
      <c r="B102" s="20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</row>
    <row r="103">
      <c r="A103" s="198"/>
      <c r="B103" s="20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</row>
    <row r="104">
      <c r="A104" s="198"/>
      <c r="B104" s="208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</row>
    <row r="105">
      <c r="A105" s="198"/>
      <c r="B105" s="20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</row>
    <row r="106">
      <c r="A106" s="198"/>
      <c r="B106" s="20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</row>
    <row r="107">
      <c r="A107" s="198"/>
      <c r="B107" s="20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</row>
    <row r="108">
      <c r="A108" s="198"/>
      <c r="B108" s="20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</row>
    <row r="109">
      <c r="A109" s="198"/>
      <c r="B109" s="20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</row>
    <row r="110">
      <c r="A110" s="198"/>
      <c r="B110" s="20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</row>
    <row r="111">
      <c r="A111" s="198"/>
      <c r="B111" s="20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</row>
    <row r="112">
      <c r="A112" s="198"/>
      <c r="B112" s="20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</row>
    <row r="113">
      <c r="A113" s="198"/>
      <c r="B113" s="20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</row>
    <row r="114">
      <c r="A114" s="198"/>
      <c r="B114" s="208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</row>
    <row r="115">
      <c r="A115" s="198"/>
      <c r="B115" s="208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</row>
    <row r="116">
      <c r="A116" s="198"/>
      <c r="B116" s="208"/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</row>
    <row r="117">
      <c r="A117" s="198"/>
      <c r="B117" s="208"/>
      <c r="C117" s="198"/>
      <c r="D117" s="198"/>
      <c r="E117" s="198"/>
      <c r="F117" s="198"/>
      <c r="G117" s="198"/>
      <c r="H117" s="198"/>
      <c r="I117" s="198"/>
      <c r="J117" s="198"/>
      <c r="K117" s="198"/>
      <c r="L117" s="198"/>
    </row>
    <row r="118">
      <c r="A118" s="198"/>
      <c r="B118" s="20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</row>
    <row r="119">
      <c r="A119" s="198"/>
      <c r="B119" s="20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</row>
    <row r="120">
      <c r="A120" s="198"/>
      <c r="B120" s="20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</row>
    <row r="121">
      <c r="A121" s="198"/>
      <c r="B121" s="20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</row>
    <row r="122">
      <c r="A122" s="198"/>
      <c r="B122" s="208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</row>
    <row r="123">
      <c r="A123" s="198"/>
      <c r="B123" s="20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</row>
    <row r="124">
      <c r="A124" s="198"/>
      <c r="B124" s="20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</row>
    <row r="125">
      <c r="A125" s="198"/>
      <c r="B125" s="20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</row>
    <row r="126">
      <c r="A126" s="198"/>
      <c r="B126" s="20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</row>
    <row r="127">
      <c r="A127" s="198"/>
      <c r="B127" s="20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</row>
    <row r="128">
      <c r="A128" s="198"/>
      <c r="B128" s="208"/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</row>
    <row r="129">
      <c r="A129" s="198"/>
      <c r="B129" s="20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</row>
    <row r="130">
      <c r="A130" s="198"/>
      <c r="B130" s="20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</row>
    <row r="131">
      <c r="A131" s="198"/>
      <c r="B131" s="20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</row>
    <row r="132">
      <c r="A132" s="198"/>
      <c r="B132" s="20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</row>
    <row r="133">
      <c r="A133" s="198"/>
      <c r="B133" s="208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</row>
    <row r="134">
      <c r="A134" s="198"/>
      <c r="B134" s="20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</row>
    <row r="135">
      <c r="A135" s="198"/>
      <c r="B135" s="20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</row>
    <row r="136">
      <c r="A136" s="198"/>
      <c r="B136" s="208"/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</row>
    <row r="137">
      <c r="A137" s="198"/>
      <c r="B137" s="20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</row>
    <row r="138">
      <c r="A138" s="198"/>
      <c r="B138" s="20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</row>
    <row r="139">
      <c r="A139" s="198"/>
      <c r="B139" s="20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</row>
    <row r="140">
      <c r="A140" s="198"/>
      <c r="B140" s="20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</row>
    <row r="141">
      <c r="A141" s="198"/>
      <c r="B141" s="20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</row>
    <row r="142">
      <c r="A142" s="198"/>
      <c r="B142" s="20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</row>
    <row r="143">
      <c r="A143" s="198"/>
      <c r="B143" s="20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</row>
    <row r="144">
      <c r="A144" s="198"/>
      <c r="B144" s="20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</row>
    <row r="145">
      <c r="A145" s="198"/>
      <c r="B145" s="20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</row>
    <row r="146">
      <c r="A146" s="198"/>
      <c r="B146" s="20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</row>
    <row r="147">
      <c r="A147" s="198"/>
      <c r="B147" s="20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</row>
    <row r="148">
      <c r="A148" s="198"/>
      <c r="B148" s="20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</row>
    <row r="149">
      <c r="A149" s="198"/>
      <c r="B149" s="208"/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</row>
    <row r="150">
      <c r="A150" s="198"/>
      <c r="B150" s="208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</row>
    <row r="151">
      <c r="A151" s="198"/>
      <c r="B151" s="208"/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</row>
    <row r="152">
      <c r="A152" s="198"/>
      <c r="B152" s="208"/>
      <c r="C152" s="198"/>
      <c r="D152" s="198"/>
      <c r="E152" s="198"/>
      <c r="F152" s="198"/>
      <c r="G152" s="198"/>
      <c r="H152" s="198"/>
      <c r="I152" s="198"/>
      <c r="J152" s="198"/>
      <c r="K152" s="198"/>
      <c r="L152" s="198"/>
    </row>
    <row r="153">
      <c r="A153" s="198"/>
      <c r="B153" s="20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</row>
    <row r="154">
      <c r="A154" s="198"/>
      <c r="B154" s="20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</row>
    <row r="155">
      <c r="A155" s="198"/>
      <c r="B155" s="20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</row>
    <row r="156">
      <c r="A156" s="198"/>
      <c r="B156" s="20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</row>
    <row r="157">
      <c r="A157" s="198"/>
      <c r="B157" s="20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</row>
    <row r="158">
      <c r="A158" s="198"/>
      <c r="B158" s="20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</row>
    <row r="159">
      <c r="A159" s="198"/>
      <c r="B159" s="20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</row>
    <row r="160">
      <c r="A160" s="198"/>
      <c r="B160" s="20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</row>
    <row r="161">
      <c r="A161" s="198"/>
      <c r="B161" s="20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</row>
    <row r="162">
      <c r="A162" s="198"/>
      <c r="B162" s="20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</row>
    <row r="163">
      <c r="A163" s="198"/>
      <c r="B163" s="208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</row>
    <row r="164">
      <c r="A164" s="198"/>
      <c r="B164" s="20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</row>
    <row r="165">
      <c r="A165" s="198"/>
      <c r="B165" s="20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</row>
    <row r="166">
      <c r="A166" s="198"/>
      <c r="B166" s="20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</row>
    <row r="167">
      <c r="A167" s="198"/>
      <c r="B167" s="20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</row>
    <row r="168">
      <c r="A168" s="198"/>
      <c r="B168" s="20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</row>
    <row r="169">
      <c r="A169" s="198"/>
      <c r="B169" s="20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</row>
    <row r="170">
      <c r="A170" s="198"/>
      <c r="B170" s="20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</row>
    <row r="171">
      <c r="A171" s="198"/>
      <c r="B171" s="20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</row>
    <row r="172">
      <c r="A172" s="198"/>
      <c r="B172" s="20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</row>
    <row r="173">
      <c r="A173" s="198"/>
      <c r="B173" s="20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</row>
    <row r="174">
      <c r="A174" s="198"/>
      <c r="B174" s="208"/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</row>
    <row r="175">
      <c r="A175" s="198"/>
      <c r="B175" s="20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</row>
    <row r="176">
      <c r="A176" s="198"/>
      <c r="B176" s="20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</row>
    <row r="177">
      <c r="A177" s="198"/>
      <c r="B177" s="20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</row>
    <row r="178">
      <c r="A178" s="198"/>
      <c r="B178" s="20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</row>
    <row r="179">
      <c r="A179" s="198"/>
      <c r="B179" s="20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</row>
    <row r="180">
      <c r="A180" s="198"/>
      <c r="B180" s="20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</row>
    <row r="181">
      <c r="A181" s="198"/>
      <c r="B181" s="20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</row>
    <row r="182">
      <c r="A182" s="198"/>
      <c r="B182" s="208"/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</row>
    <row r="183">
      <c r="A183" s="198"/>
      <c r="B183" s="20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</row>
    <row r="184">
      <c r="A184" s="198"/>
      <c r="B184" s="20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</row>
    <row r="185">
      <c r="A185" s="198"/>
      <c r="B185" s="20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</row>
    <row r="186">
      <c r="A186" s="198"/>
      <c r="B186" s="208"/>
      <c r="C186" s="198"/>
      <c r="D186" s="198"/>
      <c r="E186" s="198"/>
      <c r="F186" s="198"/>
      <c r="G186" s="198"/>
      <c r="H186" s="198"/>
      <c r="I186" s="198"/>
      <c r="J186" s="198"/>
      <c r="K186" s="198"/>
      <c r="L186" s="198"/>
    </row>
    <row r="187">
      <c r="A187" s="198"/>
      <c r="B187" s="20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</row>
    <row r="188">
      <c r="A188" s="198"/>
      <c r="B188" s="20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</row>
    <row r="189">
      <c r="A189" s="198"/>
      <c r="B189" s="20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</row>
    <row r="190">
      <c r="A190" s="198"/>
      <c r="B190" s="20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</row>
    <row r="191">
      <c r="A191" s="198"/>
      <c r="B191" s="20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</row>
    <row r="192">
      <c r="A192" s="198"/>
      <c r="B192" s="208"/>
      <c r="C192" s="198"/>
      <c r="D192" s="198"/>
      <c r="E192" s="198"/>
      <c r="F192" s="198"/>
      <c r="G192" s="198"/>
      <c r="H192" s="198"/>
      <c r="I192" s="198"/>
      <c r="J192" s="198"/>
      <c r="K192" s="198"/>
      <c r="L192" s="198"/>
    </row>
    <row r="193">
      <c r="A193" s="198"/>
      <c r="B193" s="20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</row>
    <row r="194">
      <c r="A194" s="198"/>
      <c r="B194" s="20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</row>
    <row r="195">
      <c r="A195" s="198"/>
      <c r="B195" s="20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</row>
    <row r="196">
      <c r="A196" s="198"/>
      <c r="B196" s="20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</row>
    <row r="197">
      <c r="A197" s="198"/>
      <c r="B197" s="20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</row>
    <row r="198">
      <c r="A198" s="198"/>
      <c r="B198" s="20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</row>
    <row r="199">
      <c r="A199" s="198"/>
      <c r="B199" s="208"/>
      <c r="C199" s="198"/>
      <c r="D199" s="198"/>
      <c r="E199" s="198"/>
      <c r="F199" s="198"/>
      <c r="G199" s="198"/>
      <c r="H199" s="198"/>
      <c r="I199" s="198"/>
      <c r="J199" s="198"/>
      <c r="K199" s="198"/>
      <c r="L199" s="198"/>
    </row>
    <row r="200">
      <c r="A200" s="198"/>
      <c r="B200" s="20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</row>
    <row r="201">
      <c r="A201" s="198"/>
      <c r="B201" s="208"/>
      <c r="C201" s="198"/>
      <c r="D201" s="198"/>
      <c r="E201" s="198"/>
      <c r="F201" s="198"/>
      <c r="G201" s="198"/>
      <c r="H201" s="198"/>
      <c r="I201" s="198"/>
      <c r="J201" s="198"/>
      <c r="K201" s="198"/>
      <c r="L201" s="198"/>
    </row>
    <row r="202">
      <c r="A202" s="198"/>
      <c r="B202" s="20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</row>
    <row r="203">
      <c r="A203" s="198"/>
      <c r="B203" s="208"/>
      <c r="C203" s="198"/>
      <c r="D203" s="198"/>
      <c r="E203" s="198"/>
      <c r="F203" s="198"/>
      <c r="G203" s="198"/>
      <c r="H203" s="198"/>
      <c r="I203" s="198"/>
      <c r="J203" s="198"/>
      <c r="K203" s="198"/>
      <c r="L203" s="198"/>
    </row>
    <row r="204">
      <c r="A204" s="198"/>
      <c r="B204" s="20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</row>
    <row r="205">
      <c r="A205" s="198"/>
      <c r="B205" s="20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</row>
    <row r="206">
      <c r="A206" s="198"/>
      <c r="B206" s="20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</row>
    <row r="207">
      <c r="A207" s="198"/>
      <c r="B207" s="20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</row>
    <row r="208">
      <c r="A208" s="198"/>
      <c r="B208" s="20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</row>
    <row r="209">
      <c r="A209" s="198"/>
      <c r="B209" s="208"/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</row>
    <row r="210">
      <c r="A210" s="198"/>
      <c r="B210" s="208"/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</row>
    <row r="211">
      <c r="A211" s="198"/>
      <c r="B211" s="208"/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</row>
    <row r="212">
      <c r="A212" s="198"/>
      <c r="B212" s="20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</row>
    <row r="213">
      <c r="A213" s="198"/>
      <c r="B213" s="20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</row>
    <row r="214">
      <c r="A214" s="198"/>
      <c r="B214" s="20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</row>
    <row r="215">
      <c r="A215" s="198"/>
      <c r="B215" s="20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</row>
    <row r="216">
      <c r="A216" s="198"/>
      <c r="B216" s="20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</row>
    <row r="217">
      <c r="A217" s="198"/>
      <c r="B217" s="20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</row>
    <row r="218">
      <c r="A218" s="198"/>
      <c r="B218" s="20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</row>
    <row r="219">
      <c r="A219" s="198"/>
      <c r="B219" s="20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</row>
    <row r="220">
      <c r="A220" s="198"/>
      <c r="B220" s="20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</row>
    <row r="221">
      <c r="A221" s="198"/>
      <c r="B221" s="208"/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</row>
    <row r="222">
      <c r="A222" s="198"/>
      <c r="B222" s="208"/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</row>
    <row r="223">
      <c r="A223" s="198"/>
      <c r="B223" s="20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</row>
    <row r="224">
      <c r="A224" s="198"/>
      <c r="B224" s="20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</row>
    <row r="225">
      <c r="A225" s="198"/>
      <c r="B225" s="20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</row>
    <row r="226">
      <c r="A226" s="198"/>
      <c r="B226" s="20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</row>
    <row r="227">
      <c r="A227" s="198"/>
      <c r="B227" s="20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</row>
    <row r="228">
      <c r="A228" s="198"/>
      <c r="B228" s="208"/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</row>
    <row r="229">
      <c r="A229" s="198"/>
      <c r="B229" s="20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</row>
    <row r="230">
      <c r="A230" s="198"/>
      <c r="B230" s="20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</row>
    <row r="231">
      <c r="A231" s="198"/>
      <c r="B231" s="20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</row>
    <row r="232">
      <c r="A232" s="198"/>
      <c r="B232" s="20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</row>
    <row r="233">
      <c r="A233" s="198"/>
      <c r="B233" s="20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</row>
    <row r="234">
      <c r="A234" s="198"/>
      <c r="B234" s="20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</row>
    <row r="235">
      <c r="A235" s="198"/>
      <c r="B235" s="20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</row>
    <row r="236">
      <c r="A236" s="198"/>
      <c r="B236" s="20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</row>
    <row r="237">
      <c r="A237" s="198"/>
      <c r="B237" s="20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</row>
    <row r="238">
      <c r="A238" s="198"/>
      <c r="B238" s="20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</row>
    <row r="239">
      <c r="A239" s="198"/>
      <c r="B239" s="208"/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</row>
    <row r="240">
      <c r="A240" s="198"/>
      <c r="B240" s="20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</row>
    <row r="241">
      <c r="A241" s="198"/>
      <c r="B241" s="20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</row>
    <row r="242">
      <c r="A242" s="198"/>
      <c r="B242" s="20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</row>
    <row r="243">
      <c r="A243" s="198"/>
      <c r="B243" s="20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</row>
    <row r="244">
      <c r="A244" s="198"/>
      <c r="B244" s="20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</row>
    <row r="245">
      <c r="A245" s="198"/>
      <c r="B245" s="208"/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</row>
    <row r="246">
      <c r="A246" s="198"/>
      <c r="B246" s="208"/>
      <c r="C246" s="198"/>
      <c r="D246" s="198"/>
      <c r="E246" s="198"/>
      <c r="F246" s="198"/>
      <c r="G246" s="198"/>
      <c r="H246" s="198"/>
      <c r="I246" s="198"/>
      <c r="J246" s="198"/>
      <c r="K246" s="198"/>
      <c r="L246" s="198"/>
    </row>
    <row r="247">
      <c r="A247" s="198"/>
      <c r="B247" s="20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</row>
    <row r="248">
      <c r="A248" s="198"/>
      <c r="B248" s="20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</row>
    <row r="249">
      <c r="A249" s="198"/>
      <c r="B249" s="20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</row>
    <row r="250">
      <c r="A250" s="198"/>
      <c r="B250" s="20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</row>
    <row r="251">
      <c r="A251" s="198"/>
      <c r="B251" s="208"/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</row>
    <row r="252">
      <c r="A252" s="198"/>
      <c r="B252" s="20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</row>
    <row r="253">
      <c r="A253" s="198"/>
      <c r="B253" s="20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</row>
    <row r="254">
      <c r="A254" s="198"/>
      <c r="B254" s="20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</row>
    <row r="255">
      <c r="A255" s="198"/>
      <c r="B255" s="20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</row>
    <row r="256">
      <c r="A256" s="198"/>
      <c r="B256" s="208"/>
      <c r="C256" s="198"/>
      <c r="D256" s="198"/>
      <c r="E256" s="198"/>
      <c r="F256" s="198"/>
      <c r="G256" s="198"/>
      <c r="H256" s="198"/>
      <c r="I256" s="198"/>
      <c r="J256" s="198"/>
      <c r="K256" s="198"/>
      <c r="L256" s="198"/>
    </row>
    <row r="257">
      <c r="A257" s="198"/>
      <c r="B257" s="20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</row>
    <row r="258">
      <c r="A258" s="198"/>
      <c r="B258" s="20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</row>
    <row r="259">
      <c r="A259" s="198"/>
      <c r="B259" s="20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</row>
    <row r="260">
      <c r="A260" s="198"/>
      <c r="B260" s="208"/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</row>
    <row r="261">
      <c r="A261" s="198"/>
      <c r="B261" s="208"/>
      <c r="C261" s="198"/>
      <c r="D261" s="198"/>
      <c r="E261" s="198"/>
      <c r="F261" s="198"/>
      <c r="G261" s="198"/>
      <c r="H261" s="198"/>
      <c r="I261" s="198"/>
      <c r="J261" s="198"/>
      <c r="K261" s="198"/>
      <c r="L261" s="198"/>
    </row>
    <row r="262">
      <c r="A262" s="198"/>
      <c r="B262" s="208"/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</row>
    <row r="263">
      <c r="A263" s="198"/>
      <c r="B263" s="208"/>
      <c r="C263" s="198"/>
      <c r="D263" s="198"/>
      <c r="E263" s="198"/>
      <c r="F263" s="198"/>
      <c r="G263" s="198"/>
      <c r="H263" s="198"/>
      <c r="I263" s="198"/>
      <c r="J263" s="198"/>
      <c r="K263" s="198"/>
      <c r="L263" s="198"/>
    </row>
    <row r="264">
      <c r="A264" s="198"/>
      <c r="B264" s="20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</row>
    <row r="265">
      <c r="A265" s="198"/>
      <c r="B265" s="20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</row>
    <row r="266">
      <c r="A266" s="198"/>
      <c r="B266" s="20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</row>
    <row r="267">
      <c r="A267" s="198"/>
      <c r="B267" s="208"/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</row>
    <row r="268">
      <c r="A268" s="198"/>
      <c r="B268" s="208"/>
      <c r="C268" s="198"/>
      <c r="D268" s="198"/>
      <c r="E268" s="198"/>
      <c r="F268" s="198"/>
      <c r="G268" s="198"/>
      <c r="H268" s="198"/>
      <c r="I268" s="198"/>
      <c r="J268" s="198"/>
      <c r="K268" s="198"/>
      <c r="L268" s="198"/>
    </row>
    <row r="269">
      <c r="A269" s="198"/>
      <c r="B269" s="208"/>
      <c r="C269" s="198"/>
      <c r="D269" s="198"/>
      <c r="E269" s="198"/>
      <c r="F269" s="198"/>
      <c r="G269" s="198"/>
      <c r="H269" s="198"/>
      <c r="I269" s="198"/>
      <c r="J269" s="198"/>
      <c r="K269" s="198"/>
      <c r="L269" s="198"/>
    </row>
    <row r="270">
      <c r="A270" s="198"/>
      <c r="B270" s="208"/>
      <c r="C270" s="198"/>
      <c r="D270" s="198"/>
      <c r="E270" s="198"/>
      <c r="F270" s="198"/>
      <c r="G270" s="198"/>
      <c r="H270" s="198"/>
      <c r="I270" s="198"/>
      <c r="J270" s="198"/>
      <c r="K270" s="198"/>
      <c r="L270" s="198"/>
    </row>
    <row r="271">
      <c r="A271" s="198"/>
      <c r="B271" s="208"/>
      <c r="C271" s="198"/>
      <c r="D271" s="198"/>
      <c r="E271" s="198"/>
      <c r="F271" s="198"/>
      <c r="G271" s="198"/>
      <c r="H271" s="198"/>
      <c r="I271" s="198"/>
      <c r="J271" s="198"/>
      <c r="K271" s="198"/>
      <c r="L271" s="198"/>
    </row>
    <row r="272">
      <c r="A272" s="198"/>
      <c r="B272" s="208"/>
      <c r="C272" s="198"/>
      <c r="D272" s="198"/>
      <c r="E272" s="198"/>
      <c r="F272" s="198"/>
      <c r="G272" s="198"/>
      <c r="H272" s="198"/>
      <c r="I272" s="198"/>
      <c r="J272" s="198"/>
      <c r="K272" s="198"/>
      <c r="L272" s="198"/>
    </row>
    <row r="273">
      <c r="A273" s="198"/>
      <c r="B273" s="208"/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</row>
    <row r="274">
      <c r="A274" s="198"/>
      <c r="B274" s="208"/>
      <c r="C274" s="198"/>
      <c r="D274" s="198"/>
      <c r="E274" s="198"/>
      <c r="F274" s="198"/>
      <c r="G274" s="198"/>
      <c r="H274" s="198"/>
      <c r="I274" s="198"/>
      <c r="J274" s="198"/>
      <c r="K274" s="198"/>
      <c r="L274" s="198"/>
    </row>
    <row r="275">
      <c r="A275" s="198"/>
      <c r="B275" s="208"/>
      <c r="C275" s="198"/>
      <c r="D275" s="198"/>
      <c r="E275" s="198"/>
      <c r="F275" s="198"/>
      <c r="G275" s="198"/>
      <c r="H275" s="198"/>
      <c r="I275" s="198"/>
      <c r="J275" s="198"/>
      <c r="K275" s="198"/>
      <c r="L275" s="198"/>
    </row>
    <row r="276">
      <c r="A276" s="198"/>
      <c r="B276" s="208"/>
      <c r="C276" s="198"/>
      <c r="D276" s="198"/>
      <c r="E276" s="198"/>
      <c r="F276" s="198"/>
      <c r="G276" s="198"/>
      <c r="H276" s="198"/>
      <c r="I276" s="198"/>
      <c r="J276" s="198"/>
      <c r="K276" s="198"/>
      <c r="L276" s="198"/>
    </row>
    <row r="277">
      <c r="A277" s="198"/>
      <c r="B277" s="208"/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</row>
    <row r="278">
      <c r="A278" s="198"/>
      <c r="B278" s="208"/>
      <c r="C278" s="198"/>
      <c r="D278" s="198"/>
      <c r="E278" s="198"/>
      <c r="F278" s="198"/>
      <c r="G278" s="198"/>
      <c r="H278" s="198"/>
      <c r="I278" s="198"/>
      <c r="J278" s="198"/>
      <c r="K278" s="198"/>
      <c r="L278" s="198"/>
    </row>
    <row r="279">
      <c r="A279" s="198"/>
      <c r="B279" s="208"/>
      <c r="C279" s="198"/>
      <c r="D279" s="198"/>
      <c r="E279" s="198"/>
      <c r="F279" s="198"/>
      <c r="G279" s="198"/>
      <c r="H279" s="198"/>
      <c r="I279" s="198"/>
      <c r="J279" s="198"/>
      <c r="K279" s="198"/>
      <c r="L279" s="198"/>
    </row>
    <row r="280">
      <c r="A280" s="198"/>
      <c r="B280" s="208"/>
      <c r="C280" s="198"/>
      <c r="D280" s="198"/>
      <c r="E280" s="198"/>
      <c r="F280" s="198"/>
      <c r="G280" s="198"/>
      <c r="H280" s="198"/>
      <c r="I280" s="198"/>
      <c r="J280" s="198"/>
      <c r="K280" s="198"/>
      <c r="L280" s="198"/>
    </row>
    <row r="281">
      <c r="A281" s="198"/>
      <c r="B281" s="208"/>
      <c r="C281" s="198"/>
      <c r="D281" s="198"/>
      <c r="E281" s="198"/>
      <c r="F281" s="198"/>
      <c r="G281" s="198"/>
      <c r="H281" s="198"/>
      <c r="I281" s="198"/>
      <c r="J281" s="198"/>
      <c r="K281" s="198"/>
      <c r="L281" s="198"/>
    </row>
    <row r="282">
      <c r="A282" s="198"/>
      <c r="B282" s="208"/>
      <c r="C282" s="198"/>
      <c r="D282" s="198"/>
      <c r="E282" s="198"/>
      <c r="F282" s="198"/>
      <c r="G282" s="198"/>
      <c r="H282" s="198"/>
      <c r="I282" s="198"/>
      <c r="J282" s="198"/>
      <c r="K282" s="198"/>
      <c r="L282" s="198"/>
    </row>
    <row r="283">
      <c r="A283" s="198"/>
      <c r="B283" s="208"/>
      <c r="C283" s="198"/>
      <c r="D283" s="198"/>
      <c r="E283" s="198"/>
      <c r="F283" s="198"/>
      <c r="G283" s="198"/>
      <c r="H283" s="198"/>
      <c r="I283" s="198"/>
      <c r="J283" s="198"/>
      <c r="K283" s="198"/>
      <c r="L283" s="198"/>
    </row>
    <row r="284">
      <c r="A284" s="198"/>
      <c r="B284" s="208"/>
      <c r="C284" s="198"/>
      <c r="D284" s="198"/>
      <c r="E284" s="198"/>
      <c r="F284" s="198"/>
      <c r="G284" s="198"/>
      <c r="H284" s="198"/>
      <c r="I284" s="198"/>
      <c r="J284" s="198"/>
      <c r="K284" s="198"/>
      <c r="L284" s="198"/>
    </row>
    <row r="285">
      <c r="A285" s="198"/>
      <c r="B285" s="208"/>
      <c r="C285" s="198"/>
      <c r="D285" s="198"/>
      <c r="E285" s="198"/>
      <c r="F285" s="198"/>
      <c r="G285" s="198"/>
      <c r="H285" s="198"/>
      <c r="I285" s="198"/>
      <c r="J285" s="198"/>
      <c r="K285" s="198"/>
      <c r="L285" s="198"/>
    </row>
    <row r="286">
      <c r="A286" s="198"/>
      <c r="B286" s="208"/>
      <c r="C286" s="198"/>
      <c r="D286" s="198"/>
      <c r="E286" s="198"/>
      <c r="F286" s="198"/>
      <c r="G286" s="198"/>
      <c r="H286" s="198"/>
      <c r="I286" s="198"/>
      <c r="J286" s="198"/>
      <c r="K286" s="198"/>
      <c r="L286" s="198"/>
    </row>
    <row r="287">
      <c r="A287" s="198"/>
      <c r="B287" s="20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</row>
    <row r="288">
      <c r="A288" s="198"/>
      <c r="B288" s="20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</row>
    <row r="289">
      <c r="A289" s="198"/>
      <c r="B289" s="20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</row>
    <row r="290">
      <c r="A290" s="198"/>
      <c r="B290" s="20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</row>
    <row r="291">
      <c r="A291" s="198"/>
      <c r="B291" s="20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</row>
    <row r="292">
      <c r="A292" s="198"/>
      <c r="B292" s="20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</row>
    <row r="293">
      <c r="A293" s="198"/>
      <c r="B293" s="20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</row>
    <row r="294">
      <c r="A294" s="198"/>
      <c r="B294" s="20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</row>
    <row r="295">
      <c r="A295" s="198"/>
      <c r="B295" s="208"/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</row>
    <row r="296">
      <c r="A296" s="198"/>
      <c r="B296" s="208"/>
      <c r="C296" s="198"/>
      <c r="D296" s="198"/>
      <c r="E296" s="198"/>
      <c r="F296" s="198"/>
      <c r="G296" s="198"/>
      <c r="H296" s="198"/>
      <c r="I296" s="198"/>
      <c r="J296" s="198"/>
      <c r="K296" s="198"/>
      <c r="L296" s="198"/>
    </row>
    <row r="297">
      <c r="A297" s="198"/>
      <c r="B297" s="208"/>
      <c r="C297" s="198"/>
      <c r="D297" s="198"/>
      <c r="E297" s="198"/>
      <c r="F297" s="198"/>
      <c r="G297" s="198"/>
      <c r="H297" s="198"/>
      <c r="I297" s="198"/>
      <c r="J297" s="198"/>
      <c r="K297" s="198"/>
      <c r="L297" s="198"/>
    </row>
    <row r="298">
      <c r="A298" s="198"/>
      <c r="B298" s="208"/>
      <c r="C298" s="198"/>
      <c r="D298" s="198"/>
      <c r="E298" s="198"/>
      <c r="F298" s="198"/>
      <c r="G298" s="198"/>
      <c r="H298" s="198"/>
      <c r="I298" s="198"/>
      <c r="J298" s="198"/>
      <c r="K298" s="198"/>
      <c r="L298" s="198"/>
    </row>
    <row r="299">
      <c r="A299" s="198"/>
      <c r="B299" s="208"/>
      <c r="C299" s="198"/>
      <c r="D299" s="198"/>
      <c r="E299" s="198"/>
      <c r="F299" s="198"/>
      <c r="G299" s="198"/>
      <c r="H299" s="198"/>
      <c r="I299" s="198"/>
      <c r="J299" s="198"/>
      <c r="K299" s="198"/>
      <c r="L299" s="198"/>
    </row>
    <row r="300">
      <c r="A300" s="198"/>
      <c r="B300" s="208"/>
      <c r="C300" s="198"/>
      <c r="D300" s="198"/>
      <c r="E300" s="198"/>
      <c r="F300" s="198"/>
      <c r="G300" s="198"/>
      <c r="H300" s="198"/>
      <c r="I300" s="198"/>
      <c r="J300" s="198"/>
      <c r="K300" s="198"/>
      <c r="L300" s="198"/>
    </row>
    <row r="301">
      <c r="A301" s="198"/>
      <c r="B301" s="208"/>
      <c r="C301" s="198"/>
      <c r="D301" s="198"/>
      <c r="E301" s="198"/>
      <c r="F301" s="198"/>
      <c r="G301" s="198"/>
      <c r="H301" s="198"/>
      <c r="I301" s="198"/>
      <c r="J301" s="198"/>
      <c r="K301" s="198"/>
      <c r="L301" s="198"/>
    </row>
    <row r="302">
      <c r="A302" s="198"/>
      <c r="B302" s="208"/>
      <c r="C302" s="198"/>
      <c r="D302" s="198"/>
      <c r="E302" s="198"/>
      <c r="F302" s="198"/>
      <c r="G302" s="198"/>
      <c r="H302" s="198"/>
      <c r="I302" s="198"/>
      <c r="J302" s="198"/>
      <c r="K302" s="198"/>
      <c r="L302" s="198"/>
    </row>
    <row r="303">
      <c r="A303" s="198"/>
      <c r="B303" s="208"/>
      <c r="C303" s="198"/>
      <c r="D303" s="198"/>
      <c r="E303" s="198"/>
      <c r="F303" s="198"/>
      <c r="G303" s="198"/>
      <c r="H303" s="198"/>
      <c r="I303" s="198"/>
      <c r="J303" s="198"/>
      <c r="K303" s="198"/>
      <c r="L303" s="198"/>
    </row>
    <row r="304">
      <c r="A304" s="198"/>
      <c r="B304" s="208"/>
      <c r="C304" s="198"/>
      <c r="D304" s="198"/>
      <c r="E304" s="198"/>
      <c r="F304" s="198"/>
      <c r="G304" s="198"/>
      <c r="H304" s="198"/>
      <c r="I304" s="198"/>
      <c r="J304" s="198"/>
      <c r="K304" s="198"/>
      <c r="L304" s="198"/>
    </row>
    <row r="305">
      <c r="A305" s="198"/>
      <c r="B305" s="208"/>
      <c r="C305" s="198"/>
      <c r="D305" s="198"/>
      <c r="E305" s="198"/>
      <c r="F305" s="198"/>
      <c r="G305" s="198"/>
      <c r="H305" s="198"/>
      <c r="I305" s="198"/>
      <c r="J305" s="198"/>
      <c r="K305" s="198"/>
      <c r="L305" s="198"/>
    </row>
    <row r="306">
      <c r="A306" s="198"/>
      <c r="B306" s="208"/>
      <c r="C306" s="198"/>
      <c r="D306" s="198"/>
      <c r="E306" s="198"/>
      <c r="F306" s="198"/>
      <c r="G306" s="198"/>
      <c r="H306" s="198"/>
      <c r="I306" s="198"/>
      <c r="J306" s="198"/>
      <c r="K306" s="198"/>
      <c r="L306" s="198"/>
    </row>
    <row r="307">
      <c r="A307" s="198"/>
      <c r="B307" s="208"/>
      <c r="C307" s="198"/>
      <c r="D307" s="198"/>
      <c r="E307" s="198"/>
      <c r="F307" s="198"/>
      <c r="G307" s="198"/>
      <c r="H307" s="198"/>
      <c r="I307" s="198"/>
      <c r="J307" s="198"/>
      <c r="K307" s="198"/>
      <c r="L307" s="198"/>
    </row>
    <row r="308">
      <c r="A308" s="198"/>
      <c r="B308" s="208"/>
      <c r="C308" s="198"/>
      <c r="D308" s="198"/>
      <c r="E308" s="198"/>
      <c r="F308" s="198"/>
      <c r="G308" s="198"/>
      <c r="H308" s="198"/>
      <c r="I308" s="198"/>
      <c r="J308" s="198"/>
      <c r="K308" s="198"/>
      <c r="L308" s="198"/>
    </row>
    <row r="309">
      <c r="A309" s="198"/>
      <c r="B309" s="208"/>
      <c r="C309" s="198"/>
      <c r="D309" s="198"/>
      <c r="E309" s="198"/>
      <c r="F309" s="198"/>
      <c r="G309" s="198"/>
      <c r="H309" s="198"/>
      <c r="I309" s="198"/>
      <c r="J309" s="198"/>
      <c r="K309" s="198"/>
      <c r="L309" s="198"/>
    </row>
    <row r="310">
      <c r="A310" s="198"/>
      <c r="B310" s="208"/>
      <c r="C310" s="198"/>
      <c r="D310" s="198"/>
      <c r="E310" s="198"/>
      <c r="F310" s="198"/>
      <c r="G310" s="198"/>
      <c r="H310" s="198"/>
      <c r="I310" s="198"/>
      <c r="J310" s="198"/>
      <c r="K310" s="198"/>
      <c r="L310" s="198"/>
    </row>
    <row r="311">
      <c r="A311" s="198"/>
      <c r="B311" s="208"/>
      <c r="C311" s="198"/>
      <c r="D311" s="198"/>
      <c r="E311" s="198"/>
      <c r="F311" s="198"/>
      <c r="G311" s="198"/>
      <c r="H311" s="198"/>
      <c r="I311" s="198"/>
      <c r="J311" s="198"/>
      <c r="K311" s="198"/>
      <c r="L311" s="198"/>
    </row>
    <row r="312">
      <c r="A312" s="198"/>
      <c r="B312" s="208"/>
      <c r="C312" s="198"/>
      <c r="D312" s="198"/>
      <c r="E312" s="198"/>
      <c r="F312" s="198"/>
      <c r="G312" s="198"/>
      <c r="H312" s="198"/>
      <c r="I312" s="198"/>
      <c r="J312" s="198"/>
      <c r="K312" s="198"/>
      <c r="L312" s="198"/>
    </row>
    <row r="313">
      <c r="A313" s="198"/>
      <c r="B313" s="208"/>
      <c r="C313" s="198"/>
      <c r="D313" s="198"/>
      <c r="E313" s="198"/>
      <c r="F313" s="198"/>
      <c r="G313" s="198"/>
      <c r="H313" s="198"/>
      <c r="I313" s="198"/>
      <c r="J313" s="198"/>
      <c r="K313" s="198"/>
      <c r="L313" s="198"/>
    </row>
    <row r="314">
      <c r="A314" s="198"/>
      <c r="B314" s="208"/>
      <c r="C314" s="198"/>
      <c r="D314" s="198"/>
      <c r="E314" s="198"/>
      <c r="F314" s="198"/>
      <c r="G314" s="198"/>
      <c r="H314" s="198"/>
      <c r="I314" s="198"/>
      <c r="J314" s="198"/>
      <c r="K314" s="198"/>
      <c r="L314" s="198"/>
    </row>
    <row r="315">
      <c r="A315" s="198"/>
      <c r="B315" s="208"/>
      <c r="C315" s="198"/>
      <c r="D315" s="198"/>
      <c r="E315" s="198"/>
      <c r="F315" s="198"/>
      <c r="G315" s="198"/>
      <c r="H315" s="198"/>
      <c r="I315" s="198"/>
      <c r="J315" s="198"/>
      <c r="K315" s="198"/>
      <c r="L315" s="198"/>
    </row>
    <row r="316">
      <c r="A316" s="198"/>
      <c r="B316" s="208"/>
      <c r="C316" s="198"/>
      <c r="D316" s="198"/>
      <c r="E316" s="198"/>
      <c r="F316" s="198"/>
      <c r="G316" s="198"/>
      <c r="H316" s="198"/>
      <c r="I316" s="198"/>
      <c r="J316" s="198"/>
      <c r="K316" s="198"/>
      <c r="L316" s="198"/>
    </row>
    <row r="317">
      <c r="A317" s="198"/>
      <c r="B317" s="208"/>
      <c r="C317" s="198"/>
      <c r="D317" s="198"/>
      <c r="E317" s="198"/>
      <c r="F317" s="198"/>
      <c r="G317" s="198"/>
      <c r="H317" s="198"/>
      <c r="I317" s="198"/>
      <c r="J317" s="198"/>
      <c r="K317" s="198"/>
      <c r="L317" s="198"/>
    </row>
    <row r="318">
      <c r="A318" s="198"/>
      <c r="B318" s="208"/>
      <c r="C318" s="198"/>
      <c r="D318" s="198"/>
      <c r="E318" s="198"/>
      <c r="F318" s="198"/>
      <c r="G318" s="198"/>
      <c r="H318" s="198"/>
      <c r="I318" s="198"/>
      <c r="J318" s="198"/>
      <c r="K318" s="198"/>
      <c r="L318" s="198"/>
    </row>
    <row r="319">
      <c r="A319" s="198"/>
      <c r="B319" s="208"/>
      <c r="C319" s="198"/>
      <c r="D319" s="198"/>
      <c r="E319" s="198"/>
      <c r="F319" s="198"/>
      <c r="G319" s="198"/>
      <c r="H319" s="198"/>
      <c r="I319" s="198"/>
      <c r="J319" s="198"/>
      <c r="K319" s="198"/>
      <c r="L319" s="198"/>
    </row>
    <row r="320">
      <c r="A320" s="198"/>
      <c r="B320" s="208"/>
      <c r="C320" s="198"/>
      <c r="D320" s="198"/>
      <c r="E320" s="198"/>
      <c r="F320" s="198"/>
      <c r="G320" s="198"/>
      <c r="H320" s="198"/>
      <c r="I320" s="198"/>
      <c r="J320" s="198"/>
      <c r="K320" s="198"/>
      <c r="L320" s="198"/>
    </row>
    <row r="321">
      <c r="A321" s="198"/>
      <c r="B321" s="208"/>
      <c r="C321" s="198"/>
      <c r="D321" s="198"/>
      <c r="E321" s="198"/>
      <c r="F321" s="198"/>
      <c r="G321" s="198"/>
      <c r="H321" s="198"/>
      <c r="I321" s="198"/>
      <c r="J321" s="198"/>
      <c r="K321" s="198"/>
      <c r="L321" s="198"/>
    </row>
    <row r="322">
      <c r="A322" s="198"/>
      <c r="B322" s="208"/>
      <c r="C322" s="198"/>
      <c r="D322" s="198"/>
      <c r="E322" s="198"/>
      <c r="F322" s="198"/>
      <c r="G322" s="198"/>
      <c r="H322" s="198"/>
      <c r="I322" s="198"/>
      <c r="J322" s="198"/>
      <c r="K322" s="198"/>
      <c r="L322" s="198"/>
    </row>
    <row r="323">
      <c r="A323" s="198"/>
      <c r="B323" s="208"/>
      <c r="C323" s="198"/>
      <c r="D323" s="198"/>
      <c r="E323" s="198"/>
      <c r="F323" s="198"/>
      <c r="G323" s="198"/>
      <c r="H323" s="198"/>
      <c r="I323" s="198"/>
      <c r="J323" s="198"/>
      <c r="K323" s="198"/>
      <c r="L323" s="198"/>
    </row>
    <row r="324">
      <c r="A324" s="198"/>
      <c r="B324" s="208"/>
      <c r="C324" s="198"/>
      <c r="D324" s="198"/>
      <c r="E324" s="198"/>
      <c r="F324" s="198"/>
      <c r="G324" s="198"/>
      <c r="H324" s="198"/>
      <c r="I324" s="198"/>
      <c r="J324" s="198"/>
      <c r="K324" s="198"/>
      <c r="L324" s="198"/>
    </row>
    <row r="325">
      <c r="A325" s="198"/>
      <c r="B325" s="208"/>
      <c r="C325" s="198"/>
      <c r="D325" s="198"/>
      <c r="E325" s="198"/>
      <c r="F325" s="198"/>
      <c r="G325" s="198"/>
      <c r="H325" s="198"/>
      <c r="I325" s="198"/>
      <c r="J325" s="198"/>
      <c r="K325" s="198"/>
      <c r="L325" s="198"/>
    </row>
    <row r="326">
      <c r="A326" s="198"/>
      <c r="B326" s="208"/>
      <c r="C326" s="198"/>
      <c r="D326" s="198"/>
      <c r="E326" s="198"/>
      <c r="F326" s="198"/>
      <c r="G326" s="198"/>
      <c r="H326" s="198"/>
      <c r="I326" s="198"/>
      <c r="J326" s="198"/>
      <c r="K326" s="198"/>
      <c r="L326" s="198"/>
    </row>
    <row r="327">
      <c r="A327" s="198"/>
      <c r="B327" s="208"/>
      <c r="C327" s="198"/>
      <c r="D327" s="198"/>
      <c r="E327" s="198"/>
      <c r="F327" s="198"/>
      <c r="G327" s="198"/>
      <c r="H327" s="198"/>
      <c r="I327" s="198"/>
      <c r="J327" s="198"/>
      <c r="K327" s="198"/>
      <c r="L327" s="198"/>
    </row>
    <row r="328">
      <c r="A328" s="198"/>
      <c r="B328" s="208"/>
      <c r="C328" s="198"/>
      <c r="D328" s="198"/>
      <c r="E328" s="198"/>
      <c r="F328" s="198"/>
      <c r="G328" s="198"/>
      <c r="H328" s="198"/>
      <c r="I328" s="198"/>
      <c r="J328" s="198"/>
      <c r="K328" s="198"/>
      <c r="L328" s="198"/>
    </row>
    <row r="329">
      <c r="A329" s="198"/>
      <c r="B329" s="208"/>
      <c r="C329" s="198"/>
      <c r="D329" s="198"/>
      <c r="E329" s="198"/>
      <c r="F329" s="198"/>
      <c r="G329" s="198"/>
      <c r="H329" s="198"/>
      <c r="I329" s="198"/>
      <c r="J329" s="198"/>
      <c r="K329" s="198"/>
      <c r="L329" s="198"/>
    </row>
    <row r="330">
      <c r="A330" s="198"/>
      <c r="B330" s="208"/>
      <c r="C330" s="198"/>
      <c r="D330" s="198"/>
      <c r="E330" s="198"/>
      <c r="F330" s="198"/>
      <c r="G330" s="198"/>
      <c r="H330" s="198"/>
      <c r="I330" s="198"/>
      <c r="J330" s="198"/>
      <c r="K330" s="198"/>
      <c r="L330" s="198"/>
    </row>
    <row r="331">
      <c r="A331" s="198"/>
      <c r="B331" s="208"/>
      <c r="C331" s="198"/>
      <c r="D331" s="198"/>
      <c r="E331" s="198"/>
      <c r="F331" s="198"/>
      <c r="G331" s="198"/>
      <c r="H331" s="198"/>
      <c r="I331" s="198"/>
      <c r="J331" s="198"/>
      <c r="K331" s="198"/>
      <c r="L331" s="198"/>
    </row>
    <row r="332">
      <c r="A332" s="198"/>
      <c r="B332" s="208"/>
      <c r="C332" s="198"/>
      <c r="D332" s="198"/>
      <c r="E332" s="198"/>
      <c r="F332" s="198"/>
      <c r="G332" s="198"/>
      <c r="H332" s="198"/>
      <c r="I332" s="198"/>
      <c r="J332" s="198"/>
      <c r="K332" s="198"/>
      <c r="L332" s="198"/>
    </row>
    <row r="333">
      <c r="A333" s="198"/>
      <c r="B333" s="208"/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</row>
    <row r="334">
      <c r="A334" s="198"/>
      <c r="B334" s="208"/>
      <c r="C334" s="198"/>
      <c r="D334" s="198"/>
      <c r="E334" s="198"/>
      <c r="F334" s="198"/>
      <c r="G334" s="198"/>
      <c r="H334" s="198"/>
      <c r="I334" s="198"/>
      <c r="J334" s="198"/>
      <c r="K334" s="198"/>
      <c r="L334" s="198"/>
    </row>
    <row r="335">
      <c r="A335" s="198"/>
      <c r="B335" s="208"/>
      <c r="C335" s="198"/>
      <c r="D335" s="198"/>
      <c r="E335" s="198"/>
      <c r="F335" s="198"/>
      <c r="G335" s="198"/>
      <c r="H335" s="198"/>
      <c r="I335" s="198"/>
      <c r="J335" s="198"/>
      <c r="K335" s="198"/>
      <c r="L335" s="198"/>
    </row>
    <row r="336">
      <c r="A336" s="198"/>
      <c r="B336" s="208"/>
      <c r="C336" s="198"/>
      <c r="D336" s="198"/>
      <c r="E336" s="198"/>
      <c r="F336" s="198"/>
      <c r="G336" s="198"/>
      <c r="H336" s="198"/>
      <c r="I336" s="198"/>
      <c r="J336" s="198"/>
      <c r="K336" s="198"/>
      <c r="L336" s="198"/>
    </row>
    <row r="337">
      <c r="A337" s="198"/>
      <c r="B337" s="208"/>
      <c r="C337" s="198"/>
      <c r="D337" s="198"/>
      <c r="E337" s="198"/>
      <c r="F337" s="198"/>
      <c r="G337" s="198"/>
      <c r="H337" s="198"/>
      <c r="I337" s="198"/>
      <c r="J337" s="198"/>
      <c r="K337" s="198"/>
      <c r="L337" s="198"/>
    </row>
    <row r="338">
      <c r="A338" s="198"/>
      <c r="B338" s="208"/>
      <c r="C338" s="198"/>
      <c r="D338" s="198"/>
      <c r="E338" s="198"/>
      <c r="F338" s="198"/>
      <c r="G338" s="198"/>
      <c r="H338" s="198"/>
      <c r="I338" s="198"/>
      <c r="J338" s="198"/>
      <c r="K338" s="198"/>
      <c r="L338" s="198"/>
    </row>
    <row r="339">
      <c r="A339" s="198"/>
      <c r="B339" s="208"/>
      <c r="C339" s="198"/>
      <c r="D339" s="198"/>
      <c r="E339" s="198"/>
      <c r="F339" s="198"/>
      <c r="G339" s="198"/>
      <c r="H339" s="198"/>
      <c r="I339" s="198"/>
      <c r="J339" s="198"/>
      <c r="K339" s="198"/>
      <c r="L339" s="198"/>
    </row>
    <row r="340">
      <c r="A340" s="198"/>
      <c r="B340" s="208"/>
      <c r="C340" s="198"/>
      <c r="D340" s="198"/>
      <c r="E340" s="198"/>
      <c r="F340" s="198"/>
      <c r="G340" s="198"/>
      <c r="H340" s="198"/>
      <c r="I340" s="198"/>
      <c r="J340" s="198"/>
      <c r="K340" s="198"/>
      <c r="L340" s="198"/>
    </row>
    <row r="341">
      <c r="A341" s="198"/>
      <c r="B341" s="208"/>
      <c r="C341" s="198"/>
      <c r="D341" s="198"/>
      <c r="E341" s="198"/>
      <c r="F341" s="198"/>
      <c r="G341" s="198"/>
      <c r="H341" s="198"/>
      <c r="I341" s="198"/>
      <c r="J341" s="198"/>
      <c r="K341" s="198"/>
      <c r="L341" s="198"/>
    </row>
    <row r="342">
      <c r="A342" s="198"/>
      <c r="B342" s="208"/>
      <c r="C342" s="198"/>
      <c r="D342" s="198"/>
      <c r="E342" s="198"/>
      <c r="F342" s="198"/>
      <c r="G342" s="198"/>
      <c r="H342" s="198"/>
      <c r="I342" s="198"/>
      <c r="J342" s="198"/>
      <c r="K342" s="198"/>
      <c r="L342" s="198"/>
    </row>
    <row r="343">
      <c r="A343" s="198"/>
      <c r="B343" s="208"/>
      <c r="C343" s="198"/>
      <c r="D343" s="198"/>
      <c r="E343" s="198"/>
      <c r="F343" s="198"/>
      <c r="G343" s="198"/>
      <c r="H343" s="198"/>
      <c r="I343" s="198"/>
      <c r="J343" s="198"/>
      <c r="K343" s="198"/>
      <c r="L343" s="198"/>
    </row>
    <row r="344">
      <c r="A344" s="198"/>
      <c r="B344" s="208"/>
      <c r="C344" s="198"/>
      <c r="D344" s="198"/>
      <c r="E344" s="198"/>
      <c r="F344" s="198"/>
      <c r="G344" s="198"/>
      <c r="H344" s="198"/>
      <c r="I344" s="198"/>
      <c r="J344" s="198"/>
      <c r="K344" s="198"/>
      <c r="L344" s="198"/>
    </row>
    <row r="345">
      <c r="A345" s="198"/>
      <c r="B345" s="208"/>
      <c r="C345" s="198"/>
      <c r="D345" s="198"/>
      <c r="E345" s="198"/>
      <c r="F345" s="198"/>
      <c r="G345" s="198"/>
      <c r="H345" s="198"/>
      <c r="I345" s="198"/>
      <c r="J345" s="198"/>
      <c r="K345" s="198"/>
      <c r="L345" s="198"/>
    </row>
    <row r="346">
      <c r="A346" s="198"/>
      <c r="B346" s="208"/>
      <c r="C346" s="198"/>
      <c r="D346" s="198"/>
      <c r="E346" s="198"/>
      <c r="F346" s="198"/>
      <c r="G346" s="198"/>
      <c r="H346" s="198"/>
      <c r="I346" s="198"/>
      <c r="J346" s="198"/>
      <c r="K346" s="198"/>
      <c r="L346" s="198"/>
    </row>
    <row r="347">
      <c r="A347" s="198"/>
      <c r="B347" s="208"/>
      <c r="C347" s="198"/>
      <c r="D347" s="198"/>
      <c r="E347" s="198"/>
      <c r="F347" s="198"/>
      <c r="G347" s="198"/>
      <c r="H347" s="198"/>
      <c r="I347" s="198"/>
      <c r="J347" s="198"/>
      <c r="K347" s="198"/>
      <c r="L347" s="198"/>
    </row>
    <row r="348">
      <c r="A348" s="198"/>
      <c r="B348" s="208"/>
      <c r="C348" s="198"/>
      <c r="D348" s="198"/>
      <c r="E348" s="198"/>
      <c r="F348" s="198"/>
      <c r="G348" s="198"/>
      <c r="H348" s="198"/>
      <c r="I348" s="198"/>
      <c r="J348" s="198"/>
      <c r="K348" s="198"/>
      <c r="L348" s="198"/>
    </row>
    <row r="349">
      <c r="A349" s="198"/>
      <c r="B349" s="208"/>
      <c r="C349" s="198"/>
      <c r="D349" s="198"/>
      <c r="E349" s="198"/>
      <c r="F349" s="198"/>
      <c r="G349" s="198"/>
      <c r="H349" s="198"/>
      <c r="I349" s="198"/>
      <c r="J349" s="198"/>
      <c r="K349" s="198"/>
      <c r="L349" s="198"/>
    </row>
    <row r="350">
      <c r="A350" s="198"/>
      <c r="B350" s="208"/>
      <c r="C350" s="198"/>
      <c r="D350" s="198"/>
      <c r="E350" s="198"/>
      <c r="F350" s="198"/>
      <c r="G350" s="198"/>
      <c r="H350" s="198"/>
      <c r="I350" s="198"/>
      <c r="J350" s="198"/>
      <c r="K350" s="198"/>
      <c r="L350" s="198"/>
    </row>
    <row r="351">
      <c r="A351" s="198"/>
      <c r="B351" s="208"/>
      <c r="C351" s="198"/>
      <c r="D351" s="198"/>
      <c r="E351" s="198"/>
      <c r="F351" s="198"/>
      <c r="G351" s="198"/>
      <c r="H351" s="198"/>
      <c r="I351" s="198"/>
      <c r="J351" s="198"/>
      <c r="K351" s="198"/>
      <c r="L351" s="198"/>
    </row>
    <row r="352">
      <c r="A352" s="198"/>
      <c r="B352" s="208"/>
      <c r="C352" s="198"/>
      <c r="D352" s="198"/>
      <c r="E352" s="198"/>
      <c r="F352" s="198"/>
      <c r="G352" s="198"/>
      <c r="H352" s="198"/>
      <c r="I352" s="198"/>
      <c r="J352" s="198"/>
      <c r="K352" s="198"/>
      <c r="L352" s="198"/>
    </row>
    <row r="353">
      <c r="A353" s="198"/>
      <c r="B353" s="208"/>
      <c r="C353" s="198"/>
      <c r="D353" s="198"/>
      <c r="E353" s="198"/>
      <c r="F353" s="198"/>
      <c r="G353" s="198"/>
      <c r="H353" s="198"/>
      <c r="I353" s="198"/>
      <c r="J353" s="198"/>
      <c r="K353" s="198"/>
      <c r="L353" s="198"/>
    </row>
    <row r="354">
      <c r="A354" s="198"/>
      <c r="B354" s="208"/>
      <c r="C354" s="198"/>
      <c r="D354" s="198"/>
      <c r="E354" s="198"/>
      <c r="F354" s="198"/>
      <c r="G354" s="198"/>
      <c r="H354" s="198"/>
      <c r="I354" s="198"/>
      <c r="J354" s="198"/>
      <c r="K354" s="198"/>
      <c r="L354" s="198"/>
    </row>
    <row r="355">
      <c r="A355" s="198"/>
      <c r="B355" s="208"/>
      <c r="C355" s="198"/>
      <c r="D355" s="198"/>
      <c r="E355" s="198"/>
      <c r="F355" s="198"/>
      <c r="G355" s="198"/>
      <c r="H355" s="198"/>
      <c r="I355" s="198"/>
      <c r="J355" s="198"/>
      <c r="K355" s="198"/>
      <c r="L355" s="198"/>
    </row>
    <row r="356">
      <c r="A356" s="198"/>
      <c r="B356" s="208"/>
      <c r="C356" s="198"/>
      <c r="D356" s="198"/>
      <c r="E356" s="198"/>
      <c r="F356" s="198"/>
      <c r="G356" s="198"/>
      <c r="H356" s="198"/>
      <c r="I356" s="198"/>
      <c r="J356" s="198"/>
      <c r="K356" s="198"/>
      <c r="L356" s="198"/>
    </row>
    <row r="357">
      <c r="A357" s="198"/>
      <c r="B357" s="208"/>
      <c r="C357" s="198"/>
      <c r="D357" s="198"/>
      <c r="E357" s="198"/>
      <c r="F357" s="198"/>
      <c r="G357" s="198"/>
      <c r="H357" s="198"/>
      <c r="I357" s="198"/>
      <c r="J357" s="198"/>
      <c r="K357" s="198"/>
      <c r="L357" s="198"/>
    </row>
    <row r="358">
      <c r="A358" s="198"/>
      <c r="B358" s="208"/>
      <c r="C358" s="198"/>
      <c r="D358" s="198"/>
      <c r="E358" s="198"/>
      <c r="F358" s="198"/>
      <c r="G358" s="198"/>
      <c r="H358" s="198"/>
      <c r="I358" s="198"/>
      <c r="J358" s="198"/>
      <c r="K358" s="198"/>
      <c r="L358" s="198"/>
    </row>
    <row r="359">
      <c r="A359" s="198"/>
      <c r="B359" s="208"/>
      <c r="C359" s="198"/>
      <c r="D359" s="198"/>
      <c r="E359" s="198"/>
      <c r="F359" s="198"/>
      <c r="G359" s="198"/>
      <c r="H359" s="198"/>
      <c r="I359" s="198"/>
      <c r="J359" s="198"/>
      <c r="K359" s="198"/>
      <c r="L359" s="198"/>
    </row>
    <row r="360">
      <c r="A360" s="198"/>
      <c r="B360" s="208"/>
      <c r="C360" s="198"/>
      <c r="D360" s="198"/>
      <c r="E360" s="198"/>
      <c r="F360" s="198"/>
      <c r="G360" s="198"/>
      <c r="H360" s="198"/>
      <c r="I360" s="198"/>
      <c r="J360" s="198"/>
      <c r="K360" s="198"/>
      <c r="L360" s="198"/>
    </row>
    <row r="361">
      <c r="A361" s="198"/>
      <c r="B361" s="208"/>
      <c r="C361" s="198"/>
      <c r="D361" s="198"/>
      <c r="E361" s="198"/>
      <c r="F361" s="198"/>
      <c r="G361" s="198"/>
      <c r="H361" s="198"/>
      <c r="I361" s="198"/>
      <c r="J361" s="198"/>
      <c r="K361" s="198"/>
      <c r="L361" s="198"/>
    </row>
    <row r="362">
      <c r="A362" s="198"/>
      <c r="B362" s="208"/>
      <c r="C362" s="198"/>
      <c r="D362" s="198"/>
      <c r="E362" s="198"/>
      <c r="F362" s="198"/>
      <c r="G362" s="198"/>
      <c r="H362" s="198"/>
      <c r="I362" s="198"/>
      <c r="J362" s="198"/>
      <c r="K362" s="198"/>
      <c r="L362" s="198"/>
    </row>
    <row r="363">
      <c r="A363" s="198"/>
      <c r="B363" s="208"/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</row>
    <row r="364">
      <c r="A364" s="198"/>
      <c r="B364" s="208"/>
      <c r="C364" s="198"/>
      <c r="D364" s="198"/>
      <c r="E364" s="198"/>
      <c r="F364" s="198"/>
      <c r="G364" s="198"/>
      <c r="H364" s="198"/>
      <c r="I364" s="198"/>
      <c r="J364" s="198"/>
      <c r="K364" s="198"/>
      <c r="L364" s="198"/>
    </row>
    <row r="365">
      <c r="A365" s="198"/>
      <c r="B365" s="208"/>
      <c r="C365" s="198"/>
      <c r="D365" s="198"/>
      <c r="E365" s="198"/>
      <c r="F365" s="198"/>
      <c r="G365" s="198"/>
      <c r="H365" s="198"/>
      <c r="I365" s="198"/>
      <c r="J365" s="198"/>
      <c r="K365" s="198"/>
      <c r="L365" s="198"/>
    </row>
    <row r="366">
      <c r="A366" s="198"/>
      <c r="B366" s="208"/>
      <c r="C366" s="198"/>
      <c r="D366" s="198"/>
      <c r="E366" s="198"/>
      <c r="F366" s="198"/>
      <c r="G366" s="198"/>
      <c r="H366" s="198"/>
      <c r="I366" s="198"/>
      <c r="J366" s="198"/>
      <c r="K366" s="198"/>
      <c r="L366" s="198"/>
    </row>
    <row r="367">
      <c r="A367" s="198"/>
      <c r="B367" s="208"/>
      <c r="C367" s="198"/>
      <c r="D367" s="198"/>
      <c r="E367" s="198"/>
      <c r="F367" s="198"/>
      <c r="G367" s="198"/>
      <c r="H367" s="198"/>
      <c r="I367" s="198"/>
      <c r="J367" s="198"/>
      <c r="K367" s="198"/>
      <c r="L367" s="198"/>
    </row>
    <row r="368">
      <c r="A368" s="198"/>
      <c r="B368" s="208"/>
      <c r="C368" s="198"/>
      <c r="D368" s="198"/>
      <c r="E368" s="198"/>
      <c r="F368" s="198"/>
      <c r="G368" s="198"/>
      <c r="H368" s="198"/>
      <c r="I368" s="198"/>
      <c r="J368" s="198"/>
      <c r="K368" s="198"/>
      <c r="L368" s="198"/>
    </row>
    <row r="369">
      <c r="A369" s="198"/>
      <c r="B369" s="208"/>
      <c r="C369" s="198"/>
      <c r="D369" s="198"/>
      <c r="E369" s="198"/>
      <c r="F369" s="198"/>
      <c r="G369" s="198"/>
      <c r="H369" s="198"/>
      <c r="I369" s="198"/>
      <c r="J369" s="198"/>
      <c r="K369" s="198"/>
      <c r="L369" s="198"/>
    </row>
    <row r="370">
      <c r="A370" s="198"/>
      <c r="B370" s="208"/>
      <c r="C370" s="198"/>
      <c r="D370" s="198"/>
      <c r="E370" s="198"/>
      <c r="F370" s="198"/>
      <c r="G370" s="198"/>
      <c r="H370" s="198"/>
      <c r="I370" s="198"/>
      <c r="J370" s="198"/>
      <c r="K370" s="198"/>
      <c r="L370" s="198"/>
    </row>
    <row r="371">
      <c r="A371" s="198"/>
      <c r="B371" s="208"/>
      <c r="C371" s="198"/>
      <c r="D371" s="198"/>
      <c r="E371" s="198"/>
      <c r="F371" s="198"/>
      <c r="G371" s="198"/>
      <c r="H371" s="198"/>
      <c r="I371" s="198"/>
      <c r="J371" s="198"/>
      <c r="K371" s="198"/>
      <c r="L371" s="198"/>
    </row>
    <row r="372">
      <c r="A372" s="198"/>
      <c r="B372" s="208"/>
      <c r="C372" s="198"/>
      <c r="D372" s="198"/>
      <c r="E372" s="198"/>
      <c r="F372" s="198"/>
      <c r="G372" s="198"/>
      <c r="H372" s="198"/>
      <c r="I372" s="198"/>
      <c r="J372" s="198"/>
      <c r="K372" s="198"/>
      <c r="L372" s="198"/>
    </row>
    <row r="373">
      <c r="A373" s="198"/>
      <c r="B373" s="208"/>
      <c r="C373" s="198"/>
      <c r="D373" s="198"/>
      <c r="E373" s="198"/>
      <c r="F373" s="198"/>
      <c r="G373" s="198"/>
      <c r="H373" s="198"/>
      <c r="I373" s="198"/>
      <c r="J373" s="198"/>
      <c r="K373" s="198"/>
      <c r="L373" s="198"/>
    </row>
    <row r="374">
      <c r="A374" s="198"/>
      <c r="B374" s="208"/>
      <c r="C374" s="198"/>
      <c r="D374" s="198"/>
      <c r="E374" s="198"/>
      <c r="F374" s="198"/>
      <c r="G374" s="198"/>
      <c r="H374" s="198"/>
      <c r="I374" s="198"/>
      <c r="J374" s="198"/>
      <c r="K374" s="198"/>
      <c r="L374" s="198"/>
    </row>
    <row r="375">
      <c r="A375" s="198"/>
      <c r="B375" s="208"/>
      <c r="C375" s="198"/>
      <c r="D375" s="198"/>
      <c r="E375" s="198"/>
      <c r="F375" s="198"/>
      <c r="G375" s="198"/>
      <c r="H375" s="198"/>
      <c r="I375" s="198"/>
      <c r="J375" s="198"/>
      <c r="K375" s="198"/>
      <c r="L375" s="198"/>
    </row>
    <row r="376">
      <c r="A376" s="198"/>
      <c r="B376" s="208"/>
      <c r="C376" s="198"/>
      <c r="D376" s="198"/>
      <c r="E376" s="198"/>
      <c r="F376" s="198"/>
      <c r="G376" s="198"/>
      <c r="H376" s="198"/>
      <c r="I376" s="198"/>
      <c r="J376" s="198"/>
      <c r="K376" s="198"/>
      <c r="L376" s="198"/>
    </row>
    <row r="377">
      <c r="A377" s="198"/>
      <c r="B377" s="208"/>
      <c r="C377" s="198"/>
      <c r="D377" s="198"/>
      <c r="E377" s="198"/>
      <c r="F377" s="198"/>
      <c r="G377" s="198"/>
      <c r="H377" s="198"/>
      <c r="I377" s="198"/>
      <c r="J377" s="198"/>
      <c r="K377" s="198"/>
      <c r="L377" s="198"/>
    </row>
    <row r="378">
      <c r="A378" s="198"/>
      <c r="B378" s="208"/>
      <c r="C378" s="198"/>
      <c r="D378" s="198"/>
      <c r="E378" s="198"/>
      <c r="F378" s="198"/>
      <c r="G378" s="198"/>
      <c r="H378" s="198"/>
      <c r="I378" s="198"/>
      <c r="J378" s="198"/>
      <c r="K378" s="198"/>
      <c r="L378" s="198"/>
    </row>
    <row r="379">
      <c r="A379" s="198"/>
      <c r="B379" s="208"/>
      <c r="C379" s="198"/>
      <c r="D379" s="198"/>
      <c r="E379" s="198"/>
      <c r="F379" s="198"/>
      <c r="G379" s="198"/>
      <c r="H379" s="198"/>
      <c r="I379" s="198"/>
      <c r="J379" s="198"/>
      <c r="K379" s="198"/>
      <c r="L379" s="198"/>
    </row>
    <row r="380">
      <c r="A380" s="198"/>
      <c r="B380" s="208"/>
      <c r="C380" s="198"/>
      <c r="D380" s="198"/>
      <c r="E380" s="198"/>
      <c r="F380" s="198"/>
      <c r="G380" s="198"/>
      <c r="H380" s="198"/>
      <c r="I380" s="198"/>
      <c r="J380" s="198"/>
      <c r="K380" s="198"/>
      <c r="L380" s="198"/>
    </row>
    <row r="381">
      <c r="A381" s="198"/>
      <c r="B381" s="208"/>
      <c r="C381" s="198"/>
      <c r="D381" s="198"/>
      <c r="E381" s="198"/>
      <c r="F381" s="198"/>
      <c r="G381" s="198"/>
      <c r="H381" s="198"/>
      <c r="I381" s="198"/>
      <c r="J381" s="198"/>
      <c r="K381" s="198"/>
      <c r="L381" s="198"/>
    </row>
    <row r="382">
      <c r="A382" s="198"/>
      <c r="B382" s="208"/>
      <c r="C382" s="198"/>
      <c r="D382" s="198"/>
      <c r="E382" s="198"/>
      <c r="F382" s="198"/>
      <c r="G382" s="198"/>
      <c r="H382" s="198"/>
      <c r="I382" s="198"/>
      <c r="J382" s="198"/>
      <c r="K382" s="198"/>
      <c r="L382" s="198"/>
    </row>
    <row r="383">
      <c r="A383" s="198"/>
      <c r="B383" s="208"/>
      <c r="C383" s="198"/>
      <c r="D383" s="198"/>
      <c r="E383" s="198"/>
      <c r="F383" s="198"/>
      <c r="G383" s="198"/>
      <c r="H383" s="198"/>
      <c r="I383" s="198"/>
      <c r="J383" s="198"/>
      <c r="K383" s="198"/>
      <c r="L383" s="198"/>
    </row>
    <row r="384">
      <c r="A384" s="198"/>
      <c r="B384" s="208"/>
      <c r="C384" s="198"/>
      <c r="D384" s="198"/>
      <c r="E384" s="198"/>
      <c r="F384" s="198"/>
      <c r="G384" s="198"/>
      <c r="H384" s="198"/>
      <c r="I384" s="198"/>
      <c r="J384" s="198"/>
      <c r="K384" s="198"/>
      <c r="L384" s="198"/>
    </row>
    <row r="385">
      <c r="A385" s="198"/>
      <c r="B385" s="208"/>
      <c r="C385" s="198"/>
      <c r="D385" s="198"/>
      <c r="E385" s="198"/>
      <c r="F385" s="198"/>
      <c r="G385" s="198"/>
      <c r="H385" s="198"/>
      <c r="I385" s="198"/>
      <c r="J385" s="198"/>
      <c r="K385" s="198"/>
      <c r="L385" s="198"/>
    </row>
    <row r="386">
      <c r="A386" s="198"/>
      <c r="B386" s="208"/>
      <c r="C386" s="198"/>
      <c r="D386" s="198"/>
      <c r="E386" s="198"/>
      <c r="F386" s="198"/>
      <c r="G386" s="198"/>
      <c r="H386" s="198"/>
      <c r="I386" s="198"/>
      <c r="J386" s="198"/>
      <c r="K386" s="198"/>
      <c r="L386" s="198"/>
    </row>
    <row r="387">
      <c r="A387" s="198"/>
      <c r="B387" s="208"/>
      <c r="C387" s="198"/>
      <c r="D387" s="198"/>
      <c r="E387" s="198"/>
      <c r="F387" s="198"/>
      <c r="G387" s="198"/>
      <c r="H387" s="198"/>
      <c r="I387" s="198"/>
      <c r="J387" s="198"/>
      <c r="K387" s="198"/>
      <c r="L387" s="198"/>
    </row>
    <row r="388">
      <c r="A388" s="198"/>
      <c r="B388" s="208"/>
      <c r="C388" s="198"/>
      <c r="D388" s="198"/>
      <c r="E388" s="198"/>
      <c r="F388" s="198"/>
      <c r="G388" s="198"/>
      <c r="H388" s="198"/>
      <c r="I388" s="198"/>
      <c r="J388" s="198"/>
      <c r="K388" s="198"/>
      <c r="L388" s="198"/>
    </row>
    <row r="389">
      <c r="A389" s="198"/>
      <c r="B389" s="208"/>
      <c r="C389" s="198"/>
      <c r="D389" s="198"/>
      <c r="E389" s="198"/>
      <c r="F389" s="198"/>
      <c r="G389" s="198"/>
      <c r="H389" s="198"/>
      <c r="I389" s="198"/>
      <c r="J389" s="198"/>
      <c r="K389" s="198"/>
      <c r="L389" s="198"/>
    </row>
    <row r="390">
      <c r="A390" s="198"/>
      <c r="B390" s="208"/>
      <c r="C390" s="198"/>
      <c r="D390" s="198"/>
      <c r="E390" s="198"/>
      <c r="F390" s="198"/>
      <c r="G390" s="198"/>
      <c r="H390" s="198"/>
      <c r="I390" s="198"/>
      <c r="J390" s="198"/>
      <c r="K390" s="198"/>
      <c r="L390" s="198"/>
    </row>
    <row r="391">
      <c r="A391" s="198"/>
      <c r="B391" s="208"/>
      <c r="C391" s="198"/>
      <c r="D391" s="198"/>
      <c r="E391" s="198"/>
      <c r="F391" s="198"/>
      <c r="G391" s="198"/>
      <c r="H391" s="198"/>
      <c r="I391" s="198"/>
      <c r="J391" s="198"/>
      <c r="K391" s="198"/>
      <c r="L391" s="198"/>
    </row>
    <row r="392">
      <c r="A392" s="198"/>
      <c r="B392" s="208"/>
      <c r="C392" s="198"/>
      <c r="D392" s="198"/>
      <c r="E392" s="198"/>
      <c r="F392" s="198"/>
      <c r="G392" s="198"/>
      <c r="H392" s="198"/>
      <c r="I392" s="198"/>
      <c r="J392" s="198"/>
      <c r="K392" s="198"/>
      <c r="L392" s="198"/>
    </row>
    <row r="393">
      <c r="A393" s="198"/>
      <c r="B393" s="208"/>
      <c r="C393" s="198"/>
      <c r="D393" s="198"/>
      <c r="E393" s="198"/>
      <c r="F393" s="198"/>
      <c r="G393" s="198"/>
      <c r="H393" s="198"/>
      <c r="I393" s="198"/>
      <c r="J393" s="198"/>
      <c r="K393" s="198"/>
      <c r="L393" s="198"/>
    </row>
    <row r="394">
      <c r="A394" s="198"/>
      <c r="B394" s="208"/>
      <c r="C394" s="198"/>
      <c r="D394" s="198"/>
      <c r="E394" s="198"/>
      <c r="F394" s="198"/>
      <c r="G394" s="198"/>
      <c r="H394" s="198"/>
      <c r="I394" s="198"/>
      <c r="J394" s="198"/>
      <c r="K394" s="198"/>
      <c r="L394" s="198"/>
    </row>
    <row r="395">
      <c r="A395" s="198"/>
      <c r="B395" s="208"/>
      <c r="C395" s="198"/>
      <c r="D395" s="198"/>
      <c r="E395" s="198"/>
      <c r="F395" s="198"/>
      <c r="G395" s="198"/>
      <c r="H395" s="198"/>
      <c r="I395" s="198"/>
      <c r="J395" s="198"/>
      <c r="K395" s="198"/>
      <c r="L395" s="198"/>
    </row>
    <row r="396">
      <c r="A396" s="198"/>
      <c r="B396" s="208"/>
      <c r="C396" s="198"/>
      <c r="D396" s="198"/>
      <c r="E396" s="198"/>
      <c r="F396" s="198"/>
      <c r="G396" s="198"/>
      <c r="H396" s="198"/>
      <c r="I396" s="198"/>
      <c r="J396" s="198"/>
      <c r="K396" s="198"/>
      <c r="L396" s="198"/>
    </row>
    <row r="397">
      <c r="A397" s="198"/>
      <c r="B397" s="208"/>
      <c r="C397" s="198"/>
      <c r="D397" s="198"/>
      <c r="E397" s="198"/>
      <c r="F397" s="198"/>
      <c r="G397" s="198"/>
      <c r="H397" s="198"/>
      <c r="I397" s="198"/>
      <c r="J397" s="198"/>
      <c r="K397" s="198"/>
      <c r="L397" s="198"/>
    </row>
    <row r="398">
      <c r="A398" s="198"/>
      <c r="B398" s="208"/>
      <c r="C398" s="198"/>
      <c r="D398" s="198"/>
      <c r="E398" s="198"/>
      <c r="F398" s="198"/>
      <c r="G398" s="198"/>
      <c r="H398" s="198"/>
      <c r="I398" s="198"/>
      <c r="J398" s="198"/>
      <c r="K398" s="198"/>
      <c r="L398" s="198"/>
    </row>
    <row r="399">
      <c r="A399" s="198"/>
      <c r="B399" s="208"/>
      <c r="C399" s="198"/>
      <c r="D399" s="198"/>
      <c r="E399" s="198"/>
      <c r="F399" s="198"/>
      <c r="G399" s="198"/>
      <c r="H399" s="198"/>
      <c r="I399" s="198"/>
      <c r="J399" s="198"/>
      <c r="K399" s="198"/>
      <c r="L399" s="198"/>
    </row>
    <row r="400">
      <c r="A400" s="198"/>
      <c r="B400" s="208"/>
      <c r="C400" s="198"/>
      <c r="D400" s="198"/>
      <c r="E400" s="198"/>
      <c r="F400" s="198"/>
      <c r="G400" s="198"/>
      <c r="H400" s="198"/>
      <c r="I400" s="198"/>
      <c r="J400" s="198"/>
      <c r="K400" s="198"/>
      <c r="L400" s="198"/>
    </row>
    <row r="401">
      <c r="A401" s="198"/>
      <c r="B401" s="208"/>
      <c r="C401" s="198"/>
      <c r="D401" s="198"/>
      <c r="E401" s="198"/>
      <c r="F401" s="198"/>
      <c r="G401" s="198"/>
      <c r="H401" s="198"/>
      <c r="I401" s="198"/>
      <c r="J401" s="198"/>
      <c r="K401" s="198"/>
      <c r="L401" s="198"/>
    </row>
    <row r="402">
      <c r="A402" s="198"/>
      <c r="B402" s="208"/>
      <c r="C402" s="198"/>
      <c r="D402" s="198"/>
      <c r="E402" s="198"/>
      <c r="F402" s="198"/>
      <c r="G402" s="198"/>
      <c r="H402" s="198"/>
      <c r="I402" s="198"/>
      <c r="J402" s="198"/>
      <c r="K402" s="198"/>
      <c r="L402" s="198"/>
    </row>
    <row r="403">
      <c r="A403" s="198"/>
      <c r="B403" s="208"/>
      <c r="C403" s="198"/>
      <c r="D403" s="198"/>
      <c r="E403" s="198"/>
      <c r="F403" s="198"/>
      <c r="G403" s="198"/>
      <c r="H403" s="198"/>
      <c r="I403" s="198"/>
      <c r="J403" s="198"/>
      <c r="K403" s="198"/>
      <c r="L403" s="198"/>
    </row>
    <row r="404">
      <c r="A404" s="198"/>
      <c r="B404" s="208"/>
      <c r="C404" s="198"/>
      <c r="D404" s="198"/>
      <c r="E404" s="198"/>
      <c r="F404" s="198"/>
      <c r="G404" s="198"/>
      <c r="H404" s="198"/>
      <c r="I404" s="198"/>
      <c r="J404" s="198"/>
      <c r="K404" s="198"/>
      <c r="L404" s="198"/>
    </row>
    <row r="405">
      <c r="A405" s="198"/>
      <c r="B405" s="208"/>
      <c r="C405" s="198"/>
      <c r="D405" s="198"/>
      <c r="E405" s="198"/>
      <c r="F405" s="198"/>
      <c r="G405" s="198"/>
      <c r="H405" s="198"/>
      <c r="I405" s="198"/>
      <c r="J405" s="198"/>
      <c r="K405" s="198"/>
      <c r="L405" s="198"/>
    </row>
    <row r="406">
      <c r="A406" s="198"/>
      <c r="B406" s="208"/>
      <c r="C406" s="198"/>
      <c r="D406" s="198"/>
      <c r="E406" s="198"/>
      <c r="F406" s="198"/>
      <c r="G406" s="198"/>
      <c r="H406" s="198"/>
      <c r="I406" s="198"/>
      <c r="J406" s="198"/>
      <c r="K406" s="198"/>
      <c r="L406" s="198"/>
    </row>
    <row r="407">
      <c r="A407" s="198"/>
      <c r="B407" s="208"/>
      <c r="C407" s="198"/>
      <c r="D407" s="198"/>
      <c r="E407" s="198"/>
      <c r="F407" s="198"/>
      <c r="G407" s="198"/>
      <c r="H407" s="198"/>
      <c r="I407" s="198"/>
      <c r="J407" s="198"/>
      <c r="K407" s="198"/>
      <c r="L407" s="198"/>
    </row>
    <row r="408">
      <c r="A408" s="198"/>
      <c r="B408" s="208"/>
      <c r="C408" s="198"/>
      <c r="D408" s="198"/>
      <c r="E408" s="198"/>
      <c r="F408" s="198"/>
      <c r="G408" s="198"/>
      <c r="H408" s="198"/>
      <c r="I408" s="198"/>
      <c r="J408" s="198"/>
      <c r="K408" s="198"/>
      <c r="L408" s="198"/>
    </row>
    <row r="409">
      <c r="A409" s="198"/>
      <c r="B409" s="208"/>
      <c r="C409" s="198"/>
      <c r="D409" s="198"/>
      <c r="E409" s="198"/>
      <c r="F409" s="198"/>
      <c r="G409" s="198"/>
      <c r="H409" s="198"/>
      <c r="I409" s="198"/>
      <c r="J409" s="198"/>
      <c r="K409" s="198"/>
      <c r="L409" s="198"/>
    </row>
    <row r="410">
      <c r="A410" s="198"/>
      <c r="B410" s="208"/>
      <c r="C410" s="198"/>
      <c r="D410" s="198"/>
      <c r="E410" s="198"/>
      <c r="F410" s="198"/>
      <c r="G410" s="198"/>
      <c r="H410" s="198"/>
      <c r="I410" s="198"/>
      <c r="J410" s="198"/>
      <c r="K410" s="198"/>
      <c r="L410" s="198"/>
    </row>
    <row r="411">
      <c r="A411" s="198"/>
      <c r="B411" s="208"/>
      <c r="C411" s="198"/>
      <c r="D411" s="198"/>
      <c r="E411" s="198"/>
      <c r="F411" s="198"/>
      <c r="G411" s="198"/>
      <c r="H411" s="198"/>
      <c r="I411" s="198"/>
      <c r="J411" s="198"/>
      <c r="K411" s="198"/>
      <c r="L411" s="198"/>
    </row>
    <row r="412">
      <c r="A412" s="198"/>
      <c r="B412" s="208"/>
      <c r="C412" s="198"/>
      <c r="D412" s="198"/>
      <c r="E412" s="198"/>
      <c r="F412" s="198"/>
      <c r="G412" s="198"/>
      <c r="H412" s="198"/>
      <c r="I412" s="198"/>
      <c r="J412" s="198"/>
      <c r="K412" s="198"/>
      <c r="L412" s="198"/>
    </row>
    <row r="413">
      <c r="A413" s="198"/>
      <c r="B413" s="208"/>
      <c r="C413" s="198"/>
      <c r="D413" s="198"/>
      <c r="E413" s="198"/>
      <c r="F413" s="198"/>
      <c r="G413" s="198"/>
      <c r="H413" s="198"/>
      <c r="I413" s="198"/>
      <c r="J413" s="198"/>
      <c r="K413" s="198"/>
      <c r="L413" s="198"/>
    </row>
    <row r="414">
      <c r="A414" s="198"/>
      <c r="B414" s="208"/>
      <c r="C414" s="198"/>
      <c r="D414" s="198"/>
      <c r="E414" s="198"/>
      <c r="F414" s="198"/>
      <c r="G414" s="198"/>
      <c r="H414" s="198"/>
      <c r="I414" s="198"/>
      <c r="J414" s="198"/>
      <c r="K414" s="198"/>
      <c r="L414" s="198"/>
    </row>
    <row r="415">
      <c r="A415" s="198"/>
      <c r="B415" s="208"/>
      <c r="C415" s="198"/>
      <c r="D415" s="198"/>
      <c r="E415" s="198"/>
      <c r="F415" s="198"/>
      <c r="G415" s="198"/>
      <c r="H415" s="198"/>
      <c r="I415" s="198"/>
      <c r="J415" s="198"/>
      <c r="K415" s="198"/>
      <c r="L415" s="198"/>
    </row>
    <row r="416">
      <c r="A416" s="198"/>
      <c r="B416" s="208"/>
      <c r="C416" s="198"/>
      <c r="D416" s="198"/>
      <c r="E416" s="198"/>
      <c r="F416" s="198"/>
      <c r="G416" s="198"/>
      <c r="H416" s="198"/>
      <c r="I416" s="198"/>
      <c r="J416" s="198"/>
      <c r="K416" s="198"/>
      <c r="L416" s="198"/>
    </row>
    <row r="417">
      <c r="A417" s="198"/>
      <c r="B417" s="208"/>
      <c r="C417" s="198"/>
      <c r="D417" s="198"/>
      <c r="E417" s="198"/>
      <c r="F417" s="198"/>
      <c r="G417" s="198"/>
      <c r="H417" s="198"/>
      <c r="I417" s="198"/>
      <c r="J417" s="198"/>
      <c r="K417" s="198"/>
      <c r="L417" s="198"/>
    </row>
    <row r="418">
      <c r="A418" s="198"/>
      <c r="B418" s="208"/>
      <c r="C418" s="198"/>
      <c r="D418" s="198"/>
      <c r="E418" s="198"/>
      <c r="F418" s="198"/>
      <c r="G418" s="198"/>
      <c r="H418" s="198"/>
      <c r="I418" s="198"/>
      <c r="J418" s="198"/>
      <c r="K418" s="198"/>
      <c r="L418" s="198"/>
    </row>
    <row r="419">
      <c r="A419" s="198"/>
      <c r="B419" s="208"/>
      <c r="C419" s="198"/>
      <c r="D419" s="198"/>
      <c r="E419" s="198"/>
      <c r="F419" s="198"/>
      <c r="G419" s="198"/>
      <c r="H419" s="198"/>
      <c r="I419" s="198"/>
      <c r="J419" s="198"/>
      <c r="K419" s="198"/>
      <c r="L419" s="198"/>
    </row>
    <row r="420">
      <c r="A420" s="198"/>
      <c r="B420" s="208"/>
      <c r="C420" s="198"/>
      <c r="D420" s="198"/>
      <c r="E420" s="198"/>
      <c r="F420" s="198"/>
      <c r="G420" s="198"/>
      <c r="H420" s="198"/>
      <c r="I420" s="198"/>
      <c r="J420" s="198"/>
      <c r="K420" s="198"/>
      <c r="L420" s="198"/>
    </row>
    <row r="421">
      <c r="A421" s="198"/>
      <c r="B421" s="208"/>
      <c r="C421" s="198"/>
      <c r="D421" s="198"/>
      <c r="E421" s="198"/>
      <c r="F421" s="198"/>
      <c r="G421" s="198"/>
      <c r="H421" s="198"/>
      <c r="I421" s="198"/>
      <c r="J421" s="198"/>
      <c r="K421" s="198"/>
      <c r="L421" s="198"/>
    </row>
    <row r="422">
      <c r="A422" s="198"/>
      <c r="B422" s="208"/>
      <c r="C422" s="198"/>
      <c r="D422" s="198"/>
      <c r="E422" s="198"/>
      <c r="F422" s="198"/>
      <c r="G422" s="198"/>
      <c r="H422" s="198"/>
      <c r="I422" s="198"/>
      <c r="J422" s="198"/>
      <c r="K422" s="198"/>
      <c r="L422" s="198"/>
    </row>
    <row r="423">
      <c r="A423" s="198"/>
      <c r="B423" s="208"/>
      <c r="C423" s="198"/>
      <c r="D423" s="198"/>
      <c r="E423" s="198"/>
      <c r="F423" s="198"/>
      <c r="G423" s="198"/>
      <c r="H423" s="198"/>
      <c r="I423" s="198"/>
      <c r="J423" s="198"/>
      <c r="K423" s="198"/>
      <c r="L423" s="198"/>
    </row>
    <row r="424">
      <c r="A424" s="198"/>
      <c r="B424" s="208"/>
      <c r="C424" s="198"/>
      <c r="D424" s="198"/>
      <c r="E424" s="198"/>
      <c r="F424" s="198"/>
      <c r="G424" s="198"/>
      <c r="H424" s="198"/>
      <c r="I424" s="198"/>
      <c r="J424" s="198"/>
      <c r="K424" s="198"/>
      <c r="L424" s="198"/>
    </row>
    <row r="425">
      <c r="A425" s="198"/>
      <c r="B425" s="208"/>
      <c r="C425" s="198"/>
      <c r="D425" s="198"/>
      <c r="E425" s="198"/>
      <c r="F425" s="198"/>
      <c r="G425" s="198"/>
      <c r="H425" s="198"/>
      <c r="I425" s="198"/>
      <c r="J425" s="198"/>
      <c r="K425" s="198"/>
      <c r="L425" s="198"/>
    </row>
    <row r="426">
      <c r="A426" s="198"/>
      <c r="B426" s="208"/>
      <c r="C426" s="198"/>
      <c r="D426" s="198"/>
      <c r="E426" s="198"/>
      <c r="F426" s="198"/>
      <c r="G426" s="198"/>
      <c r="H426" s="198"/>
      <c r="I426" s="198"/>
      <c r="J426" s="198"/>
      <c r="K426" s="198"/>
      <c r="L426" s="198"/>
    </row>
    <row r="427">
      <c r="A427" s="198"/>
      <c r="B427" s="208"/>
      <c r="C427" s="198"/>
      <c r="D427" s="198"/>
      <c r="E427" s="198"/>
      <c r="F427" s="198"/>
      <c r="G427" s="198"/>
      <c r="H427" s="198"/>
      <c r="I427" s="198"/>
      <c r="J427" s="198"/>
      <c r="K427" s="198"/>
      <c r="L427" s="198"/>
    </row>
    <row r="428">
      <c r="A428" s="198"/>
      <c r="B428" s="208"/>
      <c r="C428" s="198"/>
      <c r="D428" s="198"/>
      <c r="E428" s="198"/>
      <c r="F428" s="198"/>
      <c r="G428" s="198"/>
      <c r="H428" s="198"/>
      <c r="I428" s="198"/>
      <c r="J428" s="198"/>
      <c r="K428" s="198"/>
      <c r="L428" s="198"/>
    </row>
    <row r="429">
      <c r="A429" s="198"/>
      <c r="B429" s="208"/>
      <c r="C429" s="198"/>
      <c r="D429" s="198"/>
      <c r="E429" s="198"/>
      <c r="F429" s="198"/>
      <c r="G429" s="198"/>
      <c r="H429" s="198"/>
      <c r="I429" s="198"/>
      <c r="J429" s="198"/>
      <c r="K429" s="198"/>
      <c r="L429" s="198"/>
    </row>
    <row r="430">
      <c r="A430" s="198"/>
      <c r="B430" s="208"/>
      <c r="C430" s="198"/>
      <c r="D430" s="198"/>
      <c r="E430" s="198"/>
      <c r="F430" s="198"/>
      <c r="G430" s="198"/>
      <c r="H430" s="198"/>
      <c r="I430" s="198"/>
      <c r="J430" s="198"/>
      <c r="K430" s="198"/>
      <c r="L430" s="198"/>
    </row>
    <row r="431">
      <c r="A431" s="198"/>
      <c r="B431" s="208"/>
      <c r="C431" s="198"/>
      <c r="D431" s="198"/>
      <c r="E431" s="198"/>
      <c r="F431" s="198"/>
      <c r="G431" s="198"/>
      <c r="H431" s="198"/>
      <c r="I431" s="198"/>
      <c r="J431" s="198"/>
      <c r="K431" s="198"/>
      <c r="L431" s="198"/>
    </row>
    <row r="432">
      <c r="A432" s="198"/>
      <c r="B432" s="208"/>
      <c r="C432" s="198"/>
      <c r="D432" s="198"/>
      <c r="E432" s="198"/>
      <c r="F432" s="198"/>
      <c r="G432" s="198"/>
      <c r="H432" s="198"/>
      <c r="I432" s="198"/>
      <c r="J432" s="198"/>
      <c r="K432" s="198"/>
      <c r="L432" s="198"/>
    </row>
    <row r="433">
      <c r="A433" s="198"/>
      <c r="B433" s="208"/>
      <c r="C433" s="198"/>
      <c r="D433" s="198"/>
      <c r="E433" s="198"/>
      <c r="F433" s="198"/>
      <c r="G433" s="198"/>
      <c r="H433" s="198"/>
      <c r="I433" s="198"/>
      <c r="J433" s="198"/>
      <c r="K433" s="198"/>
      <c r="L433" s="198"/>
    </row>
    <row r="434">
      <c r="A434" s="198"/>
      <c r="B434" s="208"/>
      <c r="C434" s="198"/>
      <c r="D434" s="198"/>
      <c r="E434" s="198"/>
      <c r="F434" s="198"/>
      <c r="G434" s="198"/>
      <c r="H434" s="198"/>
      <c r="I434" s="198"/>
      <c r="J434" s="198"/>
      <c r="K434" s="198"/>
      <c r="L434" s="198"/>
    </row>
    <row r="435">
      <c r="A435" s="198"/>
      <c r="B435" s="208"/>
      <c r="C435" s="198"/>
      <c r="D435" s="198"/>
      <c r="E435" s="198"/>
      <c r="F435" s="198"/>
      <c r="G435" s="198"/>
      <c r="H435" s="198"/>
      <c r="I435" s="198"/>
      <c r="J435" s="198"/>
      <c r="K435" s="198"/>
      <c r="L435" s="198"/>
    </row>
    <row r="436">
      <c r="A436" s="198"/>
      <c r="B436" s="208"/>
      <c r="C436" s="198"/>
      <c r="D436" s="198"/>
      <c r="E436" s="198"/>
      <c r="F436" s="198"/>
      <c r="G436" s="198"/>
      <c r="H436" s="198"/>
      <c r="I436" s="198"/>
      <c r="J436" s="198"/>
      <c r="K436" s="198"/>
      <c r="L436" s="198"/>
    </row>
    <row r="437">
      <c r="A437" s="198"/>
      <c r="B437" s="208"/>
      <c r="C437" s="198"/>
      <c r="D437" s="198"/>
      <c r="E437" s="198"/>
      <c r="F437" s="198"/>
      <c r="G437" s="198"/>
      <c r="H437" s="198"/>
      <c r="I437" s="198"/>
      <c r="J437" s="198"/>
      <c r="K437" s="198"/>
      <c r="L437" s="198"/>
    </row>
    <row r="438">
      <c r="A438" s="198"/>
      <c r="B438" s="208"/>
      <c r="C438" s="198"/>
      <c r="D438" s="198"/>
      <c r="E438" s="198"/>
      <c r="F438" s="198"/>
      <c r="G438" s="198"/>
      <c r="H438" s="198"/>
      <c r="I438" s="198"/>
      <c r="J438" s="198"/>
      <c r="K438" s="198"/>
      <c r="L438" s="198"/>
    </row>
    <row r="439">
      <c r="A439" s="198"/>
      <c r="B439" s="208"/>
      <c r="C439" s="198"/>
      <c r="D439" s="198"/>
      <c r="E439" s="198"/>
      <c r="F439" s="198"/>
      <c r="G439" s="198"/>
      <c r="H439" s="198"/>
      <c r="I439" s="198"/>
      <c r="J439" s="198"/>
      <c r="K439" s="198"/>
      <c r="L439" s="198"/>
    </row>
    <row r="440">
      <c r="A440" s="198"/>
      <c r="B440" s="208"/>
      <c r="C440" s="198"/>
      <c r="D440" s="198"/>
      <c r="E440" s="198"/>
      <c r="F440" s="198"/>
      <c r="G440" s="198"/>
      <c r="H440" s="198"/>
      <c r="I440" s="198"/>
      <c r="J440" s="198"/>
      <c r="K440" s="198"/>
      <c r="L440" s="198"/>
    </row>
    <row r="441">
      <c r="A441" s="198"/>
      <c r="B441" s="208"/>
      <c r="C441" s="198"/>
      <c r="D441" s="198"/>
      <c r="E441" s="198"/>
      <c r="F441" s="198"/>
      <c r="G441" s="198"/>
      <c r="H441" s="198"/>
      <c r="I441" s="198"/>
      <c r="J441" s="198"/>
      <c r="K441" s="198"/>
      <c r="L441" s="198"/>
    </row>
    <row r="442">
      <c r="A442" s="198"/>
      <c r="B442" s="208"/>
      <c r="C442" s="198"/>
      <c r="D442" s="198"/>
      <c r="E442" s="198"/>
      <c r="F442" s="198"/>
      <c r="G442" s="198"/>
      <c r="H442" s="198"/>
      <c r="I442" s="198"/>
      <c r="J442" s="198"/>
      <c r="K442" s="198"/>
      <c r="L442" s="198"/>
    </row>
    <row r="443">
      <c r="A443" s="198"/>
      <c r="B443" s="208"/>
      <c r="C443" s="198"/>
      <c r="D443" s="198"/>
      <c r="E443" s="198"/>
      <c r="F443" s="198"/>
      <c r="G443" s="198"/>
      <c r="H443" s="198"/>
      <c r="I443" s="198"/>
      <c r="J443" s="198"/>
      <c r="K443" s="198"/>
      <c r="L443" s="198"/>
    </row>
    <row r="444">
      <c r="A444" s="198"/>
      <c r="B444" s="208"/>
      <c r="C444" s="198"/>
      <c r="D444" s="198"/>
      <c r="E444" s="198"/>
      <c r="F444" s="198"/>
      <c r="G444" s="198"/>
      <c r="H444" s="198"/>
      <c r="I444" s="198"/>
      <c r="J444" s="198"/>
      <c r="K444" s="198"/>
      <c r="L444" s="198"/>
    </row>
    <row r="445">
      <c r="A445" s="198"/>
      <c r="B445" s="208"/>
      <c r="C445" s="198"/>
      <c r="D445" s="198"/>
      <c r="E445" s="198"/>
      <c r="F445" s="198"/>
      <c r="G445" s="198"/>
      <c r="H445" s="198"/>
      <c r="I445" s="198"/>
      <c r="J445" s="198"/>
      <c r="K445" s="198"/>
      <c r="L445" s="198"/>
    </row>
    <row r="446">
      <c r="A446" s="198"/>
      <c r="B446" s="208"/>
      <c r="C446" s="198"/>
      <c r="D446" s="198"/>
      <c r="E446" s="198"/>
      <c r="F446" s="198"/>
      <c r="G446" s="198"/>
      <c r="H446" s="198"/>
      <c r="I446" s="198"/>
      <c r="J446" s="198"/>
      <c r="K446" s="198"/>
      <c r="L446" s="198"/>
    </row>
    <row r="447">
      <c r="A447" s="198"/>
      <c r="B447" s="208"/>
      <c r="C447" s="198"/>
      <c r="D447" s="198"/>
      <c r="E447" s="198"/>
      <c r="F447" s="198"/>
      <c r="G447" s="198"/>
      <c r="H447" s="198"/>
      <c r="I447" s="198"/>
      <c r="J447" s="198"/>
      <c r="K447" s="198"/>
      <c r="L447" s="198"/>
    </row>
    <row r="448">
      <c r="A448" s="198"/>
      <c r="B448" s="208"/>
      <c r="C448" s="198"/>
      <c r="D448" s="198"/>
      <c r="E448" s="198"/>
      <c r="F448" s="198"/>
      <c r="G448" s="198"/>
      <c r="H448" s="198"/>
      <c r="I448" s="198"/>
      <c r="J448" s="198"/>
      <c r="K448" s="198"/>
      <c r="L448" s="198"/>
    </row>
    <row r="449">
      <c r="A449" s="198"/>
      <c r="B449" s="208"/>
      <c r="C449" s="198"/>
      <c r="D449" s="198"/>
      <c r="E449" s="198"/>
      <c r="F449" s="198"/>
      <c r="G449" s="198"/>
      <c r="H449" s="198"/>
      <c r="I449" s="198"/>
      <c r="J449" s="198"/>
      <c r="K449" s="198"/>
      <c r="L449" s="198"/>
    </row>
    <row r="450">
      <c r="A450" s="198"/>
      <c r="B450" s="208"/>
      <c r="C450" s="198"/>
      <c r="D450" s="198"/>
      <c r="E450" s="198"/>
      <c r="F450" s="198"/>
      <c r="G450" s="198"/>
      <c r="H450" s="198"/>
      <c r="I450" s="198"/>
      <c r="J450" s="198"/>
      <c r="K450" s="198"/>
      <c r="L450" s="198"/>
    </row>
    <row r="451">
      <c r="A451" s="198"/>
      <c r="B451" s="208"/>
      <c r="C451" s="198"/>
      <c r="D451" s="198"/>
      <c r="E451" s="198"/>
      <c r="F451" s="198"/>
      <c r="G451" s="198"/>
      <c r="H451" s="198"/>
      <c r="I451" s="198"/>
      <c r="J451" s="198"/>
      <c r="K451" s="198"/>
      <c r="L451" s="198"/>
    </row>
    <row r="452">
      <c r="A452" s="198"/>
      <c r="B452" s="208"/>
      <c r="C452" s="198"/>
      <c r="D452" s="198"/>
      <c r="E452" s="198"/>
      <c r="F452" s="198"/>
      <c r="G452" s="198"/>
      <c r="H452" s="198"/>
      <c r="I452" s="198"/>
      <c r="J452" s="198"/>
      <c r="K452" s="198"/>
      <c r="L452" s="198"/>
    </row>
    <row r="453">
      <c r="A453" s="198"/>
      <c r="B453" s="208"/>
      <c r="C453" s="198"/>
      <c r="D453" s="198"/>
      <c r="E453" s="198"/>
      <c r="F453" s="198"/>
      <c r="G453" s="198"/>
      <c r="H453" s="198"/>
      <c r="I453" s="198"/>
      <c r="J453" s="198"/>
      <c r="K453" s="198"/>
      <c r="L453" s="198"/>
    </row>
    <row r="454">
      <c r="A454" s="198"/>
      <c r="B454" s="208"/>
      <c r="C454" s="198"/>
      <c r="D454" s="198"/>
      <c r="E454" s="198"/>
      <c r="F454" s="198"/>
      <c r="G454" s="198"/>
      <c r="H454" s="198"/>
      <c r="I454" s="198"/>
      <c r="J454" s="198"/>
      <c r="K454" s="198"/>
      <c r="L454" s="198"/>
    </row>
    <row r="455">
      <c r="A455" s="198"/>
      <c r="B455" s="208"/>
      <c r="C455" s="198"/>
      <c r="D455" s="198"/>
      <c r="E455" s="198"/>
      <c r="F455" s="198"/>
      <c r="G455" s="198"/>
      <c r="H455" s="198"/>
      <c r="I455" s="198"/>
      <c r="J455" s="198"/>
      <c r="K455" s="198"/>
      <c r="L455" s="198"/>
    </row>
    <row r="456">
      <c r="A456" s="198"/>
      <c r="B456" s="208"/>
      <c r="C456" s="198"/>
      <c r="D456" s="198"/>
      <c r="E456" s="198"/>
      <c r="F456" s="198"/>
      <c r="G456" s="198"/>
      <c r="H456" s="198"/>
      <c r="I456" s="198"/>
      <c r="J456" s="198"/>
      <c r="K456" s="198"/>
      <c r="L456" s="198"/>
    </row>
    <row r="457">
      <c r="A457" s="198"/>
      <c r="B457" s="208"/>
      <c r="C457" s="198"/>
      <c r="D457" s="198"/>
      <c r="E457" s="198"/>
      <c r="F457" s="198"/>
      <c r="G457" s="198"/>
      <c r="H457" s="198"/>
      <c r="I457" s="198"/>
      <c r="J457" s="198"/>
      <c r="K457" s="198"/>
      <c r="L457" s="198"/>
    </row>
    <row r="458">
      <c r="A458" s="198"/>
      <c r="B458" s="208"/>
      <c r="C458" s="198"/>
      <c r="D458" s="198"/>
      <c r="E458" s="198"/>
      <c r="F458" s="198"/>
      <c r="G458" s="198"/>
      <c r="H458" s="198"/>
      <c r="I458" s="198"/>
      <c r="J458" s="198"/>
      <c r="K458" s="198"/>
      <c r="L458" s="198"/>
    </row>
    <row r="459">
      <c r="A459" s="198"/>
      <c r="B459" s="208"/>
      <c r="C459" s="198"/>
      <c r="D459" s="198"/>
      <c r="E459" s="198"/>
      <c r="F459" s="198"/>
      <c r="G459" s="198"/>
      <c r="H459" s="198"/>
      <c r="I459" s="198"/>
      <c r="J459" s="198"/>
      <c r="K459" s="198"/>
      <c r="L459" s="198"/>
    </row>
    <row r="460">
      <c r="A460" s="198"/>
      <c r="B460" s="208"/>
      <c r="C460" s="198"/>
      <c r="D460" s="198"/>
      <c r="E460" s="198"/>
      <c r="F460" s="198"/>
      <c r="G460" s="198"/>
      <c r="H460" s="198"/>
      <c r="I460" s="198"/>
      <c r="J460" s="198"/>
      <c r="K460" s="198"/>
      <c r="L460" s="198"/>
    </row>
    <row r="461">
      <c r="A461" s="198"/>
      <c r="B461" s="208"/>
      <c r="C461" s="198"/>
      <c r="D461" s="198"/>
      <c r="E461" s="198"/>
      <c r="F461" s="198"/>
      <c r="G461" s="198"/>
      <c r="H461" s="198"/>
      <c r="I461" s="198"/>
      <c r="J461" s="198"/>
      <c r="K461" s="198"/>
      <c r="L461" s="198"/>
    </row>
    <row r="462">
      <c r="A462" s="198"/>
      <c r="B462" s="208"/>
      <c r="C462" s="198"/>
      <c r="D462" s="198"/>
      <c r="E462" s="198"/>
      <c r="F462" s="198"/>
      <c r="G462" s="198"/>
      <c r="H462" s="198"/>
      <c r="I462" s="198"/>
      <c r="J462" s="198"/>
      <c r="K462" s="198"/>
      <c r="L462" s="198"/>
    </row>
    <row r="463">
      <c r="A463" s="198"/>
      <c r="B463" s="208"/>
      <c r="C463" s="198"/>
      <c r="D463" s="198"/>
      <c r="E463" s="198"/>
      <c r="F463" s="198"/>
      <c r="G463" s="198"/>
      <c r="H463" s="198"/>
      <c r="I463" s="198"/>
      <c r="J463" s="198"/>
      <c r="K463" s="198"/>
      <c r="L463" s="198"/>
    </row>
    <row r="464">
      <c r="A464" s="198"/>
      <c r="B464" s="208"/>
      <c r="C464" s="198"/>
      <c r="D464" s="198"/>
      <c r="E464" s="198"/>
      <c r="F464" s="198"/>
      <c r="G464" s="198"/>
      <c r="H464" s="198"/>
      <c r="I464" s="198"/>
      <c r="J464" s="198"/>
      <c r="K464" s="198"/>
      <c r="L464" s="198"/>
    </row>
    <row r="465">
      <c r="A465" s="198"/>
      <c r="B465" s="208"/>
      <c r="C465" s="198"/>
      <c r="D465" s="198"/>
      <c r="E465" s="198"/>
      <c r="F465" s="198"/>
      <c r="G465" s="198"/>
      <c r="H465" s="198"/>
      <c r="I465" s="198"/>
      <c r="J465" s="198"/>
      <c r="K465" s="198"/>
      <c r="L465" s="198"/>
    </row>
    <row r="466">
      <c r="A466" s="198"/>
      <c r="B466" s="208"/>
      <c r="C466" s="198"/>
      <c r="D466" s="198"/>
      <c r="E466" s="198"/>
      <c r="F466" s="198"/>
      <c r="G466" s="198"/>
      <c r="H466" s="198"/>
      <c r="I466" s="198"/>
      <c r="J466" s="198"/>
      <c r="K466" s="198"/>
      <c r="L466" s="198"/>
    </row>
    <row r="467">
      <c r="A467" s="198"/>
      <c r="B467" s="208"/>
      <c r="C467" s="198"/>
      <c r="D467" s="198"/>
      <c r="E467" s="198"/>
      <c r="F467" s="198"/>
      <c r="G467" s="198"/>
      <c r="H467" s="198"/>
      <c r="I467" s="198"/>
      <c r="J467" s="198"/>
      <c r="K467" s="198"/>
      <c r="L467" s="198"/>
    </row>
    <row r="468">
      <c r="A468" s="198"/>
      <c r="B468" s="208"/>
      <c r="C468" s="198"/>
      <c r="D468" s="198"/>
      <c r="E468" s="198"/>
      <c r="F468" s="198"/>
      <c r="G468" s="198"/>
      <c r="H468" s="198"/>
      <c r="I468" s="198"/>
      <c r="J468" s="198"/>
      <c r="K468" s="198"/>
      <c r="L468" s="198"/>
    </row>
    <row r="469">
      <c r="A469" s="198"/>
      <c r="B469" s="208"/>
      <c r="C469" s="198"/>
      <c r="D469" s="198"/>
      <c r="E469" s="198"/>
      <c r="F469" s="198"/>
      <c r="G469" s="198"/>
      <c r="H469" s="198"/>
      <c r="I469" s="198"/>
      <c r="J469" s="198"/>
      <c r="K469" s="198"/>
      <c r="L469" s="198"/>
    </row>
    <row r="470">
      <c r="A470" s="198"/>
      <c r="B470" s="208"/>
      <c r="C470" s="198"/>
      <c r="D470" s="198"/>
      <c r="E470" s="198"/>
      <c r="F470" s="198"/>
      <c r="G470" s="198"/>
      <c r="H470" s="198"/>
      <c r="I470" s="198"/>
      <c r="J470" s="198"/>
      <c r="K470" s="198"/>
      <c r="L470" s="198"/>
    </row>
    <row r="471">
      <c r="A471" s="198"/>
      <c r="B471" s="208"/>
      <c r="C471" s="198"/>
      <c r="D471" s="198"/>
      <c r="E471" s="198"/>
      <c r="F471" s="198"/>
      <c r="G471" s="198"/>
      <c r="H471" s="198"/>
      <c r="I471" s="198"/>
      <c r="J471" s="198"/>
      <c r="K471" s="198"/>
      <c r="L471" s="198"/>
    </row>
    <row r="472">
      <c r="A472" s="198"/>
      <c r="B472" s="208"/>
      <c r="C472" s="198"/>
      <c r="D472" s="198"/>
      <c r="E472" s="198"/>
      <c r="F472" s="198"/>
      <c r="G472" s="198"/>
      <c r="H472" s="198"/>
      <c r="I472" s="198"/>
      <c r="J472" s="198"/>
      <c r="K472" s="198"/>
      <c r="L472" s="198"/>
    </row>
    <row r="473">
      <c r="A473" s="198"/>
      <c r="B473" s="208"/>
      <c r="C473" s="198"/>
      <c r="D473" s="198"/>
      <c r="E473" s="198"/>
      <c r="F473" s="198"/>
      <c r="G473" s="198"/>
      <c r="H473" s="198"/>
      <c r="I473" s="198"/>
      <c r="J473" s="198"/>
      <c r="K473" s="198"/>
      <c r="L473" s="198"/>
    </row>
    <row r="474">
      <c r="A474" s="198"/>
      <c r="B474" s="208"/>
      <c r="C474" s="198"/>
      <c r="D474" s="198"/>
      <c r="E474" s="198"/>
      <c r="F474" s="198"/>
      <c r="G474" s="198"/>
      <c r="H474" s="198"/>
      <c r="I474" s="198"/>
      <c r="J474" s="198"/>
      <c r="K474" s="198"/>
      <c r="L474" s="198"/>
    </row>
    <row r="475">
      <c r="A475" s="198"/>
      <c r="B475" s="208"/>
      <c r="C475" s="198"/>
      <c r="D475" s="198"/>
      <c r="E475" s="198"/>
      <c r="F475" s="198"/>
      <c r="G475" s="198"/>
      <c r="H475" s="198"/>
      <c r="I475" s="198"/>
      <c r="J475" s="198"/>
      <c r="K475" s="198"/>
      <c r="L475" s="198"/>
    </row>
    <row r="476">
      <c r="A476" s="198"/>
      <c r="B476" s="208"/>
      <c r="C476" s="198"/>
      <c r="D476" s="198"/>
      <c r="E476" s="198"/>
      <c r="F476" s="198"/>
      <c r="G476" s="198"/>
      <c r="H476" s="198"/>
      <c r="I476" s="198"/>
      <c r="J476" s="198"/>
      <c r="K476" s="198"/>
      <c r="L476" s="198"/>
    </row>
    <row r="477">
      <c r="A477" s="198"/>
      <c r="B477" s="208"/>
      <c r="C477" s="198"/>
      <c r="D477" s="198"/>
      <c r="E477" s="198"/>
      <c r="F477" s="198"/>
      <c r="G477" s="198"/>
      <c r="H477" s="198"/>
      <c r="I477" s="198"/>
      <c r="J477" s="198"/>
      <c r="K477" s="198"/>
      <c r="L477" s="198"/>
    </row>
    <row r="478">
      <c r="A478" s="198"/>
      <c r="B478" s="208"/>
      <c r="C478" s="198"/>
      <c r="D478" s="198"/>
      <c r="E478" s="198"/>
      <c r="F478" s="198"/>
      <c r="G478" s="198"/>
      <c r="H478" s="198"/>
      <c r="I478" s="198"/>
      <c r="J478" s="198"/>
      <c r="K478" s="198"/>
      <c r="L478" s="198"/>
    </row>
    <row r="479">
      <c r="A479" s="198"/>
      <c r="B479" s="208"/>
      <c r="C479" s="198"/>
      <c r="D479" s="198"/>
      <c r="E479" s="198"/>
      <c r="F479" s="198"/>
      <c r="G479" s="198"/>
      <c r="H479" s="198"/>
      <c r="I479" s="198"/>
      <c r="J479" s="198"/>
      <c r="K479" s="198"/>
      <c r="L479" s="198"/>
    </row>
    <row r="480">
      <c r="A480" s="198"/>
      <c r="B480" s="208"/>
      <c r="C480" s="198"/>
      <c r="D480" s="198"/>
      <c r="E480" s="198"/>
      <c r="F480" s="198"/>
      <c r="G480" s="198"/>
      <c r="H480" s="198"/>
      <c r="I480" s="198"/>
      <c r="J480" s="198"/>
      <c r="K480" s="198"/>
      <c r="L480" s="198"/>
    </row>
    <row r="481">
      <c r="A481" s="198"/>
      <c r="B481" s="208"/>
      <c r="C481" s="198"/>
      <c r="D481" s="198"/>
      <c r="E481" s="198"/>
      <c r="F481" s="198"/>
      <c r="G481" s="198"/>
      <c r="H481" s="198"/>
      <c r="I481" s="198"/>
      <c r="J481" s="198"/>
      <c r="K481" s="198"/>
      <c r="L481" s="198"/>
    </row>
    <row r="482">
      <c r="A482" s="198"/>
      <c r="B482" s="208"/>
      <c r="C482" s="198"/>
      <c r="D482" s="198"/>
      <c r="E482" s="198"/>
      <c r="F482" s="198"/>
      <c r="G482" s="198"/>
      <c r="H482" s="198"/>
      <c r="I482" s="198"/>
      <c r="J482" s="198"/>
      <c r="K482" s="198"/>
      <c r="L482" s="198"/>
    </row>
    <row r="483">
      <c r="A483" s="198"/>
      <c r="B483" s="208"/>
      <c r="C483" s="198"/>
      <c r="D483" s="198"/>
      <c r="E483" s="198"/>
      <c r="F483" s="198"/>
      <c r="G483" s="198"/>
      <c r="H483" s="198"/>
      <c r="I483" s="198"/>
      <c r="J483" s="198"/>
      <c r="K483" s="198"/>
      <c r="L483" s="198"/>
    </row>
    <row r="484">
      <c r="A484" s="198"/>
      <c r="B484" s="208"/>
      <c r="C484" s="198"/>
      <c r="D484" s="198"/>
      <c r="E484" s="198"/>
      <c r="F484" s="198"/>
      <c r="G484" s="198"/>
      <c r="H484" s="198"/>
      <c r="I484" s="198"/>
      <c r="J484" s="198"/>
      <c r="K484" s="198"/>
      <c r="L484" s="198"/>
    </row>
    <row r="485">
      <c r="A485" s="198"/>
      <c r="B485" s="208"/>
      <c r="C485" s="198"/>
      <c r="D485" s="198"/>
      <c r="E485" s="198"/>
      <c r="F485" s="198"/>
      <c r="G485" s="198"/>
      <c r="H485" s="198"/>
      <c r="I485" s="198"/>
      <c r="J485" s="198"/>
      <c r="K485" s="198"/>
      <c r="L485" s="198"/>
    </row>
    <row r="486">
      <c r="A486" s="198"/>
      <c r="B486" s="208"/>
      <c r="C486" s="198"/>
      <c r="D486" s="198"/>
      <c r="E486" s="198"/>
      <c r="F486" s="198"/>
      <c r="G486" s="198"/>
      <c r="H486" s="198"/>
      <c r="I486" s="198"/>
      <c r="J486" s="198"/>
      <c r="K486" s="198"/>
      <c r="L486" s="198"/>
    </row>
    <row r="487">
      <c r="A487" s="198"/>
      <c r="B487" s="208"/>
      <c r="C487" s="198"/>
      <c r="D487" s="198"/>
      <c r="E487" s="198"/>
      <c r="F487" s="198"/>
      <c r="G487" s="198"/>
      <c r="H487" s="198"/>
      <c r="I487" s="198"/>
      <c r="J487" s="198"/>
      <c r="K487" s="198"/>
      <c r="L487" s="198"/>
    </row>
    <row r="488">
      <c r="A488" s="198"/>
      <c r="B488" s="208"/>
      <c r="C488" s="198"/>
      <c r="D488" s="198"/>
      <c r="E488" s="198"/>
      <c r="F488" s="198"/>
      <c r="G488" s="198"/>
      <c r="H488" s="198"/>
      <c r="I488" s="198"/>
      <c r="J488" s="198"/>
      <c r="K488" s="198"/>
      <c r="L488" s="198"/>
    </row>
    <row r="489">
      <c r="A489" s="198"/>
      <c r="B489" s="208"/>
      <c r="C489" s="198"/>
      <c r="D489" s="198"/>
      <c r="E489" s="198"/>
      <c r="F489" s="198"/>
      <c r="G489" s="198"/>
      <c r="H489" s="198"/>
      <c r="I489" s="198"/>
      <c r="J489" s="198"/>
      <c r="K489" s="198"/>
      <c r="L489" s="198"/>
    </row>
    <row r="490">
      <c r="A490" s="198"/>
      <c r="B490" s="208"/>
      <c r="C490" s="198"/>
      <c r="D490" s="198"/>
      <c r="E490" s="198"/>
      <c r="F490" s="198"/>
      <c r="G490" s="198"/>
      <c r="H490" s="198"/>
      <c r="I490" s="198"/>
      <c r="J490" s="198"/>
      <c r="K490" s="198"/>
      <c r="L490" s="198"/>
    </row>
    <row r="491">
      <c r="A491" s="198"/>
      <c r="B491" s="208"/>
      <c r="C491" s="198"/>
      <c r="D491" s="198"/>
      <c r="E491" s="198"/>
      <c r="F491" s="198"/>
      <c r="G491" s="198"/>
      <c r="H491" s="198"/>
      <c r="I491" s="198"/>
      <c r="J491" s="198"/>
      <c r="K491" s="198"/>
      <c r="L491" s="198"/>
    </row>
    <row r="492">
      <c r="A492" s="198"/>
      <c r="B492" s="208"/>
      <c r="C492" s="198"/>
      <c r="D492" s="198"/>
      <c r="E492" s="198"/>
      <c r="F492" s="198"/>
      <c r="G492" s="198"/>
      <c r="H492" s="198"/>
      <c r="I492" s="198"/>
      <c r="J492" s="198"/>
      <c r="K492" s="198"/>
      <c r="L492" s="198"/>
    </row>
    <row r="493">
      <c r="A493" s="198"/>
      <c r="B493" s="208"/>
      <c r="C493" s="198"/>
      <c r="D493" s="198"/>
      <c r="E493" s="198"/>
      <c r="F493" s="198"/>
      <c r="G493" s="198"/>
      <c r="H493" s="198"/>
      <c r="I493" s="198"/>
      <c r="J493" s="198"/>
      <c r="K493" s="198"/>
      <c r="L493" s="198"/>
    </row>
    <row r="494">
      <c r="A494" s="198"/>
      <c r="B494" s="208"/>
      <c r="C494" s="198"/>
      <c r="D494" s="198"/>
      <c r="E494" s="198"/>
      <c r="F494" s="198"/>
      <c r="G494" s="198"/>
      <c r="H494" s="198"/>
      <c r="I494" s="198"/>
      <c r="J494" s="198"/>
      <c r="K494" s="198"/>
      <c r="L494" s="198"/>
    </row>
    <row r="495">
      <c r="A495" s="198"/>
      <c r="B495" s="208"/>
      <c r="C495" s="198"/>
      <c r="D495" s="198"/>
      <c r="E495" s="198"/>
      <c r="F495" s="198"/>
      <c r="G495" s="198"/>
      <c r="H495" s="198"/>
      <c r="I495" s="198"/>
      <c r="J495" s="198"/>
      <c r="K495" s="198"/>
      <c r="L495" s="198"/>
    </row>
    <row r="496">
      <c r="A496" s="198"/>
      <c r="B496" s="208"/>
      <c r="C496" s="198"/>
      <c r="D496" s="198"/>
      <c r="E496" s="198"/>
      <c r="F496" s="198"/>
      <c r="G496" s="198"/>
      <c r="H496" s="198"/>
      <c r="I496" s="198"/>
      <c r="J496" s="198"/>
      <c r="K496" s="198"/>
      <c r="L496" s="198"/>
    </row>
    <row r="497">
      <c r="A497" s="198"/>
      <c r="B497" s="208"/>
      <c r="C497" s="198"/>
      <c r="D497" s="198"/>
      <c r="E497" s="198"/>
      <c r="F497" s="198"/>
      <c r="G497" s="198"/>
      <c r="H497" s="198"/>
      <c r="I497" s="198"/>
      <c r="J497" s="198"/>
      <c r="K497" s="198"/>
      <c r="L497" s="198"/>
    </row>
    <row r="498">
      <c r="A498" s="198"/>
      <c r="B498" s="208"/>
      <c r="C498" s="198"/>
      <c r="D498" s="198"/>
      <c r="E498" s="198"/>
      <c r="F498" s="198"/>
      <c r="G498" s="198"/>
      <c r="H498" s="198"/>
      <c r="I498" s="198"/>
      <c r="J498" s="198"/>
      <c r="K498" s="198"/>
      <c r="L498" s="198"/>
    </row>
    <row r="499">
      <c r="A499" s="198"/>
      <c r="B499" s="208"/>
      <c r="C499" s="198"/>
      <c r="D499" s="198"/>
      <c r="E499" s="198"/>
      <c r="F499" s="198"/>
      <c r="G499" s="198"/>
      <c r="H499" s="198"/>
      <c r="I499" s="198"/>
      <c r="J499" s="198"/>
      <c r="K499" s="198"/>
      <c r="L499" s="198"/>
    </row>
    <row r="500">
      <c r="A500" s="198"/>
      <c r="B500" s="208"/>
      <c r="C500" s="198"/>
      <c r="D500" s="198"/>
      <c r="E500" s="198"/>
      <c r="F500" s="198"/>
      <c r="G500" s="198"/>
      <c r="H500" s="198"/>
      <c r="I500" s="198"/>
      <c r="J500" s="198"/>
      <c r="K500" s="198"/>
      <c r="L500" s="198"/>
    </row>
    <row r="501">
      <c r="A501" s="198"/>
      <c r="B501" s="208"/>
      <c r="C501" s="198"/>
      <c r="D501" s="198"/>
      <c r="E501" s="198"/>
      <c r="F501" s="198"/>
      <c r="G501" s="198"/>
      <c r="H501" s="198"/>
      <c r="I501" s="198"/>
      <c r="J501" s="198"/>
      <c r="K501" s="198"/>
      <c r="L501" s="198"/>
    </row>
    <row r="502">
      <c r="A502" s="198"/>
      <c r="B502" s="208"/>
      <c r="C502" s="198"/>
      <c r="D502" s="198"/>
      <c r="E502" s="198"/>
      <c r="F502" s="198"/>
      <c r="G502" s="198"/>
      <c r="H502" s="198"/>
      <c r="I502" s="198"/>
      <c r="J502" s="198"/>
      <c r="K502" s="198"/>
      <c r="L502" s="198"/>
    </row>
    <row r="503">
      <c r="A503" s="198"/>
      <c r="B503" s="208"/>
      <c r="C503" s="198"/>
      <c r="D503" s="198"/>
      <c r="E503" s="198"/>
      <c r="F503" s="198"/>
      <c r="G503" s="198"/>
      <c r="H503" s="198"/>
      <c r="I503" s="198"/>
      <c r="J503" s="198"/>
      <c r="K503" s="198"/>
      <c r="L503" s="198"/>
    </row>
    <row r="504">
      <c r="A504" s="198"/>
      <c r="B504" s="208"/>
      <c r="C504" s="198"/>
      <c r="D504" s="198"/>
      <c r="E504" s="198"/>
      <c r="F504" s="198"/>
      <c r="G504" s="198"/>
      <c r="H504" s="198"/>
      <c r="I504" s="198"/>
      <c r="J504" s="198"/>
      <c r="K504" s="198"/>
      <c r="L504" s="198"/>
    </row>
    <row r="505">
      <c r="A505" s="198"/>
      <c r="B505" s="208"/>
      <c r="C505" s="198"/>
      <c r="D505" s="198"/>
      <c r="E505" s="198"/>
      <c r="F505" s="198"/>
      <c r="G505" s="198"/>
      <c r="H505" s="198"/>
      <c r="I505" s="198"/>
      <c r="J505" s="198"/>
      <c r="K505" s="198"/>
      <c r="L505" s="198"/>
    </row>
    <row r="506">
      <c r="A506" s="198"/>
      <c r="B506" s="208"/>
      <c r="C506" s="198"/>
      <c r="D506" s="198"/>
      <c r="E506" s="198"/>
      <c r="F506" s="198"/>
      <c r="G506" s="198"/>
      <c r="H506" s="198"/>
      <c r="I506" s="198"/>
      <c r="J506" s="198"/>
      <c r="K506" s="198"/>
      <c r="L506" s="198"/>
    </row>
    <row r="507">
      <c r="A507" s="198"/>
      <c r="B507" s="208"/>
      <c r="C507" s="198"/>
      <c r="D507" s="198"/>
      <c r="E507" s="198"/>
      <c r="F507" s="198"/>
      <c r="G507" s="198"/>
      <c r="H507" s="198"/>
      <c r="I507" s="198"/>
      <c r="J507" s="198"/>
      <c r="K507" s="198"/>
      <c r="L507" s="198"/>
    </row>
    <row r="508">
      <c r="A508" s="198"/>
      <c r="B508" s="208"/>
      <c r="C508" s="198"/>
      <c r="D508" s="198"/>
      <c r="E508" s="198"/>
      <c r="F508" s="198"/>
      <c r="G508" s="198"/>
      <c r="H508" s="198"/>
      <c r="I508" s="198"/>
      <c r="J508" s="198"/>
      <c r="K508" s="198"/>
      <c r="L508" s="198"/>
    </row>
    <row r="509">
      <c r="A509" s="198"/>
      <c r="B509" s="208"/>
      <c r="C509" s="198"/>
      <c r="D509" s="198"/>
      <c r="E509" s="198"/>
      <c r="F509" s="198"/>
      <c r="G509" s="198"/>
      <c r="H509" s="198"/>
      <c r="I509" s="198"/>
      <c r="J509" s="198"/>
      <c r="K509" s="198"/>
      <c r="L509" s="198"/>
    </row>
    <row r="510">
      <c r="A510" s="198"/>
      <c r="B510" s="208"/>
      <c r="C510" s="198"/>
      <c r="D510" s="198"/>
      <c r="E510" s="198"/>
      <c r="F510" s="198"/>
      <c r="G510" s="198"/>
      <c r="H510" s="198"/>
      <c r="I510" s="198"/>
      <c r="J510" s="198"/>
      <c r="K510" s="198"/>
      <c r="L510" s="198"/>
    </row>
    <row r="511">
      <c r="A511" s="198"/>
      <c r="B511" s="208"/>
      <c r="C511" s="198"/>
      <c r="D511" s="198"/>
      <c r="E511" s="198"/>
      <c r="F511" s="198"/>
      <c r="G511" s="198"/>
      <c r="H511" s="198"/>
      <c r="I511" s="198"/>
      <c r="J511" s="198"/>
      <c r="K511" s="198"/>
      <c r="L511" s="198"/>
    </row>
    <row r="512">
      <c r="A512" s="198"/>
      <c r="B512" s="208"/>
      <c r="C512" s="198"/>
      <c r="D512" s="198"/>
      <c r="E512" s="198"/>
      <c r="F512" s="198"/>
      <c r="G512" s="198"/>
      <c r="H512" s="198"/>
      <c r="I512" s="198"/>
      <c r="J512" s="198"/>
      <c r="K512" s="198"/>
      <c r="L512" s="198"/>
    </row>
    <row r="513">
      <c r="A513" s="198"/>
      <c r="B513" s="208"/>
      <c r="C513" s="198"/>
      <c r="D513" s="198"/>
      <c r="E513" s="198"/>
      <c r="F513" s="198"/>
      <c r="G513" s="198"/>
      <c r="H513" s="198"/>
      <c r="I513" s="198"/>
      <c r="J513" s="198"/>
      <c r="K513" s="198"/>
      <c r="L513" s="198"/>
    </row>
    <row r="514">
      <c r="A514" s="198"/>
      <c r="B514" s="208"/>
      <c r="C514" s="198"/>
      <c r="D514" s="198"/>
      <c r="E514" s="198"/>
      <c r="F514" s="198"/>
      <c r="G514" s="198"/>
      <c r="H514" s="198"/>
      <c r="I514" s="198"/>
      <c r="J514" s="198"/>
      <c r="K514" s="198"/>
      <c r="L514" s="198"/>
    </row>
    <row r="515">
      <c r="A515" s="198"/>
      <c r="B515" s="208"/>
      <c r="C515" s="198"/>
      <c r="D515" s="198"/>
      <c r="E515" s="198"/>
      <c r="F515" s="198"/>
      <c r="G515" s="198"/>
      <c r="H515" s="198"/>
      <c r="I515" s="198"/>
      <c r="J515" s="198"/>
      <c r="K515" s="198"/>
      <c r="L515" s="198"/>
    </row>
    <row r="516">
      <c r="A516" s="198"/>
      <c r="B516" s="208"/>
      <c r="C516" s="198"/>
      <c r="D516" s="198"/>
      <c r="E516" s="198"/>
      <c r="F516" s="198"/>
      <c r="G516" s="198"/>
      <c r="H516" s="198"/>
      <c r="I516" s="198"/>
      <c r="J516" s="198"/>
      <c r="K516" s="198"/>
      <c r="L516" s="198"/>
    </row>
    <row r="517">
      <c r="A517" s="198"/>
      <c r="B517" s="208"/>
      <c r="C517" s="198"/>
      <c r="D517" s="198"/>
      <c r="E517" s="198"/>
      <c r="F517" s="198"/>
      <c r="G517" s="198"/>
      <c r="H517" s="198"/>
      <c r="I517" s="198"/>
      <c r="J517" s="198"/>
      <c r="K517" s="198"/>
      <c r="L517" s="198"/>
    </row>
    <row r="518">
      <c r="A518" s="198"/>
      <c r="B518" s="208"/>
      <c r="C518" s="198"/>
      <c r="D518" s="198"/>
      <c r="E518" s="198"/>
      <c r="F518" s="198"/>
      <c r="G518" s="198"/>
      <c r="H518" s="198"/>
      <c r="I518" s="198"/>
      <c r="J518" s="198"/>
      <c r="K518" s="198"/>
      <c r="L518" s="198"/>
    </row>
    <row r="519">
      <c r="A519" s="198"/>
      <c r="B519" s="208"/>
      <c r="C519" s="198"/>
      <c r="D519" s="198"/>
      <c r="E519" s="198"/>
      <c r="F519" s="198"/>
      <c r="G519" s="198"/>
      <c r="H519" s="198"/>
      <c r="I519" s="198"/>
      <c r="J519" s="198"/>
      <c r="K519" s="198"/>
      <c r="L519" s="198"/>
    </row>
    <row r="520">
      <c r="A520" s="198"/>
      <c r="B520" s="208"/>
      <c r="C520" s="198"/>
      <c r="D520" s="198"/>
      <c r="E520" s="198"/>
      <c r="F520" s="198"/>
      <c r="G520" s="198"/>
      <c r="H520" s="198"/>
      <c r="I520" s="198"/>
      <c r="J520" s="198"/>
      <c r="K520" s="198"/>
      <c r="L520" s="198"/>
    </row>
    <row r="521">
      <c r="A521" s="198"/>
      <c r="B521" s="208"/>
      <c r="C521" s="198"/>
      <c r="D521" s="198"/>
      <c r="E521" s="198"/>
      <c r="F521" s="198"/>
      <c r="G521" s="198"/>
      <c r="H521" s="198"/>
      <c r="I521" s="198"/>
      <c r="J521" s="198"/>
      <c r="K521" s="198"/>
      <c r="L521" s="198"/>
    </row>
    <row r="522">
      <c r="A522" s="198"/>
      <c r="B522" s="208"/>
      <c r="C522" s="198"/>
      <c r="D522" s="198"/>
      <c r="E522" s="198"/>
      <c r="F522" s="198"/>
      <c r="G522" s="198"/>
      <c r="H522" s="198"/>
      <c r="I522" s="198"/>
      <c r="J522" s="198"/>
      <c r="K522" s="198"/>
      <c r="L522" s="198"/>
    </row>
    <row r="523">
      <c r="A523" s="198"/>
      <c r="B523" s="208"/>
      <c r="C523" s="198"/>
      <c r="D523" s="198"/>
      <c r="E523" s="198"/>
      <c r="F523" s="198"/>
      <c r="G523" s="198"/>
      <c r="H523" s="198"/>
      <c r="I523" s="198"/>
      <c r="J523" s="198"/>
      <c r="K523" s="198"/>
      <c r="L523" s="198"/>
    </row>
    <row r="524">
      <c r="A524" s="198"/>
      <c r="B524" s="208"/>
      <c r="C524" s="198"/>
      <c r="D524" s="198"/>
      <c r="E524" s="198"/>
      <c r="F524" s="198"/>
      <c r="G524" s="198"/>
      <c r="H524" s="198"/>
      <c r="I524" s="198"/>
      <c r="J524" s="198"/>
      <c r="K524" s="198"/>
      <c r="L524" s="198"/>
    </row>
    <row r="525">
      <c r="A525" s="198"/>
      <c r="B525" s="208"/>
      <c r="C525" s="198"/>
      <c r="D525" s="198"/>
      <c r="E525" s="198"/>
      <c r="F525" s="198"/>
      <c r="G525" s="198"/>
      <c r="H525" s="198"/>
      <c r="I525" s="198"/>
      <c r="J525" s="198"/>
      <c r="K525" s="198"/>
      <c r="L525" s="198"/>
    </row>
    <row r="526">
      <c r="A526" s="198"/>
      <c r="B526" s="208"/>
      <c r="C526" s="198"/>
      <c r="D526" s="198"/>
      <c r="E526" s="198"/>
      <c r="F526" s="198"/>
      <c r="G526" s="198"/>
      <c r="H526" s="198"/>
      <c r="I526" s="198"/>
      <c r="J526" s="198"/>
      <c r="K526" s="198"/>
      <c r="L526" s="198"/>
    </row>
    <row r="527">
      <c r="A527" s="198"/>
      <c r="B527" s="208"/>
      <c r="C527" s="198"/>
      <c r="D527" s="198"/>
      <c r="E527" s="198"/>
      <c r="F527" s="198"/>
      <c r="G527" s="198"/>
      <c r="H527" s="198"/>
      <c r="I527" s="198"/>
      <c r="J527" s="198"/>
      <c r="K527" s="198"/>
      <c r="L527" s="198"/>
    </row>
    <row r="528">
      <c r="A528" s="198"/>
      <c r="B528" s="208"/>
      <c r="C528" s="198"/>
      <c r="D528" s="198"/>
      <c r="E528" s="198"/>
      <c r="F528" s="198"/>
      <c r="G528" s="198"/>
      <c r="H528" s="198"/>
      <c r="I528" s="198"/>
      <c r="J528" s="198"/>
      <c r="K528" s="198"/>
      <c r="L528" s="198"/>
    </row>
    <row r="529">
      <c r="A529" s="198"/>
      <c r="B529" s="208"/>
      <c r="C529" s="198"/>
      <c r="D529" s="198"/>
      <c r="E529" s="198"/>
      <c r="F529" s="198"/>
      <c r="G529" s="198"/>
      <c r="H529" s="198"/>
      <c r="I529" s="198"/>
      <c r="J529" s="198"/>
      <c r="K529" s="198"/>
      <c r="L529" s="198"/>
    </row>
    <row r="530">
      <c r="A530" s="198"/>
      <c r="B530" s="208"/>
      <c r="C530" s="198"/>
      <c r="D530" s="198"/>
      <c r="E530" s="198"/>
      <c r="F530" s="198"/>
      <c r="G530" s="198"/>
      <c r="H530" s="198"/>
      <c r="I530" s="198"/>
      <c r="J530" s="198"/>
      <c r="K530" s="198"/>
      <c r="L530" s="198"/>
    </row>
    <row r="531">
      <c r="A531" s="198"/>
      <c r="B531" s="208"/>
      <c r="C531" s="198"/>
      <c r="D531" s="198"/>
      <c r="E531" s="198"/>
      <c r="F531" s="198"/>
      <c r="G531" s="198"/>
      <c r="H531" s="198"/>
      <c r="I531" s="198"/>
      <c r="J531" s="198"/>
      <c r="K531" s="198"/>
      <c r="L531" s="198"/>
    </row>
    <row r="532">
      <c r="A532" s="198"/>
      <c r="B532" s="208"/>
      <c r="C532" s="198"/>
      <c r="D532" s="198"/>
      <c r="E532" s="198"/>
      <c r="F532" s="198"/>
      <c r="G532" s="198"/>
      <c r="H532" s="198"/>
      <c r="I532" s="198"/>
      <c r="J532" s="198"/>
      <c r="K532" s="198"/>
      <c r="L532" s="198"/>
    </row>
    <row r="533">
      <c r="A533" s="198"/>
      <c r="B533" s="208"/>
      <c r="C533" s="198"/>
      <c r="D533" s="198"/>
      <c r="E533" s="198"/>
      <c r="F533" s="198"/>
      <c r="G533" s="198"/>
      <c r="H533" s="198"/>
      <c r="I533" s="198"/>
      <c r="J533" s="198"/>
      <c r="K533" s="198"/>
      <c r="L533" s="198"/>
    </row>
    <row r="534">
      <c r="A534" s="198"/>
      <c r="B534" s="208"/>
      <c r="C534" s="198"/>
      <c r="D534" s="198"/>
      <c r="E534" s="198"/>
      <c r="F534" s="198"/>
      <c r="G534" s="198"/>
      <c r="H534" s="198"/>
      <c r="I534" s="198"/>
      <c r="J534" s="198"/>
      <c r="K534" s="198"/>
      <c r="L534" s="198"/>
    </row>
    <row r="535">
      <c r="A535" s="198"/>
      <c r="B535" s="208"/>
      <c r="C535" s="198"/>
      <c r="D535" s="198"/>
      <c r="E535" s="198"/>
      <c r="F535" s="198"/>
      <c r="G535" s="198"/>
      <c r="H535" s="198"/>
      <c r="I535" s="198"/>
      <c r="J535" s="198"/>
      <c r="K535" s="198"/>
      <c r="L535" s="198"/>
    </row>
    <row r="536">
      <c r="A536" s="198"/>
      <c r="B536" s="208"/>
      <c r="C536" s="198"/>
      <c r="D536" s="198"/>
      <c r="E536" s="198"/>
      <c r="F536" s="198"/>
      <c r="G536" s="198"/>
      <c r="H536" s="198"/>
      <c r="I536" s="198"/>
      <c r="J536" s="198"/>
      <c r="K536" s="198"/>
      <c r="L536" s="198"/>
    </row>
    <row r="537">
      <c r="A537" s="198"/>
      <c r="B537" s="208"/>
      <c r="C537" s="198"/>
      <c r="D537" s="198"/>
      <c r="E537" s="198"/>
      <c r="F537" s="198"/>
      <c r="G537" s="198"/>
      <c r="H537" s="198"/>
      <c r="I537" s="198"/>
      <c r="J537" s="198"/>
      <c r="K537" s="198"/>
      <c r="L537" s="198"/>
    </row>
    <row r="538">
      <c r="A538" s="198"/>
      <c r="B538" s="208"/>
      <c r="C538" s="198"/>
      <c r="D538" s="198"/>
      <c r="E538" s="198"/>
      <c r="F538" s="198"/>
      <c r="G538" s="198"/>
      <c r="H538" s="198"/>
      <c r="I538" s="198"/>
      <c r="J538" s="198"/>
      <c r="K538" s="198"/>
      <c r="L538" s="198"/>
    </row>
    <row r="539">
      <c r="A539" s="198"/>
      <c r="B539" s="208"/>
      <c r="C539" s="198"/>
      <c r="D539" s="198"/>
      <c r="E539" s="198"/>
      <c r="F539" s="198"/>
      <c r="G539" s="198"/>
      <c r="H539" s="198"/>
      <c r="I539" s="198"/>
      <c r="J539" s="198"/>
      <c r="K539" s="198"/>
      <c r="L539" s="198"/>
    </row>
    <row r="540">
      <c r="A540" s="198"/>
      <c r="B540" s="208"/>
      <c r="C540" s="198"/>
      <c r="D540" s="198"/>
      <c r="E540" s="198"/>
      <c r="F540" s="198"/>
      <c r="G540" s="198"/>
      <c r="H540" s="198"/>
      <c r="I540" s="198"/>
      <c r="J540" s="198"/>
      <c r="K540" s="198"/>
      <c r="L540" s="198"/>
    </row>
    <row r="541">
      <c r="A541" s="198"/>
      <c r="B541" s="208"/>
      <c r="C541" s="198"/>
      <c r="D541" s="198"/>
      <c r="E541" s="198"/>
      <c r="F541" s="198"/>
      <c r="G541" s="198"/>
      <c r="H541" s="198"/>
      <c r="I541" s="198"/>
      <c r="J541" s="198"/>
      <c r="K541" s="198"/>
      <c r="L541" s="198"/>
    </row>
    <row r="542">
      <c r="A542" s="198"/>
      <c r="B542" s="208"/>
      <c r="C542" s="198"/>
      <c r="D542" s="198"/>
      <c r="E542" s="198"/>
      <c r="F542" s="198"/>
      <c r="G542" s="198"/>
      <c r="H542" s="198"/>
      <c r="I542" s="198"/>
      <c r="J542" s="198"/>
      <c r="K542" s="198"/>
      <c r="L542" s="198"/>
    </row>
    <row r="543">
      <c r="A543" s="198"/>
      <c r="B543" s="208"/>
      <c r="C543" s="198"/>
      <c r="D543" s="198"/>
      <c r="E543" s="198"/>
      <c r="F543" s="198"/>
      <c r="G543" s="198"/>
      <c r="H543" s="198"/>
      <c r="I543" s="198"/>
      <c r="J543" s="198"/>
      <c r="K543" s="198"/>
      <c r="L543" s="198"/>
    </row>
    <row r="544">
      <c r="A544" s="198"/>
      <c r="B544" s="208"/>
      <c r="C544" s="198"/>
      <c r="D544" s="198"/>
      <c r="E544" s="198"/>
      <c r="F544" s="198"/>
      <c r="G544" s="198"/>
      <c r="H544" s="198"/>
      <c r="I544" s="198"/>
      <c r="J544" s="198"/>
      <c r="K544" s="198"/>
      <c r="L544" s="198"/>
    </row>
    <row r="545">
      <c r="A545" s="198"/>
      <c r="B545" s="208"/>
      <c r="C545" s="198"/>
      <c r="D545" s="198"/>
      <c r="E545" s="198"/>
      <c r="F545" s="198"/>
      <c r="G545" s="198"/>
      <c r="H545" s="198"/>
      <c r="I545" s="198"/>
      <c r="J545" s="198"/>
      <c r="K545" s="198"/>
      <c r="L545" s="198"/>
    </row>
    <row r="546">
      <c r="A546" s="198"/>
      <c r="B546" s="208"/>
      <c r="C546" s="198"/>
      <c r="D546" s="198"/>
      <c r="E546" s="198"/>
      <c r="F546" s="198"/>
      <c r="G546" s="198"/>
      <c r="H546" s="198"/>
      <c r="I546" s="198"/>
      <c r="J546" s="198"/>
      <c r="K546" s="198"/>
      <c r="L546" s="198"/>
    </row>
    <row r="547">
      <c r="A547" s="198"/>
      <c r="B547" s="208"/>
      <c r="C547" s="198"/>
      <c r="D547" s="198"/>
      <c r="E547" s="198"/>
      <c r="F547" s="198"/>
      <c r="G547" s="198"/>
      <c r="H547" s="198"/>
      <c r="I547" s="198"/>
      <c r="J547" s="198"/>
      <c r="K547" s="198"/>
      <c r="L547" s="198"/>
    </row>
    <row r="548">
      <c r="A548" s="198"/>
      <c r="B548" s="208"/>
      <c r="C548" s="198"/>
      <c r="D548" s="198"/>
      <c r="E548" s="198"/>
      <c r="F548" s="198"/>
      <c r="G548" s="198"/>
      <c r="H548" s="198"/>
      <c r="I548" s="198"/>
      <c r="J548" s="198"/>
      <c r="K548" s="198"/>
      <c r="L548" s="198"/>
    </row>
    <row r="549">
      <c r="A549" s="198"/>
      <c r="B549" s="208"/>
      <c r="C549" s="198"/>
      <c r="D549" s="198"/>
      <c r="E549" s="198"/>
      <c r="F549" s="198"/>
      <c r="G549" s="198"/>
      <c r="H549" s="198"/>
      <c r="I549" s="198"/>
      <c r="J549" s="198"/>
      <c r="K549" s="198"/>
      <c r="L549" s="198"/>
    </row>
    <row r="550">
      <c r="A550" s="198"/>
      <c r="B550" s="208"/>
      <c r="C550" s="198"/>
      <c r="D550" s="198"/>
      <c r="E550" s="198"/>
      <c r="F550" s="198"/>
      <c r="G550" s="198"/>
      <c r="H550" s="198"/>
      <c r="I550" s="198"/>
      <c r="J550" s="198"/>
      <c r="K550" s="198"/>
      <c r="L550" s="198"/>
    </row>
    <row r="551">
      <c r="A551" s="198"/>
      <c r="B551" s="208"/>
      <c r="C551" s="198"/>
      <c r="D551" s="198"/>
      <c r="E551" s="198"/>
      <c r="F551" s="198"/>
      <c r="G551" s="198"/>
      <c r="H551" s="198"/>
      <c r="I551" s="198"/>
      <c r="J551" s="198"/>
      <c r="K551" s="198"/>
      <c r="L551" s="198"/>
    </row>
    <row r="552">
      <c r="A552" s="198"/>
      <c r="B552" s="208"/>
      <c r="C552" s="198"/>
      <c r="D552" s="198"/>
      <c r="E552" s="198"/>
      <c r="F552" s="198"/>
      <c r="G552" s="198"/>
      <c r="H552" s="198"/>
      <c r="I552" s="198"/>
      <c r="J552" s="198"/>
      <c r="K552" s="198"/>
      <c r="L552" s="198"/>
    </row>
    <row r="553">
      <c r="A553" s="198"/>
      <c r="B553" s="208"/>
      <c r="C553" s="198"/>
      <c r="D553" s="198"/>
      <c r="E553" s="198"/>
      <c r="F553" s="198"/>
      <c r="G553" s="198"/>
      <c r="H553" s="198"/>
      <c r="I553" s="198"/>
      <c r="J553" s="198"/>
      <c r="K553" s="198"/>
      <c r="L553" s="198"/>
    </row>
    <row r="554">
      <c r="A554" s="198"/>
      <c r="B554" s="208"/>
      <c r="C554" s="198"/>
      <c r="D554" s="198"/>
      <c r="E554" s="198"/>
      <c r="F554" s="198"/>
      <c r="G554" s="198"/>
      <c r="H554" s="198"/>
      <c r="I554" s="198"/>
      <c r="J554" s="198"/>
      <c r="K554" s="198"/>
      <c r="L554" s="198"/>
    </row>
    <row r="555">
      <c r="A555" s="198"/>
      <c r="B555" s="208"/>
      <c r="C555" s="198"/>
      <c r="D555" s="198"/>
      <c r="E555" s="198"/>
      <c r="F555" s="198"/>
      <c r="G555" s="198"/>
      <c r="H555" s="198"/>
      <c r="I555" s="198"/>
      <c r="J555" s="198"/>
      <c r="K555" s="198"/>
      <c r="L555" s="198"/>
    </row>
    <row r="556">
      <c r="A556" s="198"/>
      <c r="B556" s="208"/>
      <c r="C556" s="198"/>
      <c r="D556" s="198"/>
      <c r="E556" s="198"/>
      <c r="F556" s="198"/>
      <c r="G556" s="198"/>
      <c r="H556" s="198"/>
      <c r="I556" s="198"/>
      <c r="J556" s="198"/>
      <c r="K556" s="198"/>
      <c r="L556" s="198"/>
    </row>
    <row r="557">
      <c r="A557" s="198"/>
      <c r="B557" s="208"/>
      <c r="C557" s="198"/>
      <c r="D557" s="198"/>
      <c r="E557" s="198"/>
      <c r="F557" s="198"/>
      <c r="G557" s="198"/>
      <c r="H557" s="198"/>
      <c r="I557" s="198"/>
      <c r="J557" s="198"/>
      <c r="K557" s="198"/>
      <c r="L557" s="198"/>
    </row>
    <row r="558">
      <c r="A558" s="198"/>
      <c r="B558" s="208"/>
      <c r="C558" s="198"/>
      <c r="D558" s="198"/>
      <c r="E558" s="198"/>
      <c r="F558" s="198"/>
      <c r="G558" s="198"/>
      <c r="H558" s="198"/>
      <c r="I558" s="198"/>
      <c r="J558" s="198"/>
      <c r="K558" s="198"/>
      <c r="L558" s="198"/>
    </row>
    <row r="559">
      <c r="A559" s="198"/>
      <c r="B559" s="208"/>
      <c r="C559" s="198"/>
      <c r="D559" s="198"/>
      <c r="E559" s="198"/>
      <c r="F559" s="198"/>
      <c r="G559" s="198"/>
      <c r="H559" s="198"/>
      <c r="I559" s="198"/>
      <c r="J559" s="198"/>
      <c r="K559" s="198"/>
      <c r="L559" s="198"/>
    </row>
    <row r="560">
      <c r="A560" s="198"/>
      <c r="B560" s="208"/>
      <c r="C560" s="198"/>
      <c r="D560" s="198"/>
      <c r="E560" s="198"/>
      <c r="F560" s="198"/>
      <c r="G560" s="198"/>
      <c r="H560" s="198"/>
      <c r="I560" s="198"/>
      <c r="J560" s="198"/>
      <c r="K560" s="198"/>
      <c r="L560" s="198"/>
    </row>
    <row r="561">
      <c r="A561" s="198"/>
      <c r="B561" s="208"/>
      <c r="C561" s="198"/>
      <c r="D561" s="198"/>
      <c r="E561" s="198"/>
      <c r="F561" s="198"/>
      <c r="G561" s="198"/>
      <c r="H561" s="198"/>
      <c r="I561" s="198"/>
      <c r="J561" s="198"/>
      <c r="K561" s="198"/>
      <c r="L561" s="198"/>
    </row>
    <row r="562">
      <c r="A562" s="198"/>
      <c r="B562" s="208"/>
      <c r="C562" s="198"/>
      <c r="D562" s="198"/>
      <c r="E562" s="198"/>
      <c r="F562" s="198"/>
      <c r="G562" s="198"/>
      <c r="H562" s="198"/>
      <c r="I562" s="198"/>
      <c r="J562" s="198"/>
      <c r="K562" s="198"/>
      <c r="L562" s="198"/>
    </row>
    <row r="563">
      <c r="A563" s="198"/>
      <c r="B563" s="208"/>
      <c r="C563" s="198"/>
      <c r="D563" s="198"/>
      <c r="E563" s="198"/>
      <c r="F563" s="198"/>
      <c r="G563" s="198"/>
      <c r="H563" s="198"/>
      <c r="I563" s="198"/>
      <c r="J563" s="198"/>
      <c r="K563" s="198"/>
      <c r="L563" s="198"/>
    </row>
    <row r="564">
      <c r="A564" s="198"/>
      <c r="B564" s="208"/>
      <c r="C564" s="198"/>
      <c r="D564" s="198"/>
      <c r="E564" s="198"/>
      <c r="F564" s="198"/>
      <c r="G564" s="198"/>
      <c r="H564" s="198"/>
      <c r="I564" s="198"/>
      <c r="J564" s="198"/>
      <c r="K564" s="198"/>
      <c r="L564" s="198"/>
    </row>
    <row r="565">
      <c r="A565" s="198"/>
      <c r="B565" s="208"/>
      <c r="C565" s="198"/>
      <c r="D565" s="198"/>
      <c r="E565" s="198"/>
      <c r="F565" s="198"/>
      <c r="G565" s="198"/>
      <c r="H565" s="198"/>
      <c r="I565" s="198"/>
      <c r="J565" s="198"/>
      <c r="K565" s="198"/>
      <c r="L565" s="198"/>
    </row>
    <row r="566">
      <c r="A566" s="198"/>
      <c r="B566" s="208"/>
      <c r="C566" s="198"/>
      <c r="D566" s="198"/>
      <c r="E566" s="198"/>
      <c r="F566" s="198"/>
      <c r="G566" s="198"/>
      <c r="H566" s="198"/>
      <c r="I566" s="198"/>
      <c r="J566" s="198"/>
      <c r="K566" s="198"/>
      <c r="L566" s="198"/>
    </row>
    <row r="567">
      <c r="A567" s="198"/>
      <c r="B567" s="208"/>
      <c r="C567" s="198"/>
      <c r="D567" s="198"/>
      <c r="E567" s="198"/>
      <c r="F567" s="198"/>
      <c r="G567" s="198"/>
      <c r="H567" s="198"/>
      <c r="I567" s="198"/>
      <c r="J567" s="198"/>
      <c r="K567" s="198"/>
      <c r="L567" s="198"/>
    </row>
    <row r="568">
      <c r="A568" s="198"/>
      <c r="B568" s="208"/>
      <c r="C568" s="198"/>
      <c r="D568" s="198"/>
      <c r="E568" s="198"/>
      <c r="F568" s="198"/>
      <c r="G568" s="198"/>
      <c r="H568" s="198"/>
      <c r="I568" s="198"/>
      <c r="J568" s="198"/>
      <c r="K568" s="198"/>
      <c r="L568" s="198"/>
    </row>
    <row r="569">
      <c r="A569" s="198"/>
      <c r="B569" s="208"/>
      <c r="C569" s="198"/>
      <c r="D569" s="198"/>
      <c r="E569" s="198"/>
      <c r="F569" s="198"/>
      <c r="G569" s="198"/>
      <c r="H569" s="198"/>
      <c r="I569" s="198"/>
      <c r="J569" s="198"/>
      <c r="K569" s="198"/>
      <c r="L569" s="198"/>
    </row>
    <row r="570">
      <c r="A570" s="198"/>
      <c r="B570" s="208"/>
      <c r="C570" s="198"/>
      <c r="D570" s="198"/>
      <c r="E570" s="198"/>
      <c r="F570" s="198"/>
      <c r="G570" s="198"/>
      <c r="H570" s="198"/>
      <c r="I570" s="198"/>
      <c r="J570" s="198"/>
      <c r="K570" s="198"/>
      <c r="L570" s="198"/>
    </row>
    <row r="571">
      <c r="A571" s="198"/>
      <c r="B571" s="208"/>
      <c r="C571" s="198"/>
      <c r="D571" s="198"/>
      <c r="E571" s="198"/>
      <c r="F571" s="198"/>
      <c r="G571" s="198"/>
      <c r="H571" s="198"/>
      <c r="I571" s="198"/>
      <c r="J571" s="198"/>
      <c r="K571" s="198"/>
      <c r="L571" s="198"/>
    </row>
    <row r="572">
      <c r="A572" s="198"/>
      <c r="B572" s="208"/>
      <c r="C572" s="198"/>
      <c r="D572" s="198"/>
      <c r="E572" s="198"/>
      <c r="F572" s="198"/>
      <c r="G572" s="198"/>
      <c r="H572" s="198"/>
      <c r="I572" s="198"/>
      <c r="J572" s="198"/>
      <c r="K572" s="198"/>
      <c r="L572" s="198"/>
    </row>
    <row r="573">
      <c r="A573" s="198"/>
      <c r="B573" s="208"/>
      <c r="C573" s="198"/>
      <c r="D573" s="198"/>
      <c r="E573" s="198"/>
      <c r="F573" s="198"/>
      <c r="G573" s="198"/>
      <c r="H573" s="198"/>
      <c r="I573" s="198"/>
      <c r="J573" s="198"/>
      <c r="K573" s="198"/>
      <c r="L573" s="198"/>
    </row>
    <row r="574">
      <c r="A574" s="198"/>
      <c r="B574" s="208"/>
      <c r="C574" s="198"/>
      <c r="D574" s="198"/>
      <c r="E574" s="198"/>
      <c r="F574" s="198"/>
      <c r="G574" s="198"/>
      <c r="H574" s="198"/>
      <c r="I574" s="198"/>
      <c r="J574" s="198"/>
      <c r="K574" s="198"/>
      <c r="L574" s="198"/>
    </row>
    <row r="575">
      <c r="A575" s="198"/>
      <c r="B575" s="208"/>
      <c r="C575" s="198"/>
      <c r="D575" s="198"/>
      <c r="E575" s="198"/>
      <c r="F575" s="198"/>
      <c r="G575" s="198"/>
      <c r="H575" s="198"/>
      <c r="I575" s="198"/>
      <c r="J575" s="198"/>
      <c r="K575" s="198"/>
      <c r="L575" s="198"/>
    </row>
    <row r="576">
      <c r="A576" s="198"/>
      <c r="B576" s="208"/>
      <c r="C576" s="198"/>
      <c r="D576" s="198"/>
      <c r="E576" s="198"/>
      <c r="F576" s="198"/>
      <c r="G576" s="198"/>
      <c r="H576" s="198"/>
      <c r="I576" s="198"/>
      <c r="J576" s="198"/>
      <c r="K576" s="198"/>
      <c r="L576" s="198"/>
    </row>
    <row r="577">
      <c r="A577" s="198"/>
      <c r="B577" s="208"/>
      <c r="C577" s="198"/>
      <c r="D577" s="198"/>
      <c r="E577" s="198"/>
      <c r="F577" s="198"/>
      <c r="G577" s="198"/>
      <c r="H577" s="198"/>
      <c r="I577" s="198"/>
      <c r="J577" s="198"/>
      <c r="K577" s="198"/>
      <c r="L577" s="198"/>
    </row>
    <row r="578">
      <c r="A578" s="198"/>
      <c r="B578" s="208"/>
      <c r="C578" s="198"/>
      <c r="D578" s="198"/>
      <c r="E578" s="198"/>
      <c r="F578" s="198"/>
      <c r="G578" s="198"/>
      <c r="H578" s="198"/>
      <c r="I578" s="198"/>
      <c r="J578" s="198"/>
      <c r="K578" s="198"/>
      <c r="L578" s="198"/>
    </row>
    <row r="579">
      <c r="A579" s="198"/>
      <c r="B579" s="208"/>
      <c r="C579" s="198"/>
      <c r="D579" s="198"/>
      <c r="E579" s="198"/>
      <c r="F579" s="198"/>
      <c r="G579" s="198"/>
      <c r="H579" s="198"/>
      <c r="I579" s="198"/>
      <c r="J579" s="198"/>
      <c r="K579" s="198"/>
      <c r="L579" s="198"/>
    </row>
    <row r="580">
      <c r="A580" s="198"/>
      <c r="B580" s="208"/>
      <c r="C580" s="198"/>
      <c r="D580" s="198"/>
      <c r="E580" s="198"/>
      <c r="F580" s="198"/>
      <c r="G580" s="198"/>
      <c r="H580" s="198"/>
      <c r="I580" s="198"/>
      <c r="J580" s="198"/>
      <c r="K580" s="198"/>
      <c r="L580" s="198"/>
    </row>
    <row r="581">
      <c r="A581" s="198"/>
      <c r="B581" s="208"/>
      <c r="C581" s="198"/>
      <c r="D581" s="198"/>
      <c r="E581" s="198"/>
      <c r="F581" s="198"/>
      <c r="G581" s="198"/>
      <c r="H581" s="198"/>
      <c r="I581" s="198"/>
      <c r="J581" s="198"/>
      <c r="K581" s="198"/>
      <c r="L581" s="198"/>
    </row>
    <row r="582">
      <c r="A582" s="198"/>
      <c r="B582" s="208"/>
      <c r="C582" s="198"/>
      <c r="D582" s="198"/>
      <c r="E582" s="198"/>
      <c r="F582" s="198"/>
      <c r="G582" s="198"/>
      <c r="H582" s="198"/>
      <c r="I582" s="198"/>
      <c r="J582" s="198"/>
      <c r="K582" s="198"/>
      <c r="L582" s="198"/>
    </row>
    <row r="583">
      <c r="A583" s="198"/>
      <c r="B583" s="208"/>
      <c r="C583" s="198"/>
      <c r="D583" s="198"/>
      <c r="E583" s="198"/>
      <c r="F583" s="198"/>
      <c r="G583" s="198"/>
      <c r="H583" s="198"/>
      <c r="I583" s="198"/>
      <c r="J583" s="198"/>
      <c r="K583" s="198"/>
      <c r="L583" s="198"/>
    </row>
    <row r="584">
      <c r="A584" s="198"/>
      <c r="B584" s="208"/>
      <c r="C584" s="198"/>
      <c r="D584" s="198"/>
      <c r="E584" s="198"/>
      <c r="F584" s="198"/>
      <c r="G584" s="198"/>
      <c r="H584" s="198"/>
      <c r="I584" s="198"/>
      <c r="J584" s="198"/>
      <c r="K584" s="198"/>
      <c r="L584" s="198"/>
    </row>
    <row r="585">
      <c r="A585" s="198"/>
      <c r="B585" s="208"/>
      <c r="C585" s="198"/>
      <c r="D585" s="198"/>
      <c r="E585" s="198"/>
      <c r="F585" s="198"/>
      <c r="G585" s="198"/>
      <c r="H585" s="198"/>
      <c r="I585" s="198"/>
      <c r="J585" s="198"/>
      <c r="K585" s="198"/>
      <c r="L585" s="198"/>
    </row>
    <row r="586">
      <c r="A586" s="198"/>
      <c r="B586" s="208"/>
      <c r="C586" s="198"/>
      <c r="D586" s="198"/>
      <c r="E586" s="198"/>
      <c r="F586" s="198"/>
      <c r="G586" s="198"/>
      <c r="H586" s="198"/>
      <c r="I586" s="198"/>
      <c r="J586" s="198"/>
      <c r="K586" s="198"/>
      <c r="L586" s="198"/>
    </row>
    <row r="587">
      <c r="A587" s="198"/>
      <c r="B587" s="208"/>
      <c r="C587" s="198"/>
      <c r="D587" s="198"/>
      <c r="E587" s="198"/>
      <c r="F587" s="198"/>
      <c r="G587" s="198"/>
      <c r="H587" s="198"/>
      <c r="I587" s="198"/>
      <c r="J587" s="198"/>
      <c r="K587" s="198"/>
      <c r="L587" s="198"/>
    </row>
    <row r="588">
      <c r="A588" s="198"/>
      <c r="B588" s="208"/>
      <c r="C588" s="198"/>
      <c r="D588" s="198"/>
      <c r="E588" s="198"/>
      <c r="F588" s="198"/>
      <c r="G588" s="198"/>
      <c r="H588" s="198"/>
      <c r="I588" s="198"/>
      <c r="J588" s="198"/>
      <c r="K588" s="198"/>
      <c r="L588" s="198"/>
    </row>
    <row r="589">
      <c r="A589" s="198"/>
      <c r="B589" s="208"/>
      <c r="C589" s="198"/>
      <c r="D589" s="198"/>
      <c r="E589" s="198"/>
      <c r="F589" s="198"/>
      <c r="G589" s="198"/>
      <c r="H589" s="198"/>
      <c r="I589" s="198"/>
      <c r="J589" s="198"/>
      <c r="K589" s="198"/>
      <c r="L589" s="198"/>
    </row>
    <row r="590">
      <c r="A590" s="198"/>
      <c r="B590" s="208"/>
      <c r="C590" s="198"/>
      <c r="D590" s="198"/>
      <c r="E590" s="198"/>
      <c r="F590" s="198"/>
      <c r="G590" s="198"/>
      <c r="H590" s="198"/>
      <c r="I590" s="198"/>
      <c r="J590" s="198"/>
      <c r="K590" s="198"/>
      <c r="L590" s="198"/>
    </row>
    <row r="591">
      <c r="A591" s="198"/>
      <c r="B591" s="208"/>
      <c r="C591" s="198"/>
      <c r="D591" s="198"/>
      <c r="E591" s="198"/>
      <c r="F591" s="198"/>
      <c r="G591" s="198"/>
      <c r="H591" s="198"/>
      <c r="I591" s="198"/>
      <c r="J591" s="198"/>
      <c r="K591" s="198"/>
      <c r="L591" s="198"/>
    </row>
    <row r="592">
      <c r="A592" s="198"/>
      <c r="B592" s="208"/>
      <c r="C592" s="198"/>
      <c r="D592" s="198"/>
      <c r="E592" s="198"/>
      <c r="F592" s="198"/>
      <c r="G592" s="198"/>
      <c r="H592" s="198"/>
      <c r="I592" s="198"/>
      <c r="J592" s="198"/>
      <c r="K592" s="198"/>
      <c r="L592" s="198"/>
    </row>
    <row r="593">
      <c r="A593" s="198"/>
      <c r="B593" s="208"/>
      <c r="C593" s="198"/>
      <c r="D593" s="198"/>
      <c r="E593" s="198"/>
      <c r="F593" s="198"/>
      <c r="G593" s="198"/>
      <c r="H593" s="198"/>
      <c r="I593" s="198"/>
      <c r="J593" s="198"/>
      <c r="K593" s="198"/>
      <c r="L593" s="198"/>
    </row>
    <row r="594">
      <c r="A594" s="198"/>
      <c r="B594" s="208"/>
      <c r="C594" s="198"/>
      <c r="D594" s="198"/>
      <c r="E594" s="198"/>
      <c r="F594" s="198"/>
      <c r="G594" s="198"/>
      <c r="H594" s="198"/>
      <c r="I594" s="198"/>
      <c r="J594" s="198"/>
      <c r="K594" s="198"/>
      <c r="L594" s="198"/>
    </row>
    <row r="595">
      <c r="A595" s="198"/>
      <c r="B595" s="208"/>
      <c r="C595" s="198"/>
      <c r="D595" s="198"/>
      <c r="E595" s="198"/>
      <c r="F595" s="198"/>
      <c r="G595" s="198"/>
      <c r="H595" s="198"/>
      <c r="I595" s="198"/>
      <c r="J595" s="198"/>
      <c r="K595" s="198"/>
      <c r="L595" s="198"/>
    </row>
    <row r="596">
      <c r="A596" s="198"/>
      <c r="B596" s="208"/>
      <c r="C596" s="198"/>
      <c r="D596" s="198"/>
      <c r="E596" s="198"/>
      <c r="F596" s="198"/>
      <c r="G596" s="198"/>
      <c r="H596" s="198"/>
      <c r="I596" s="198"/>
      <c r="J596" s="198"/>
      <c r="K596" s="198"/>
      <c r="L596" s="198"/>
    </row>
    <row r="597">
      <c r="A597" s="198"/>
      <c r="B597" s="208"/>
      <c r="C597" s="198"/>
      <c r="D597" s="198"/>
      <c r="E597" s="198"/>
      <c r="F597" s="198"/>
      <c r="G597" s="198"/>
      <c r="H597" s="198"/>
      <c r="I597" s="198"/>
      <c r="J597" s="198"/>
      <c r="K597" s="198"/>
      <c r="L597" s="198"/>
    </row>
    <row r="598">
      <c r="A598" s="198"/>
      <c r="B598" s="208"/>
      <c r="C598" s="198"/>
      <c r="D598" s="198"/>
      <c r="E598" s="198"/>
      <c r="F598" s="198"/>
      <c r="G598" s="198"/>
      <c r="H598" s="198"/>
      <c r="I598" s="198"/>
      <c r="J598" s="198"/>
      <c r="K598" s="198"/>
      <c r="L598" s="198"/>
    </row>
    <row r="599">
      <c r="A599" s="198"/>
      <c r="B599" s="208"/>
      <c r="C599" s="198"/>
      <c r="D599" s="198"/>
      <c r="E599" s="198"/>
      <c r="F599" s="198"/>
      <c r="G599" s="198"/>
      <c r="H599" s="198"/>
      <c r="I599" s="198"/>
      <c r="J599" s="198"/>
      <c r="K599" s="198"/>
      <c r="L599" s="198"/>
    </row>
    <row r="600">
      <c r="A600" s="198"/>
      <c r="B600" s="208"/>
      <c r="C600" s="198"/>
      <c r="D600" s="198"/>
      <c r="E600" s="198"/>
      <c r="F600" s="198"/>
      <c r="G600" s="198"/>
      <c r="H600" s="198"/>
      <c r="I600" s="198"/>
      <c r="J600" s="198"/>
      <c r="K600" s="198"/>
      <c r="L600" s="198"/>
    </row>
    <row r="601">
      <c r="A601" s="198"/>
      <c r="B601" s="208"/>
      <c r="C601" s="198"/>
      <c r="D601" s="198"/>
      <c r="E601" s="198"/>
      <c r="F601" s="198"/>
      <c r="G601" s="198"/>
      <c r="H601" s="198"/>
      <c r="I601" s="198"/>
      <c r="J601" s="198"/>
      <c r="K601" s="198"/>
      <c r="L601" s="198"/>
    </row>
    <row r="602">
      <c r="A602" s="198"/>
      <c r="B602" s="208"/>
      <c r="C602" s="198"/>
      <c r="D602" s="198"/>
      <c r="E602" s="198"/>
      <c r="F602" s="198"/>
      <c r="G602" s="198"/>
      <c r="H602" s="198"/>
      <c r="I602" s="198"/>
      <c r="J602" s="198"/>
      <c r="K602" s="198"/>
      <c r="L602" s="198"/>
    </row>
    <row r="603">
      <c r="A603" s="198"/>
      <c r="B603" s="208"/>
      <c r="C603" s="198"/>
      <c r="D603" s="198"/>
      <c r="E603" s="198"/>
      <c r="F603" s="198"/>
      <c r="G603" s="198"/>
      <c r="H603" s="198"/>
      <c r="I603" s="198"/>
      <c r="J603" s="198"/>
      <c r="K603" s="198"/>
      <c r="L603" s="198"/>
    </row>
    <row r="604">
      <c r="A604" s="198"/>
      <c r="B604" s="208"/>
      <c r="C604" s="198"/>
      <c r="D604" s="198"/>
      <c r="E604" s="198"/>
      <c r="F604" s="198"/>
      <c r="G604" s="198"/>
      <c r="H604" s="198"/>
      <c r="I604" s="198"/>
      <c r="J604" s="198"/>
      <c r="K604" s="198"/>
      <c r="L604" s="198"/>
    </row>
    <row r="605">
      <c r="A605" s="198"/>
      <c r="B605" s="208"/>
      <c r="C605" s="198"/>
      <c r="D605" s="198"/>
      <c r="E605" s="198"/>
      <c r="F605" s="198"/>
      <c r="G605" s="198"/>
      <c r="H605" s="198"/>
      <c r="I605" s="198"/>
      <c r="J605" s="198"/>
      <c r="K605" s="198"/>
      <c r="L605" s="198"/>
    </row>
    <row r="606">
      <c r="A606" s="198"/>
      <c r="B606" s="208"/>
      <c r="C606" s="198"/>
      <c r="D606" s="198"/>
      <c r="E606" s="198"/>
      <c r="F606" s="198"/>
      <c r="G606" s="198"/>
      <c r="H606" s="198"/>
      <c r="I606" s="198"/>
      <c r="J606" s="198"/>
      <c r="K606" s="198"/>
      <c r="L606" s="198"/>
    </row>
    <row r="607">
      <c r="A607" s="198"/>
      <c r="B607" s="208"/>
      <c r="C607" s="198"/>
      <c r="D607" s="198"/>
      <c r="E607" s="198"/>
      <c r="F607" s="198"/>
      <c r="G607" s="198"/>
      <c r="H607" s="198"/>
      <c r="I607" s="198"/>
      <c r="J607" s="198"/>
      <c r="K607" s="198"/>
      <c r="L607" s="198"/>
    </row>
    <row r="608">
      <c r="A608" s="198"/>
      <c r="B608" s="208"/>
      <c r="C608" s="198"/>
      <c r="D608" s="198"/>
      <c r="E608" s="198"/>
      <c r="F608" s="198"/>
      <c r="G608" s="198"/>
      <c r="H608" s="198"/>
      <c r="I608" s="198"/>
      <c r="J608" s="198"/>
      <c r="K608" s="198"/>
      <c r="L608" s="198"/>
    </row>
    <row r="609">
      <c r="A609" s="198"/>
      <c r="B609" s="208"/>
      <c r="C609" s="198"/>
      <c r="D609" s="198"/>
      <c r="E609" s="198"/>
      <c r="F609" s="198"/>
      <c r="G609" s="198"/>
      <c r="H609" s="198"/>
      <c r="I609" s="198"/>
      <c r="J609" s="198"/>
      <c r="K609" s="198"/>
      <c r="L609" s="198"/>
    </row>
    <row r="610">
      <c r="A610" s="198"/>
      <c r="B610" s="208"/>
      <c r="C610" s="198"/>
      <c r="D610" s="198"/>
      <c r="E610" s="198"/>
      <c r="F610" s="198"/>
      <c r="G610" s="198"/>
      <c r="H610" s="198"/>
      <c r="I610" s="198"/>
      <c r="J610" s="198"/>
      <c r="K610" s="198"/>
      <c r="L610" s="198"/>
    </row>
    <row r="611">
      <c r="A611" s="198"/>
      <c r="B611" s="208"/>
      <c r="C611" s="198"/>
      <c r="D611" s="198"/>
      <c r="E611" s="198"/>
      <c r="F611" s="198"/>
      <c r="G611" s="198"/>
      <c r="H611" s="198"/>
      <c r="I611" s="198"/>
      <c r="J611" s="198"/>
      <c r="K611" s="198"/>
      <c r="L611" s="198"/>
    </row>
    <row r="612">
      <c r="A612" s="198"/>
      <c r="B612" s="208"/>
      <c r="C612" s="198"/>
      <c r="D612" s="198"/>
      <c r="E612" s="198"/>
      <c r="F612" s="198"/>
      <c r="G612" s="198"/>
      <c r="H612" s="198"/>
      <c r="I612" s="198"/>
      <c r="J612" s="198"/>
      <c r="K612" s="198"/>
      <c r="L612" s="198"/>
    </row>
    <row r="613">
      <c r="A613" s="198"/>
      <c r="B613" s="208"/>
      <c r="C613" s="198"/>
      <c r="D613" s="198"/>
      <c r="E613" s="198"/>
      <c r="F613" s="198"/>
      <c r="G613" s="198"/>
      <c r="H613" s="198"/>
      <c r="I613" s="198"/>
      <c r="J613" s="198"/>
      <c r="K613" s="198"/>
      <c r="L613" s="198"/>
    </row>
    <row r="614">
      <c r="A614" s="198"/>
      <c r="B614" s="208"/>
      <c r="C614" s="198"/>
      <c r="D614" s="198"/>
      <c r="E614" s="198"/>
      <c r="F614" s="198"/>
      <c r="G614" s="198"/>
      <c r="H614" s="198"/>
      <c r="I614" s="198"/>
      <c r="J614" s="198"/>
      <c r="K614" s="198"/>
      <c r="L614" s="198"/>
    </row>
    <row r="615">
      <c r="A615" s="198"/>
      <c r="B615" s="208"/>
      <c r="C615" s="198"/>
      <c r="D615" s="198"/>
      <c r="E615" s="198"/>
      <c r="F615" s="198"/>
      <c r="G615" s="198"/>
      <c r="H615" s="198"/>
      <c r="I615" s="198"/>
      <c r="J615" s="198"/>
      <c r="K615" s="198"/>
      <c r="L615" s="198"/>
    </row>
    <row r="616">
      <c r="A616" s="198"/>
      <c r="B616" s="208"/>
      <c r="C616" s="198"/>
      <c r="D616" s="198"/>
      <c r="E616" s="198"/>
      <c r="F616" s="198"/>
      <c r="G616" s="198"/>
      <c r="H616" s="198"/>
      <c r="I616" s="198"/>
      <c r="J616" s="198"/>
      <c r="K616" s="198"/>
      <c r="L616" s="198"/>
    </row>
    <row r="617">
      <c r="A617" s="198"/>
      <c r="B617" s="208"/>
      <c r="C617" s="198"/>
      <c r="D617" s="198"/>
      <c r="E617" s="198"/>
      <c r="F617" s="198"/>
      <c r="G617" s="198"/>
      <c r="H617" s="198"/>
      <c r="I617" s="198"/>
      <c r="J617" s="198"/>
      <c r="K617" s="198"/>
      <c r="L617" s="198"/>
    </row>
    <row r="618">
      <c r="A618" s="198"/>
      <c r="B618" s="208"/>
      <c r="C618" s="198"/>
      <c r="D618" s="198"/>
      <c r="E618" s="198"/>
      <c r="F618" s="198"/>
      <c r="G618" s="198"/>
      <c r="H618" s="198"/>
      <c r="I618" s="198"/>
      <c r="J618" s="198"/>
      <c r="K618" s="198"/>
      <c r="L618" s="198"/>
    </row>
    <row r="619">
      <c r="A619" s="198"/>
      <c r="B619" s="208"/>
      <c r="C619" s="198"/>
      <c r="D619" s="198"/>
      <c r="E619" s="198"/>
      <c r="F619" s="198"/>
      <c r="G619" s="198"/>
      <c r="H619" s="198"/>
      <c r="I619" s="198"/>
      <c r="J619" s="198"/>
      <c r="K619" s="198"/>
      <c r="L619" s="198"/>
    </row>
    <row r="620">
      <c r="A620" s="198"/>
      <c r="B620" s="208"/>
      <c r="C620" s="198"/>
      <c r="D620" s="198"/>
      <c r="E620" s="198"/>
      <c r="F620" s="198"/>
      <c r="G620" s="198"/>
      <c r="H620" s="198"/>
      <c r="I620" s="198"/>
      <c r="J620" s="198"/>
      <c r="K620" s="198"/>
      <c r="L620" s="198"/>
    </row>
    <row r="621">
      <c r="A621" s="198"/>
      <c r="B621" s="208"/>
      <c r="C621" s="198"/>
      <c r="D621" s="198"/>
      <c r="E621" s="198"/>
      <c r="F621" s="198"/>
      <c r="G621" s="198"/>
      <c r="H621" s="198"/>
      <c r="I621" s="198"/>
      <c r="J621" s="198"/>
      <c r="K621" s="198"/>
      <c r="L621" s="198"/>
    </row>
    <row r="622">
      <c r="A622" s="198"/>
      <c r="B622" s="208"/>
      <c r="C622" s="198"/>
      <c r="D622" s="198"/>
      <c r="E622" s="198"/>
      <c r="F622" s="198"/>
      <c r="G622" s="198"/>
      <c r="H622" s="198"/>
      <c r="I622" s="198"/>
      <c r="J622" s="198"/>
      <c r="K622" s="198"/>
      <c r="L622" s="198"/>
    </row>
    <row r="623">
      <c r="A623" s="198"/>
      <c r="B623" s="208"/>
      <c r="C623" s="198"/>
      <c r="D623" s="198"/>
      <c r="E623" s="198"/>
      <c r="F623" s="198"/>
      <c r="G623" s="198"/>
      <c r="H623" s="198"/>
      <c r="I623" s="198"/>
      <c r="J623" s="198"/>
      <c r="K623" s="198"/>
      <c r="L623" s="198"/>
    </row>
    <row r="624">
      <c r="A624" s="198"/>
      <c r="B624" s="208"/>
      <c r="C624" s="198"/>
      <c r="D624" s="198"/>
      <c r="E624" s="198"/>
      <c r="F624" s="198"/>
      <c r="G624" s="198"/>
      <c r="H624" s="198"/>
      <c r="I624" s="198"/>
      <c r="J624" s="198"/>
      <c r="K624" s="198"/>
      <c r="L624" s="198"/>
    </row>
    <row r="625">
      <c r="A625" s="198"/>
      <c r="B625" s="208"/>
      <c r="C625" s="198"/>
      <c r="D625" s="198"/>
      <c r="E625" s="198"/>
      <c r="F625" s="198"/>
      <c r="G625" s="198"/>
      <c r="H625" s="198"/>
      <c r="I625" s="198"/>
      <c r="J625" s="198"/>
      <c r="K625" s="198"/>
      <c r="L625" s="198"/>
    </row>
    <row r="626">
      <c r="A626" s="198"/>
      <c r="B626" s="208"/>
      <c r="C626" s="198"/>
      <c r="D626" s="198"/>
      <c r="E626" s="198"/>
      <c r="F626" s="198"/>
      <c r="G626" s="198"/>
      <c r="H626" s="198"/>
      <c r="I626" s="198"/>
      <c r="J626" s="198"/>
      <c r="K626" s="198"/>
      <c r="L626" s="198"/>
    </row>
    <row r="627">
      <c r="A627" s="198"/>
      <c r="B627" s="208"/>
      <c r="C627" s="198"/>
      <c r="D627" s="198"/>
      <c r="E627" s="198"/>
      <c r="F627" s="198"/>
      <c r="G627" s="198"/>
      <c r="H627" s="198"/>
      <c r="I627" s="198"/>
      <c r="J627" s="198"/>
      <c r="K627" s="198"/>
      <c r="L627" s="198"/>
    </row>
    <row r="628">
      <c r="A628" s="198"/>
      <c r="B628" s="208"/>
      <c r="C628" s="198"/>
      <c r="D628" s="198"/>
      <c r="E628" s="198"/>
      <c r="F628" s="198"/>
      <c r="G628" s="198"/>
      <c r="H628" s="198"/>
      <c r="I628" s="198"/>
      <c r="J628" s="198"/>
      <c r="K628" s="198"/>
      <c r="L628" s="198"/>
    </row>
    <row r="629">
      <c r="A629" s="198"/>
      <c r="B629" s="208"/>
      <c r="C629" s="198"/>
      <c r="D629" s="198"/>
      <c r="E629" s="198"/>
      <c r="F629" s="198"/>
      <c r="G629" s="198"/>
      <c r="H629" s="198"/>
      <c r="I629" s="198"/>
      <c r="J629" s="198"/>
      <c r="K629" s="198"/>
      <c r="L629" s="198"/>
    </row>
    <row r="630">
      <c r="A630" s="198"/>
      <c r="B630" s="208"/>
      <c r="C630" s="198"/>
      <c r="D630" s="198"/>
      <c r="E630" s="198"/>
      <c r="F630" s="198"/>
      <c r="G630" s="198"/>
      <c r="H630" s="198"/>
      <c r="I630" s="198"/>
      <c r="J630" s="198"/>
      <c r="K630" s="198"/>
      <c r="L630" s="198"/>
    </row>
    <row r="631">
      <c r="A631" s="198"/>
      <c r="B631" s="208"/>
      <c r="C631" s="198"/>
      <c r="D631" s="198"/>
      <c r="E631" s="198"/>
      <c r="F631" s="198"/>
      <c r="G631" s="198"/>
      <c r="H631" s="198"/>
      <c r="I631" s="198"/>
      <c r="J631" s="198"/>
      <c r="K631" s="198"/>
      <c r="L631" s="198"/>
    </row>
    <row r="632">
      <c r="A632" s="198"/>
      <c r="B632" s="208"/>
      <c r="C632" s="198"/>
      <c r="D632" s="198"/>
      <c r="E632" s="198"/>
      <c r="F632" s="198"/>
      <c r="G632" s="198"/>
      <c r="H632" s="198"/>
      <c r="I632" s="198"/>
      <c r="J632" s="198"/>
      <c r="K632" s="198"/>
      <c r="L632" s="198"/>
    </row>
    <row r="633">
      <c r="A633" s="198"/>
      <c r="B633" s="208"/>
      <c r="C633" s="198"/>
      <c r="D633" s="198"/>
      <c r="E633" s="198"/>
      <c r="F633" s="198"/>
      <c r="G633" s="198"/>
      <c r="H633" s="198"/>
      <c r="I633" s="198"/>
      <c r="J633" s="198"/>
      <c r="K633" s="198"/>
      <c r="L633" s="198"/>
    </row>
    <row r="634">
      <c r="A634" s="198"/>
      <c r="B634" s="208"/>
      <c r="C634" s="198"/>
      <c r="D634" s="198"/>
      <c r="E634" s="198"/>
      <c r="F634" s="198"/>
      <c r="G634" s="198"/>
      <c r="H634" s="198"/>
      <c r="I634" s="198"/>
      <c r="J634" s="198"/>
      <c r="K634" s="198"/>
      <c r="L634" s="198"/>
    </row>
    <row r="635">
      <c r="A635" s="198"/>
      <c r="B635" s="208"/>
      <c r="C635" s="198"/>
      <c r="D635" s="198"/>
      <c r="E635" s="198"/>
      <c r="F635" s="198"/>
      <c r="G635" s="198"/>
      <c r="H635" s="198"/>
      <c r="I635" s="198"/>
      <c r="J635" s="198"/>
      <c r="K635" s="198"/>
      <c r="L635" s="198"/>
    </row>
    <row r="636">
      <c r="A636" s="198"/>
      <c r="B636" s="208"/>
      <c r="C636" s="198"/>
      <c r="D636" s="198"/>
      <c r="E636" s="198"/>
      <c r="F636" s="198"/>
      <c r="G636" s="198"/>
      <c r="H636" s="198"/>
      <c r="I636" s="198"/>
      <c r="J636" s="198"/>
      <c r="K636" s="198"/>
      <c r="L636" s="198"/>
    </row>
    <row r="637">
      <c r="A637" s="198"/>
      <c r="B637" s="208"/>
      <c r="C637" s="198"/>
      <c r="D637" s="198"/>
      <c r="E637" s="198"/>
      <c r="F637" s="198"/>
      <c r="G637" s="198"/>
      <c r="H637" s="198"/>
      <c r="I637" s="198"/>
      <c r="J637" s="198"/>
      <c r="K637" s="198"/>
      <c r="L637" s="198"/>
    </row>
    <row r="638">
      <c r="A638" s="198"/>
      <c r="B638" s="208"/>
      <c r="C638" s="198"/>
      <c r="D638" s="198"/>
      <c r="E638" s="198"/>
      <c r="F638" s="198"/>
      <c r="G638" s="198"/>
      <c r="H638" s="198"/>
      <c r="I638" s="198"/>
      <c r="J638" s="198"/>
      <c r="K638" s="198"/>
      <c r="L638" s="198"/>
    </row>
    <row r="639">
      <c r="A639" s="198"/>
      <c r="B639" s="208"/>
      <c r="C639" s="198"/>
      <c r="D639" s="198"/>
      <c r="E639" s="198"/>
      <c r="F639" s="198"/>
      <c r="G639" s="198"/>
      <c r="H639" s="198"/>
      <c r="I639" s="198"/>
      <c r="J639" s="198"/>
      <c r="K639" s="198"/>
      <c r="L639" s="198"/>
    </row>
    <row r="640">
      <c r="A640" s="198"/>
      <c r="B640" s="208"/>
      <c r="C640" s="198"/>
      <c r="D640" s="198"/>
      <c r="E640" s="198"/>
      <c r="F640" s="198"/>
      <c r="G640" s="198"/>
      <c r="H640" s="198"/>
      <c r="I640" s="198"/>
      <c r="J640" s="198"/>
      <c r="K640" s="198"/>
      <c r="L640" s="198"/>
    </row>
    <row r="641">
      <c r="A641" s="198"/>
      <c r="B641" s="208"/>
      <c r="C641" s="198"/>
      <c r="D641" s="198"/>
      <c r="E641" s="198"/>
      <c r="F641" s="198"/>
      <c r="G641" s="198"/>
      <c r="H641" s="198"/>
      <c r="I641" s="198"/>
      <c r="J641" s="198"/>
      <c r="K641" s="198"/>
      <c r="L641" s="198"/>
    </row>
    <row r="642">
      <c r="A642" s="198"/>
      <c r="B642" s="208"/>
      <c r="C642" s="198"/>
      <c r="D642" s="198"/>
      <c r="E642" s="198"/>
      <c r="F642" s="198"/>
      <c r="G642" s="198"/>
      <c r="H642" s="198"/>
      <c r="I642" s="198"/>
      <c r="J642" s="198"/>
      <c r="K642" s="198"/>
      <c r="L642" s="198"/>
    </row>
    <row r="643">
      <c r="A643" s="198"/>
      <c r="B643" s="208"/>
      <c r="C643" s="198"/>
      <c r="D643" s="198"/>
      <c r="E643" s="198"/>
      <c r="F643" s="198"/>
      <c r="G643" s="198"/>
      <c r="H643" s="198"/>
      <c r="I643" s="198"/>
      <c r="J643" s="198"/>
      <c r="K643" s="198"/>
      <c r="L643" s="198"/>
    </row>
    <row r="644">
      <c r="A644" s="198"/>
      <c r="B644" s="208"/>
      <c r="C644" s="198"/>
      <c r="D644" s="198"/>
      <c r="E644" s="198"/>
      <c r="F644" s="198"/>
      <c r="G644" s="198"/>
      <c r="H644" s="198"/>
      <c r="I644" s="198"/>
      <c r="J644" s="198"/>
      <c r="K644" s="198"/>
      <c r="L644" s="198"/>
    </row>
    <row r="645">
      <c r="A645" s="198"/>
      <c r="B645" s="208"/>
      <c r="C645" s="198"/>
      <c r="D645" s="198"/>
      <c r="E645" s="198"/>
      <c r="F645" s="198"/>
      <c r="G645" s="198"/>
      <c r="H645" s="198"/>
      <c r="I645" s="198"/>
      <c r="J645" s="198"/>
      <c r="K645" s="198"/>
      <c r="L645" s="198"/>
    </row>
    <row r="646">
      <c r="A646" s="198"/>
      <c r="B646" s="208"/>
      <c r="C646" s="198"/>
      <c r="D646" s="198"/>
      <c r="E646" s="198"/>
      <c r="F646" s="198"/>
      <c r="G646" s="198"/>
      <c r="H646" s="198"/>
      <c r="I646" s="198"/>
      <c r="J646" s="198"/>
      <c r="K646" s="198"/>
      <c r="L646" s="198"/>
    </row>
    <row r="647">
      <c r="A647" s="198"/>
      <c r="B647" s="208"/>
      <c r="C647" s="198"/>
      <c r="D647" s="198"/>
      <c r="E647" s="198"/>
      <c r="F647" s="198"/>
      <c r="G647" s="198"/>
      <c r="H647" s="198"/>
      <c r="I647" s="198"/>
      <c r="J647" s="198"/>
      <c r="K647" s="198"/>
      <c r="L647" s="198"/>
    </row>
    <row r="648">
      <c r="A648" s="198"/>
      <c r="B648" s="208"/>
      <c r="C648" s="198"/>
      <c r="D648" s="198"/>
      <c r="E648" s="198"/>
      <c r="F648" s="198"/>
      <c r="G648" s="198"/>
      <c r="H648" s="198"/>
      <c r="I648" s="198"/>
      <c r="J648" s="198"/>
      <c r="K648" s="198"/>
      <c r="L648" s="198"/>
    </row>
    <row r="649">
      <c r="A649" s="198"/>
      <c r="B649" s="208"/>
      <c r="C649" s="198"/>
      <c r="D649" s="198"/>
      <c r="E649" s="198"/>
      <c r="F649" s="198"/>
      <c r="G649" s="198"/>
      <c r="H649" s="198"/>
      <c r="I649" s="198"/>
      <c r="J649" s="198"/>
      <c r="K649" s="198"/>
      <c r="L649" s="198"/>
    </row>
    <row r="650">
      <c r="A650" s="198"/>
      <c r="B650" s="208"/>
      <c r="C650" s="198"/>
      <c r="D650" s="198"/>
      <c r="E650" s="198"/>
      <c r="F650" s="198"/>
      <c r="G650" s="198"/>
      <c r="H650" s="198"/>
      <c r="I650" s="198"/>
      <c r="J650" s="198"/>
      <c r="K650" s="198"/>
      <c r="L650" s="198"/>
    </row>
    <row r="651">
      <c r="A651" s="198"/>
      <c r="B651" s="208"/>
      <c r="C651" s="198"/>
      <c r="D651" s="198"/>
      <c r="E651" s="198"/>
      <c r="F651" s="198"/>
      <c r="G651" s="198"/>
      <c r="H651" s="198"/>
      <c r="I651" s="198"/>
      <c r="J651" s="198"/>
      <c r="K651" s="198"/>
      <c r="L651" s="198"/>
    </row>
    <row r="652">
      <c r="A652" s="198"/>
      <c r="B652" s="208"/>
      <c r="C652" s="198"/>
      <c r="D652" s="198"/>
      <c r="E652" s="198"/>
      <c r="F652" s="198"/>
      <c r="G652" s="198"/>
      <c r="H652" s="198"/>
      <c r="I652" s="198"/>
      <c r="J652" s="198"/>
      <c r="K652" s="198"/>
      <c r="L652" s="198"/>
    </row>
    <row r="653">
      <c r="A653" s="198"/>
      <c r="B653" s="208"/>
      <c r="C653" s="198"/>
      <c r="D653" s="198"/>
      <c r="E653" s="198"/>
      <c r="F653" s="198"/>
      <c r="G653" s="198"/>
      <c r="H653" s="198"/>
      <c r="I653" s="198"/>
      <c r="J653" s="198"/>
      <c r="K653" s="198"/>
      <c r="L653" s="198"/>
    </row>
    <row r="654">
      <c r="A654" s="198"/>
      <c r="B654" s="208"/>
      <c r="C654" s="198"/>
      <c r="D654" s="198"/>
      <c r="E654" s="198"/>
      <c r="F654" s="198"/>
      <c r="G654" s="198"/>
      <c r="H654" s="198"/>
      <c r="I654" s="198"/>
      <c r="J654" s="198"/>
      <c r="K654" s="198"/>
      <c r="L654" s="198"/>
    </row>
    <row r="655">
      <c r="A655" s="198"/>
      <c r="B655" s="208"/>
      <c r="C655" s="198"/>
      <c r="D655" s="198"/>
      <c r="E655" s="198"/>
      <c r="F655" s="198"/>
      <c r="G655" s="198"/>
      <c r="H655" s="198"/>
      <c r="I655" s="198"/>
      <c r="J655" s="198"/>
      <c r="K655" s="198"/>
      <c r="L655" s="198"/>
    </row>
    <row r="656">
      <c r="A656" s="198"/>
      <c r="B656" s="208"/>
      <c r="C656" s="198"/>
      <c r="D656" s="198"/>
      <c r="E656" s="198"/>
      <c r="F656" s="198"/>
      <c r="G656" s="198"/>
      <c r="H656" s="198"/>
      <c r="I656" s="198"/>
      <c r="J656" s="198"/>
      <c r="K656" s="198"/>
      <c r="L656" s="198"/>
    </row>
    <row r="657">
      <c r="A657" s="198"/>
      <c r="B657" s="208"/>
      <c r="C657" s="198"/>
      <c r="D657" s="198"/>
      <c r="E657" s="198"/>
      <c r="F657" s="198"/>
      <c r="G657" s="198"/>
      <c r="H657" s="198"/>
      <c r="I657" s="198"/>
      <c r="J657" s="198"/>
      <c r="K657" s="198"/>
      <c r="L657" s="198"/>
    </row>
    <row r="658">
      <c r="A658" s="198"/>
      <c r="B658" s="208"/>
      <c r="C658" s="198"/>
      <c r="D658" s="198"/>
      <c r="E658" s="198"/>
      <c r="F658" s="198"/>
      <c r="G658" s="198"/>
      <c r="H658" s="198"/>
      <c r="I658" s="198"/>
      <c r="J658" s="198"/>
      <c r="K658" s="198"/>
      <c r="L658" s="198"/>
    </row>
    <row r="659">
      <c r="A659" s="198"/>
      <c r="B659" s="208"/>
      <c r="C659" s="198"/>
      <c r="D659" s="198"/>
      <c r="E659" s="198"/>
      <c r="F659" s="198"/>
      <c r="G659" s="198"/>
      <c r="H659" s="198"/>
      <c r="I659" s="198"/>
      <c r="J659" s="198"/>
      <c r="K659" s="198"/>
      <c r="L659" s="198"/>
    </row>
    <row r="660">
      <c r="A660" s="198"/>
      <c r="B660" s="208"/>
      <c r="C660" s="198"/>
      <c r="D660" s="198"/>
      <c r="E660" s="198"/>
      <c r="F660" s="198"/>
      <c r="G660" s="198"/>
      <c r="H660" s="198"/>
      <c r="I660" s="198"/>
      <c r="J660" s="198"/>
      <c r="K660" s="198"/>
      <c r="L660" s="198"/>
    </row>
    <row r="661">
      <c r="A661" s="198"/>
      <c r="B661" s="208"/>
      <c r="C661" s="198"/>
      <c r="D661" s="198"/>
      <c r="E661" s="198"/>
      <c r="F661" s="198"/>
      <c r="G661" s="198"/>
      <c r="H661" s="198"/>
      <c r="I661" s="198"/>
      <c r="J661" s="198"/>
      <c r="K661" s="198"/>
      <c r="L661" s="198"/>
    </row>
    <row r="662">
      <c r="A662" s="198"/>
      <c r="B662" s="208"/>
      <c r="C662" s="198"/>
      <c r="D662" s="198"/>
      <c r="E662" s="198"/>
      <c r="F662" s="198"/>
      <c r="G662" s="198"/>
      <c r="H662" s="198"/>
      <c r="I662" s="198"/>
      <c r="J662" s="198"/>
      <c r="K662" s="198"/>
      <c r="L662" s="198"/>
    </row>
    <row r="663">
      <c r="A663" s="198"/>
      <c r="B663" s="208"/>
      <c r="C663" s="198"/>
      <c r="D663" s="198"/>
      <c r="E663" s="198"/>
      <c r="F663" s="198"/>
      <c r="G663" s="198"/>
      <c r="H663" s="198"/>
      <c r="I663" s="198"/>
      <c r="J663" s="198"/>
      <c r="K663" s="198"/>
      <c r="L663" s="198"/>
    </row>
    <row r="664">
      <c r="A664" s="198"/>
      <c r="B664" s="208"/>
      <c r="C664" s="198"/>
      <c r="D664" s="198"/>
      <c r="E664" s="198"/>
      <c r="F664" s="198"/>
      <c r="G664" s="198"/>
      <c r="H664" s="198"/>
      <c r="I664" s="198"/>
      <c r="J664" s="198"/>
      <c r="K664" s="198"/>
      <c r="L664" s="198"/>
    </row>
    <row r="665">
      <c r="A665" s="198"/>
      <c r="B665" s="208"/>
      <c r="C665" s="198"/>
      <c r="D665" s="198"/>
      <c r="E665" s="198"/>
      <c r="F665" s="198"/>
      <c r="G665" s="198"/>
      <c r="H665" s="198"/>
      <c r="I665" s="198"/>
      <c r="J665" s="198"/>
      <c r="K665" s="198"/>
      <c r="L665" s="198"/>
    </row>
    <row r="666">
      <c r="A666" s="198"/>
      <c r="B666" s="208"/>
      <c r="C666" s="198"/>
      <c r="D666" s="198"/>
      <c r="E666" s="198"/>
      <c r="F666" s="198"/>
      <c r="G666" s="198"/>
      <c r="H666" s="198"/>
      <c r="I666" s="198"/>
      <c r="J666" s="198"/>
      <c r="K666" s="198"/>
      <c r="L666" s="198"/>
    </row>
    <row r="667">
      <c r="A667" s="198"/>
      <c r="B667" s="208"/>
      <c r="C667" s="198"/>
      <c r="D667" s="198"/>
      <c r="E667" s="198"/>
      <c r="F667" s="198"/>
      <c r="G667" s="198"/>
      <c r="H667" s="198"/>
      <c r="I667" s="198"/>
      <c r="J667" s="198"/>
      <c r="K667" s="198"/>
      <c r="L667" s="198"/>
    </row>
    <row r="668">
      <c r="A668" s="198"/>
      <c r="B668" s="208"/>
      <c r="C668" s="198"/>
      <c r="D668" s="198"/>
      <c r="E668" s="198"/>
      <c r="F668" s="198"/>
      <c r="G668" s="198"/>
      <c r="H668" s="198"/>
      <c r="I668" s="198"/>
      <c r="J668" s="198"/>
      <c r="K668" s="198"/>
      <c r="L668" s="198"/>
    </row>
    <row r="669">
      <c r="A669" s="198"/>
      <c r="B669" s="208"/>
      <c r="C669" s="198"/>
      <c r="D669" s="198"/>
      <c r="E669" s="198"/>
      <c r="F669" s="198"/>
      <c r="G669" s="198"/>
      <c r="H669" s="198"/>
      <c r="I669" s="198"/>
      <c r="J669" s="198"/>
      <c r="K669" s="198"/>
      <c r="L669" s="198"/>
    </row>
    <row r="670">
      <c r="A670" s="198"/>
      <c r="B670" s="208"/>
      <c r="C670" s="198"/>
      <c r="D670" s="198"/>
      <c r="E670" s="198"/>
      <c r="F670" s="198"/>
      <c r="G670" s="198"/>
      <c r="H670" s="198"/>
      <c r="I670" s="198"/>
      <c r="J670" s="198"/>
      <c r="K670" s="198"/>
      <c r="L670" s="198"/>
    </row>
    <row r="671">
      <c r="A671" s="198"/>
      <c r="B671" s="208"/>
      <c r="C671" s="198"/>
      <c r="D671" s="198"/>
      <c r="E671" s="198"/>
      <c r="F671" s="198"/>
      <c r="G671" s="198"/>
      <c r="H671" s="198"/>
      <c r="I671" s="198"/>
      <c r="J671" s="198"/>
      <c r="K671" s="198"/>
      <c r="L671" s="198"/>
    </row>
    <row r="672">
      <c r="A672" s="198"/>
      <c r="B672" s="208"/>
      <c r="C672" s="198"/>
      <c r="D672" s="198"/>
      <c r="E672" s="198"/>
      <c r="F672" s="198"/>
      <c r="G672" s="198"/>
      <c r="H672" s="198"/>
      <c r="I672" s="198"/>
      <c r="J672" s="198"/>
      <c r="K672" s="198"/>
      <c r="L672" s="198"/>
    </row>
    <row r="673">
      <c r="A673" s="198"/>
      <c r="B673" s="208"/>
      <c r="C673" s="198"/>
      <c r="D673" s="198"/>
      <c r="E673" s="198"/>
      <c r="F673" s="198"/>
      <c r="G673" s="198"/>
      <c r="H673" s="198"/>
      <c r="I673" s="198"/>
      <c r="J673" s="198"/>
      <c r="K673" s="198"/>
      <c r="L673" s="198"/>
    </row>
    <row r="674">
      <c r="A674" s="198"/>
      <c r="B674" s="208"/>
      <c r="C674" s="198"/>
      <c r="D674" s="198"/>
      <c r="E674" s="198"/>
      <c r="F674" s="198"/>
      <c r="G674" s="198"/>
      <c r="H674" s="198"/>
      <c r="I674" s="198"/>
      <c r="J674" s="198"/>
      <c r="K674" s="198"/>
      <c r="L674" s="198"/>
    </row>
    <row r="675">
      <c r="A675" s="198"/>
      <c r="B675" s="208"/>
      <c r="C675" s="198"/>
      <c r="D675" s="198"/>
      <c r="E675" s="198"/>
      <c r="F675" s="198"/>
      <c r="G675" s="198"/>
      <c r="H675" s="198"/>
      <c r="I675" s="198"/>
      <c r="J675" s="198"/>
      <c r="K675" s="198"/>
      <c r="L675" s="198"/>
    </row>
    <row r="676">
      <c r="A676" s="198"/>
      <c r="B676" s="208"/>
      <c r="C676" s="198"/>
      <c r="D676" s="198"/>
      <c r="E676" s="198"/>
      <c r="F676" s="198"/>
      <c r="G676" s="198"/>
      <c r="H676" s="198"/>
      <c r="I676" s="198"/>
      <c r="J676" s="198"/>
      <c r="K676" s="198"/>
      <c r="L676" s="198"/>
    </row>
    <row r="677">
      <c r="A677" s="198"/>
      <c r="B677" s="208"/>
      <c r="C677" s="198"/>
      <c r="D677" s="198"/>
      <c r="E677" s="198"/>
      <c r="F677" s="198"/>
      <c r="G677" s="198"/>
      <c r="H677" s="198"/>
      <c r="I677" s="198"/>
      <c r="J677" s="198"/>
      <c r="K677" s="198"/>
      <c r="L677" s="198"/>
    </row>
    <row r="678">
      <c r="A678" s="198"/>
      <c r="B678" s="208"/>
      <c r="C678" s="198"/>
      <c r="D678" s="198"/>
      <c r="E678" s="198"/>
      <c r="F678" s="198"/>
      <c r="G678" s="198"/>
      <c r="H678" s="198"/>
      <c r="I678" s="198"/>
      <c r="J678" s="198"/>
      <c r="K678" s="198"/>
      <c r="L678" s="198"/>
    </row>
    <row r="679">
      <c r="A679" s="198"/>
      <c r="B679" s="208"/>
      <c r="C679" s="198"/>
      <c r="D679" s="198"/>
      <c r="E679" s="198"/>
      <c r="F679" s="198"/>
      <c r="G679" s="198"/>
      <c r="H679" s="198"/>
      <c r="I679" s="198"/>
      <c r="J679" s="198"/>
      <c r="K679" s="198"/>
      <c r="L679" s="198"/>
    </row>
    <row r="680">
      <c r="A680" s="198"/>
      <c r="B680" s="208"/>
      <c r="C680" s="198"/>
      <c r="D680" s="198"/>
      <c r="E680" s="198"/>
      <c r="F680" s="198"/>
      <c r="G680" s="198"/>
      <c r="H680" s="198"/>
      <c r="I680" s="198"/>
      <c r="J680" s="198"/>
      <c r="K680" s="198"/>
      <c r="L680" s="198"/>
    </row>
    <row r="681">
      <c r="A681" s="198"/>
      <c r="B681" s="208"/>
      <c r="C681" s="198"/>
      <c r="D681" s="198"/>
      <c r="E681" s="198"/>
      <c r="F681" s="198"/>
      <c r="G681" s="198"/>
      <c r="H681" s="198"/>
      <c r="I681" s="198"/>
      <c r="J681" s="198"/>
      <c r="K681" s="198"/>
      <c r="L681" s="198"/>
    </row>
    <row r="682">
      <c r="A682" s="198"/>
      <c r="B682" s="208"/>
      <c r="C682" s="198"/>
      <c r="D682" s="198"/>
      <c r="E682" s="198"/>
      <c r="F682" s="198"/>
      <c r="G682" s="198"/>
      <c r="H682" s="198"/>
      <c r="I682" s="198"/>
      <c r="J682" s="198"/>
      <c r="K682" s="198"/>
      <c r="L682" s="198"/>
    </row>
    <row r="683">
      <c r="A683" s="198"/>
      <c r="B683" s="208"/>
      <c r="C683" s="198"/>
      <c r="D683" s="198"/>
      <c r="E683" s="198"/>
      <c r="F683" s="198"/>
      <c r="G683" s="198"/>
      <c r="H683" s="198"/>
      <c r="I683" s="198"/>
      <c r="J683" s="198"/>
      <c r="K683" s="198"/>
      <c r="L683" s="198"/>
    </row>
    <row r="684">
      <c r="A684" s="198"/>
      <c r="B684" s="208"/>
      <c r="C684" s="198"/>
      <c r="D684" s="198"/>
      <c r="E684" s="198"/>
      <c r="F684" s="198"/>
      <c r="G684" s="198"/>
      <c r="H684" s="198"/>
      <c r="I684" s="198"/>
      <c r="J684" s="198"/>
      <c r="K684" s="198"/>
      <c r="L684" s="198"/>
    </row>
    <row r="685">
      <c r="A685" s="198"/>
      <c r="B685" s="208"/>
      <c r="C685" s="198"/>
      <c r="D685" s="198"/>
      <c r="E685" s="198"/>
      <c r="F685" s="198"/>
      <c r="G685" s="198"/>
      <c r="H685" s="198"/>
      <c r="I685" s="198"/>
      <c r="J685" s="198"/>
      <c r="K685" s="198"/>
      <c r="L685" s="198"/>
    </row>
    <row r="686">
      <c r="A686" s="198"/>
      <c r="B686" s="208"/>
      <c r="C686" s="198"/>
      <c r="D686" s="198"/>
      <c r="E686" s="198"/>
      <c r="F686" s="198"/>
      <c r="G686" s="198"/>
      <c r="H686" s="198"/>
      <c r="I686" s="198"/>
      <c r="J686" s="198"/>
      <c r="K686" s="198"/>
      <c r="L686" s="198"/>
    </row>
    <row r="687">
      <c r="A687" s="198"/>
      <c r="B687" s="208"/>
      <c r="C687" s="198"/>
      <c r="D687" s="198"/>
      <c r="E687" s="198"/>
      <c r="F687" s="198"/>
      <c r="G687" s="198"/>
      <c r="H687" s="198"/>
      <c r="I687" s="198"/>
      <c r="J687" s="198"/>
      <c r="K687" s="198"/>
      <c r="L687" s="198"/>
    </row>
    <row r="688">
      <c r="A688" s="198"/>
      <c r="B688" s="208"/>
      <c r="C688" s="198"/>
      <c r="D688" s="198"/>
      <c r="E688" s="198"/>
      <c r="F688" s="198"/>
      <c r="G688" s="198"/>
      <c r="H688" s="198"/>
      <c r="I688" s="198"/>
      <c r="J688" s="198"/>
      <c r="K688" s="198"/>
      <c r="L688" s="198"/>
    </row>
    <row r="689">
      <c r="A689" s="198"/>
      <c r="B689" s="208"/>
      <c r="C689" s="198"/>
      <c r="D689" s="198"/>
      <c r="E689" s="198"/>
      <c r="F689" s="198"/>
      <c r="G689" s="198"/>
      <c r="H689" s="198"/>
      <c r="I689" s="198"/>
      <c r="J689" s="198"/>
      <c r="K689" s="198"/>
      <c r="L689" s="198"/>
    </row>
    <row r="690">
      <c r="A690" s="198"/>
      <c r="B690" s="208"/>
      <c r="C690" s="198"/>
      <c r="D690" s="198"/>
      <c r="E690" s="198"/>
      <c r="F690" s="198"/>
      <c r="G690" s="198"/>
      <c r="H690" s="198"/>
      <c r="I690" s="198"/>
      <c r="J690" s="198"/>
      <c r="K690" s="198"/>
      <c r="L690" s="198"/>
    </row>
    <row r="691">
      <c r="A691" s="198"/>
      <c r="B691" s="208"/>
      <c r="C691" s="198"/>
      <c r="D691" s="198"/>
      <c r="E691" s="198"/>
      <c r="F691" s="198"/>
      <c r="G691" s="198"/>
      <c r="H691" s="198"/>
      <c r="I691" s="198"/>
      <c r="J691" s="198"/>
      <c r="K691" s="198"/>
      <c r="L691" s="198"/>
    </row>
    <row r="692">
      <c r="A692" s="198"/>
      <c r="B692" s="208"/>
      <c r="C692" s="198"/>
      <c r="D692" s="198"/>
      <c r="E692" s="198"/>
      <c r="F692" s="198"/>
      <c r="G692" s="198"/>
      <c r="H692" s="198"/>
      <c r="I692" s="198"/>
      <c r="J692" s="198"/>
      <c r="K692" s="198"/>
      <c r="L692" s="198"/>
    </row>
    <row r="693">
      <c r="A693" s="198"/>
      <c r="B693" s="208"/>
      <c r="C693" s="198"/>
      <c r="D693" s="198"/>
      <c r="E693" s="198"/>
      <c r="F693" s="198"/>
      <c r="G693" s="198"/>
      <c r="H693" s="198"/>
      <c r="I693" s="198"/>
      <c r="J693" s="198"/>
      <c r="K693" s="198"/>
      <c r="L693" s="198"/>
    </row>
    <row r="694">
      <c r="A694" s="198"/>
      <c r="B694" s="208"/>
      <c r="C694" s="198"/>
      <c r="D694" s="198"/>
      <c r="E694" s="198"/>
      <c r="F694" s="198"/>
      <c r="G694" s="198"/>
      <c r="H694" s="198"/>
      <c r="I694" s="198"/>
      <c r="J694" s="198"/>
      <c r="K694" s="198"/>
      <c r="L694" s="198"/>
    </row>
    <row r="695">
      <c r="A695" s="198"/>
      <c r="B695" s="208"/>
      <c r="C695" s="198"/>
      <c r="D695" s="198"/>
      <c r="E695" s="198"/>
      <c r="F695" s="198"/>
      <c r="G695" s="198"/>
      <c r="H695" s="198"/>
      <c r="I695" s="198"/>
      <c r="J695" s="198"/>
      <c r="K695" s="198"/>
      <c r="L695" s="198"/>
    </row>
    <row r="696">
      <c r="A696" s="198"/>
      <c r="B696" s="208"/>
      <c r="C696" s="198"/>
      <c r="D696" s="198"/>
      <c r="E696" s="198"/>
      <c r="F696" s="198"/>
      <c r="G696" s="198"/>
      <c r="H696" s="198"/>
      <c r="I696" s="198"/>
      <c r="J696" s="198"/>
      <c r="K696" s="198"/>
      <c r="L696" s="198"/>
    </row>
    <row r="697">
      <c r="A697" s="198"/>
      <c r="B697" s="208"/>
      <c r="C697" s="198"/>
      <c r="D697" s="198"/>
      <c r="E697" s="198"/>
      <c r="F697" s="198"/>
      <c r="G697" s="198"/>
      <c r="H697" s="198"/>
      <c r="I697" s="198"/>
      <c r="J697" s="198"/>
      <c r="K697" s="198"/>
      <c r="L697" s="198"/>
    </row>
    <row r="698">
      <c r="A698" s="198"/>
      <c r="B698" s="208"/>
      <c r="C698" s="198"/>
      <c r="D698" s="198"/>
      <c r="E698" s="198"/>
      <c r="F698" s="198"/>
      <c r="G698" s="198"/>
      <c r="H698" s="198"/>
      <c r="I698" s="198"/>
      <c r="J698" s="198"/>
      <c r="K698" s="198"/>
      <c r="L698" s="198"/>
    </row>
    <row r="699">
      <c r="A699" s="198"/>
      <c r="B699" s="208"/>
      <c r="C699" s="198"/>
      <c r="D699" s="198"/>
      <c r="E699" s="198"/>
      <c r="F699" s="198"/>
      <c r="G699" s="198"/>
      <c r="H699" s="198"/>
      <c r="I699" s="198"/>
      <c r="J699" s="198"/>
      <c r="K699" s="198"/>
      <c r="L699" s="198"/>
    </row>
    <row r="700">
      <c r="A700" s="198"/>
      <c r="B700" s="208"/>
      <c r="C700" s="198"/>
      <c r="D700" s="198"/>
      <c r="E700" s="198"/>
      <c r="F700" s="198"/>
      <c r="G700" s="198"/>
      <c r="H700" s="198"/>
      <c r="I700" s="198"/>
      <c r="J700" s="198"/>
      <c r="K700" s="198"/>
      <c r="L700" s="198"/>
    </row>
    <row r="701">
      <c r="A701" s="198"/>
      <c r="B701" s="208"/>
      <c r="C701" s="198"/>
      <c r="D701" s="198"/>
      <c r="E701" s="198"/>
      <c r="F701" s="198"/>
      <c r="G701" s="198"/>
      <c r="H701" s="198"/>
      <c r="I701" s="198"/>
      <c r="J701" s="198"/>
      <c r="K701" s="198"/>
      <c r="L701" s="198"/>
    </row>
    <row r="702">
      <c r="A702" s="198"/>
      <c r="B702" s="208"/>
      <c r="C702" s="198"/>
      <c r="D702" s="198"/>
      <c r="E702" s="198"/>
      <c r="F702" s="198"/>
      <c r="G702" s="198"/>
      <c r="H702" s="198"/>
      <c r="I702" s="198"/>
      <c r="J702" s="198"/>
      <c r="K702" s="198"/>
      <c r="L702" s="198"/>
    </row>
    <row r="703">
      <c r="A703" s="198"/>
      <c r="B703" s="208"/>
      <c r="C703" s="198"/>
      <c r="D703" s="198"/>
      <c r="E703" s="198"/>
      <c r="F703" s="198"/>
      <c r="G703" s="198"/>
      <c r="H703" s="198"/>
      <c r="I703" s="198"/>
      <c r="J703" s="198"/>
      <c r="K703" s="198"/>
      <c r="L703" s="198"/>
    </row>
    <row r="704">
      <c r="A704" s="198"/>
      <c r="B704" s="208"/>
      <c r="C704" s="198"/>
      <c r="D704" s="198"/>
      <c r="E704" s="198"/>
      <c r="F704" s="198"/>
      <c r="G704" s="198"/>
      <c r="H704" s="198"/>
      <c r="I704" s="198"/>
      <c r="J704" s="198"/>
      <c r="K704" s="198"/>
      <c r="L704" s="198"/>
    </row>
    <row r="705">
      <c r="A705" s="198"/>
      <c r="B705" s="208"/>
      <c r="C705" s="198"/>
      <c r="D705" s="198"/>
      <c r="E705" s="198"/>
      <c r="F705" s="198"/>
      <c r="G705" s="198"/>
      <c r="H705" s="198"/>
      <c r="I705" s="198"/>
      <c r="J705" s="198"/>
      <c r="K705" s="198"/>
      <c r="L705" s="198"/>
    </row>
    <row r="706">
      <c r="A706" s="198"/>
      <c r="B706" s="208"/>
      <c r="C706" s="198"/>
      <c r="D706" s="198"/>
      <c r="E706" s="198"/>
      <c r="F706" s="198"/>
      <c r="G706" s="198"/>
      <c r="H706" s="198"/>
      <c r="I706" s="198"/>
      <c r="J706" s="198"/>
      <c r="K706" s="198"/>
      <c r="L706" s="198"/>
    </row>
    <row r="707">
      <c r="A707" s="198"/>
      <c r="B707" s="208"/>
      <c r="C707" s="198"/>
      <c r="D707" s="198"/>
      <c r="E707" s="198"/>
      <c r="F707" s="198"/>
      <c r="G707" s="198"/>
      <c r="H707" s="198"/>
      <c r="I707" s="198"/>
      <c r="J707" s="198"/>
      <c r="K707" s="198"/>
      <c r="L707" s="198"/>
    </row>
    <row r="708">
      <c r="A708" s="198"/>
      <c r="B708" s="208"/>
      <c r="C708" s="198"/>
      <c r="D708" s="198"/>
      <c r="E708" s="198"/>
      <c r="F708" s="198"/>
      <c r="G708" s="198"/>
      <c r="H708" s="198"/>
      <c r="I708" s="198"/>
      <c r="J708" s="198"/>
      <c r="K708" s="198"/>
      <c r="L708" s="198"/>
    </row>
    <row r="709">
      <c r="A709" s="198"/>
      <c r="B709" s="208"/>
      <c r="C709" s="198"/>
      <c r="D709" s="198"/>
      <c r="E709" s="198"/>
      <c r="F709" s="198"/>
      <c r="G709" s="198"/>
      <c r="H709" s="198"/>
      <c r="I709" s="198"/>
      <c r="J709" s="198"/>
      <c r="K709" s="198"/>
      <c r="L709" s="198"/>
    </row>
    <row r="710">
      <c r="A710" s="198"/>
      <c r="B710" s="208"/>
      <c r="C710" s="198"/>
      <c r="D710" s="198"/>
      <c r="E710" s="198"/>
      <c r="F710" s="198"/>
      <c r="G710" s="198"/>
      <c r="H710" s="198"/>
      <c r="I710" s="198"/>
      <c r="J710" s="198"/>
      <c r="K710" s="198"/>
      <c r="L710" s="198"/>
    </row>
    <row r="711">
      <c r="A711" s="198"/>
      <c r="B711" s="208"/>
      <c r="C711" s="198"/>
      <c r="D711" s="198"/>
      <c r="E711" s="198"/>
      <c r="F711" s="198"/>
      <c r="G711" s="198"/>
      <c r="H711" s="198"/>
      <c r="I711" s="198"/>
      <c r="J711" s="198"/>
      <c r="K711" s="198"/>
      <c r="L711" s="198"/>
    </row>
    <row r="712">
      <c r="A712" s="198"/>
      <c r="B712" s="208"/>
      <c r="C712" s="198"/>
      <c r="D712" s="198"/>
      <c r="E712" s="198"/>
      <c r="F712" s="198"/>
      <c r="G712" s="198"/>
      <c r="H712" s="198"/>
      <c r="I712" s="198"/>
      <c r="J712" s="198"/>
      <c r="K712" s="198"/>
      <c r="L712" s="198"/>
    </row>
    <row r="713">
      <c r="A713" s="198"/>
      <c r="B713" s="208"/>
      <c r="C713" s="198"/>
      <c r="D713" s="198"/>
      <c r="E713" s="198"/>
      <c r="F713" s="198"/>
      <c r="G713" s="198"/>
      <c r="H713" s="198"/>
      <c r="I713" s="198"/>
      <c r="J713" s="198"/>
      <c r="K713" s="198"/>
      <c r="L713" s="198"/>
    </row>
    <row r="714">
      <c r="A714" s="198"/>
      <c r="B714" s="208"/>
      <c r="C714" s="198"/>
      <c r="D714" s="198"/>
      <c r="E714" s="198"/>
      <c r="F714" s="198"/>
      <c r="G714" s="198"/>
      <c r="H714" s="198"/>
      <c r="I714" s="198"/>
      <c r="J714" s="198"/>
      <c r="K714" s="198"/>
      <c r="L714" s="198"/>
    </row>
    <row r="715">
      <c r="A715" s="198"/>
      <c r="B715" s="208"/>
      <c r="C715" s="198"/>
      <c r="D715" s="198"/>
      <c r="E715" s="198"/>
      <c r="F715" s="198"/>
      <c r="G715" s="198"/>
      <c r="H715" s="198"/>
      <c r="I715" s="198"/>
      <c r="J715" s="198"/>
      <c r="K715" s="198"/>
      <c r="L715" s="198"/>
    </row>
    <row r="716">
      <c r="A716" s="198"/>
      <c r="B716" s="208"/>
      <c r="C716" s="198"/>
      <c r="D716" s="198"/>
      <c r="E716" s="198"/>
      <c r="F716" s="198"/>
      <c r="G716" s="198"/>
      <c r="H716" s="198"/>
      <c r="I716" s="198"/>
      <c r="J716" s="198"/>
      <c r="K716" s="198"/>
      <c r="L716" s="198"/>
    </row>
    <row r="717">
      <c r="A717" s="198"/>
      <c r="B717" s="208"/>
      <c r="C717" s="198"/>
      <c r="D717" s="198"/>
      <c r="E717" s="198"/>
      <c r="F717" s="198"/>
      <c r="G717" s="198"/>
      <c r="H717" s="198"/>
      <c r="I717" s="198"/>
      <c r="J717" s="198"/>
      <c r="K717" s="198"/>
      <c r="L717" s="198"/>
    </row>
    <row r="718">
      <c r="A718" s="198"/>
      <c r="B718" s="208"/>
      <c r="C718" s="198"/>
      <c r="D718" s="198"/>
      <c r="E718" s="198"/>
      <c r="F718" s="198"/>
      <c r="G718" s="198"/>
      <c r="H718" s="198"/>
      <c r="I718" s="198"/>
      <c r="J718" s="198"/>
      <c r="K718" s="198"/>
      <c r="L718" s="198"/>
    </row>
    <row r="719">
      <c r="A719" s="198"/>
      <c r="B719" s="208"/>
      <c r="C719" s="198"/>
      <c r="D719" s="198"/>
      <c r="E719" s="198"/>
      <c r="F719" s="198"/>
      <c r="G719" s="198"/>
      <c r="H719" s="198"/>
      <c r="I719" s="198"/>
      <c r="J719" s="198"/>
      <c r="K719" s="198"/>
      <c r="L719" s="198"/>
    </row>
    <row r="720">
      <c r="A720" s="198"/>
      <c r="B720" s="208"/>
      <c r="C720" s="198"/>
      <c r="D720" s="198"/>
      <c r="E720" s="198"/>
      <c r="F720" s="198"/>
      <c r="G720" s="198"/>
      <c r="H720" s="198"/>
      <c r="I720" s="198"/>
      <c r="J720" s="198"/>
      <c r="K720" s="198"/>
      <c r="L720" s="198"/>
    </row>
    <row r="721">
      <c r="A721" s="198"/>
      <c r="B721" s="208"/>
      <c r="C721" s="198"/>
      <c r="D721" s="198"/>
      <c r="E721" s="198"/>
      <c r="F721" s="198"/>
      <c r="G721" s="198"/>
      <c r="H721" s="198"/>
      <c r="I721" s="198"/>
      <c r="J721" s="198"/>
      <c r="K721" s="198"/>
      <c r="L721" s="198"/>
    </row>
    <row r="722">
      <c r="A722" s="198"/>
      <c r="B722" s="208"/>
      <c r="C722" s="198"/>
      <c r="D722" s="198"/>
      <c r="E722" s="198"/>
      <c r="F722" s="198"/>
      <c r="G722" s="198"/>
      <c r="H722" s="198"/>
      <c r="I722" s="198"/>
      <c r="J722" s="198"/>
      <c r="K722" s="198"/>
      <c r="L722" s="198"/>
    </row>
    <row r="723">
      <c r="A723" s="198"/>
      <c r="B723" s="208"/>
      <c r="C723" s="198"/>
      <c r="D723" s="198"/>
      <c r="E723" s="198"/>
      <c r="F723" s="198"/>
      <c r="G723" s="198"/>
      <c r="H723" s="198"/>
      <c r="I723" s="198"/>
      <c r="J723" s="198"/>
      <c r="K723" s="198"/>
      <c r="L723" s="198"/>
    </row>
    <row r="724">
      <c r="A724" s="198"/>
      <c r="B724" s="208"/>
      <c r="C724" s="198"/>
      <c r="D724" s="198"/>
      <c r="E724" s="198"/>
      <c r="F724" s="198"/>
      <c r="G724" s="198"/>
      <c r="H724" s="198"/>
      <c r="I724" s="198"/>
      <c r="J724" s="198"/>
      <c r="K724" s="198"/>
      <c r="L724" s="198"/>
    </row>
    <row r="725">
      <c r="A725" s="198"/>
      <c r="B725" s="208"/>
      <c r="C725" s="198"/>
      <c r="D725" s="198"/>
      <c r="E725" s="198"/>
      <c r="F725" s="198"/>
      <c r="G725" s="198"/>
      <c r="H725" s="198"/>
      <c r="I725" s="198"/>
      <c r="J725" s="198"/>
      <c r="K725" s="198"/>
      <c r="L725" s="198"/>
    </row>
    <row r="726">
      <c r="A726" s="198"/>
      <c r="B726" s="208"/>
      <c r="C726" s="198"/>
      <c r="D726" s="198"/>
      <c r="E726" s="198"/>
      <c r="F726" s="198"/>
      <c r="G726" s="198"/>
      <c r="H726" s="198"/>
      <c r="I726" s="198"/>
      <c r="J726" s="198"/>
      <c r="K726" s="198"/>
      <c r="L726" s="198"/>
    </row>
    <row r="727">
      <c r="A727" s="198"/>
      <c r="B727" s="208"/>
      <c r="C727" s="198"/>
      <c r="D727" s="198"/>
      <c r="E727" s="198"/>
      <c r="F727" s="198"/>
      <c r="G727" s="198"/>
      <c r="H727" s="198"/>
      <c r="I727" s="198"/>
      <c r="J727" s="198"/>
      <c r="K727" s="198"/>
      <c r="L727" s="198"/>
    </row>
    <row r="728">
      <c r="A728" s="198"/>
      <c r="B728" s="208"/>
      <c r="C728" s="198"/>
      <c r="D728" s="198"/>
      <c r="E728" s="198"/>
      <c r="F728" s="198"/>
      <c r="G728" s="198"/>
      <c r="H728" s="198"/>
      <c r="I728" s="198"/>
      <c r="J728" s="198"/>
      <c r="K728" s="198"/>
      <c r="L728" s="198"/>
    </row>
    <row r="729">
      <c r="A729" s="198"/>
      <c r="B729" s="208"/>
      <c r="C729" s="198"/>
      <c r="D729" s="198"/>
      <c r="E729" s="198"/>
      <c r="F729" s="198"/>
      <c r="G729" s="198"/>
      <c r="H729" s="198"/>
      <c r="I729" s="198"/>
      <c r="J729" s="198"/>
      <c r="K729" s="198"/>
      <c r="L729" s="198"/>
    </row>
    <row r="730">
      <c r="A730" s="198"/>
      <c r="B730" s="208"/>
      <c r="C730" s="198"/>
      <c r="D730" s="198"/>
      <c r="E730" s="198"/>
      <c r="F730" s="198"/>
      <c r="G730" s="198"/>
      <c r="H730" s="198"/>
      <c r="I730" s="198"/>
      <c r="J730" s="198"/>
      <c r="K730" s="198"/>
      <c r="L730" s="198"/>
    </row>
    <row r="731">
      <c r="A731" s="198"/>
      <c r="B731" s="208"/>
      <c r="C731" s="198"/>
      <c r="D731" s="198"/>
      <c r="E731" s="198"/>
      <c r="F731" s="198"/>
      <c r="G731" s="198"/>
      <c r="H731" s="198"/>
      <c r="I731" s="198"/>
      <c r="J731" s="198"/>
      <c r="K731" s="198"/>
      <c r="L731" s="198"/>
    </row>
    <row r="732">
      <c r="A732" s="198"/>
      <c r="B732" s="208"/>
      <c r="C732" s="198"/>
      <c r="D732" s="198"/>
      <c r="E732" s="198"/>
      <c r="F732" s="198"/>
      <c r="G732" s="198"/>
      <c r="H732" s="198"/>
      <c r="I732" s="198"/>
      <c r="J732" s="198"/>
      <c r="K732" s="198"/>
      <c r="L732" s="198"/>
    </row>
    <row r="733">
      <c r="A733" s="198"/>
      <c r="B733" s="208"/>
      <c r="C733" s="198"/>
      <c r="D733" s="198"/>
      <c r="E733" s="198"/>
      <c r="F733" s="198"/>
      <c r="G733" s="198"/>
      <c r="H733" s="198"/>
      <c r="I733" s="198"/>
      <c r="J733" s="198"/>
      <c r="K733" s="198"/>
      <c r="L733" s="198"/>
    </row>
    <row r="734">
      <c r="A734" s="198"/>
      <c r="B734" s="208"/>
      <c r="C734" s="198"/>
      <c r="D734" s="198"/>
      <c r="E734" s="198"/>
      <c r="F734" s="198"/>
      <c r="G734" s="198"/>
      <c r="H734" s="198"/>
      <c r="I734" s="198"/>
      <c r="J734" s="198"/>
      <c r="K734" s="198"/>
      <c r="L734" s="198"/>
    </row>
    <row r="735">
      <c r="A735" s="198"/>
      <c r="B735" s="208"/>
      <c r="C735" s="198"/>
      <c r="D735" s="198"/>
      <c r="E735" s="198"/>
      <c r="F735" s="198"/>
      <c r="G735" s="198"/>
      <c r="H735" s="198"/>
      <c r="I735" s="198"/>
      <c r="J735" s="198"/>
      <c r="K735" s="198"/>
      <c r="L735" s="198"/>
    </row>
    <row r="736">
      <c r="A736" s="198"/>
      <c r="B736" s="208"/>
      <c r="C736" s="198"/>
      <c r="D736" s="198"/>
      <c r="E736" s="198"/>
      <c r="F736" s="198"/>
      <c r="G736" s="198"/>
      <c r="H736" s="198"/>
      <c r="I736" s="198"/>
      <c r="J736" s="198"/>
      <c r="K736" s="198"/>
      <c r="L736" s="198"/>
    </row>
    <row r="737">
      <c r="A737" s="198"/>
      <c r="B737" s="208"/>
      <c r="C737" s="198"/>
      <c r="D737" s="198"/>
      <c r="E737" s="198"/>
      <c r="F737" s="198"/>
      <c r="G737" s="198"/>
      <c r="H737" s="198"/>
      <c r="I737" s="198"/>
      <c r="J737" s="198"/>
      <c r="K737" s="198"/>
      <c r="L737" s="198"/>
    </row>
    <row r="738">
      <c r="A738" s="198"/>
      <c r="B738" s="208"/>
      <c r="C738" s="198"/>
      <c r="D738" s="198"/>
      <c r="E738" s="198"/>
      <c r="F738" s="198"/>
      <c r="G738" s="198"/>
      <c r="H738" s="198"/>
      <c r="I738" s="198"/>
      <c r="J738" s="198"/>
      <c r="K738" s="198"/>
      <c r="L738" s="198"/>
    </row>
    <row r="739">
      <c r="A739" s="198"/>
      <c r="B739" s="208"/>
      <c r="C739" s="198"/>
      <c r="D739" s="198"/>
      <c r="E739" s="198"/>
      <c r="F739" s="198"/>
      <c r="G739" s="198"/>
      <c r="H739" s="198"/>
      <c r="I739" s="198"/>
      <c r="J739" s="198"/>
      <c r="K739" s="198"/>
      <c r="L739" s="198"/>
    </row>
    <row r="740">
      <c r="A740" s="198"/>
      <c r="B740" s="208"/>
      <c r="C740" s="198"/>
      <c r="D740" s="198"/>
      <c r="E740" s="198"/>
      <c r="F740" s="198"/>
      <c r="G740" s="198"/>
      <c r="H740" s="198"/>
      <c r="I740" s="198"/>
      <c r="J740" s="198"/>
      <c r="K740" s="198"/>
      <c r="L740" s="198"/>
    </row>
    <row r="741">
      <c r="A741" s="198"/>
      <c r="B741" s="208"/>
      <c r="C741" s="198"/>
      <c r="D741" s="198"/>
      <c r="E741" s="198"/>
      <c r="F741" s="198"/>
      <c r="G741" s="198"/>
      <c r="H741" s="198"/>
      <c r="I741" s="198"/>
      <c r="J741" s="198"/>
      <c r="K741" s="198"/>
      <c r="L741" s="198"/>
    </row>
    <row r="742">
      <c r="A742" s="198"/>
      <c r="B742" s="208"/>
      <c r="C742" s="198"/>
      <c r="D742" s="198"/>
      <c r="E742" s="198"/>
      <c r="F742" s="198"/>
      <c r="G742" s="198"/>
      <c r="H742" s="198"/>
      <c r="I742" s="198"/>
      <c r="J742" s="198"/>
      <c r="K742" s="198"/>
      <c r="L742" s="198"/>
    </row>
    <row r="743">
      <c r="A743" s="198"/>
      <c r="B743" s="208"/>
      <c r="C743" s="198"/>
      <c r="D743" s="198"/>
      <c r="E743" s="198"/>
      <c r="F743" s="198"/>
      <c r="G743" s="198"/>
      <c r="H743" s="198"/>
      <c r="I743" s="198"/>
      <c r="J743" s="198"/>
      <c r="K743" s="198"/>
      <c r="L743" s="198"/>
    </row>
    <row r="744">
      <c r="A744" s="198"/>
      <c r="B744" s="208"/>
      <c r="C744" s="198"/>
      <c r="D744" s="198"/>
      <c r="E744" s="198"/>
      <c r="F744" s="198"/>
      <c r="G744" s="198"/>
      <c r="H744" s="198"/>
      <c r="I744" s="198"/>
      <c r="J744" s="198"/>
      <c r="K744" s="198"/>
      <c r="L744" s="198"/>
    </row>
    <row r="745">
      <c r="A745" s="198"/>
      <c r="B745" s="208"/>
      <c r="C745" s="198"/>
      <c r="D745" s="198"/>
      <c r="E745" s="198"/>
      <c r="F745" s="198"/>
      <c r="G745" s="198"/>
      <c r="H745" s="198"/>
      <c r="I745" s="198"/>
      <c r="J745" s="198"/>
      <c r="K745" s="198"/>
      <c r="L745" s="198"/>
    </row>
    <row r="746">
      <c r="A746" s="198"/>
      <c r="B746" s="208"/>
      <c r="C746" s="198"/>
      <c r="D746" s="198"/>
      <c r="E746" s="198"/>
      <c r="F746" s="198"/>
      <c r="G746" s="198"/>
      <c r="H746" s="198"/>
      <c r="I746" s="198"/>
      <c r="J746" s="198"/>
      <c r="K746" s="198"/>
      <c r="L746" s="198"/>
    </row>
    <row r="747">
      <c r="A747" s="198"/>
      <c r="B747" s="208"/>
      <c r="C747" s="198"/>
      <c r="D747" s="198"/>
      <c r="E747" s="198"/>
      <c r="F747" s="198"/>
      <c r="G747" s="198"/>
      <c r="H747" s="198"/>
      <c r="I747" s="198"/>
      <c r="J747" s="198"/>
      <c r="K747" s="198"/>
      <c r="L747" s="198"/>
    </row>
    <row r="748">
      <c r="A748" s="198"/>
      <c r="B748" s="208"/>
      <c r="C748" s="198"/>
      <c r="D748" s="198"/>
      <c r="E748" s="198"/>
      <c r="F748" s="198"/>
      <c r="G748" s="198"/>
      <c r="H748" s="198"/>
      <c r="I748" s="198"/>
      <c r="J748" s="198"/>
      <c r="K748" s="198"/>
      <c r="L748" s="198"/>
    </row>
    <row r="749">
      <c r="A749" s="198"/>
      <c r="B749" s="208"/>
      <c r="C749" s="198"/>
      <c r="D749" s="198"/>
      <c r="E749" s="198"/>
      <c r="F749" s="198"/>
      <c r="G749" s="198"/>
      <c r="H749" s="198"/>
      <c r="I749" s="198"/>
      <c r="J749" s="198"/>
      <c r="K749" s="198"/>
      <c r="L749" s="198"/>
    </row>
    <row r="750">
      <c r="A750" s="198"/>
      <c r="B750" s="208"/>
      <c r="C750" s="198"/>
      <c r="D750" s="198"/>
      <c r="E750" s="198"/>
      <c r="F750" s="198"/>
      <c r="G750" s="198"/>
      <c r="H750" s="198"/>
      <c r="I750" s="198"/>
      <c r="J750" s="198"/>
      <c r="K750" s="198"/>
      <c r="L750" s="198"/>
    </row>
    <row r="751">
      <c r="A751" s="198"/>
      <c r="B751" s="208"/>
      <c r="C751" s="198"/>
      <c r="D751" s="198"/>
      <c r="E751" s="198"/>
      <c r="F751" s="198"/>
      <c r="G751" s="198"/>
      <c r="H751" s="198"/>
      <c r="I751" s="198"/>
      <c r="J751" s="198"/>
      <c r="K751" s="198"/>
      <c r="L751" s="198"/>
    </row>
    <row r="752">
      <c r="A752" s="198"/>
      <c r="B752" s="208"/>
      <c r="C752" s="198"/>
      <c r="D752" s="198"/>
      <c r="E752" s="198"/>
      <c r="F752" s="198"/>
      <c r="G752" s="198"/>
      <c r="H752" s="198"/>
      <c r="I752" s="198"/>
      <c r="J752" s="198"/>
      <c r="K752" s="198"/>
      <c r="L752" s="198"/>
    </row>
    <row r="753">
      <c r="A753" s="198"/>
      <c r="B753" s="208"/>
      <c r="C753" s="198"/>
      <c r="D753" s="198"/>
      <c r="E753" s="198"/>
      <c r="F753" s="198"/>
      <c r="G753" s="198"/>
      <c r="H753" s="198"/>
      <c r="I753" s="198"/>
      <c r="J753" s="198"/>
      <c r="K753" s="198"/>
      <c r="L753" s="198"/>
    </row>
    <row r="754">
      <c r="A754" s="198"/>
      <c r="B754" s="208"/>
      <c r="C754" s="198"/>
      <c r="D754" s="198"/>
      <c r="E754" s="198"/>
      <c r="F754" s="198"/>
      <c r="G754" s="198"/>
      <c r="H754" s="198"/>
      <c r="I754" s="198"/>
      <c r="J754" s="198"/>
      <c r="K754" s="198"/>
      <c r="L754" s="198"/>
    </row>
    <row r="755">
      <c r="A755" s="198"/>
      <c r="B755" s="208"/>
      <c r="C755" s="198"/>
      <c r="D755" s="198"/>
      <c r="E755" s="198"/>
      <c r="F755" s="198"/>
      <c r="G755" s="198"/>
      <c r="H755" s="198"/>
      <c r="I755" s="198"/>
      <c r="J755" s="198"/>
      <c r="K755" s="198"/>
      <c r="L755" s="198"/>
    </row>
    <row r="756">
      <c r="A756" s="198"/>
      <c r="B756" s="208"/>
      <c r="C756" s="198"/>
      <c r="D756" s="198"/>
      <c r="E756" s="198"/>
      <c r="F756" s="198"/>
      <c r="G756" s="198"/>
      <c r="H756" s="198"/>
      <c r="I756" s="198"/>
      <c r="J756" s="198"/>
      <c r="K756" s="198"/>
      <c r="L756" s="198"/>
    </row>
    <row r="757">
      <c r="A757" s="198"/>
      <c r="B757" s="208"/>
      <c r="C757" s="198"/>
      <c r="D757" s="198"/>
      <c r="E757" s="198"/>
      <c r="F757" s="198"/>
      <c r="G757" s="198"/>
      <c r="H757" s="198"/>
      <c r="I757" s="198"/>
      <c r="J757" s="198"/>
      <c r="K757" s="198"/>
      <c r="L757" s="198"/>
    </row>
    <row r="758">
      <c r="A758" s="198"/>
      <c r="B758" s="208"/>
      <c r="C758" s="198"/>
      <c r="D758" s="198"/>
      <c r="E758" s="198"/>
      <c r="F758" s="198"/>
      <c r="G758" s="198"/>
      <c r="H758" s="198"/>
      <c r="I758" s="198"/>
      <c r="J758" s="198"/>
      <c r="K758" s="198"/>
      <c r="L758" s="198"/>
    </row>
    <row r="759">
      <c r="A759" s="198"/>
      <c r="B759" s="208"/>
      <c r="C759" s="198"/>
      <c r="D759" s="198"/>
      <c r="E759" s="198"/>
      <c r="F759" s="198"/>
      <c r="G759" s="198"/>
      <c r="H759" s="198"/>
      <c r="I759" s="198"/>
      <c r="J759" s="198"/>
      <c r="K759" s="198"/>
      <c r="L759" s="198"/>
    </row>
    <row r="760">
      <c r="A760" s="198"/>
      <c r="B760" s="208"/>
      <c r="C760" s="198"/>
      <c r="D760" s="198"/>
      <c r="E760" s="198"/>
      <c r="F760" s="198"/>
      <c r="G760" s="198"/>
      <c r="H760" s="198"/>
      <c r="I760" s="198"/>
      <c r="J760" s="198"/>
      <c r="K760" s="198"/>
      <c r="L760" s="198"/>
    </row>
    <row r="761">
      <c r="A761" s="198"/>
      <c r="B761" s="208"/>
      <c r="C761" s="198"/>
      <c r="D761" s="198"/>
      <c r="E761" s="198"/>
      <c r="F761" s="198"/>
      <c r="G761" s="198"/>
      <c r="H761" s="198"/>
      <c r="I761" s="198"/>
      <c r="J761" s="198"/>
      <c r="K761" s="198"/>
      <c r="L761" s="198"/>
    </row>
    <row r="762">
      <c r="A762" s="198"/>
      <c r="B762" s="208"/>
      <c r="C762" s="198"/>
      <c r="D762" s="198"/>
      <c r="E762" s="198"/>
      <c r="F762" s="198"/>
      <c r="G762" s="198"/>
      <c r="H762" s="198"/>
      <c r="I762" s="198"/>
      <c r="J762" s="198"/>
      <c r="K762" s="198"/>
      <c r="L762" s="198"/>
    </row>
    <row r="763">
      <c r="A763" s="198"/>
      <c r="B763" s="208"/>
      <c r="C763" s="198"/>
      <c r="D763" s="198"/>
      <c r="E763" s="198"/>
      <c r="F763" s="198"/>
      <c r="G763" s="198"/>
      <c r="H763" s="198"/>
      <c r="I763" s="198"/>
      <c r="J763" s="198"/>
      <c r="K763" s="198"/>
      <c r="L763" s="198"/>
    </row>
    <row r="764">
      <c r="A764" s="198"/>
      <c r="B764" s="208"/>
      <c r="C764" s="198"/>
      <c r="D764" s="198"/>
      <c r="E764" s="198"/>
      <c r="F764" s="198"/>
      <c r="G764" s="198"/>
      <c r="H764" s="198"/>
      <c r="I764" s="198"/>
      <c r="J764" s="198"/>
      <c r="K764" s="198"/>
      <c r="L764" s="198"/>
    </row>
    <row r="765">
      <c r="A765" s="198"/>
      <c r="B765" s="208"/>
      <c r="C765" s="198"/>
      <c r="D765" s="198"/>
      <c r="E765" s="198"/>
      <c r="F765" s="198"/>
      <c r="G765" s="198"/>
      <c r="H765" s="198"/>
      <c r="I765" s="198"/>
      <c r="J765" s="198"/>
      <c r="K765" s="198"/>
      <c r="L765" s="198"/>
    </row>
    <row r="766">
      <c r="A766" s="198"/>
      <c r="B766" s="208"/>
      <c r="C766" s="198"/>
      <c r="D766" s="198"/>
      <c r="E766" s="198"/>
      <c r="F766" s="198"/>
      <c r="G766" s="198"/>
      <c r="H766" s="198"/>
      <c r="I766" s="198"/>
      <c r="J766" s="198"/>
      <c r="K766" s="198"/>
      <c r="L766" s="198"/>
    </row>
    <row r="767">
      <c r="A767" s="198"/>
      <c r="B767" s="208"/>
      <c r="C767" s="198"/>
      <c r="D767" s="198"/>
      <c r="E767" s="198"/>
      <c r="F767" s="198"/>
      <c r="G767" s="198"/>
      <c r="H767" s="198"/>
      <c r="I767" s="198"/>
      <c r="J767" s="198"/>
      <c r="K767" s="198"/>
      <c r="L767" s="198"/>
    </row>
    <row r="768">
      <c r="A768" s="198"/>
      <c r="B768" s="208"/>
      <c r="C768" s="198"/>
      <c r="D768" s="198"/>
      <c r="E768" s="198"/>
      <c r="F768" s="198"/>
      <c r="G768" s="198"/>
      <c r="H768" s="198"/>
      <c r="I768" s="198"/>
      <c r="J768" s="198"/>
      <c r="K768" s="198"/>
      <c r="L768" s="198"/>
    </row>
    <row r="769">
      <c r="A769" s="198"/>
      <c r="B769" s="208"/>
      <c r="C769" s="198"/>
      <c r="D769" s="198"/>
      <c r="E769" s="198"/>
      <c r="F769" s="198"/>
      <c r="G769" s="198"/>
      <c r="H769" s="198"/>
      <c r="I769" s="198"/>
      <c r="J769" s="198"/>
      <c r="K769" s="198"/>
      <c r="L769" s="198"/>
    </row>
    <row r="770">
      <c r="A770" s="198"/>
      <c r="B770" s="208"/>
      <c r="C770" s="198"/>
      <c r="D770" s="198"/>
      <c r="E770" s="198"/>
      <c r="F770" s="198"/>
      <c r="G770" s="198"/>
      <c r="H770" s="198"/>
      <c r="I770" s="198"/>
      <c r="J770" s="198"/>
      <c r="K770" s="198"/>
      <c r="L770" s="198"/>
    </row>
    <row r="771">
      <c r="A771" s="198"/>
      <c r="B771" s="208"/>
      <c r="C771" s="198"/>
      <c r="D771" s="198"/>
      <c r="E771" s="198"/>
      <c r="F771" s="198"/>
      <c r="G771" s="198"/>
      <c r="H771" s="198"/>
      <c r="I771" s="198"/>
      <c r="J771" s="198"/>
      <c r="K771" s="198"/>
      <c r="L771" s="198"/>
    </row>
    <row r="772">
      <c r="A772" s="198"/>
      <c r="B772" s="208"/>
      <c r="C772" s="198"/>
      <c r="D772" s="198"/>
      <c r="E772" s="198"/>
      <c r="F772" s="198"/>
      <c r="G772" s="198"/>
      <c r="H772" s="198"/>
      <c r="I772" s="198"/>
      <c r="J772" s="198"/>
      <c r="K772" s="198"/>
      <c r="L772" s="198"/>
    </row>
    <row r="773">
      <c r="A773" s="198"/>
      <c r="B773" s="208"/>
      <c r="C773" s="198"/>
      <c r="D773" s="198"/>
      <c r="E773" s="198"/>
      <c r="F773" s="198"/>
      <c r="G773" s="198"/>
      <c r="H773" s="198"/>
      <c r="I773" s="198"/>
      <c r="J773" s="198"/>
      <c r="K773" s="198"/>
      <c r="L773" s="198"/>
    </row>
    <row r="774">
      <c r="A774" s="198"/>
      <c r="B774" s="208"/>
      <c r="C774" s="198"/>
      <c r="D774" s="198"/>
      <c r="E774" s="198"/>
      <c r="F774" s="198"/>
      <c r="G774" s="198"/>
      <c r="H774" s="198"/>
      <c r="I774" s="198"/>
      <c r="J774" s="198"/>
      <c r="K774" s="198"/>
      <c r="L774" s="198"/>
    </row>
    <row r="775">
      <c r="A775" s="198"/>
      <c r="B775" s="208"/>
      <c r="C775" s="198"/>
      <c r="D775" s="198"/>
      <c r="E775" s="198"/>
      <c r="F775" s="198"/>
      <c r="G775" s="198"/>
      <c r="H775" s="198"/>
      <c r="I775" s="198"/>
      <c r="J775" s="198"/>
      <c r="K775" s="198"/>
      <c r="L775" s="198"/>
    </row>
    <row r="776">
      <c r="A776" s="198"/>
      <c r="B776" s="208"/>
      <c r="C776" s="198"/>
      <c r="D776" s="198"/>
      <c r="E776" s="198"/>
      <c r="F776" s="198"/>
      <c r="G776" s="198"/>
      <c r="H776" s="198"/>
      <c r="I776" s="198"/>
      <c r="J776" s="198"/>
      <c r="K776" s="198"/>
      <c r="L776" s="198"/>
    </row>
    <row r="777">
      <c r="A777" s="198"/>
      <c r="B777" s="208"/>
      <c r="C777" s="198"/>
      <c r="D777" s="198"/>
      <c r="E777" s="198"/>
      <c r="F777" s="198"/>
      <c r="G777" s="198"/>
      <c r="H777" s="198"/>
      <c r="I777" s="198"/>
      <c r="J777" s="198"/>
      <c r="K777" s="198"/>
      <c r="L777" s="198"/>
    </row>
    <row r="778">
      <c r="A778" s="198"/>
      <c r="B778" s="208"/>
      <c r="C778" s="198"/>
      <c r="D778" s="198"/>
      <c r="E778" s="198"/>
      <c r="F778" s="198"/>
      <c r="G778" s="198"/>
      <c r="H778" s="198"/>
      <c r="I778" s="198"/>
      <c r="J778" s="198"/>
      <c r="K778" s="198"/>
      <c r="L778" s="198"/>
    </row>
    <row r="779">
      <c r="A779" s="198"/>
      <c r="B779" s="208"/>
      <c r="C779" s="198"/>
      <c r="D779" s="198"/>
      <c r="E779" s="198"/>
      <c r="F779" s="198"/>
      <c r="G779" s="198"/>
      <c r="H779" s="198"/>
      <c r="I779" s="198"/>
      <c r="J779" s="198"/>
      <c r="K779" s="198"/>
      <c r="L779" s="198"/>
    </row>
    <row r="780">
      <c r="A780" s="198"/>
      <c r="B780" s="208"/>
      <c r="C780" s="198"/>
      <c r="D780" s="198"/>
      <c r="E780" s="198"/>
      <c r="F780" s="198"/>
      <c r="G780" s="198"/>
      <c r="H780" s="198"/>
      <c r="I780" s="198"/>
      <c r="J780" s="198"/>
      <c r="K780" s="198"/>
      <c r="L780" s="198"/>
    </row>
    <row r="781">
      <c r="A781" s="198"/>
      <c r="B781" s="208"/>
      <c r="C781" s="198"/>
      <c r="D781" s="198"/>
      <c r="E781" s="198"/>
      <c r="F781" s="198"/>
      <c r="G781" s="198"/>
      <c r="H781" s="198"/>
      <c r="I781" s="198"/>
      <c r="J781" s="198"/>
      <c r="K781" s="198"/>
      <c r="L781" s="198"/>
    </row>
    <row r="782">
      <c r="A782" s="198"/>
      <c r="B782" s="208"/>
      <c r="C782" s="198"/>
      <c r="D782" s="198"/>
      <c r="E782" s="198"/>
      <c r="F782" s="198"/>
      <c r="G782" s="198"/>
      <c r="H782" s="198"/>
      <c r="I782" s="198"/>
      <c r="J782" s="198"/>
      <c r="K782" s="198"/>
      <c r="L782" s="198"/>
    </row>
    <row r="783">
      <c r="A783" s="198"/>
      <c r="B783" s="208"/>
      <c r="C783" s="198"/>
      <c r="D783" s="198"/>
      <c r="E783" s="198"/>
      <c r="F783" s="198"/>
      <c r="G783" s="198"/>
      <c r="H783" s="198"/>
      <c r="I783" s="198"/>
      <c r="J783" s="198"/>
      <c r="K783" s="198"/>
      <c r="L783" s="198"/>
    </row>
    <row r="784">
      <c r="A784" s="198"/>
      <c r="B784" s="208"/>
      <c r="C784" s="198"/>
      <c r="D784" s="198"/>
      <c r="E784" s="198"/>
      <c r="F784" s="198"/>
      <c r="G784" s="198"/>
      <c r="H784" s="198"/>
      <c r="I784" s="198"/>
      <c r="J784" s="198"/>
      <c r="K784" s="198"/>
      <c r="L784" s="198"/>
    </row>
    <row r="785">
      <c r="A785" s="198"/>
      <c r="B785" s="208"/>
      <c r="C785" s="198"/>
      <c r="D785" s="198"/>
      <c r="E785" s="198"/>
      <c r="F785" s="198"/>
      <c r="G785" s="198"/>
      <c r="H785" s="198"/>
      <c r="I785" s="198"/>
      <c r="J785" s="198"/>
      <c r="K785" s="198"/>
      <c r="L785" s="198"/>
    </row>
    <row r="786">
      <c r="A786" s="198"/>
      <c r="B786" s="208"/>
      <c r="C786" s="198"/>
      <c r="D786" s="198"/>
      <c r="E786" s="198"/>
      <c r="F786" s="198"/>
      <c r="G786" s="198"/>
      <c r="H786" s="198"/>
      <c r="I786" s="198"/>
      <c r="J786" s="198"/>
      <c r="K786" s="198"/>
      <c r="L786" s="198"/>
    </row>
    <row r="787">
      <c r="A787" s="198"/>
      <c r="B787" s="208"/>
      <c r="C787" s="198"/>
      <c r="D787" s="198"/>
      <c r="E787" s="198"/>
      <c r="F787" s="198"/>
      <c r="G787" s="198"/>
      <c r="H787" s="198"/>
      <c r="I787" s="198"/>
      <c r="J787" s="198"/>
      <c r="K787" s="198"/>
      <c r="L787" s="198"/>
    </row>
    <row r="788">
      <c r="A788" s="198"/>
      <c r="B788" s="208"/>
      <c r="C788" s="198"/>
      <c r="D788" s="198"/>
      <c r="E788" s="198"/>
      <c r="F788" s="198"/>
      <c r="G788" s="198"/>
      <c r="H788" s="198"/>
      <c r="I788" s="198"/>
      <c r="J788" s="198"/>
      <c r="K788" s="198"/>
      <c r="L788" s="198"/>
    </row>
    <row r="789">
      <c r="A789" s="198"/>
      <c r="B789" s="208"/>
      <c r="C789" s="198"/>
      <c r="D789" s="198"/>
      <c r="E789" s="198"/>
      <c r="F789" s="198"/>
      <c r="G789" s="198"/>
      <c r="H789" s="198"/>
      <c r="I789" s="198"/>
      <c r="J789" s="198"/>
      <c r="K789" s="198"/>
      <c r="L789" s="198"/>
    </row>
    <row r="790">
      <c r="A790" s="198"/>
      <c r="B790" s="208"/>
      <c r="C790" s="198"/>
      <c r="D790" s="198"/>
      <c r="E790" s="198"/>
      <c r="F790" s="198"/>
      <c r="G790" s="198"/>
      <c r="H790" s="198"/>
      <c r="I790" s="198"/>
      <c r="J790" s="198"/>
      <c r="K790" s="198"/>
      <c r="L790" s="198"/>
    </row>
    <row r="791">
      <c r="A791" s="198"/>
      <c r="B791" s="208"/>
      <c r="C791" s="198"/>
      <c r="D791" s="198"/>
      <c r="E791" s="198"/>
      <c r="F791" s="198"/>
      <c r="G791" s="198"/>
      <c r="H791" s="198"/>
      <c r="I791" s="198"/>
      <c r="J791" s="198"/>
      <c r="K791" s="198"/>
      <c r="L791" s="198"/>
    </row>
    <row r="792">
      <c r="A792" s="198"/>
      <c r="B792" s="208"/>
      <c r="C792" s="198"/>
      <c r="D792" s="198"/>
      <c r="E792" s="198"/>
      <c r="F792" s="198"/>
      <c r="G792" s="198"/>
      <c r="H792" s="198"/>
      <c r="I792" s="198"/>
      <c r="J792" s="198"/>
      <c r="K792" s="198"/>
      <c r="L792" s="198"/>
    </row>
    <row r="793">
      <c r="A793" s="198"/>
      <c r="B793" s="208"/>
      <c r="C793" s="198"/>
      <c r="D793" s="198"/>
      <c r="E793" s="198"/>
      <c r="F793" s="198"/>
      <c r="G793" s="198"/>
      <c r="H793" s="198"/>
      <c r="I793" s="198"/>
      <c r="J793" s="198"/>
      <c r="K793" s="198"/>
      <c r="L793" s="198"/>
    </row>
    <row r="794">
      <c r="A794" s="198"/>
      <c r="B794" s="208"/>
      <c r="C794" s="198"/>
      <c r="D794" s="198"/>
      <c r="E794" s="198"/>
      <c r="F794" s="198"/>
      <c r="G794" s="198"/>
      <c r="H794" s="198"/>
      <c r="I794" s="198"/>
      <c r="J794" s="198"/>
      <c r="K794" s="198"/>
      <c r="L794" s="198"/>
    </row>
    <row r="795">
      <c r="A795" s="198"/>
      <c r="B795" s="208"/>
      <c r="C795" s="198"/>
      <c r="D795" s="198"/>
      <c r="E795" s="198"/>
      <c r="F795" s="198"/>
      <c r="G795" s="198"/>
      <c r="H795" s="198"/>
      <c r="I795" s="198"/>
      <c r="J795" s="198"/>
      <c r="K795" s="198"/>
      <c r="L795" s="198"/>
    </row>
    <row r="796">
      <c r="A796" s="198"/>
      <c r="B796" s="208"/>
      <c r="C796" s="198"/>
      <c r="D796" s="198"/>
      <c r="E796" s="198"/>
      <c r="F796" s="198"/>
      <c r="G796" s="198"/>
      <c r="H796" s="198"/>
      <c r="I796" s="198"/>
      <c r="J796" s="198"/>
      <c r="K796" s="198"/>
      <c r="L796" s="198"/>
    </row>
    <row r="797">
      <c r="A797" s="198"/>
      <c r="B797" s="208"/>
      <c r="C797" s="198"/>
      <c r="D797" s="198"/>
      <c r="E797" s="198"/>
      <c r="F797" s="198"/>
      <c r="G797" s="198"/>
      <c r="H797" s="198"/>
      <c r="I797" s="198"/>
      <c r="J797" s="198"/>
      <c r="K797" s="198"/>
      <c r="L797" s="198"/>
    </row>
    <row r="798">
      <c r="A798" s="198"/>
      <c r="B798" s="208"/>
      <c r="C798" s="198"/>
      <c r="D798" s="198"/>
      <c r="E798" s="198"/>
      <c r="F798" s="198"/>
      <c r="G798" s="198"/>
      <c r="H798" s="198"/>
      <c r="I798" s="198"/>
      <c r="J798" s="198"/>
      <c r="K798" s="198"/>
      <c r="L798" s="198"/>
    </row>
    <row r="799">
      <c r="A799" s="198"/>
      <c r="B799" s="208"/>
      <c r="C799" s="198"/>
      <c r="D799" s="198"/>
      <c r="E799" s="198"/>
      <c r="F799" s="198"/>
      <c r="G799" s="198"/>
      <c r="H799" s="198"/>
      <c r="I799" s="198"/>
      <c r="J799" s="198"/>
      <c r="K799" s="198"/>
      <c r="L799" s="198"/>
    </row>
    <row r="800">
      <c r="A800" s="198"/>
      <c r="B800" s="208"/>
      <c r="C800" s="198"/>
      <c r="D800" s="198"/>
      <c r="E800" s="198"/>
      <c r="F800" s="198"/>
      <c r="G800" s="198"/>
      <c r="H800" s="198"/>
      <c r="I800" s="198"/>
      <c r="J800" s="198"/>
      <c r="K800" s="198"/>
      <c r="L800" s="198"/>
    </row>
    <row r="801">
      <c r="A801" s="198"/>
      <c r="B801" s="208"/>
      <c r="C801" s="198"/>
      <c r="D801" s="198"/>
      <c r="E801" s="198"/>
      <c r="F801" s="198"/>
      <c r="G801" s="198"/>
      <c r="H801" s="198"/>
      <c r="I801" s="198"/>
      <c r="J801" s="198"/>
      <c r="K801" s="198"/>
      <c r="L801" s="198"/>
    </row>
    <row r="802">
      <c r="A802" s="198"/>
      <c r="B802" s="208"/>
      <c r="C802" s="198"/>
      <c r="D802" s="198"/>
      <c r="E802" s="198"/>
      <c r="F802" s="198"/>
      <c r="G802" s="198"/>
      <c r="H802" s="198"/>
      <c r="I802" s="198"/>
      <c r="J802" s="198"/>
      <c r="K802" s="198"/>
      <c r="L802" s="198"/>
    </row>
    <row r="803">
      <c r="A803" s="198"/>
      <c r="B803" s="208"/>
      <c r="C803" s="198"/>
      <c r="D803" s="198"/>
      <c r="E803" s="198"/>
      <c r="F803" s="198"/>
      <c r="G803" s="198"/>
      <c r="H803" s="198"/>
      <c r="I803" s="198"/>
      <c r="J803" s="198"/>
      <c r="K803" s="198"/>
      <c r="L803" s="198"/>
    </row>
    <row r="804">
      <c r="A804" s="198"/>
      <c r="B804" s="208"/>
      <c r="C804" s="198"/>
      <c r="D804" s="198"/>
      <c r="E804" s="198"/>
      <c r="F804" s="198"/>
      <c r="G804" s="198"/>
      <c r="H804" s="198"/>
      <c r="I804" s="198"/>
      <c r="J804" s="198"/>
      <c r="K804" s="198"/>
      <c r="L804" s="198"/>
    </row>
    <row r="805">
      <c r="A805" s="198"/>
      <c r="B805" s="208"/>
      <c r="C805" s="198"/>
      <c r="D805" s="198"/>
      <c r="E805" s="198"/>
      <c r="F805" s="198"/>
      <c r="G805" s="198"/>
      <c r="H805" s="198"/>
      <c r="I805" s="198"/>
      <c r="J805" s="198"/>
      <c r="K805" s="198"/>
      <c r="L805" s="198"/>
    </row>
    <row r="806">
      <c r="A806" s="198"/>
      <c r="B806" s="208"/>
      <c r="C806" s="198"/>
      <c r="D806" s="198"/>
      <c r="E806" s="198"/>
      <c r="F806" s="198"/>
      <c r="G806" s="198"/>
      <c r="H806" s="198"/>
      <c r="I806" s="198"/>
      <c r="J806" s="198"/>
      <c r="K806" s="198"/>
      <c r="L806" s="198"/>
    </row>
    <row r="807">
      <c r="A807" s="198"/>
      <c r="B807" s="208"/>
      <c r="C807" s="198"/>
      <c r="D807" s="198"/>
      <c r="E807" s="198"/>
      <c r="F807" s="198"/>
      <c r="G807" s="198"/>
      <c r="H807" s="198"/>
      <c r="I807" s="198"/>
      <c r="J807" s="198"/>
      <c r="K807" s="198"/>
      <c r="L807" s="198"/>
    </row>
    <row r="808">
      <c r="A808" s="198"/>
      <c r="B808" s="208"/>
      <c r="C808" s="198"/>
      <c r="D808" s="198"/>
      <c r="E808" s="198"/>
      <c r="F808" s="198"/>
      <c r="G808" s="198"/>
      <c r="H808" s="198"/>
      <c r="I808" s="198"/>
      <c r="J808" s="198"/>
      <c r="K808" s="198"/>
      <c r="L808" s="198"/>
    </row>
    <row r="809">
      <c r="A809" s="198"/>
      <c r="B809" s="208"/>
      <c r="C809" s="198"/>
      <c r="D809" s="198"/>
      <c r="E809" s="198"/>
      <c r="F809" s="198"/>
      <c r="G809" s="198"/>
      <c r="H809" s="198"/>
      <c r="I809" s="198"/>
      <c r="J809" s="198"/>
      <c r="K809" s="198"/>
      <c r="L809" s="198"/>
    </row>
    <row r="810">
      <c r="A810" s="198"/>
      <c r="B810" s="208"/>
      <c r="C810" s="198"/>
      <c r="D810" s="198"/>
      <c r="E810" s="198"/>
      <c r="F810" s="198"/>
      <c r="G810" s="198"/>
      <c r="H810" s="198"/>
      <c r="I810" s="198"/>
      <c r="J810" s="198"/>
      <c r="K810" s="198"/>
      <c r="L810" s="198"/>
    </row>
    <row r="811">
      <c r="A811" s="198"/>
      <c r="B811" s="208"/>
      <c r="C811" s="198"/>
      <c r="D811" s="198"/>
      <c r="E811" s="198"/>
      <c r="F811" s="198"/>
      <c r="G811" s="198"/>
      <c r="H811" s="198"/>
      <c r="I811" s="198"/>
      <c r="J811" s="198"/>
      <c r="K811" s="198"/>
      <c r="L811" s="198"/>
    </row>
    <row r="812">
      <c r="A812" s="198"/>
      <c r="B812" s="208"/>
      <c r="C812" s="198"/>
      <c r="D812" s="198"/>
      <c r="E812" s="198"/>
      <c r="F812" s="198"/>
      <c r="G812" s="198"/>
      <c r="H812" s="198"/>
      <c r="I812" s="198"/>
      <c r="J812" s="198"/>
      <c r="K812" s="198"/>
      <c r="L812" s="198"/>
    </row>
    <row r="813">
      <c r="A813" s="198"/>
      <c r="B813" s="208"/>
      <c r="C813" s="198"/>
      <c r="D813" s="198"/>
      <c r="E813" s="198"/>
      <c r="F813" s="198"/>
      <c r="G813" s="198"/>
      <c r="H813" s="198"/>
      <c r="I813" s="198"/>
      <c r="J813" s="198"/>
      <c r="K813" s="198"/>
      <c r="L813" s="198"/>
    </row>
    <row r="814">
      <c r="A814" s="198"/>
      <c r="B814" s="208"/>
      <c r="C814" s="198"/>
      <c r="D814" s="198"/>
      <c r="E814" s="198"/>
      <c r="F814" s="198"/>
      <c r="G814" s="198"/>
      <c r="H814" s="198"/>
      <c r="I814" s="198"/>
      <c r="J814" s="198"/>
      <c r="K814" s="198"/>
      <c r="L814" s="198"/>
    </row>
    <row r="815">
      <c r="A815" s="198"/>
      <c r="B815" s="208"/>
      <c r="C815" s="198"/>
      <c r="D815" s="198"/>
      <c r="E815" s="198"/>
      <c r="F815" s="198"/>
      <c r="G815" s="198"/>
      <c r="H815" s="198"/>
      <c r="I815" s="198"/>
      <c r="J815" s="198"/>
      <c r="K815" s="198"/>
      <c r="L815" s="198"/>
    </row>
    <row r="816">
      <c r="A816" s="198"/>
      <c r="B816" s="208"/>
      <c r="C816" s="198"/>
      <c r="D816" s="198"/>
      <c r="E816" s="198"/>
      <c r="F816" s="198"/>
      <c r="G816" s="198"/>
      <c r="H816" s="198"/>
      <c r="I816" s="198"/>
      <c r="J816" s="198"/>
      <c r="K816" s="198"/>
      <c r="L816" s="198"/>
    </row>
    <row r="817">
      <c r="A817" s="198"/>
      <c r="B817" s="208"/>
      <c r="C817" s="198"/>
      <c r="D817" s="198"/>
      <c r="E817" s="198"/>
      <c r="F817" s="198"/>
      <c r="G817" s="198"/>
      <c r="H817" s="198"/>
      <c r="I817" s="198"/>
      <c r="J817" s="198"/>
      <c r="K817" s="198"/>
      <c r="L817" s="198"/>
    </row>
    <row r="818">
      <c r="A818" s="198"/>
      <c r="B818" s="208"/>
      <c r="C818" s="198"/>
      <c r="D818" s="198"/>
      <c r="E818" s="198"/>
      <c r="F818" s="198"/>
      <c r="G818" s="198"/>
      <c r="H818" s="198"/>
      <c r="I818" s="198"/>
      <c r="J818" s="198"/>
      <c r="K818" s="198"/>
      <c r="L818" s="198"/>
    </row>
    <row r="819">
      <c r="A819" s="198"/>
      <c r="B819" s="208"/>
      <c r="C819" s="198"/>
      <c r="D819" s="198"/>
      <c r="E819" s="198"/>
      <c r="F819" s="198"/>
      <c r="G819" s="198"/>
      <c r="H819" s="198"/>
      <c r="I819" s="198"/>
      <c r="J819" s="198"/>
      <c r="K819" s="198"/>
      <c r="L819" s="198"/>
    </row>
    <row r="820">
      <c r="A820" s="198"/>
      <c r="B820" s="208"/>
      <c r="C820" s="198"/>
      <c r="D820" s="198"/>
      <c r="E820" s="198"/>
      <c r="F820" s="198"/>
      <c r="G820" s="198"/>
      <c r="H820" s="198"/>
      <c r="I820" s="198"/>
      <c r="J820" s="198"/>
      <c r="K820" s="198"/>
      <c r="L820" s="198"/>
    </row>
    <row r="821">
      <c r="A821" s="198"/>
      <c r="B821" s="208"/>
      <c r="C821" s="198"/>
      <c r="D821" s="198"/>
      <c r="E821" s="198"/>
      <c r="F821" s="198"/>
      <c r="G821" s="198"/>
      <c r="H821" s="198"/>
      <c r="I821" s="198"/>
      <c r="J821" s="198"/>
      <c r="K821" s="198"/>
      <c r="L821" s="198"/>
    </row>
    <row r="822">
      <c r="A822" s="198"/>
      <c r="B822" s="208"/>
      <c r="C822" s="198"/>
      <c r="D822" s="198"/>
      <c r="E822" s="198"/>
      <c r="F822" s="198"/>
      <c r="G822" s="198"/>
      <c r="H822" s="198"/>
      <c r="I822" s="198"/>
      <c r="J822" s="198"/>
      <c r="K822" s="198"/>
      <c r="L822" s="198"/>
    </row>
    <row r="823">
      <c r="A823" s="198"/>
      <c r="B823" s="208"/>
      <c r="C823" s="198"/>
      <c r="D823" s="198"/>
      <c r="E823" s="198"/>
      <c r="F823" s="198"/>
      <c r="G823" s="198"/>
      <c r="H823" s="198"/>
      <c r="I823" s="198"/>
      <c r="J823" s="198"/>
      <c r="K823" s="198"/>
      <c r="L823" s="198"/>
    </row>
    <row r="824">
      <c r="A824" s="198"/>
      <c r="B824" s="208"/>
      <c r="C824" s="198"/>
      <c r="D824" s="198"/>
      <c r="E824" s="198"/>
      <c r="F824" s="198"/>
      <c r="G824" s="198"/>
      <c r="H824" s="198"/>
      <c r="I824" s="198"/>
      <c r="J824" s="198"/>
      <c r="K824" s="198"/>
      <c r="L824" s="198"/>
    </row>
    <row r="825">
      <c r="A825" s="198"/>
      <c r="B825" s="208"/>
      <c r="C825" s="198"/>
      <c r="D825" s="198"/>
      <c r="E825" s="198"/>
      <c r="F825" s="198"/>
      <c r="G825" s="198"/>
      <c r="H825" s="198"/>
      <c r="I825" s="198"/>
      <c r="J825" s="198"/>
      <c r="K825" s="198"/>
      <c r="L825" s="198"/>
    </row>
    <row r="826">
      <c r="A826" s="198"/>
      <c r="B826" s="208"/>
      <c r="C826" s="198"/>
      <c r="D826" s="198"/>
      <c r="E826" s="198"/>
      <c r="F826" s="198"/>
      <c r="G826" s="198"/>
      <c r="H826" s="198"/>
      <c r="I826" s="198"/>
      <c r="J826" s="198"/>
      <c r="K826" s="198"/>
      <c r="L826" s="198"/>
    </row>
    <row r="827">
      <c r="A827" s="198"/>
      <c r="B827" s="208"/>
      <c r="C827" s="198"/>
      <c r="D827" s="198"/>
      <c r="E827" s="198"/>
      <c r="F827" s="198"/>
      <c r="G827" s="198"/>
      <c r="H827" s="198"/>
      <c r="I827" s="198"/>
      <c r="J827" s="198"/>
      <c r="K827" s="198"/>
      <c r="L827" s="198"/>
    </row>
    <row r="828">
      <c r="A828" s="198"/>
      <c r="B828" s="208"/>
      <c r="C828" s="198"/>
      <c r="D828" s="198"/>
      <c r="E828" s="198"/>
      <c r="F828" s="198"/>
      <c r="G828" s="198"/>
      <c r="H828" s="198"/>
      <c r="I828" s="198"/>
      <c r="J828" s="198"/>
      <c r="K828" s="198"/>
      <c r="L828" s="198"/>
    </row>
    <row r="829">
      <c r="A829" s="198"/>
      <c r="B829" s="208"/>
      <c r="C829" s="198"/>
      <c r="D829" s="198"/>
      <c r="E829" s="198"/>
      <c r="F829" s="198"/>
      <c r="G829" s="198"/>
      <c r="H829" s="198"/>
      <c r="I829" s="198"/>
      <c r="J829" s="198"/>
      <c r="K829" s="198"/>
      <c r="L829" s="198"/>
    </row>
    <row r="830">
      <c r="A830" s="198"/>
      <c r="B830" s="208"/>
      <c r="C830" s="198"/>
      <c r="D830" s="198"/>
      <c r="E830" s="198"/>
      <c r="F830" s="198"/>
      <c r="G830" s="198"/>
      <c r="H830" s="198"/>
      <c r="I830" s="198"/>
      <c r="J830" s="198"/>
      <c r="K830" s="198"/>
      <c r="L830" s="198"/>
    </row>
    <row r="831">
      <c r="A831" s="198"/>
      <c r="B831" s="208"/>
      <c r="C831" s="198"/>
      <c r="D831" s="198"/>
      <c r="E831" s="198"/>
      <c r="F831" s="198"/>
      <c r="G831" s="198"/>
      <c r="H831" s="198"/>
      <c r="I831" s="198"/>
      <c r="J831" s="198"/>
      <c r="K831" s="198"/>
      <c r="L831" s="198"/>
    </row>
    <row r="832">
      <c r="A832" s="198"/>
      <c r="B832" s="208"/>
      <c r="C832" s="198"/>
      <c r="D832" s="198"/>
      <c r="E832" s="198"/>
      <c r="F832" s="198"/>
      <c r="G832" s="198"/>
      <c r="H832" s="198"/>
      <c r="I832" s="198"/>
      <c r="J832" s="198"/>
      <c r="K832" s="198"/>
      <c r="L832" s="198"/>
    </row>
    <row r="833">
      <c r="A833" s="198"/>
      <c r="B833" s="208"/>
      <c r="C833" s="198"/>
      <c r="D833" s="198"/>
      <c r="E833" s="198"/>
      <c r="F833" s="198"/>
      <c r="G833" s="198"/>
      <c r="H833" s="198"/>
      <c r="I833" s="198"/>
      <c r="J833" s="198"/>
      <c r="K833" s="198"/>
      <c r="L833" s="198"/>
    </row>
    <row r="834">
      <c r="A834" s="198"/>
      <c r="B834" s="208"/>
      <c r="C834" s="198"/>
      <c r="D834" s="198"/>
      <c r="E834" s="198"/>
      <c r="F834" s="198"/>
      <c r="G834" s="198"/>
      <c r="H834" s="198"/>
      <c r="I834" s="198"/>
      <c r="J834" s="198"/>
      <c r="K834" s="198"/>
      <c r="L834" s="198"/>
    </row>
    <row r="835">
      <c r="A835" s="198"/>
      <c r="B835" s="208"/>
      <c r="C835" s="198"/>
      <c r="D835" s="198"/>
      <c r="E835" s="198"/>
      <c r="F835" s="198"/>
      <c r="G835" s="198"/>
      <c r="H835" s="198"/>
      <c r="I835" s="198"/>
      <c r="J835" s="198"/>
      <c r="K835" s="198"/>
      <c r="L835" s="198"/>
    </row>
    <row r="836">
      <c r="A836" s="198"/>
      <c r="B836" s="208"/>
      <c r="C836" s="198"/>
      <c r="D836" s="198"/>
      <c r="E836" s="198"/>
      <c r="F836" s="198"/>
      <c r="G836" s="198"/>
      <c r="H836" s="198"/>
      <c r="I836" s="198"/>
      <c r="J836" s="198"/>
      <c r="K836" s="198"/>
      <c r="L836" s="198"/>
    </row>
    <row r="837">
      <c r="A837" s="198"/>
      <c r="B837" s="208"/>
      <c r="C837" s="198"/>
      <c r="D837" s="198"/>
      <c r="E837" s="198"/>
      <c r="F837" s="198"/>
      <c r="G837" s="198"/>
      <c r="H837" s="198"/>
      <c r="I837" s="198"/>
      <c r="J837" s="198"/>
      <c r="K837" s="198"/>
      <c r="L837" s="198"/>
    </row>
    <row r="838">
      <c r="A838" s="198"/>
      <c r="B838" s="208"/>
      <c r="C838" s="198"/>
      <c r="D838" s="198"/>
      <c r="E838" s="198"/>
      <c r="F838" s="198"/>
      <c r="G838" s="198"/>
      <c r="H838" s="198"/>
      <c r="I838" s="198"/>
      <c r="J838" s="198"/>
      <c r="K838" s="198"/>
      <c r="L838" s="198"/>
    </row>
    <row r="839">
      <c r="A839" s="198"/>
      <c r="B839" s="208"/>
      <c r="C839" s="198"/>
      <c r="D839" s="198"/>
      <c r="E839" s="198"/>
      <c r="F839" s="198"/>
      <c r="G839" s="198"/>
      <c r="H839" s="198"/>
      <c r="I839" s="198"/>
      <c r="J839" s="198"/>
      <c r="K839" s="198"/>
      <c r="L839" s="198"/>
    </row>
    <row r="840">
      <c r="A840" s="198"/>
      <c r="B840" s="208"/>
      <c r="C840" s="198"/>
      <c r="D840" s="198"/>
      <c r="E840" s="198"/>
      <c r="F840" s="198"/>
      <c r="G840" s="198"/>
      <c r="H840" s="198"/>
      <c r="I840" s="198"/>
      <c r="J840" s="198"/>
      <c r="K840" s="198"/>
      <c r="L840" s="198"/>
    </row>
    <row r="841">
      <c r="A841" s="198"/>
      <c r="B841" s="208"/>
      <c r="C841" s="198"/>
      <c r="D841" s="198"/>
      <c r="E841" s="198"/>
      <c r="F841" s="198"/>
      <c r="G841" s="198"/>
      <c r="H841" s="198"/>
      <c r="I841" s="198"/>
      <c r="J841" s="198"/>
      <c r="K841" s="198"/>
      <c r="L841" s="198"/>
    </row>
    <row r="842">
      <c r="A842" s="198"/>
      <c r="B842" s="208"/>
      <c r="C842" s="198"/>
      <c r="D842" s="198"/>
      <c r="E842" s="198"/>
      <c r="F842" s="198"/>
      <c r="G842" s="198"/>
      <c r="H842" s="198"/>
      <c r="I842" s="198"/>
      <c r="J842" s="198"/>
      <c r="K842" s="198"/>
      <c r="L842" s="198"/>
    </row>
    <row r="843">
      <c r="A843" s="198"/>
      <c r="B843" s="208"/>
      <c r="C843" s="198"/>
      <c r="D843" s="198"/>
      <c r="E843" s="198"/>
      <c r="F843" s="198"/>
      <c r="G843" s="198"/>
      <c r="H843" s="198"/>
      <c r="I843" s="198"/>
      <c r="J843" s="198"/>
      <c r="K843" s="198"/>
      <c r="L843" s="198"/>
    </row>
    <row r="844">
      <c r="A844" s="198"/>
      <c r="B844" s="208"/>
      <c r="C844" s="198"/>
      <c r="D844" s="198"/>
      <c r="E844" s="198"/>
      <c r="F844" s="198"/>
      <c r="G844" s="198"/>
      <c r="H844" s="198"/>
      <c r="I844" s="198"/>
      <c r="J844" s="198"/>
      <c r="K844" s="198"/>
      <c r="L844" s="198"/>
    </row>
    <row r="845">
      <c r="A845" s="198"/>
      <c r="B845" s="208"/>
      <c r="C845" s="198"/>
      <c r="D845" s="198"/>
      <c r="E845" s="198"/>
      <c r="F845" s="198"/>
      <c r="G845" s="198"/>
      <c r="H845" s="198"/>
      <c r="I845" s="198"/>
      <c r="J845" s="198"/>
      <c r="K845" s="198"/>
      <c r="L845" s="198"/>
    </row>
    <row r="846">
      <c r="A846" s="198"/>
      <c r="B846" s="208"/>
      <c r="C846" s="198"/>
      <c r="D846" s="198"/>
      <c r="E846" s="198"/>
      <c r="F846" s="198"/>
      <c r="G846" s="198"/>
      <c r="H846" s="198"/>
      <c r="I846" s="198"/>
      <c r="J846" s="198"/>
      <c r="K846" s="198"/>
      <c r="L846" s="198"/>
    </row>
    <row r="847">
      <c r="A847" s="198"/>
      <c r="B847" s="208"/>
      <c r="C847" s="198"/>
      <c r="D847" s="198"/>
      <c r="E847" s="198"/>
      <c r="F847" s="198"/>
      <c r="G847" s="198"/>
      <c r="H847" s="198"/>
      <c r="I847" s="198"/>
      <c r="J847" s="198"/>
      <c r="K847" s="198"/>
      <c r="L847" s="198"/>
    </row>
    <row r="848">
      <c r="A848" s="198"/>
      <c r="B848" s="208"/>
      <c r="C848" s="198"/>
      <c r="D848" s="198"/>
      <c r="E848" s="198"/>
      <c r="F848" s="198"/>
      <c r="G848" s="198"/>
      <c r="H848" s="198"/>
      <c r="I848" s="198"/>
      <c r="J848" s="198"/>
      <c r="K848" s="198"/>
      <c r="L848" s="198"/>
    </row>
    <row r="849">
      <c r="A849" s="198"/>
      <c r="B849" s="208"/>
      <c r="C849" s="198"/>
      <c r="D849" s="198"/>
      <c r="E849" s="198"/>
      <c r="F849" s="198"/>
      <c r="G849" s="198"/>
      <c r="H849" s="198"/>
      <c r="I849" s="198"/>
      <c r="J849" s="198"/>
      <c r="K849" s="198"/>
      <c r="L849" s="198"/>
    </row>
    <row r="850">
      <c r="A850" s="198"/>
      <c r="B850" s="208"/>
      <c r="C850" s="198"/>
      <c r="D850" s="198"/>
      <c r="E850" s="198"/>
      <c r="F850" s="198"/>
      <c r="G850" s="198"/>
      <c r="H850" s="198"/>
      <c r="I850" s="198"/>
      <c r="J850" s="198"/>
      <c r="K850" s="198"/>
      <c r="L850" s="198"/>
    </row>
    <row r="851">
      <c r="A851" s="198"/>
      <c r="B851" s="208"/>
      <c r="C851" s="198"/>
      <c r="D851" s="198"/>
      <c r="E851" s="198"/>
      <c r="F851" s="198"/>
      <c r="G851" s="198"/>
      <c r="H851" s="198"/>
      <c r="I851" s="198"/>
      <c r="J851" s="198"/>
      <c r="K851" s="198"/>
      <c r="L851" s="198"/>
    </row>
    <row r="852">
      <c r="A852" s="198"/>
      <c r="B852" s="208"/>
      <c r="C852" s="198"/>
      <c r="D852" s="198"/>
      <c r="E852" s="198"/>
      <c r="F852" s="198"/>
      <c r="G852" s="198"/>
      <c r="H852" s="198"/>
      <c r="I852" s="198"/>
      <c r="J852" s="198"/>
      <c r="K852" s="198"/>
      <c r="L852" s="198"/>
    </row>
    <row r="853">
      <c r="A853" s="198"/>
      <c r="B853" s="208"/>
      <c r="C853" s="198"/>
      <c r="D853" s="198"/>
      <c r="E853" s="198"/>
      <c r="F853" s="198"/>
      <c r="G853" s="198"/>
      <c r="H853" s="198"/>
      <c r="I853" s="198"/>
      <c r="J853" s="198"/>
      <c r="K853" s="198"/>
      <c r="L853" s="198"/>
    </row>
    <row r="854">
      <c r="A854" s="198"/>
      <c r="B854" s="208"/>
      <c r="C854" s="198"/>
      <c r="D854" s="198"/>
      <c r="E854" s="198"/>
      <c r="F854" s="198"/>
      <c r="G854" s="198"/>
      <c r="H854" s="198"/>
      <c r="I854" s="198"/>
      <c r="J854" s="198"/>
      <c r="K854" s="198"/>
      <c r="L854" s="198"/>
    </row>
    <row r="855">
      <c r="A855" s="198"/>
      <c r="B855" s="208"/>
      <c r="C855" s="198"/>
      <c r="D855" s="198"/>
      <c r="E855" s="198"/>
      <c r="F855" s="198"/>
      <c r="G855" s="198"/>
      <c r="H855" s="198"/>
      <c r="I855" s="198"/>
      <c r="J855" s="198"/>
      <c r="K855" s="198"/>
      <c r="L855" s="198"/>
    </row>
    <row r="856">
      <c r="A856" s="198"/>
      <c r="B856" s="208"/>
      <c r="C856" s="198"/>
      <c r="D856" s="198"/>
      <c r="E856" s="198"/>
      <c r="F856" s="198"/>
      <c r="G856" s="198"/>
      <c r="H856" s="198"/>
      <c r="I856" s="198"/>
      <c r="J856" s="198"/>
      <c r="K856" s="198"/>
      <c r="L856" s="198"/>
    </row>
    <row r="857">
      <c r="A857" s="198"/>
      <c r="B857" s="208"/>
      <c r="C857" s="198"/>
      <c r="D857" s="198"/>
      <c r="E857" s="198"/>
      <c r="F857" s="198"/>
      <c r="G857" s="198"/>
      <c r="H857" s="198"/>
      <c r="I857" s="198"/>
      <c r="J857" s="198"/>
      <c r="K857" s="198"/>
      <c r="L857" s="198"/>
    </row>
    <row r="858">
      <c r="A858" s="198"/>
      <c r="B858" s="208"/>
      <c r="C858" s="198"/>
      <c r="D858" s="198"/>
      <c r="E858" s="198"/>
      <c r="F858" s="198"/>
      <c r="G858" s="198"/>
      <c r="H858" s="198"/>
      <c r="I858" s="198"/>
      <c r="J858" s="198"/>
      <c r="K858" s="198"/>
      <c r="L858" s="198"/>
    </row>
    <row r="859">
      <c r="A859" s="198"/>
      <c r="B859" s="208"/>
      <c r="C859" s="198"/>
      <c r="D859" s="198"/>
      <c r="E859" s="198"/>
      <c r="F859" s="198"/>
      <c r="G859" s="198"/>
      <c r="H859" s="198"/>
      <c r="I859" s="198"/>
      <c r="J859" s="198"/>
      <c r="K859" s="198"/>
      <c r="L859" s="198"/>
    </row>
    <row r="860">
      <c r="A860" s="198"/>
      <c r="B860" s="208"/>
      <c r="C860" s="198"/>
      <c r="D860" s="198"/>
      <c r="E860" s="198"/>
      <c r="F860" s="198"/>
      <c r="G860" s="198"/>
      <c r="H860" s="198"/>
      <c r="I860" s="198"/>
      <c r="J860" s="198"/>
      <c r="K860" s="198"/>
      <c r="L860" s="198"/>
    </row>
    <row r="861">
      <c r="A861" s="198"/>
      <c r="B861" s="208"/>
      <c r="C861" s="198"/>
      <c r="D861" s="198"/>
      <c r="E861" s="198"/>
      <c r="F861" s="198"/>
      <c r="G861" s="198"/>
      <c r="H861" s="198"/>
      <c r="I861" s="198"/>
      <c r="J861" s="198"/>
      <c r="K861" s="198"/>
      <c r="L861" s="198"/>
    </row>
    <row r="862">
      <c r="A862" s="198"/>
      <c r="B862" s="208"/>
      <c r="C862" s="198"/>
      <c r="D862" s="198"/>
      <c r="E862" s="198"/>
      <c r="F862" s="198"/>
      <c r="G862" s="198"/>
      <c r="H862" s="198"/>
      <c r="I862" s="198"/>
      <c r="J862" s="198"/>
      <c r="K862" s="198"/>
      <c r="L862" s="198"/>
    </row>
    <row r="863">
      <c r="A863" s="198"/>
      <c r="B863" s="208"/>
      <c r="C863" s="198"/>
      <c r="D863" s="198"/>
      <c r="E863" s="198"/>
      <c r="F863" s="198"/>
      <c r="G863" s="198"/>
      <c r="H863" s="198"/>
      <c r="I863" s="198"/>
      <c r="J863" s="198"/>
      <c r="K863" s="198"/>
      <c r="L863" s="198"/>
    </row>
    <row r="864">
      <c r="A864" s="198"/>
      <c r="B864" s="208"/>
      <c r="C864" s="198"/>
      <c r="D864" s="198"/>
      <c r="E864" s="198"/>
      <c r="F864" s="198"/>
      <c r="G864" s="198"/>
      <c r="H864" s="198"/>
      <c r="I864" s="198"/>
      <c r="J864" s="198"/>
      <c r="K864" s="198"/>
      <c r="L864" s="198"/>
    </row>
    <row r="865">
      <c r="A865" s="198"/>
      <c r="B865" s="208"/>
      <c r="C865" s="198"/>
      <c r="D865" s="198"/>
      <c r="E865" s="198"/>
      <c r="F865" s="198"/>
      <c r="G865" s="198"/>
      <c r="H865" s="198"/>
      <c r="I865" s="198"/>
      <c r="J865" s="198"/>
      <c r="K865" s="198"/>
      <c r="L865" s="198"/>
    </row>
    <row r="866">
      <c r="A866" s="198"/>
      <c r="B866" s="208"/>
      <c r="C866" s="198"/>
      <c r="D866" s="198"/>
      <c r="E866" s="198"/>
      <c r="F866" s="198"/>
      <c r="G866" s="198"/>
      <c r="H866" s="198"/>
      <c r="I866" s="198"/>
      <c r="J866" s="198"/>
      <c r="K866" s="198"/>
      <c r="L866" s="198"/>
    </row>
    <row r="867">
      <c r="A867" s="198"/>
      <c r="B867" s="208"/>
      <c r="C867" s="198"/>
      <c r="D867" s="198"/>
      <c r="E867" s="198"/>
      <c r="F867" s="198"/>
      <c r="G867" s="198"/>
      <c r="H867" s="198"/>
      <c r="I867" s="198"/>
      <c r="J867" s="198"/>
      <c r="K867" s="198"/>
      <c r="L867" s="198"/>
    </row>
    <row r="868">
      <c r="A868" s="198"/>
      <c r="B868" s="208"/>
      <c r="C868" s="198"/>
      <c r="D868" s="198"/>
      <c r="E868" s="198"/>
      <c r="F868" s="198"/>
      <c r="G868" s="198"/>
      <c r="H868" s="198"/>
      <c r="I868" s="198"/>
      <c r="J868" s="198"/>
      <c r="K868" s="198"/>
      <c r="L868" s="198"/>
    </row>
    <row r="869">
      <c r="A869" s="198"/>
      <c r="B869" s="208"/>
      <c r="C869" s="198"/>
      <c r="D869" s="198"/>
      <c r="E869" s="198"/>
      <c r="F869" s="198"/>
      <c r="G869" s="198"/>
      <c r="H869" s="198"/>
      <c r="I869" s="198"/>
      <c r="J869" s="198"/>
      <c r="K869" s="198"/>
      <c r="L869" s="198"/>
    </row>
    <row r="870">
      <c r="A870" s="198"/>
      <c r="B870" s="208"/>
      <c r="C870" s="198"/>
      <c r="D870" s="198"/>
      <c r="E870" s="198"/>
      <c r="F870" s="198"/>
      <c r="G870" s="198"/>
      <c r="H870" s="198"/>
      <c r="I870" s="198"/>
      <c r="J870" s="198"/>
      <c r="K870" s="198"/>
      <c r="L870" s="198"/>
    </row>
    <row r="871">
      <c r="A871" s="198"/>
      <c r="B871" s="208"/>
      <c r="C871" s="198"/>
      <c r="D871" s="198"/>
      <c r="E871" s="198"/>
      <c r="F871" s="198"/>
      <c r="G871" s="198"/>
      <c r="H871" s="198"/>
      <c r="I871" s="198"/>
      <c r="J871" s="198"/>
      <c r="K871" s="198"/>
      <c r="L871" s="198"/>
    </row>
    <row r="872">
      <c r="A872" s="198"/>
      <c r="B872" s="208"/>
      <c r="C872" s="198"/>
      <c r="D872" s="198"/>
      <c r="E872" s="198"/>
      <c r="F872" s="198"/>
      <c r="G872" s="198"/>
      <c r="H872" s="198"/>
      <c r="I872" s="198"/>
      <c r="J872" s="198"/>
      <c r="K872" s="198"/>
      <c r="L872" s="198"/>
    </row>
    <row r="873">
      <c r="A873" s="198"/>
      <c r="B873" s="208"/>
      <c r="C873" s="198"/>
      <c r="D873" s="198"/>
      <c r="E873" s="198"/>
      <c r="F873" s="198"/>
      <c r="G873" s="198"/>
      <c r="H873" s="198"/>
      <c r="I873" s="198"/>
      <c r="J873" s="198"/>
      <c r="K873" s="198"/>
      <c r="L873" s="198"/>
    </row>
    <row r="874">
      <c r="A874" s="198"/>
      <c r="B874" s="208"/>
      <c r="C874" s="198"/>
      <c r="D874" s="198"/>
      <c r="E874" s="198"/>
      <c r="F874" s="198"/>
      <c r="G874" s="198"/>
      <c r="H874" s="198"/>
      <c r="I874" s="198"/>
      <c r="J874" s="198"/>
      <c r="K874" s="198"/>
      <c r="L874" s="198"/>
    </row>
    <row r="875">
      <c r="A875" s="198"/>
      <c r="B875" s="208"/>
      <c r="C875" s="198"/>
      <c r="D875" s="198"/>
      <c r="E875" s="198"/>
      <c r="F875" s="198"/>
      <c r="G875" s="198"/>
      <c r="H875" s="198"/>
      <c r="I875" s="198"/>
      <c r="J875" s="198"/>
      <c r="K875" s="198"/>
      <c r="L875" s="198"/>
    </row>
    <row r="876">
      <c r="A876" s="198"/>
      <c r="B876" s="208"/>
      <c r="C876" s="198"/>
      <c r="D876" s="198"/>
      <c r="E876" s="198"/>
      <c r="F876" s="198"/>
      <c r="G876" s="198"/>
      <c r="H876" s="198"/>
      <c r="I876" s="198"/>
      <c r="J876" s="198"/>
      <c r="K876" s="198"/>
      <c r="L876" s="198"/>
    </row>
    <row r="877">
      <c r="A877" s="198"/>
      <c r="B877" s="208"/>
      <c r="C877" s="198"/>
      <c r="D877" s="198"/>
      <c r="E877" s="198"/>
      <c r="F877" s="198"/>
      <c r="G877" s="198"/>
      <c r="H877" s="198"/>
      <c r="I877" s="198"/>
      <c r="J877" s="198"/>
      <c r="K877" s="198"/>
      <c r="L877" s="198"/>
    </row>
    <row r="878">
      <c r="A878" s="198"/>
      <c r="B878" s="208"/>
      <c r="C878" s="198"/>
      <c r="D878" s="198"/>
      <c r="E878" s="198"/>
      <c r="F878" s="198"/>
      <c r="G878" s="198"/>
      <c r="H878" s="198"/>
      <c r="I878" s="198"/>
      <c r="J878" s="198"/>
      <c r="K878" s="198"/>
      <c r="L878" s="198"/>
    </row>
    <row r="879">
      <c r="A879" s="198"/>
      <c r="B879" s="208"/>
      <c r="C879" s="198"/>
      <c r="D879" s="198"/>
      <c r="E879" s="198"/>
      <c r="F879" s="198"/>
      <c r="G879" s="198"/>
      <c r="H879" s="198"/>
      <c r="I879" s="198"/>
      <c r="J879" s="198"/>
      <c r="K879" s="198"/>
      <c r="L879" s="198"/>
    </row>
    <row r="880">
      <c r="A880" s="198"/>
      <c r="B880" s="208"/>
      <c r="C880" s="198"/>
      <c r="D880" s="198"/>
      <c r="E880" s="198"/>
      <c r="F880" s="198"/>
      <c r="G880" s="198"/>
      <c r="H880" s="198"/>
      <c r="I880" s="198"/>
      <c r="J880" s="198"/>
      <c r="K880" s="198"/>
      <c r="L880" s="198"/>
    </row>
    <row r="881">
      <c r="A881" s="198"/>
      <c r="B881" s="208"/>
      <c r="C881" s="198"/>
      <c r="D881" s="198"/>
      <c r="E881" s="198"/>
      <c r="F881" s="198"/>
      <c r="G881" s="198"/>
      <c r="H881" s="198"/>
      <c r="I881" s="198"/>
      <c r="J881" s="198"/>
      <c r="K881" s="198"/>
      <c r="L881" s="198"/>
    </row>
    <row r="882">
      <c r="A882" s="198"/>
      <c r="B882" s="208"/>
      <c r="C882" s="198"/>
      <c r="D882" s="198"/>
      <c r="E882" s="198"/>
      <c r="F882" s="198"/>
      <c r="G882" s="198"/>
      <c r="H882" s="198"/>
      <c r="I882" s="198"/>
      <c r="J882" s="198"/>
      <c r="K882" s="198"/>
      <c r="L882" s="198"/>
    </row>
    <row r="883">
      <c r="A883" s="198"/>
      <c r="B883" s="208"/>
      <c r="C883" s="198"/>
      <c r="D883" s="198"/>
      <c r="E883" s="198"/>
      <c r="F883" s="198"/>
      <c r="G883" s="198"/>
      <c r="H883" s="198"/>
      <c r="I883" s="198"/>
      <c r="J883" s="198"/>
      <c r="K883" s="198"/>
      <c r="L883" s="198"/>
    </row>
    <row r="884">
      <c r="A884" s="198"/>
      <c r="B884" s="208"/>
      <c r="C884" s="198"/>
      <c r="D884" s="198"/>
      <c r="E884" s="198"/>
      <c r="F884" s="198"/>
      <c r="G884" s="198"/>
      <c r="H884" s="198"/>
      <c r="I884" s="198"/>
      <c r="J884" s="198"/>
      <c r="K884" s="198"/>
      <c r="L884" s="198"/>
    </row>
    <row r="885">
      <c r="A885" s="198"/>
      <c r="B885" s="208"/>
      <c r="C885" s="198"/>
      <c r="D885" s="198"/>
      <c r="E885" s="198"/>
      <c r="F885" s="198"/>
      <c r="G885" s="198"/>
      <c r="H885" s="198"/>
      <c r="I885" s="198"/>
      <c r="J885" s="198"/>
      <c r="K885" s="198"/>
      <c r="L885" s="198"/>
    </row>
    <row r="886">
      <c r="A886" s="198"/>
      <c r="B886" s="208"/>
      <c r="C886" s="198"/>
      <c r="D886" s="198"/>
      <c r="E886" s="198"/>
      <c r="F886" s="198"/>
      <c r="G886" s="198"/>
      <c r="H886" s="198"/>
      <c r="I886" s="198"/>
      <c r="J886" s="198"/>
      <c r="K886" s="198"/>
      <c r="L886" s="198"/>
    </row>
    <row r="887">
      <c r="A887" s="198"/>
      <c r="B887" s="208"/>
      <c r="C887" s="198"/>
      <c r="D887" s="198"/>
      <c r="E887" s="198"/>
      <c r="F887" s="198"/>
      <c r="G887" s="198"/>
      <c r="H887" s="198"/>
      <c r="I887" s="198"/>
      <c r="J887" s="198"/>
      <c r="K887" s="198"/>
      <c r="L887" s="198"/>
    </row>
    <row r="888">
      <c r="A888" s="198"/>
      <c r="B888" s="208"/>
      <c r="C888" s="198"/>
      <c r="D888" s="198"/>
      <c r="E888" s="198"/>
      <c r="F888" s="198"/>
      <c r="G888" s="198"/>
      <c r="H888" s="198"/>
      <c r="I888" s="198"/>
      <c r="J888" s="198"/>
      <c r="K888" s="198"/>
      <c r="L888" s="198"/>
    </row>
    <row r="889">
      <c r="A889" s="198"/>
      <c r="B889" s="208"/>
      <c r="C889" s="198"/>
      <c r="D889" s="198"/>
      <c r="E889" s="198"/>
      <c r="F889" s="198"/>
      <c r="G889" s="198"/>
      <c r="H889" s="198"/>
      <c r="I889" s="198"/>
      <c r="J889" s="198"/>
      <c r="K889" s="198"/>
      <c r="L889" s="198"/>
    </row>
    <row r="890">
      <c r="A890" s="198"/>
      <c r="B890" s="208"/>
      <c r="C890" s="198"/>
      <c r="D890" s="198"/>
      <c r="E890" s="198"/>
      <c r="F890" s="198"/>
      <c r="G890" s="198"/>
      <c r="H890" s="198"/>
      <c r="I890" s="198"/>
      <c r="J890" s="198"/>
      <c r="K890" s="198"/>
      <c r="L890" s="198"/>
    </row>
    <row r="891">
      <c r="A891" s="198"/>
      <c r="B891" s="208"/>
      <c r="C891" s="198"/>
      <c r="D891" s="198"/>
      <c r="E891" s="198"/>
      <c r="F891" s="198"/>
      <c r="G891" s="198"/>
      <c r="H891" s="198"/>
      <c r="I891" s="198"/>
      <c r="J891" s="198"/>
      <c r="K891" s="198"/>
      <c r="L891" s="198"/>
    </row>
    <row r="892">
      <c r="A892" s="198"/>
      <c r="B892" s="208"/>
      <c r="C892" s="198"/>
      <c r="D892" s="198"/>
      <c r="E892" s="198"/>
      <c r="F892" s="198"/>
      <c r="G892" s="198"/>
      <c r="H892" s="198"/>
      <c r="I892" s="198"/>
      <c r="J892" s="198"/>
      <c r="K892" s="198"/>
      <c r="L892" s="198"/>
    </row>
    <row r="893">
      <c r="A893" s="198"/>
      <c r="B893" s="208"/>
      <c r="C893" s="198"/>
      <c r="D893" s="198"/>
      <c r="E893" s="198"/>
      <c r="F893" s="198"/>
      <c r="G893" s="198"/>
      <c r="H893" s="198"/>
      <c r="I893" s="198"/>
      <c r="J893" s="198"/>
      <c r="K893" s="198"/>
      <c r="L893" s="198"/>
    </row>
    <row r="894">
      <c r="A894" s="198"/>
      <c r="B894" s="208"/>
      <c r="C894" s="198"/>
      <c r="D894" s="198"/>
      <c r="E894" s="198"/>
      <c r="F894" s="198"/>
      <c r="G894" s="198"/>
      <c r="H894" s="198"/>
      <c r="I894" s="198"/>
      <c r="J894" s="198"/>
      <c r="K894" s="198"/>
      <c r="L894" s="198"/>
    </row>
    <row r="895">
      <c r="A895" s="198"/>
      <c r="B895" s="208"/>
      <c r="C895" s="198"/>
      <c r="D895" s="198"/>
      <c r="E895" s="198"/>
      <c r="F895" s="198"/>
      <c r="G895" s="198"/>
      <c r="H895" s="198"/>
      <c r="I895" s="198"/>
      <c r="J895" s="198"/>
      <c r="K895" s="198"/>
      <c r="L895" s="198"/>
    </row>
    <row r="896">
      <c r="A896" s="198"/>
      <c r="B896" s="208"/>
      <c r="C896" s="198"/>
      <c r="D896" s="198"/>
      <c r="E896" s="198"/>
      <c r="F896" s="198"/>
      <c r="G896" s="198"/>
      <c r="H896" s="198"/>
      <c r="I896" s="198"/>
      <c r="J896" s="198"/>
      <c r="K896" s="198"/>
      <c r="L896" s="198"/>
    </row>
    <row r="897">
      <c r="A897" s="198"/>
      <c r="B897" s="208"/>
      <c r="C897" s="198"/>
      <c r="D897" s="198"/>
      <c r="E897" s="198"/>
      <c r="F897" s="198"/>
      <c r="G897" s="198"/>
      <c r="H897" s="198"/>
      <c r="I897" s="198"/>
      <c r="J897" s="198"/>
      <c r="K897" s="198"/>
      <c r="L897" s="198"/>
    </row>
    <row r="898">
      <c r="A898" s="198"/>
      <c r="B898" s="208"/>
      <c r="C898" s="198"/>
      <c r="D898" s="198"/>
      <c r="E898" s="198"/>
      <c r="F898" s="198"/>
      <c r="G898" s="198"/>
      <c r="H898" s="198"/>
      <c r="I898" s="198"/>
      <c r="J898" s="198"/>
      <c r="K898" s="198"/>
      <c r="L898" s="198"/>
    </row>
    <row r="899">
      <c r="A899" s="198"/>
      <c r="B899" s="208"/>
      <c r="C899" s="198"/>
      <c r="D899" s="198"/>
      <c r="E899" s="198"/>
      <c r="F899" s="198"/>
      <c r="G899" s="198"/>
      <c r="H899" s="198"/>
      <c r="I899" s="198"/>
      <c r="J899" s="198"/>
      <c r="K899" s="198"/>
      <c r="L899" s="198"/>
    </row>
    <row r="900">
      <c r="A900" s="198"/>
      <c r="B900" s="208"/>
      <c r="C900" s="198"/>
      <c r="D900" s="198"/>
      <c r="E900" s="198"/>
      <c r="F900" s="198"/>
      <c r="G900" s="198"/>
      <c r="H900" s="198"/>
      <c r="I900" s="198"/>
      <c r="J900" s="198"/>
      <c r="K900" s="198"/>
      <c r="L900" s="198"/>
    </row>
    <row r="901">
      <c r="A901" s="198"/>
      <c r="B901" s="208"/>
      <c r="C901" s="198"/>
      <c r="D901" s="198"/>
      <c r="E901" s="198"/>
      <c r="F901" s="198"/>
      <c r="G901" s="198"/>
      <c r="H901" s="198"/>
      <c r="I901" s="198"/>
      <c r="J901" s="198"/>
      <c r="K901" s="198"/>
      <c r="L901" s="198"/>
    </row>
    <row r="902">
      <c r="A902" s="198"/>
      <c r="B902" s="208"/>
      <c r="C902" s="198"/>
      <c r="D902" s="198"/>
      <c r="E902" s="198"/>
      <c r="F902" s="198"/>
      <c r="G902" s="198"/>
      <c r="H902" s="198"/>
      <c r="I902" s="198"/>
      <c r="J902" s="198"/>
      <c r="K902" s="198"/>
      <c r="L902" s="198"/>
    </row>
    <row r="903">
      <c r="A903" s="198"/>
      <c r="B903" s="208"/>
      <c r="C903" s="198"/>
      <c r="D903" s="198"/>
      <c r="E903" s="198"/>
      <c r="F903" s="198"/>
      <c r="G903" s="198"/>
      <c r="H903" s="198"/>
      <c r="I903" s="198"/>
      <c r="J903" s="198"/>
      <c r="K903" s="198"/>
      <c r="L903" s="198"/>
    </row>
    <row r="904">
      <c r="A904" s="198"/>
      <c r="B904" s="208"/>
      <c r="C904" s="198"/>
      <c r="D904" s="198"/>
      <c r="E904" s="198"/>
      <c r="F904" s="198"/>
      <c r="G904" s="198"/>
      <c r="H904" s="198"/>
      <c r="I904" s="198"/>
      <c r="J904" s="198"/>
      <c r="K904" s="198"/>
      <c r="L904" s="198"/>
    </row>
    <row r="905">
      <c r="A905" s="198"/>
      <c r="B905" s="208"/>
      <c r="C905" s="198"/>
      <c r="D905" s="198"/>
      <c r="E905" s="198"/>
      <c r="F905" s="198"/>
      <c r="G905" s="198"/>
      <c r="H905" s="198"/>
      <c r="I905" s="198"/>
      <c r="J905" s="198"/>
      <c r="K905" s="198"/>
      <c r="L905" s="198"/>
    </row>
    <row r="906">
      <c r="A906" s="198"/>
      <c r="B906" s="208"/>
      <c r="C906" s="198"/>
      <c r="D906" s="198"/>
      <c r="E906" s="198"/>
      <c r="F906" s="198"/>
      <c r="G906" s="198"/>
      <c r="H906" s="198"/>
      <c r="I906" s="198"/>
      <c r="J906" s="198"/>
      <c r="K906" s="198"/>
      <c r="L906" s="198"/>
    </row>
    <row r="907">
      <c r="A907" s="198"/>
      <c r="B907" s="208"/>
      <c r="C907" s="198"/>
      <c r="D907" s="198"/>
      <c r="E907" s="198"/>
      <c r="F907" s="198"/>
      <c r="G907" s="198"/>
      <c r="H907" s="198"/>
      <c r="I907" s="198"/>
      <c r="J907" s="198"/>
      <c r="K907" s="198"/>
      <c r="L907" s="198"/>
    </row>
    <row r="908">
      <c r="A908" s="198"/>
      <c r="B908" s="208"/>
      <c r="C908" s="198"/>
      <c r="D908" s="198"/>
      <c r="E908" s="198"/>
      <c r="F908" s="198"/>
      <c r="G908" s="198"/>
      <c r="H908" s="198"/>
      <c r="I908" s="198"/>
      <c r="J908" s="198"/>
      <c r="K908" s="198"/>
      <c r="L908" s="198"/>
    </row>
    <row r="909">
      <c r="A909" s="198"/>
      <c r="B909" s="208"/>
      <c r="C909" s="198"/>
      <c r="D909" s="198"/>
      <c r="E909" s="198"/>
      <c r="F909" s="198"/>
      <c r="G909" s="198"/>
      <c r="H909" s="198"/>
      <c r="I909" s="198"/>
      <c r="J909" s="198"/>
      <c r="K909" s="198"/>
      <c r="L909" s="198"/>
    </row>
    <row r="910">
      <c r="A910" s="198"/>
      <c r="B910" s="208"/>
      <c r="C910" s="198"/>
      <c r="D910" s="198"/>
      <c r="E910" s="198"/>
      <c r="F910" s="198"/>
      <c r="G910" s="198"/>
      <c r="H910" s="198"/>
      <c r="I910" s="198"/>
      <c r="J910" s="198"/>
      <c r="K910" s="198"/>
      <c r="L910" s="198"/>
    </row>
    <row r="911">
      <c r="A911" s="198"/>
      <c r="B911" s="208"/>
      <c r="C911" s="198"/>
      <c r="D911" s="198"/>
      <c r="E911" s="198"/>
      <c r="F911" s="198"/>
      <c r="G911" s="198"/>
      <c r="H911" s="198"/>
      <c r="I911" s="198"/>
      <c r="J911" s="198"/>
      <c r="K911" s="198"/>
      <c r="L911" s="198"/>
    </row>
    <row r="912">
      <c r="A912" s="198"/>
      <c r="B912" s="208"/>
      <c r="C912" s="198"/>
      <c r="D912" s="198"/>
      <c r="E912" s="198"/>
      <c r="F912" s="198"/>
      <c r="G912" s="198"/>
      <c r="H912" s="198"/>
      <c r="I912" s="198"/>
      <c r="J912" s="198"/>
      <c r="K912" s="198"/>
      <c r="L912" s="198"/>
    </row>
    <row r="913">
      <c r="A913" s="198"/>
      <c r="B913" s="208"/>
      <c r="C913" s="198"/>
      <c r="D913" s="198"/>
      <c r="E913" s="198"/>
      <c r="F913" s="198"/>
      <c r="G913" s="198"/>
      <c r="H913" s="198"/>
      <c r="I913" s="198"/>
      <c r="J913" s="198"/>
      <c r="K913" s="198"/>
      <c r="L913" s="198"/>
    </row>
    <row r="914">
      <c r="A914" s="198"/>
      <c r="B914" s="208"/>
      <c r="C914" s="198"/>
      <c r="D914" s="198"/>
      <c r="E914" s="198"/>
      <c r="F914" s="198"/>
      <c r="G914" s="198"/>
      <c r="H914" s="198"/>
      <c r="I914" s="198"/>
      <c r="J914" s="198"/>
      <c r="K914" s="198"/>
      <c r="L914" s="198"/>
    </row>
    <row r="915">
      <c r="A915" s="198"/>
      <c r="B915" s="208"/>
      <c r="C915" s="198"/>
      <c r="D915" s="198"/>
      <c r="E915" s="198"/>
      <c r="F915" s="198"/>
      <c r="G915" s="198"/>
      <c r="H915" s="198"/>
      <c r="I915" s="198"/>
      <c r="J915" s="198"/>
      <c r="K915" s="198"/>
      <c r="L915" s="198"/>
    </row>
    <row r="916">
      <c r="A916" s="198"/>
      <c r="B916" s="208"/>
      <c r="C916" s="198"/>
      <c r="D916" s="198"/>
      <c r="E916" s="198"/>
      <c r="F916" s="198"/>
      <c r="G916" s="198"/>
      <c r="H916" s="198"/>
      <c r="I916" s="198"/>
      <c r="J916" s="198"/>
      <c r="K916" s="198"/>
      <c r="L916" s="198"/>
    </row>
    <row r="917">
      <c r="A917" s="198"/>
      <c r="B917" s="208"/>
      <c r="C917" s="198"/>
      <c r="D917" s="198"/>
      <c r="E917" s="198"/>
      <c r="F917" s="198"/>
      <c r="G917" s="198"/>
      <c r="H917" s="198"/>
      <c r="I917" s="198"/>
      <c r="J917" s="198"/>
      <c r="K917" s="198"/>
      <c r="L917" s="198"/>
    </row>
    <row r="918">
      <c r="A918" s="198"/>
      <c r="B918" s="208"/>
      <c r="C918" s="198"/>
      <c r="D918" s="198"/>
      <c r="E918" s="198"/>
      <c r="F918" s="198"/>
      <c r="G918" s="198"/>
      <c r="H918" s="198"/>
      <c r="I918" s="198"/>
      <c r="J918" s="198"/>
      <c r="K918" s="198"/>
      <c r="L918" s="198"/>
    </row>
    <row r="919">
      <c r="A919" s="198"/>
      <c r="B919" s="208"/>
      <c r="C919" s="198"/>
      <c r="D919" s="198"/>
      <c r="E919" s="198"/>
      <c r="F919" s="198"/>
      <c r="G919" s="198"/>
      <c r="H919" s="198"/>
      <c r="I919" s="198"/>
      <c r="J919" s="198"/>
      <c r="K919" s="198"/>
      <c r="L919" s="198"/>
    </row>
    <row r="920">
      <c r="A920" s="198"/>
      <c r="B920" s="208"/>
      <c r="C920" s="198"/>
      <c r="D920" s="198"/>
      <c r="E920" s="198"/>
      <c r="F920" s="198"/>
      <c r="G920" s="198"/>
      <c r="H920" s="198"/>
      <c r="I920" s="198"/>
      <c r="J920" s="198"/>
      <c r="K920" s="198"/>
      <c r="L920" s="198"/>
    </row>
    <row r="921">
      <c r="A921" s="198"/>
      <c r="B921" s="208"/>
      <c r="C921" s="198"/>
      <c r="D921" s="198"/>
      <c r="E921" s="198"/>
      <c r="F921" s="198"/>
      <c r="G921" s="198"/>
      <c r="H921" s="198"/>
      <c r="I921" s="198"/>
      <c r="J921" s="198"/>
      <c r="K921" s="198"/>
      <c r="L921" s="198"/>
    </row>
    <row r="922">
      <c r="A922" s="198"/>
      <c r="B922" s="208"/>
      <c r="C922" s="198"/>
      <c r="D922" s="198"/>
      <c r="E922" s="198"/>
      <c r="F922" s="198"/>
      <c r="G922" s="198"/>
      <c r="H922" s="198"/>
      <c r="I922" s="198"/>
      <c r="J922" s="198"/>
      <c r="K922" s="198"/>
      <c r="L922" s="198"/>
    </row>
    <row r="923">
      <c r="A923" s="198"/>
      <c r="B923" s="208"/>
      <c r="C923" s="198"/>
      <c r="D923" s="198"/>
      <c r="E923" s="198"/>
      <c r="F923" s="198"/>
      <c r="G923" s="198"/>
      <c r="H923" s="198"/>
      <c r="I923" s="198"/>
      <c r="J923" s="198"/>
      <c r="K923" s="198"/>
      <c r="L923" s="198"/>
    </row>
    <row r="924">
      <c r="A924" s="198"/>
      <c r="B924" s="208"/>
      <c r="C924" s="198"/>
      <c r="D924" s="198"/>
      <c r="E924" s="198"/>
      <c r="F924" s="198"/>
      <c r="G924" s="198"/>
      <c r="H924" s="198"/>
      <c r="I924" s="198"/>
      <c r="J924" s="198"/>
      <c r="K924" s="198"/>
      <c r="L924" s="198"/>
    </row>
    <row r="925">
      <c r="A925" s="198"/>
      <c r="B925" s="208"/>
      <c r="C925" s="198"/>
      <c r="D925" s="198"/>
      <c r="E925" s="198"/>
      <c r="F925" s="198"/>
      <c r="G925" s="198"/>
      <c r="H925" s="198"/>
      <c r="I925" s="198"/>
      <c r="J925" s="198"/>
      <c r="K925" s="198"/>
      <c r="L925" s="198"/>
    </row>
    <row r="926">
      <c r="A926" s="198"/>
      <c r="B926" s="208"/>
      <c r="C926" s="198"/>
      <c r="D926" s="198"/>
      <c r="E926" s="198"/>
      <c r="F926" s="198"/>
      <c r="G926" s="198"/>
      <c r="H926" s="198"/>
      <c r="I926" s="198"/>
      <c r="J926" s="198"/>
      <c r="K926" s="198"/>
      <c r="L926" s="198"/>
    </row>
    <row r="927">
      <c r="A927" s="198"/>
      <c r="B927" s="208"/>
      <c r="C927" s="198"/>
      <c r="D927" s="198"/>
      <c r="E927" s="198"/>
      <c r="F927" s="198"/>
      <c r="G927" s="198"/>
      <c r="H927" s="198"/>
      <c r="I927" s="198"/>
      <c r="J927" s="198"/>
      <c r="K927" s="198"/>
      <c r="L927" s="198"/>
    </row>
    <row r="928">
      <c r="A928" s="198"/>
      <c r="B928" s="208"/>
      <c r="C928" s="198"/>
      <c r="D928" s="198"/>
      <c r="E928" s="198"/>
      <c r="F928" s="198"/>
      <c r="G928" s="198"/>
      <c r="H928" s="198"/>
      <c r="I928" s="198"/>
      <c r="J928" s="198"/>
      <c r="K928" s="198"/>
      <c r="L928" s="198"/>
    </row>
    <row r="929">
      <c r="A929" s="198"/>
      <c r="B929" s="208"/>
      <c r="C929" s="198"/>
      <c r="D929" s="198"/>
      <c r="E929" s="198"/>
      <c r="F929" s="198"/>
      <c r="G929" s="198"/>
      <c r="H929" s="198"/>
      <c r="I929" s="198"/>
      <c r="J929" s="198"/>
      <c r="K929" s="198"/>
      <c r="L929" s="198"/>
    </row>
    <row r="930">
      <c r="A930" s="198"/>
      <c r="B930" s="208"/>
      <c r="C930" s="198"/>
      <c r="D930" s="198"/>
      <c r="E930" s="198"/>
      <c r="F930" s="198"/>
      <c r="G930" s="198"/>
      <c r="H930" s="198"/>
      <c r="I930" s="198"/>
      <c r="J930" s="198"/>
      <c r="K930" s="198"/>
      <c r="L930" s="198"/>
    </row>
    <row r="931">
      <c r="A931" s="198"/>
      <c r="B931" s="208"/>
      <c r="C931" s="198"/>
      <c r="D931" s="198"/>
      <c r="E931" s="198"/>
      <c r="F931" s="198"/>
      <c r="G931" s="198"/>
      <c r="H931" s="198"/>
      <c r="I931" s="198"/>
      <c r="J931" s="198"/>
      <c r="K931" s="198"/>
      <c r="L931" s="198"/>
    </row>
    <row r="932">
      <c r="A932" s="198"/>
      <c r="B932" s="208"/>
      <c r="C932" s="198"/>
      <c r="D932" s="198"/>
      <c r="E932" s="198"/>
      <c r="F932" s="198"/>
      <c r="G932" s="198"/>
      <c r="H932" s="198"/>
      <c r="I932" s="198"/>
      <c r="J932" s="198"/>
      <c r="K932" s="198"/>
      <c r="L932" s="198"/>
    </row>
    <row r="933">
      <c r="A933" s="198"/>
      <c r="B933" s="208"/>
      <c r="C933" s="198"/>
      <c r="D933" s="198"/>
      <c r="E933" s="198"/>
      <c r="F933" s="198"/>
      <c r="G933" s="198"/>
      <c r="H933" s="198"/>
      <c r="I933" s="198"/>
      <c r="J933" s="198"/>
      <c r="K933" s="198"/>
      <c r="L933" s="198"/>
    </row>
    <row r="934">
      <c r="A934" s="198"/>
      <c r="B934" s="208"/>
      <c r="C934" s="198"/>
      <c r="D934" s="198"/>
      <c r="E934" s="198"/>
      <c r="F934" s="198"/>
      <c r="G934" s="198"/>
      <c r="H934" s="198"/>
      <c r="I934" s="198"/>
      <c r="J934" s="198"/>
      <c r="K934" s="198"/>
      <c r="L934" s="198"/>
    </row>
    <row r="935">
      <c r="A935" s="198"/>
      <c r="B935" s="208"/>
      <c r="C935" s="198"/>
      <c r="D935" s="198"/>
      <c r="E935" s="198"/>
      <c r="F935" s="198"/>
      <c r="G935" s="198"/>
      <c r="H935" s="198"/>
      <c r="I935" s="198"/>
      <c r="J935" s="198"/>
      <c r="K935" s="198"/>
      <c r="L935" s="198"/>
    </row>
    <row r="936">
      <c r="A936" s="198"/>
      <c r="B936" s="208"/>
      <c r="C936" s="198"/>
      <c r="D936" s="198"/>
      <c r="E936" s="198"/>
      <c r="F936" s="198"/>
      <c r="G936" s="198"/>
      <c r="H936" s="198"/>
      <c r="I936" s="198"/>
      <c r="J936" s="198"/>
      <c r="K936" s="198"/>
      <c r="L936" s="198"/>
    </row>
    <row r="937">
      <c r="A937" s="198"/>
      <c r="B937" s="208"/>
      <c r="C937" s="198"/>
      <c r="D937" s="198"/>
      <c r="E937" s="198"/>
      <c r="F937" s="198"/>
      <c r="G937" s="198"/>
      <c r="H937" s="198"/>
      <c r="I937" s="198"/>
      <c r="J937" s="198"/>
      <c r="K937" s="198"/>
      <c r="L937" s="198"/>
    </row>
    <row r="938">
      <c r="A938" s="198"/>
      <c r="B938" s="208"/>
      <c r="C938" s="198"/>
      <c r="D938" s="198"/>
      <c r="E938" s="198"/>
      <c r="F938" s="198"/>
      <c r="G938" s="198"/>
      <c r="H938" s="198"/>
      <c r="I938" s="198"/>
      <c r="J938" s="198"/>
      <c r="K938" s="198"/>
      <c r="L938" s="198"/>
    </row>
    <row r="939">
      <c r="A939" s="198"/>
      <c r="B939" s="208"/>
      <c r="C939" s="198"/>
      <c r="D939" s="198"/>
      <c r="E939" s="198"/>
      <c r="F939" s="198"/>
      <c r="G939" s="198"/>
      <c r="H939" s="198"/>
      <c r="I939" s="198"/>
      <c r="J939" s="198"/>
      <c r="K939" s="198"/>
      <c r="L939" s="198"/>
    </row>
    <row r="940">
      <c r="A940" s="198"/>
      <c r="B940" s="208"/>
      <c r="C940" s="198"/>
      <c r="D940" s="198"/>
      <c r="E940" s="198"/>
      <c r="F940" s="198"/>
      <c r="G940" s="198"/>
      <c r="H940" s="198"/>
      <c r="I940" s="198"/>
      <c r="J940" s="198"/>
      <c r="K940" s="198"/>
      <c r="L940" s="198"/>
    </row>
    <row r="941">
      <c r="A941" s="198"/>
      <c r="B941" s="208"/>
      <c r="C941" s="198"/>
      <c r="D941" s="198"/>
      <c r="E941" s="198"/>
      <c r="F941" s="198"/>
      <c r="G941" s="198"/>
      <c r="H941" s="198"/>
      <c r="I941" s="198"/>
      <c r="J941" s="198"/>
      <c r="K941" s="198"/>
      <c r="L941" s="198"/>
    </row>
    <row r="942">
      <c r="A942" s="198"/>
      <c r="B942" s="208"/>
      <c r="C942" s="198"/>
      <c r="D942" s="198"/>
      <c r="E942" s="198"/>
      <c r="F942" s="198"/>
      <c r="G942" s="198"/>
      <c r="H942" s="198"/>
      <c r="I942" s="198"/>
      <c r="J942" s="198"/>
      <c r="K942" s="198"/>
      <c r="L942" s="198"/>
    </row>
    <row r="943">
      <c r="A943" s="198"/>
      <c r="B943" s="208"/>
      <c r="C943" s="198"/>
      <c r="D943" s="198"/>
      <c r="E943" s="198"/>
      <c r="F943" s="198"/>
      <c r="G943" s="198"/>
      <c r="H943" s="198"/>
      <c r="I943" s="198"/>
      <c r="J943" s="198"/>
      <c r="K943" s="198"/>
      <c r="L943" s="198"/>
    </row>
    <row r="944">
      <c r="A944" s="198"/>
      <c r="B944" s="208"/>
      <c r="C944" s="198"/>
      <c r="D944" s="198"/>
      <c r="E944" s="198"/>
      <c r="F944" s="198"/>
      <c r="G944" s="198"/>
      <c r="H944" s="198"/>
      <c r="I944" s="198"/>
      <c r="J944" s="198"/>
      <c r="K944" s="198"/>
      <c r="L944" s="198"/>
    </row>
    <row r="945">
      <c r="A945" s="198"/>
      <c r="B945" s="208"/>
      <c r="C945" s="198"/>
      <c r="D945" s="198"/>
      <c r="E945" s="198"/>
      <c r="F945" s="198"/>
      <c r="G945" s="198"/>
      <c r="H945" s="198"/>
      <c r="I945" s="198"/>
      <c r="J945" s="198"/>
      <c r="K945" s="198"/>
      <c r="L945" s="198"/>
    </row>
    <row r="946">
      <c r="A946" s="198"/>
      <c r="B946" s="208"/>
      <c r="C946" s="198"/>
      <c r="D946" s="198"/>
      <c r="E946" s="198"/>
      <c r="F946" s="198"/>
      <c r="G946" s="198"/>
      <c r="H946" s="198"/>
      <c r="I946" s="198"/>
      <c r="J946" s="198"/>
      <c r="K946" s="198"/>
      <c r="L946" s="198"/>
    </row>
    <row r="947">
      <c r="A947" s="198"/>
      <c r="B947" s="208"/>
      <c r="C947" s="198"/>
      <c r="D947" s="198"/>
      <c r="E947" s="198"/>
      <c r="F947" s="198"/>
      <c r="G947" s="198"/>
      <c r="H947" s="198"/>
      <c r="I947" s="198"/>
      <c r="J947" s="198"/>
      <c r="K947" s="198"/>
      <c r="L947" s="198"/>
    </row>
    <row r="948">
      <c r="A948" s="198"/>
      <c r="B948" s="208"/>
      <c r="C948" s="198"/>
      <c r="D948" s="198"/>
      <c r="E948" s="198"/>
      <c r="F948" s="198"/>
      <c r="G948" s="198"/>
      <c r="H948" s="198"/>
      <c r="I948" s="198"/>
      <c r="J948" s="198"/>
      <c r="K948" s="198"/>
      <c r="L948" s="198"/>
    </row>
    <row r="949">
      <c r="A949" s="198"/>
      <c r="B949" s="208"/>
      <c r="C949" s="198"/>
      <c r="D949" s="198"/>
      <c r="E949" s="198"/>
      <c r="F949" s="198"/>
      <c r="G949" s="198"/>
      <c r="H949" s="198"/>
      <c r="I949" s="198"/>
      <c r="J949" s="198"/>
      <c r="K949" s="198"/>
      <c r="L949" s="198"/>
    </row>
    <row r="950">
      <c r="A950" s="198"/>
      <c r="B950" s="208"/>
      <c r="C950" s="198"/>
      <c r="D950" s="198"/>
      <c r="E950" s="198"/>
      <c r="F950" s="198"/>
      <c r="G950" s="198"/>
      <c r="H950" s="198"/>
      <c r="I950" s="198"/>
      <c r="J950" s="198"/>
      <c r="K950" s="198"/>
      <c r="L950" s="198"/>
    </row>
    <row r="951">
      <c r="A951" s="198"/>
      <c r="B951" s="208"/>
      <c r="C951" s="198"/>
      <c r="D951" s="198"/>
      <c r="E951" s="198"/>
      <c r="F951" s="198"/>
      <c r="G951" s="198"/>
      <c r="H951" s="198"/>
      <c r="I951" s="198"/>
      <c r="J951" s="198"/>
      <c r="K951" s="198"/>
      <c r="L951" s="198"/>
    </row>
    <row r="952">
      <c r="A952" s="198"/>
      <c r="B952" s="208"/>
      <c r="C952" s="198"/>
      <c r="D952" s="198"/>
      <c r="E952" s="198"/>
      <c r="F952" s="198"/>
      <c r="G952" s="198"/>
      <c r="H952" s="198"/>
      <c r="I952" s="198"/>
      <c r="J952" s="198"/>
      <c r="K952" s="198"/>
      <c r="L952" s="198"/>
    </row>
    <row r="953">
      <c r="A953" s="198"/>
      <c r="B953" s="208"/>
      <c r="C953" s="198"/>
      <c r="D953" s="198"/>
      <c r="E953" s="198"/>
      <c r="F953" s="198"/>
      <c r="G953" s="198"/>
      <c r="H953" s="198"/>
      <c r="I953" s="198"/>
      <c r="J953" s="198"/>
      <c r="K953" s="198"/>
      <c r="L953" s="198"/>
    </row>
    <row r="954">
      <c r="A954" s="198"/>
      <c r="B954" s="208"/>
      <c r="C954" s="198"/>
      <c r="D954" s="198"/>
      <c r="E954" s="198"/>
      <c r="F954" s="198"/>
      <c r="G954" s="198"/>
      <c r="H954" s="198"/>
      <c r="I954" s="198"/>
      <c r="J954" s="198"/>
      <c r="K954" s="198"/>
      <c r="L954" s="198"/>
    </row>
    <row r="955">
      <c r="A955" s="198"/>
      <c r="B955" s="208"/>
      <c r="C955" s="198"/>
      <c r="D955" s="198"/>
      <c r="E955" s="198"/>
      <c r="F955" s="198"/>
      <c r="G955" s="198"/>
      <c r="H955" s="198"/>
      <c r="I955" s="198"/>
      <c r="J955" s="198"/>
      <c r="K955" s="198"/>
      <c r="L955" s="198"/>
    </row>
    <row r="956">
      <c r="A956" s="198"/>
      <c r="B956" s="208"/>
      <c r="C956" s="198"/>
      <c r="D956" s="198"/>
      <c r="E956" s="198"/>
      <c r="F956" s="198"/>
      <c r="G956" s="198"/>
      <c r="H956" s="198"/>
      <c r="I956" s="198"/>
      <c r="J956" s="198"/>
      <c r="K956" s="198"/>
      <c r="L956" s="198"/>
    </row>
    <row r="957">
      <c r="A957" s="198"/>
      <c r="B957" s="208"/>
      <c r="C957" s="198"/>
      <c r="D957" s="198"/>
      <c r="E957" s="198"/>
      <c r="F957" s="198"/>
      <c r="G957" s="198"/>
      <c r="H957" s="198"/>
      <c r="I957" s="198"/>
      <c r="J957" s="198"/>
      <c r="K957" s="198"/>
      <c r="L957" s="198"/>
    </row>
    <row r="958">
      <c r="A958" s="198"/>
      <c r="B958" s="208"/>
      <c r="C958" s="198"/>
      <c r="D958" s="198"/>
      <c r="E958" s="198"/>
      <c r="F958" s="198"/>
      <c r="G958" s="198"/>
      <c r="H958" s="198"/>
      <c r="I958" s="198"/>
      <c r="J958" s="198"/>
      <c r="K958" s="198"/>
      <c r="L958" s="198"/>
    </row>
    <row r="959">
      <c r="A959" s="198"/>
      <c r="B959" s="208"/>
      <c r="C959" s="198"/>
      <c r="D959" s="198"/>
      <c r="E959" s="198"/>
      <c r="F959" s="198"/>
      <c r="G959" s="198"/>
      <c r="H959" s="198"/>
      <c r="I959" s="198"/>
      <c r="J959" s="198"/>
      <c r="K959" s="198"/>
      <c r="L959" s="198"/>
    </row>
    <row r="960">
      <c r="A960" s="198"/>
      <c r="B960" s="208"/>
      <c r="C960" s="198"/>
      <c r="D960" s="198"/>
      <c r="E960" s="198"/>
      <c r="F960" s="198"/>
      <c r="G960" s="198"/>
      <c r="H960" s="198"/>
      <c r="I960" s="198"/>
      <c r="J960" s="198"/>
      <c r="K960" s="198"/>
      <c r="L960" s="198"/>
    </row>
    <row r="961">
      <c r="A961" s="198"/>
      <c r="B961" s="208"/>
      <c r="C961" s="198"/>
      <c r="D961" s="198"/>
      <c r="E961" s="198"/>
      <c r="F961" s="198"/>
      <c r="G961" s="198"/>
      <c r="H961" s="198"/>
      <c r="I961" s="198"/>
      <c r="J961" s="198"/>
      <c r="K961" s="198"/>
      <c r="L961" s="198"/>
    </row>
    <row r="962">
      <c r="A962" s="198"/>
      <c r="B962" s="208"/>
      <c r="C962" s="198"/>
      <c r="D962" s="198"/>
      <c r="E962" s="198"/>
      <c r="F962" s="198"/>
      <c r="G962" s="198"/>
      <c r="H962" s="198"/>
      <c r="I962" s="198"/>
      <c r="J962" s="198"/>
      <c r="K962" s="198"/>
      <c r="L962" s="198"/>
    </row>
    <row r="963">
      <c r="A963" s="198"/>
      <c r="B963" s="208"/>
      <c r="C963" s="198"/>
      <c r="D963" s="198"/>
      <c r="E963" s="198"/>
      <c r="F963" s="198"/>
      <c r="G963" s="198"/>
      <c r="H963" s="198"/>
      <c r="I963" s="198"/>
      <c r="J963" s="198"/>
      <c r="K963" s="198"/>
      <c r="L963" s="198"/>
    </row>
    <row r="964">
      <c r="A964" s="198"/>
      <c r="B964" s="208"/>
      <c r="C964" s="198"/>
      <c r="D964" s="198"/>
      <c r="E964" s="198"/>
      <c r="F964" s="198"/>
      <c r="G964" s="198"/>
      <c r="H964" s="198"/>
      <c r="I964" s="198"/>
      <c r="J964" s="198"/>
      <c r="K964" s="198"/>
      <c r="L964" s="198"/>
    </row>
    <row r="965">
      <c r="A965" s="198"/>
      <c r="B965" s="208"/>
      <c r="C965" s="198"/>
      <c r="D965" s="198"/>
      <c r="E965" s="198"/>
      <c r="F965" s="198"/>
      <c r="G965" s="198"/>
      <c r="H965" s="198"/>
      <c r="I965" s="198"/>
      <c r="J965" s="198"/>
      <c r="K965" s="198"/>
      <c r="L965" s="198"/>
    </row>
    <row r="966">
      <c r="A966" s="198"/>
      <c r="B966" s="208"/>
      <c r="C966" s="198"/>
      <c r="D966" s="198"/>
      <c r="E966" s="198"/>
      <c r="F966" s="198"/>
      <c r="G966" s="198"/>
      <c r="H966" s="198"/>
      <c r="I966" s="198"/>
      <c r="J966" s="198"/>
      <c r="K966" s="198"/>
      <c r="L966" s="198"/>
    </row>
    <row r="967">
      <c r="A967" s="198"/>
      <c r="B967" s="208"/>
      <c r="C967" s="198"/>
      <c r="D967" s="198"/>
      <c r="E967" s="198"/>
      <c r="F967" s="198"/>
      <c r="G967" s="198"/>
      <c r="H967" s="198"/>
      <c r="I967" s="198"/>
      <c r="J967" s="198"/>
      <c r="K967" s="198"/>
      <c r="L967" s="198"/>
    </row>
    <row r="968">
      <c r="A968" s="198"/>
      <c r="B968" s="208"/>
      <c r="C968" s="198"/>
      <c r="D968" s="198"/>
      <c r="E968" s="198"/>
      <c r="F968" s="198"/>
      <c r="G968" s="198"/>
      <c r="H968" s="198"/>
      <c r="I968" s="198"/>
      <c r="J968" s="198"/>
      <c r="K968" s="198"/>
      <c r="L968" s="198"/>
    </row>
    <row r="969">
      <c r="A969" s="198"/>
      <c r="B969" s="208"/>
      <c r="C969" s="198"/>
      <c r="D969" s="198"/>
      <c r="E969" s="198"/>
      <c r="F969" s="198"/>
      <c r="G969" s="198"/>
      <c r="H969" s="198"/>
      <c r="I969" s="198"/>
      <c r="J969" s="198"/>
      <c r="K969" s="198"/>
      <c r="L969" s="198"/>
    </row>
    <row r="970">
      <c r="A970" s="198"/>
      <c r="B970" s="208"/>
      <c r="C970" s="198"/>
      <c r="D970" s="198"/>
      <c r="E970" s="198"/>
      <c r="F970" s="198"/>
      <c r="G970" s="198"/>
      <c r="H970" s="198"/>
      <c r="I970" s="198"/>
      <c r="J970" s="198"/>
      <c r="K970" s="198"/>
      <c r="L970" s="198"/>
    </row>
    <row r="971">
      <c r="A971" s="198"/>
      <c r="B971" s="208"/>
      <c r="C971" s="198"/>
      <c r="D971" s="198"/>
      <c r="E971" s="198"/>
      <c r="F971" s="198"/>
      <c r="G971" s="198"/>
      <c r="H971" s="198"/>
      <c r="I971" s="198"/>
      <c r="J971" s="198"/>
      <c r="K971" s="198"/>
      <c r="L971" s="198"/>
    </row>
    <row r="972">
      <c r="A972" s="198"/>
      <c r="B972" s="208"/>
      <c r="C972" s="198"/>
      <c r="D972" s="198"/>
      <c r="E972" s="198"/>
      <c r="F972" s="198"/>
      <c r="G972" s="198"/>
      <c r="H972" s="198"/>
      <c r="I972" s="198"/>
      <c r="J972" s="198"/>
      <c r="K972" s="198"/>
      <c r="L972" s="198"/>
    </row>
    <row r="973">
      <c r="A973" s="198"/>
      <c r="B973" s="208"/>
      <c r="C973" s="198"/>
      <c r="D973" s="198"/>
      <c r="E973" s="198"/>
      <c r="F973" s="198"/>
      <c r="G973" s="198"/>
      <c r="H973" s="198"/>
      <c r="I973" s="198"/>
      <c r="J973" s="198"/>
      <c r="K973" s="198"/>
      <c r="L973" s="198"/>
    </row>
    <row r="974">
      <c r="A974" s="198"/>
      <c r="B974" s="208"/>
      <c r="C974" s="198"/>
      <c r="D974" s="198"/>
      <c r="E974" s="198"/>
      <c r="F974" s="198"/>
      <c r="G974" s="198"/>
      <c r="H974" s="198"/>
      <c r="I974" s="198"/>
      <c r="J974" s="198"/>
      <c r="K974" s="198"/>
      <c r="L974" s="198"/>
    </row>
    <row r="975">
      <c r="A975" s="198"/>
      <c r="B975" s="208"/>
      <c r="C975" s="198"/>
      <c r="D975" s="198"/>
      <c r="E975" s="198"/>
      <c r="F975" s="198"/>
      <c r="G975" s="198"/>
      <c r="H975" s="198"/>
      <c r="I975" s="198"/>
      <c r="J975" s="198"/>
      <c r="K975" s="198"/>
      <c r="L975" s="198"/>
    </row>
    <row r="976">
      <c r="A976" s="198"/>
      <c r="B976" s="208"/>
      <c r="C976" s="198"/>
      <c r="D976" s="198"/>
      <c r="E976" s="198"/>
      <c r="F976" s="198"/>
      <c r="G976" s="198"/>
      <c r="H976" s="198"/>
      <c r="I976" s="198"/>
      <c r="J976" s="198"/>
      <c r="K976" s="198"/>
      <c r="L976" s="198"/>
    </row>
    <row r="977">
      <c r="A977" s="198"/>
      <c r="B977" s="208"/>
      <c r="C977" s="198"/>
      <c r="D977" s="198"/>
      <c r="E977" s="198"/>
      <c r="F977" s="198"/>
      <c r="G977" s="198"/>
      <c r="H977" s="198"/>
      <c r="I977" s="198"/>
      <c r="J977" s="198"/>
      <c r="K977" s="198"/>
      <c r="L977" s="198"/>
    </row>
    <row r="978">
      <c r="A978" s="198"/>
      <c r="B978" s="208"/>
      <c r="C978" s="198"/>
      <c r="D978" s="198"/>
      <c r="E978" s="198"/>
      <c r="F978" s="198"/>
      <c r="G978" s="198"/>
      <c r="H978" s="198"/>
      <c r="I978" s="198"/>
      <c r="J978" s="198"/>
      <c r="K978" s="198"/>
      <c r="L978" s="198"/>
    </row>
    <row r="979">
      <c r="A979" s="198"/>
      <c r="B979" s="208"/>
      <c r="C979" s="198"/>
      <c r="D979" s="198"/>
      <c r="E979" s="198"/>
      <c r="F979" s="198"/>
      <c r="G979" s="198"/>
      <c r="H979" s="198"/>
      <c r="I979" s="198"/>
      <c r="J979" s="198"/>
      <c r="K979" s="198"/>
      <c r="L979" s="198"/>
    </row>
    <row r="980">
      <c r="A980" s="198"/>
      <c r="B980" s="208"/>
      <c r="C980" s="198"/>
      <c r="D980" s="198"/>
      <c r="E980" s="198"/>
      <c r="F980" s="198"/>
      <c r="G980" s="198"/>
      <c r="H980" s="198"/>
      <c r="I980" s="198"/>
      <c r="J980" s="198"/>
      <c r="K980" s="198"/>
      <c r="L980" s="198"/>
    </row>
    <row r="981">
      <c r="A981" s="198"/>
      <c r="B981" s="208"/>
      <c r="C981" s="198"/>
      <c r="D981" s="198"/>
      <c r="E981" s="198"/>
      <c r="F981" s="198"/>
      <c r="G981" s="198"/>
      <c r="H981" s="198"/>
      <c r="I981" s="198"/>
      <c r="J981" s="198"/>
      <c r="K981" s="198"/>
      <c r="L981" s="198"/>
    </row>
    <row r="982">
      <c r="A982" s="198"/>
      <c r="B982" s="208"/>
      <c r="C982" s="198"/>
      <c r="D982" s="198"/>
      <c r="E982" s="198"/>
      <c r="F982" s="198"/>
      <c r="G982" s="198"/>
      <c r="H982" s="198"/>
      <c r="I982" s="198"/>
      <c r="J982" s="198"/>
      <c r="K982" s="198"/>
      <c r="L982" s="198"/>
    </row>
    <row r="983">
      <c r="A983" s="198"/>
      <c r="B983" s="208"/>
      <c r="C983" s="198"/>
      <c r="D983" s="198"/>
      <c r="E983" s="198"/>
      <c r="F983" s="198"/>
      <c r="G983" s="198"/>
      <c r="H983" s="198"/>
      <c r="I983" s="198"/>
      <c r="J983" s="198"/>
      <c r="K983" s="198"/>
      <c r="L983" s="198"/>
    </row>
    <row r="984">
      <c r="A984" s="198"/>
      <c r="B984" s="208"/>
      <c r="C984" s="198"/>
      <c r="D984" s="198"/>
      <c r="E984" s="198"/>
      <c r="F984" s="198"/>
      <c r="G984" s="198"/>
      <c r="H984" s="198"/>
      <c r="I984" s="198"/>
      <c r="J984" s="198"/>
      <c r="K984" s="198"/>
      <c r="L984" s="198"/>
    </row>
    <row r="985">
      <c r="A985" s="198"/>
      <c r="B985" s="208"/>
      <c r="C985" s="198"/>
      <c r="D985" s="198"/>
      <c r="E985" s="198"/>
      <c r="F985" s="198"/>
      <c r="G985" s="198"/>
      <c r="H985" s="198"/>
      <c r="I985" s="198"/>
      <c r="J985" s="198"/>
      <c r="K985" s="198"/>
      <c r="L985" s="198"/>
    </row>
    <row r="986">
      <c r="A986" s="198"/>
      <c r="B986" s="208"/>
      <c r="C986" s="198"/>
      <c r="D986" s="198"/>
      <c r="E986" s="198"/>
      <c r="F986" s="198"/>
      <c r="G986" s="198"/>
      <c r="H986" s="198"/>
      <c r="I986" s="198"/>
      <c r="J986" s="198"/>
      <c r="K986" s="198"/>
      <c r="L986" s="198"/>
    </row>
    <row r="987">
      <c r="A987" s="198"/>
      <c r="B987" s="208"/>
      <c r="C987" s="198"/>
      <c r="D987" s="198"/>
      <c r="E987" s="198"/>
      <c r="F987" s="198"/>
      <c r="G987" s="198"/>
      <c r="H987" s="198"/>
      <c r="I987" s="198"/>
      <c r="J987" s="198"/>
      <c r="K987" s="198"/>
      <c r="L987" s="198"/>
    </row>
    <row r="988">
      <c r="A988" s="198"/>
      <c r="B988" s="208"/>
      <c r="C988" s="198"/>
      <c r="D988" s="198"/>
      <c r="E988" s="198"/>
      <c r="F988" s="198"/>
      <c r="G988" s="198"/>
      <c r="H988" s="198"/>
      <c r="I988" s="198"/>
      <c r="J988" s="198"/>
      <c r="K988" s="198"/>
      <c r="L988" s="198"/>
    </row>
    <row r="989">
      <c r="A989" s="198"/>
      <c r="B989" s="208"/>
      <c r="C989" s="198"/>
      <c r="D989" s="198"/>
      <c r="E989" s="198"/>
      <c r="F989" s="198"/>
      <c r="G989" s="198"/>
      <c r="H989" s="198"/>
      <c r="I989" s="198"/>
      <c r="J989" s="198"/>
      <c r="K989" s="198"/>
      <c r="L989" s="198"/>
    </row>
    <row r="990">
      <c r="A990" s="198"/>
      <c r="B990" s="208"/>
      <c r="C990" s="198"/>
      <c r="D990" s="198"/>
      <c r="E990" s="198"/>
      <c r="F990" s="198"/>
      <c r="G990" s="198"/>
      <c r="H990" s="198"/>
      <c r="I990" s="198"/>
      <c r="J990" s="198"/>
      <c r="K990" s="198"/>
      <c r="L990" s="198"/>
    </row>
    <row r="991">
      <c r="A991" s="198"/>
      <c r="B991" s="208"/>
      <c r="C991" s="198"/>
      <c r="D991" s="198"/>
      <c r="E991" s="198"/>
      <c r="F991" s="198"/>
      <c r="G991" s="198"/>
      <c r="H991" s="198"/>
      <c r="I991" s="198"/>
      <c r="J991" s="198"/>
      <c r="K991" s="198"/>
      <c r="L991" s="198"/>
    </row>
    <row r="992">
      <c r="A992" s="198"/>
      <c r="B992" s="208"/>
      <c r="C992" s="198"/>
      <c r="D992" s="198"/>
      <c r="E992" s="198"/>
      <c r="F992" s="198"/>
      <c r="G992" s="198"/>
      <c r="H992" s="198"/>
      <c r="I992" s="198"/>
      <c r="J992" s="198"/>
      <c r="K992" s="198"/>
      <c r="L992" s="198"/>
    </row>
    <row r="993">
      <c r="A993" s="198"/>
      <c r="B993" s="208"/>
      <c r="C993" s="198"/>
      <c r="D993" s="198"/>
      <c r="E993" s="198"/>
      <c r="F993" s="198"/>
      <c r="G993" s="198"/>
      <c r="H993" s="198"/>
      <c r="I993" s="198"/>
      <c r="J993" s="198"/>
      <c r="K993" s="198"/>
      <c r="L993" s="198"/>
    </row>
    <row r="994">
      <c r="A994" s="198"/>
      <c r="B994" s="208"/>
      <c r="C994" s="198"/>
      <c r="D994" s="198"/>
      <c r="E994" s="198"/>
      <c r="F994" s="198"/>
      <c r="G994" s="198"/>
      <c r="H994" s="198"/>
      <c r="I994" s="198"/>
      <c r="J994" s="198"/>
      <c r="K994" s="198"/>
      <c r="L994" s="198"/>
    </row>
    <row r="995">
      <c r="A995" s="198"/>
      <c r="B995" s="208"/>
      <c r="C995" s="198"/>
      <c r="D995" s="198"/>
      <c r="E995" s="198"/>
      <c r="F995" s="198"/>
      <c r="G995" s="198"/>
      <c r="H995" s="198"/>
      <c r="I995" s="198"/>
      <c r="J995" s="198"/>
      <c r="K995" s="198"/>
      <c r="L995" s="198"/>
    </row>
    <row r="996">
      <c r="A996" s="198"/>
      <c r="B996" s="208"/>
      <c r="C996" s="198"/>
      <c r="D996" s="198"/>
      <c r="E996" s="198"/>
      <c r="F996" s="198"/>
      <c r="G996" s="198"/>
      <c r="H996" s="198"/>
      <c r="I996" s="198"/>
      <c r="J996" s="198"/>
      <c r="K996" s="198"/>
      <c r="L996" s="198"/>
    </row>
    <row r="997">
      <c r="A997" s="198"/>
      <c r="B997" s="208"/>
      <c r="C997" s="198"/>
      <c r="D997" s="198"/>
      <c r="E997" s="198"/>
      <c r="F997" s="198"/>
      <c r="G997" s="198"/>
      <c r="H997" s="198"/>
      <c r="I997" s="198"/>
      <c r="J997" s="198"/>
      <c r="K997" s="198"/>
      <c r="L997" s="198"/>
    </row>
    <row r="998">
      <c r="A998" s="198"/>
      <c r="B998" s="208"/>
      <c r="C998" s="198"/>
      <c r="D998" s="198"/>
      <c r="E998" s="198"/>
      <c r="F998" s="198"/>
      <c r="G998" s="198"/>
      <c r="H998" s="198"/>
      <c r="I998" s="198"/>
      <c r="J998" s="198"/>
      <c r="K998" s="198"/>
      <c r="L998" s="198"/>
    </row>
    <row r="999">
      <c r="A999" s="198"/>
      <c r="B999" s="208"/>
      <c r="C999" s="198"/>
      <c r="D999" s="198"/>
      <c r="E999" s="198"/>
      <c r="F999" s="198"/>
      <c r="G999" s="198"/>
      <c r="H999" s="198"/>
      <c r="I999" s="198"/>
      <c r="J999" s="198"/>
      <c r="K999" s="198"/>
      <c r="L999" s="198"/>
    </row>
    <row r="1000">
      <c r="A1000" s="198"/>
      <c r="B1000" s="208"/>
      <c r="C1000" s="198"/>
      <c r="D1000" s="198"/>
      <c r="E1000" s="198"/>
      <c r="F1000" s="198"/>
      <c r="G1000" s="198"/>
      <c r="H1000" s="198"/>
      <c r="I1000" s="198"/>
      <c r="J1000" s="198"/>
      <c r="K1000" s="198"/>
      <c r="L1000" s="198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98" t="s">
        <v>532</v>
      </c>
      <c r="B1" s="198" t="s">
        <v>533</v>
      </c>
      <c r="C1" s="205" t="s">
        <v>534</v>
      </c>
      <c r="D1" s="198" t="s">
        <v>535</v>
      </c>
      <c r="E1" s="198" t="s">
        <v>536</v>
      </c>
      <c r="F1" s="198" t="s">
        <v>537</v>
      </c>
      <c r="G1" s="198" t="s">
        <v>538</v>
      </c>
      <c r="H1" s="198" t="s">
        <v>539</v>
      </c>
      <c r="I1" s="198" t="s">
        <v>540</v>
      </c>
      <c r="J1" s="206" t="s">
        <v>541</v>
      </c>
      <c r="K1" s="206" t="s">
        <v>542</v>
      </c>
      <c r="L1" s="198" t="s">
        <v>536</v>
      </c>
    </row>
    <row r="2">
      <c r="A2" s="207" t="s">
        <v>54</v>
      </c>
      <c r="B2" s="208">
        <f>vlookup(A2,Price!A:B,2,false)</f>
        <v>3819.675532</v>
      </c>
      <c r="C2" s="209"/>
      <c r="D2" s="210">
        <v>0.0</v>
      </c>
      <c r="E2" s="211">
        <f t="shared" ref="E2:E41" si="1">C2-D2</f>
        <v>0</v>
      </c>
      <c r="F2" s="212">
        <f>iferror(vlookup(A2,'Transfer Pricing Playground'!A:P,16,false))</f>
        <v>0.02928207375</v>
      </c>
      <c r="G2" s="213">
        <f t="shared" ref="G2:G41" si="2">E2*F2/52.14</f>
        <v>0</v>
      </c>
      <c r="H2" s="212"/>
      <c r="I2" s="210">
        <f t="shared" ref="I2:I41" si="3">C2*H2/52.14</f>
        <v>0</v>
      </c>
      <c r="J2" s="214">
        <f t="shared" ref="J2:J41" si="4">I2-G2</f>
        <v>0</v>
      </c>
      <c r="K2" s="215">
        <f t="shared" ref="K2:K41" si="5">J2*B2</f>
        <v>0</v>
      </c>
      <c r="L2" s="216">
        <f t="shared" ref="L2:L41" si="6">C2*B2</f>
        <v>0</v>
      </c>
    </row>
    <row r="3">
      <c r="A3" s="207" t="s">
        <v>53</v>
      </c>
      <c r="B3" s="208">
        <f>vlookup(A3,Price!A:B,2,false)</f>
        <v>46314.63028</v>
      </c>
      <c r="C3" s="209"/>
      <c r="D3" s="210">
        <v>0.0</v>
      </c>
      <c r="E3" s="211">
        <f t="shared" si="1"/>
        <v>0</v>
      </c>
      <c r="F3" s="212">
        <f>iferror(vlookup(A3,'Transfer Pricing Playground'!A:P,16,false))</f>
        <v>0.01013263943</v>
      </c>
      <c r="G3" s="213">
        <f t="shared" si="2"/>
        <v>0</v>
      </c>
      <c r="H3" s="212"/>
      <c r="I3" s="210">
        <f t="shared" si="3"/>
        <v>0</v>
      </c>
      <c r="J3" s="214">
        <f t="shared" si="4"/>
        <v>0</v>
      </c>
      <c r="K3" s="215">
        <f t="shared" si="5"/>
        <v>0</v>
      </c>
      <c r="L3" s="216">
        <f t="shared" si="6"/>
        <v>0</v>
      </c>
    </row>
    <row r="4">
      <c r="A4" s="207" t="s">
        <v>59</v>
      </c>
      <c r="B4" s="208">
        <f>vlookup(A4,Price!A:B,2,false)</f>
        <v>39.51861627</v>
      </c>
      <c r="C4" s="209"/>
      <c r="D4" s="210">
        <v>0.0</v>
      </c>
      <c r="E4" s="211">
        <f t="shared" si="1"/>
        <v>0</v>
      </c>
      <c r="F4" s="212">
        <f>iferror(vlookup(A4,'Transfer Pricing Playground'!A:P,16,false))</f>
        <v>0</v>
      </c>
      <c r="G4" s="213">
        <f t="shared" si="2"/>
        <v>0</v>
      </c>
      <c r="H4" s="212"/>
      <c r="I4" s="210">
        <f t="shared" si="3"/>
        <v>0</v>
      </c>
      <c r="J4" s="214">
        <f t="shared" si="4"/>
        <v>0</v>
      </c>
      <c r="K4" s="215">
        <f t="shared" si="5"/>
        <v>0</v>
      </c>
      <c r="L4" s="216">
        <f t="shared" si="6"/>
        <v>0</v>
      </c>
    </row>
    <row r="5">
      <c r="A5" s="207" t="s">
        <v>67</v>
      </c>
      <c r="B5" s="208">
        <f>vlookup(A5,Price!A:B,2,false)</f>
        <v>4.960176782</v>
      </c>
      <c r="C5" s="209"/>
      <c r="D5" s="210">
        <v>0.0</v>
      </c>
      <c r="E5" s="211">
        <f t="shared" si="1"/>
        <v>0</v>
      </c>
      <c r="F5" s="212">
        <f>iferror(vlookup(A5,'Transfer Pricing Playground'!A:P,16,false))</f>
        <v>0.1339</v>
      </c>
      <c r="G5" s="213">
        <f t="shared" si="2"/>
        <v>0</v>
      </c>
      <c r="H5" s="212"/>
      <c r="I5" s="210">
        <f t="shared" si="3"/>
        <v>0</v>
      </c>
      <c r="J5" s="214">
        <f t="shared" si="4"/>
        <v>0</v>
      </c>
      <c r="K5" s="215">
        <f t="shared" si="5"/>
        <v>0</v>
      </c>
      <c r="L5" s="216">
        <f t="shared" si="6"/>
        <v>0</v>
      </c>
    </row>
    <row r="6">
      <c r="A6" s="207" t="s">
        <v>70</v>
      </c>
      <c r="B6" s="208">
        <f>vlookup(A6,Price!A:B,2,false)</f>
        <v>173.1638356</v>
      </c>
      <c r="C6" s="209"/>
      <c r="D6" s="210">
        <v>0.0</v>
      </c>
      <c r="E6" s="211">
        <f t="shared" si="1"/>
        <v>0</v>
      </c>
      <c r="F6" s="212">
        <f>iferror(vlookup(A6,'Transfer Pricing Playground'!A:P,16,false))</f>
        <v>0.0385</v>
      </c>
      <c r="G6" s="213">
        <f t="shared" si="2"/>
        <v>0</v>
      </c>
      <c r="H6" s="212"/>
      <c r="I6" s="210">
        <f t="shared" si="3"/>
        <v>0</v>
      </c>
      <c r="J6" s="214">
        <f t="shared" si="4"/>
        <v>0</v>
      </c>
      <c r="K6" s="215">
        <f t="shared" si="5"/>
        <v>0</v>
      </c>
      <c r="L6" s="216">
        <f t="shared" si="6"/>
        <v>0</v>
      </c>
    </row>
    <row r="7">
      <c r="A7" s="207" t="s">
        <v>61</v>
      </c>
      <c r="B7" s="208">
        <f>vlookup(A7,Price!A:B,2,false)</f>
        <v>18.51308692</v>
      </c>
      <c r="C7" s="209"/>
      <c r="D7" s="210">
        <v>0.0</v>
      </c>
      <c r="E7" s="211">
        <f t="shared" si="1"/>
        <v>0</v>
      </c>
      <c r="F7" s="212">
        <f>iferror(vlookup(A7,'Transfer Pricing Playground'!A:P,16,false))</f>
        <v>0.01234602303</v>
      </c>
      <c r="G7" s="213">
        <f t="shared" si="2"/>
        <v>0</v>
      </c>
      <c r="H7" s="212"/>
      <c r="I7" s="210">
        <f t="shared" si="3"/>
        <v>0</v>
      </c>
      <c r="J7" s="214">
        <f t="shared" si="4"/>
        <v>0</v>
      </c>
      <c r="K7" s="215">
        <f t="shared" si="5"/>
        <v>0</v>
      </c>
      <c r="L7" s="216">
        <f t="shared" si="6"/>
        <v>0</v>
      </c>
    </row>
    <row r="8">
      <c r="A8" s="217" t="s">
        <v>323</v>
      </c>
      <c r="B8" s="208">
        <f>vlookup(A8,Price!A:B,2,false)</f>
        <v>1</v>
      </c>
      <c r="C8" s="209"/>
      <c r="D8" s="210">
        <v>0.0</v>
      </c>
      <c r="E8" s="211">
        <f t="shared" si="1"/>
        <v>0</v>
      </c>
      <c r="F8" s="212" t="str">
        <f>iferror(vlookup(A8,'Transfer Pricing Playground'!A:P,16,false))</f>
        <v/>
      </c>
      <c r="G8" s="213">
        <f t="shared" si="2"/>
        <v>0</v>
      </c>
      <c r="H8" s="212"/>
      <c r="I8" s="210">
        <f t="shared" si="3"/>
        <v>0</v>
      </c>
      <c r="J8" s="214">
        <f t="shared" si="4"/>
        <v>0</v>
      </c>
      <c r="K8" s="215">
        <f t="shared" si="5"/>
        <v>0</v>
      </c>
      <c r="L8" s="216">
        <f t="shared" si="6"/>
        <v>0</v>
      </c>
    </row>
    <row r="9">
      <c r="A9" s="207" t="s">
        <v>95</v>
      </c>
      <c r="B9" s="208">
        <f>vlookup(A9,Price!A:B,2,false)</f>
        <v>35192.45221</v>
      </c>
      <c r="C9" s="209"/>
      <c r="D9" s="210">
        <v>0.0</v>
      </c>
      <c r="E9" s="211">
        <f t="shared" si="1"/>
        <v>0</v>
      </c>
      <c r="F9" s="212">
        <f>iferror(vlookup(A9,'Transfer Pricing Playground'!A:P,16,false))</f>
        <v>0</v>
      </c>
      <c r="G9" s="213">
        <f t="shared" si="2"/>
        <v>0</v>
      </c>
      <c r="H9" s="212"/>
      <c r="I9" s="210">
        <f t="shared" si="3"/>
        <v>0</v>
      </c>
      <c r="J9" s="214">
        <f t="shared" si="4"/>
        <v>0</v>
      </c>
      <c r="K9" s="215">
        <f t="shared" si="5"/>
        <v>0</v>
      </c>
      <c r="L9" s="216">
        <f t="shared" si="6"/>
        <v>0</v>
      </c>
    </row>
    <row r="10">
      <c r="A10" s="207" t="s">
        <v>74</v>
      </c>
      <c r="B10" s="208">
        <f>vlookup(A10,Price!A:B,2,false)</f>
        <v>1.078602899</v>
      </c>
      <c r="C10" s="209"/>
      <c r="D10" s="210">
        <v>0.0</v>
      </c>
      <c r="E10" s="211">
        <f t="shared" si="1"/>
        <v>0</v>
      </c>
      <c r="F10" s="212">
        <f>iferror(vlookup(A10,'Transfer Pricing Playground'!A:P,16,false))</f>
        <v>0.0097</v>
      </c>
      <c r="G10" s="213">
        <f t="shared" si="2"/>
        <v>0</v>
      </c>
      <c r="H10" s="212"/>
      <c r="I10" s="210">
        <f t="shared" si="3"/>
        <v>0</v>
      </c>
      <c r="J10" s="214">
        <f t="shared" si="4"/>
        <v>0</v>
      </c>
      <c r="K10" s="215">
        <f t="shared" si="5"/>
        <v>0</v>
      </c>
      <c r="L10" s="216">
        <f t="shared" si="6"/>
        <v>0</v>
      </c>
    </row>
    <row r="11">
      <c r="A11" s="207" t="s">
        <v>69</v>
      </c>
      <c r="B11" s="208">
        <f>vlookup(A11,Price!A:B,2,false)</f>
        <v>14.44022362</v>
      </c>
      <c r="C11" s="209"/>
      <c r="D11" s="210">
        <v>0.0</v>
      </c>
      <c r="E11" s="211">
        <f t="shared" si="1"/>
        <v>0</v>
      </c>
      <c r="F11" s="212">
        <f>iferror(vlookup(A11,'Transfer Pricing Playground'!A:P,16,false))</f>
        <v>0.0228</v>
      </c>
      <c r="G11" s="213">
        <f t="shared" si="2"/>
        <v>0</v>
      </c>
      <c r="H11" s="212"/>
      <c r="I11" s="210">
        <f t="shared" si="3"/>
        <v>0</v>
      </c>
      <c r="J11" s="214">
        <f t="shared" si="4"/>
        <v>0</v>
      </c>
      <c r="K11" s="215">
        <f t="shared" si="5"/>
        <v>0</v>
      </c>
      <c r="L11" s="216">
        <f t="shared" si="6"/>
        <v>0</v>
      </c>
    </row>
    <row r="12">
      <c r="A12" s="207" t="s">
        <v>90</v>
      </c>
      <c r="B12" s="208">
        <f>vlookup(A12,Price!A:B,2,false)</f>
        <v>14.44190837</v>
      </c>
      <c r="C12" s="209"/>
      <c r="D12" s="210">
        <v>0.0</v>
      </c>
      <c r="E12" s="211">
        <f t="shared" si="1"/>
        <v>0</v>
      </c>
      <c r="F12" s="212">
        <f>iferror(vlookup(A12,'Transfer Pricing Playground'!A:P,16,false))</f>
        <v>0</v>
      </c>
      <c r="G12" s="213">
        <f t="shared" si="2"/>
        <v>0</v>
      </c>
      <c r="H12" s="212"/>
      <c r="I12" s="210">
        <f t="shared" si="3"/>
        <v>0</v>
      </c>
      <c r="J12" s="214">
        <f t="shared" si="4"/>
        <v>0</v>
      </c>
      <c r="K12" s="215">
        <f t="shared" si="5"/>
        <v>0</v>
      </c>
      <c r="L12" s="216">
        <f t="shared" si="6"/>
        <v>0</v>
      </c>
    </row>
    <row r="13">
      <c r="A13" s="207" t="s">
        <v>87</v>
      </c>
      <c r="B13" s="208">
        <f>vlookup(A13,Price!A:B,2,false)</f>
        <v>5.23640161</v>
      </c>
      <c r="C13" s="209"/>
      <c r="D13" s="210">
        <v>0.0</v>
      </c>
      <c r="E13" s="211">
        <f t="shared" si="1"/>
        <v>0</v>
      </c>
      <c r="F13" s="212">
        <f>iferror(vlookup(A13,'Transfer Pricing Playground'!A:P,16,false))</f>
        <v>0.0396</v>
      </c>
      <c r="G13" s="213">
        <f t="shared" si="2"/>
        <v>0</v>
      </c>
      <c r="H13" s="212"/>
      <c r="I13" s="210">
        <f t="shared" si="3"/>
        <v>0</v>
      </c>
      <c r="J13" s="214">
        <f t="shared" si="4"/>
        <v>0</v>
      </c>
      <c r="K13" s="215">
        <f t="shared" si="5"/>
        <v>0</v>
      </c>
      <c r="L13" s="216">
        <f t="shared" si="6"/>
        <v>0</v>
      </c>
    </row>
    <row r="14">
      <c r="A14" s="207" t="s">
        <v>79</v>
      </c>
      <c r="B14" s="208">
        <f>vlookup(A14,Price!A:B,2,false)</f>
        <v>3.165969505</v>
      </c>
      <c r="C14" s="209"/>
      <c r="D14" s="210">
        <v>0.0</v>
      </c>
      <c r="E14" s="211">
        <f t="shared" si="1"/>
        <v>0</v>
      </c>
      <c r="F14" s="212">
        <f>iferror(vlookup(A14,'Transfer Pricing Playground'!A:P,16,false))</f>
        <v>0.0595</v>
      </c>
      <c r="G14" s="213">
        <f t="shared" si="2"/>
        <v>0</v>
      </c>
      <c r="H14" s="212"/>
      <c r="I14" s="210">
        <f t="shared" si="3"/>
        <v>0</v>
      </c>
      <c r="J14" s="214">
        <f t="shared" si="4"/>
        <v>0</v>
      </c>
      <c r="K14" s="215">
        <f t="shared" si="5"/>
        <v>0</v>
      </c>
      <c r="L14" s="216">
        <f t="shared" si="6"/>
        <v>0</v>
      </c>
    </row>
    <row r="15">
      <c r="A15" s="207" t="s">
        <v>93</v>
      </c>
      <c r="B15" s="208">
        <f>vlookup(A15,Price!A:B,2,false)</f>
        <v>1.235585033</v>
      </c>
      <c r="C15" s="209"/>
      <c r="D15" s="210">
        <v>0.0</v>
      </c>
      <c r="E15" s="211">
        <f t="shared" si="1"/>
        <v>0</v>
      </c>
      <c r="F15" s="212">
        <f>iferror(vlookup(A15,'Transfer Pricing Playground'!A:P,16,false))</f>
        <v>0.0048</v>
      </c>
      <c r="G15" s="213">
        <f t="shared" si="2"/>
        <v>0</v>
      </c>
      <c r="H15" s="212"/>
      <c r="I15" s="210">
        <f t="shared" si="3"/>
        <v>0</v>
      </c>
      <c r="J15" s="214">
        <f t="shared" si="4"/>
        <v>0</v>
      </c>
      <c r="K15" s="215">
        <f t="shared" si="5"/>
        <v>0</v>
      </c>
      <c r="L15" s="216">
        <f t="shared" si="6"/>
        <v>0</v>
      </c>
    </row>
    <row r="16">
      <c r="A16" s="207" t="s">
        <v>81</v>
      </c>
      <c r="B16" s="208">
        <f>vlookup(A16,Price!A:B,2,false)</f>
        <v>187.58</v>
      </c>
      <c r="C16" s="209"/>
      <c r="D16" s="210">
        <v>0.0</v>
      </c>
      <c r="E16" s="211">
        <f t="shared" si="1"/>
        <v>0</v>
      </c>
      <c r="F16" s="212">
        <f>iferror(vlookup(A16,'Transfer Pricing Playground'!A:P,16,false))</f>
        <v>0.0453</v>
      </c>
      <c r="G16" s="213">
        <f t="shared" si="2"/>
        <v>0</v>
      </c>
      <c r="H16" s="212"/>
      <c r="I16" s="210">
        <f t="shared" si="3"/>
        <v>0</v>
      </c>
      <c r="J16" s="214">
        <f t="shared" si="4"/>
        <v>0</v>
      </c>
      <c r="K16" s="215">
        <f t="shared" si="5"/>
        <v>0</v>
      </c>
      <c r="L16" s="216">
        <f t="shared" si="6"/>
        <v>0</v>
      </c>
    </row>
    <row r="17">
      <c r="A17" s="207" t="s">
        <v>94</v>
      </c>
      <c r="B17" s="208">
        <f>vlookup(A17,Price!A:B,2,false)</f>
        <v>2.57</v>
      </c>
      <c r="C17" s="209"/>
      <c r="D17" s="210">
        <v>0.0</v>
      </c>
      <c r="E17" s="211">
        <f t="shared" si="1"/>
        <v>0</v>
      </c>
      <c r="F17" s="212">
        <f>iferror(vlookup(A17,'Transfer Pricing Playground'!A:P,16,false))</f>
        <v>0</v>
      </c>
      <c r="G17" s="213">
        <f t="shared" si="2"/>
        <v>0</v>
      </c>
      <c r="H17" s="212"/>
      <c r="I17" s="210">
        <f t="shared" si="3"/>
        <v>0</v>
      </c>
      <c r="J17" s="214">
        <f t="shared" si="4"/>
        <v>0</v>
      </c>
      <c r="K17" s="215">
        <f t="shared" si="5"/>
        <v>0</v>
      </c>
      <c r="L17" s="216">
        <f t="shared" si="6"/>
        <v>0</v>
      </c>
    </row>
    <row r="18">
      <c r="A18" s="207" t="s">
        <v>83</v>
      </c>
      <c r="B18" s="208">
        <f>vlookup(A18,Price!A:B,2,false)</f>
        <v>30.31</v>
      </c>
      <c r="C18" s="209"/>
      <c r="D18" s="210">
        <v>0.0</v>
      </c>
      <c r="E18" s="211">
        <f t="shared" si="1"/>
        <v>0</v>
      </c>
      <c r="F18" s="212">
        <f>iferror(vlookup(A18,'Transfer Pricing Playground'!A:P,16,false))</f>
        <v>0</v>
      </c>
      <c r="G18" s="213">
        <f t="shared" si="2"/>
        <v>0</v>
      </c>
      <c r="H18" s="212"/>
      <c r="I18" s="210">
        <f t="shared" si="3"/>
        <v>0</v>
      </c>
      <c r="J18" s="214">
        <f t="shared" si="4"/>
        <v>0</v>
      </c>
      <c r="K18" s="215">
        <f t="shared" si="5"/>
        <v>0</v>
      </c>
      <c r="L18" s="216">
        <f t="shared" si="6"/>
        <v>0</v>
      </c>
    </row>
    <row r="19">
      <c r="A19" s="207" t="s">
        <v>248</v>
      </c>
      <c r="B19" s="208">
        <f>vlookup(A19,Price!A:B,2,false)</f>
        <v>208.14</v>
      </c>
      <c r="C19" s="209"/>
      <c r="D19" s="210">
        <v>0.0</v>
      </c>
      <c r="E19" s="211">
        <f t="shared" si="1"/>
        <v>0</v>
      </c>
      <c r="F19" s="212" t="str">
        <f>iferror(vlookup(A19,'Transfer Pricing Playground'!A:P,16,false))</f>
        <v/>
      </c>
      <c r="G19" s="213">
        <f t="shared" si="2"/>
        <v>0</v>
      </c>
      <c r="H19" s="212"/>
      <c r="I19" s="210">
        <f t="shared" si="3"/>
        <v>0</v>
      </c>
      <c r="J19" s="214">
        <f t="shared" si="4"/>
        <v>0</v>
      </c>
      <c r="K19" s="215">
        <f t="shared" si="5"/>
        <v>0</v>
      </c>
      <c r="L19" s="216">
        <f t="shared" si="6"/>
        <v>0</v>
      </c>
    </row>
    <row r="20">
      <c r="A20" s="207" t="s">
        <v>244</v>
      </c>
      <c r="B20" s="208">
        <f>vlookup(A20,Price!A:B,2,false)</f>
        <v>0.146055</v>
      </c>
      <c r="C20" s="209"/>
      <c r="D20" s="210">
        <v>0.0</v>
      </c>
      <c r="E20" s="211">
        <f t="shared" si="1"/>
        <v>0</v>
      </c>
      <c r="F20" s="212" t="str">
        <f>iferror(vlookup(A20,'Transfer Pricing Playground'!A:P,16,false))</f>
        <v/>
      </c>
      <c r="G20" s="213">
        <f t="shared" si="2"/>
        <v>0</v>
      </c>
      <c r="H20" s="212"/>
      <c r="I20" s="210">
        <f t="shared" si="3"/>
        <v>0</v>
      </c>
      <c r="J20" s="214">
        <f t="shared" si="4"/>
        <v>0</v>
      </c>
      <c r="K20" s="215">
        <f t="shared" si="5"/>
        <v>0</v>
      </c>
      <c r="L20" s="216">
        <f t="shared" si="6"/>
        <v>0</v>
      </c>
    </row>
    <row r="21">
      <c r="A21" s="207" t="s">
        <v>101</v>
      </c>
      <c r="B21" s="208">
        <f>vlookup(A21,Price!A:B,2,false)</f>
        <v>0.6678409518</v>
      </c>
      <c r="C21" s="209"/>
      <c r="D21" s="210">
        <v>0.0</v>
      </c>
      <c r="E21" s="211">
        <f t="shared" si="1"/>
        <v>0</v>
      </c>
      <c r="F21" s="212">
        <f>iferror(vlookup(A21,'Transfer Pricing Playground'!A:P,16,false))</f>
        <v>0</v>
      </c>
      <c r="G21" s="213">
        <f t="shared" si="2"/>
        <v>0</v>
      </c>
      <c r="H21" s="212"/>
      <c r="I21" s="210">
        <f t="shared" si="3"/>
        <v>0</v>
      </c>
      <c r="J21" s="214">
        <f t="shared" si="4"/>
        <v>0</v>
      </c>
      <c r="K21" s="215">
        <f t="shared" si="5"/>
        <v>0</v>
      </c>
      <c r="L21" s="216">
        <f t="shared" si="6"/>
        <v>0</v>
      </c>
    </row>
    <row r="22">
      <c r="A22" s="207" t="s">
        <v>246</v>
      </c>
      <c r="B22" s="208">
        <f>vlookup(A22,Price!A:B,2,false)</f>
        <v>0.341427</v>
      </c>
      <c r="C22" s="209"/>
      <c r="D22" s="210">
        <v>0.0</v>
      </c>
      <c r="E22" s="211">
        <f t="shared" si="1"/>
        <v>0</v>
      </c>
      <c r="F22" s="212" t="str">
        <f>iferror(vlookup(A22,'Transfer Pricing Playground'!A:P,16,false))</f>
        <v/>
      </c>
      <c r="G22" s="213">
        <f t="shared" si="2"/>
        <v>0</v>
      </c>
      <c r="H22" s="212"/>
      <c r="I22" s="210">
        <f t="shared" si="3"/>
        <v>0</v>
      </c>
      <c r="J22" s="214">
        <f t="shared" si="4"/>
        <v>0</v>
      </c>
      <c r="K22" s="215">
        <f t="shared" si="5"/>
        <v>0</v>
      </c>
      <c r="L22" s="216">
        <f t="shared" si="6"/>
        <v>0</v>
      </c>
    </row>
    <row r="23">
      <c r="A23" s="207" t="s">
        <v>211</v>
      </c>
      <c r="B23" s="208">
        <f>vlookup(A23,Price!A:B,2,false)</f>
        <v>104.1704915</v>
      </c>
      <c r="C23" s="209"/>
      <c r="D23" s="210">
        <v>0.0</v>
      </c>
      <c r="E23" s="211">
        <f t="shared" si="1"/>
        <v>0</v>
      </c>
      <c r="F23" s="212" t="str">
        <f>iferror(vlookup(A23,'Transfer Pricing Playground'!A:P,16,false))</f>
        <v/>
      </c>
      <c r="G23" s="213">
        <f t="shared" si="2"/>
        <v>0</v>
      </c>
      <c r="H23" s="212"/>
      <c r="I23" s="210">
        <f t="shared" si="3"/>
        <v>0</v>
      </c>
      <c r="J23" s="214">
        <f t="shared" si="4"/>
        <v>0</v>
      </c>
      <c r="K23" s="215">
        <f t="shared" si="5"/>
        <v>0</v>
      </c>
      <c r="L23" s="216">
        <f t="shared" si="6"/>
        <v>0</v>
      </c>
    </row>
    <row r="24">
      <c r="A24" s="207" t="s">
        <v>80</v>
      </c>
      <c r="B24" s="208">
        <f>vlookup(A24,Price!A:B,2,false)</f>
        <v>0.7482698139</v>
      </c>
      <c r="C24" s="209"/>
      <c r="D24" s="210">
        <v>0.0</v>
      </c>
      <c r="E24" s="211">
        <f t="shared" si="1"/>
        <v>0</v>
      </c>
      <c r="F24" s="212">
        <f>iferror(vlookup(A24,'Transfer Pricing Playground'!A:P,16,false))</f>
        <v>0.0169</v>
      </c>
      <c r="G24" s="213">
        <f t="shared" si="2"/>
        <v>0</v>
      </c>
      <c r="H24" s="212"/>
      <c r="I24" s="210">
        <f t="shared" si="3"/>
        <v>0</v>
      </c>
      <c r="J24" s="214">
        <f t="shared" si="4"/>
        <v>0</v>
      </c>
      <c r="K24" s="215">
        <f t="shared" si="5"/>
        <v>0</v>
      </c>
      <c r="L24" s="216">
        <f t="shared" si="6"/>
        <v>0</v>
      </c>
    </row>
    <row r="25">
      <c r="A25" s="207" t="s">
        <v>88</v>
      </c>
      <c r="B25" s="208">
        <f>vlookup(A25,Price!A:B,2,false)</f>
        <v>3.991734421</v>
      </c>
      <c r="C25" s="209"/>
      <c r="D25" s="210">
        <v>0.0</v>
      </c>
      <c r="E25" s="211">
        <f t="shared" si="1"/>
        <v>0</v>
      </c>
      <c r="F25" s="212">
        <f>iferror(vlookup(A25,'Transfer Pricing Playground'!A:P,16,false))</f>
        <v>0</v>
      </c>
      <c r="G25" s="213">
        <f t="shared" si="2"/>
        <v>0</v>
      </c>
      <c r="H25" s="212"/>
      <c r="I25" s="210">
        <f t="shared" si="3"/>
        <v>0</v>
      </c>
      <c r="J25" s="214">
        <f t="shared" si="4"/>
        <v>0</v>
      </c>
      <c r="K25" s="215">
        <f t="shared" si="5"/>
        <v>0</v>
      </c>
      <c r="L25" s="216">
        <f t="shared" si="6"/>
        <v>0</v>
      </c>
    </row>
    <row r="26">
      <c r="A26" s="207" t="s">
        <v>106</v>
      </c>
      <c r="B26" s="208">
        <f>vlookup(A26,Price!A:B,2,false)</f>
        <v>0.9224738405</v>
      </c>
      <c r="C26" s="209"/>
      <c r="D26" s="210">
        <v>0.0</v>
      </c>
      <c r="E26" s="211">
        <f t="shared" si="1"/>
        <v>0</v>
      </c>
      <c r="F26" s="212">
        <f>iferror(vlookup(A26,'Transfer Pricing Playground'!A:P,16,false))</f>
        <v>0</v>
      </c>
      <c r="G26" s="213">
        <f t="shared" si="2"/>
        <v>0</v>
      </c>
      <c r="H26" s="212"/>
      <c r="I26" s="210">
        <f t="shared" si="3"/>
        <v>0</v>
      </c>
      <c r="J26" s="214">
        <f t="shared" si="4"/>
        <v>0</v>
      </c>
      <c r="K26" s="215">
        <f t="shared" si="5"/>
        <v>0</v>
      </c>
      <c r="L26" s="216">
        <f t="shared" si="6"/>
        <v>0</v>
      </c>
    </row>
    <row r="27">
      <c r="A27" s="207" t="s">
        <v>105</v>
      </c>
      <c r="B27" s="208">
        <f>vlookup(A27,Price!A:B,2,false)</f>
        <v>3.47</v>
      </c>
      <c r="C27" s="209"/>
      <c r="D27" s="210">
        <v>0.0</v>
      </c>
      <c r="E27" s="211">
        <f t="shared" si="1"/>
        <v>0</v>
      </c>
      <c r="F27" s="212">
        <f>iferror(vlookup(A27,'Transfer Pricing Playground'!A:P,16,false))</f>
        <v>0</v>
      </c>
      <c r="G27" s="213">
        <f t="shared" si="2"/>
        <v>0</v>
      </c>
      <c r="H27" s="212"/>
      <c r="I27" s="210">
        <f t="shared" si="3"/>
        <v>0</v>
      </c>
      <c r="J27" s="214">
        <f t="shared" si="4"/>
        <v>0</v>
      </c>
      <c r="K27" s="215">
        <f t="shared" si="5"/>
        <v>0</v>
      </c>
      <c r="L27" s="216">
        <f t="shared" si="6"/>
        <v>0</v>
      </c>
    </row>
    <row r="28">
      <c r="A28" s="207" t="s">
        <v>108</v>
      </c>
      <c r="B28" s="208">
        <f>vlookup(A28,Price!A:B,2,false)</f>
        <v>1.12</v>
      </c>
      <c r="C28" s="209"/>
      <c r="D28" s="210">
        <v>0.0</v>
      </c>
      <c r="E28" s="211">
        <f t="shared" si="1"/>
        <v>0</v>
      </c>
      <c r="F28" s="212">
        <f>iferror(vlookup(A28,'Transfer Pricing Playground'!A:P,16,false))</f>
        <v>0</v>
      </c>
      <c r="G28" s="213">
        <f t="shared" si="2"/>
        <v>0</v>
      </c>
      <c r="H28" s="212"/>
      <c r="I28" s="210">
        <f t="shared" si="3"/>
        <v>0</v>
      </c>
      <c r="J28" s="214">
        <f t="shared" si="4"/>
        <v>0</v>
      </c>
      <c r="K28" s="215">
        <f t="shared" si="5"/>
        <v>0</v>
      </c>
      <c r="L28" s="216">
        <f t="shared" si="6"/>
        <v>0</v>
      </c>
    </row>
    <row r="29">
      <c r="A29" s="207" t="s">
        <v>107</v>
      </c>
      <c r="B29" s="208">
        <f>vlookup(A29,Price!A:B,2,false)</f>
        <v>88.74747431</v>
      </c>
      <c r="C29" s="209"/>
      <c r="D29" s="210">
        <v>0.0</v>
      </c>
      <c r="E29" s="211">
        <f t="shared" si="1"/>
        <v>0</v>
      </c>
      <c r="F29" s="212">
        <f>iferror(vlookup(A29,'Transfer Pricing Playground'!A:P,16,false))</f>
        <v>0</v>
      </c>
      <c r="G29" s="213">
        <f t="shared" si="2"/>
        <v>0</v>
      </c>
      <c r="H29" s="212"/>
      <c r="I29" s="210">
        <f t="shared" si="3"/>
        <v>0</v>
      </c>
      <c r="J29" s="214">
        <f t="shared" si="4"/>
        <v>0</v>
      </c>
      <c r="K29" s="215">
        <f t="shared" si="5"/>
        <v>0</v>
      </c>
      <c r="L29" s="216">
        <f t="shared" si="6"/>
        <v>0</v>
      </c>
    </row>
    <row r="30">
      <c r="A30" s="207" t="s">
        <v>96</v>
      </c>
      <c r="B30" s="208">
        <f>vlookup(A30,Price!A:B,2,false)</f>
        <v>35357.36619</v>
      </c>
      <c r="C30" s="209"/>
      <c r="D30" s="210">
        <v>0.0</v>
      </c>
      <c r="E30" s="211">
        <f t="shared" si="1"/>
        <v>0</v>
      </c>
      <c r="F30" s="212">
        <f>iferror(vlookup(A30,'Transfer Pricing Playground'!A:P,16,false))</f>
        <v>0</v>
      </c>
      <c r="G30" s="213">
        <f t="shared" si="2"/>
        <v>0</v>
      </c>
      <c r="H30" s="212"/>
      <c r="I30" s="210">
        <f t="shared" si="3"/>
        <v>0</v>
      </c>
      <c r="J30" s="214">
        <f t="shared" si="4"/>
        <v>0</v>
      </c>
      <c r="K30" s="215">
        <f t="shared" si="5"/>
        <v>0</v>
      </c>
      <c r="L30" s="216">
        <f t="shared" si="6"/>
        <v>0</v>
      </c>
    </row>
    <row r="31">
      <c r="A31" s="207" t="s">
        <v>109</v>
      </c>
      <c r="B31" s="208">
        <f>vlookup(A31,Price!A:B,2,false)</f>
        <v>2294.480115</v>
      </c>
      <c r="C31" s="209"/>
      <c r="D31" s="210">
        <v>0.0</v>
      </c>
      <c r="E31" s="211">
        <f t="shared" si="1"/>
        <v>0</v>
      </c>
      <c r="F31" s="212">
        <f>iferror(vlookup(A31,'Transfer Pricing Playground'!A:P,16,false))</f>
        <v>0</v>
      </c>
      <c r="G31" s="213">
        <f t="shared" si="2"/>
        <v>0</v>
      </c>
      <c r="H31" s="212"/>
      <c r="I31" s="210">
        <f t="shared" si="3"/>
        <v>0</v>
      </c>
      <c r="J31" s="214">
        <f t="shared" si="4"/>
        <v>0</v>
      </c>
      <c r="K31" s="215">
        <f t="shared" si="5"/>
        <v>0</v>
      </c>
      <c r="L31" s="216">
        <f t="shared" si="6"/>
        <v>0</v>
      </c>
    </row>
    <row r="32">
      <c r="A32" s="207" t="s">
        <v>113</v>
      </c>
      <c r="B32" s="208">
        <f>vlookup(A32,Price!A:B,2,false)</f>
        <v>15.06</v>
      </c>
      <c r="C32" s="209"/>
      <c r="D32" s="210">
        <v>0.0</v>
      </c>
      <c r="E32" s="211">
        <f t="shared" si="1"/>
        <v>0</v>
      </c>
      <c r="F32" s="212">
        <f>iferror(vlookup(A32,'Transfer Pricing Playground'!A:P,16,false))</f>
        <v>0</v>
      </c>
      <c r="G32" s="213">
        <f t="shared" si="2"/>
        <v>0</v>
      </c>
      <c r="H32" s="212"/>
      <c r="I32" s="210">
        <f t="shared" si="3"/>
        <v>0</v>
      </c>
      <c r="J32" s="214">
        <f t="shared" si="4"/>
        <v>0</v>
      </c>
      <c r="K32" s="215">
        <f t="shared" si="5"/>
        <v>0</v>
      </c>
      <c r="L32" s="216">
        <f t="shared" si="6"/>
        <v>0</v>
      </c>
    </row>
    <row r="33">
      <c r="A33" s="207" t="s">
        <v>112</v>
      </c>
      <c r="B33" s="208">
        <f>vlookup(A33,Price!A:B,2,false)</f>
        <v>0.9086764428</v>
      </c>
      <c r="C33" s="209"/>
      <c r="D33" s="210">
        <v>0.0</v>
      </c>
      <c r="E33" s="211">
        <f t="shared" si="1"/>
        <v>0</v>
      </c>
      <c r="F33" s="212">
        <f>iferror(vlookup(A33,'Transfer Pricing Playground'!A:P,16,false))</f>
        <v>0</v>
      </c>
      <c r="G33" s="213">
        <f t="shared" si="2"/>
        <v>0</v>
      </c>
      <c r="H33" s="212"/>
      <c r="I33" s="210">
        <f t="shared" si="3"/>
        <v>0</v>
      </c>
      <c r="J33" s="214">
        <f t="shared" si="4"/>
        <v>0</v>
      </c>
      <c r="K33" s="215">
        <f t="shared" si="5"/>
        <v>0</v>
      </c>
      <c r="L33" s="216">
        <f t="shared" si="6"/>
        <v>0</v>
      </c>
    </row>
    <row r="34">
      <c r="A34" s="207" t="s">
        <v>111</v>
      </c>
      <c r="B34" s="208">
        <f>vlookup(A34,Price!A:B,2,false)</f>
        <v>0.0968507155</v>
      </c>
      <c r="C34" s="209"/>
      <c r="D34" s="210">
        <v>0.0</v>
      </c>
      <c r="E34" s="211">
        <f t="shared" si="1"/>
        <v>0</v>
      </c>
      <c r="F34" s="212">
        <f>iferror(vlookup(A34,'Transfer Pricing Playground'!A:P,16,false))</f>
        <v>0</v>
      </c>
      <c r="G34" s="213">
        <f t="shared" si="2"/>
        <v>0</v>
      </c>
      <c r="H34" s="212"/>
      <c r="I34" s="210">
        <f t="shared" si="3"/>
        <v>0</v>
      </c>
      <c r="J34" s="214">
        <f t="shared" si="4"/>
        <v>0</v>
      </c>
      <c r="K34" s="215">
        <f t="shared" si="5"/>
        <v>0</v>
      </c>
      <c r="L34" s="216">
        <f t="shared" si="6"/>
        <v>0</v>
      </c>
    </row>
    <row r="35">
      <c r="A35" s="207" t="s">
        <v>196</v>
      </c>
      <c r="B35" s="208">
        <f>vlookup(A35,Price!A:B,2,false)</f>
        <v>1.02</v>
      </c>
      <c r="C35" s="209"/>
      <c r="D35" s="210">
        <v>0.0</v>
      </c>
      <c r="E35" s="211">
        <f t="shared" si="1"/>
        <v>0</v>
      </c>
      <c r="F35" s="212" t="str">
        <f>iferror(vlookup(A35,'Transfer Pricing Playground'!A:P,16,false))</f>
        <v/>
      </c>
      <c r="G35" s="213">
        <f t="shared" si="2"/>
        <v>0</v>
      </c>
      <c r="H35" s="212"/>
      <c r="I35" s="210">
        <f t="shared" si="3"/>
        <v>0</v>
      </c>
      <c r="J35" s="214">
        <f t="shared" si="4"/>
        <v>0</v>
      </c>
      <c r="K35" s="215">
        <f t="shared" si="5"/>
        <v>0</v>
      </c>
      <c r="L35" s="216">
        <f t="shared" si="6"/>
        <v>0</v>
      </c>
    </row>
    <row r="36">
      <c r="A36" s="207" t="s">
        <v>57</v>
      </c>
      <c r="B36" s="208">
        <f>vlookup(A36,Price!A:B,2,false)</f>
        <v>2.097607594</v>
      </c>
      <c r="C36" s="209"/>
      <c r="D36" s="210">
        <v>0.0</v>
      </c>
      <c r="E36" s="211">
        <f t="shared" si="1"/>
        <v>0</v>
      </c>
      <c r="F36" s="212">
        <f>iferror(vlookup(A36,'Transfer Pricing Playground'!A:P,16,false))</f>
        <v>0.08060448646</v>
      </c>
      <c r="G36" s="213">
        <f t="shared" si="2"/>
        <v>0</v>
      </c>
      <c r="H36" s="212"/>
      <c r="I36" s="210">
        <f t="shared" si="3"/>
        <v>0</v>
      </c>
      <c r="J36" s="214">
        <f t="shared" si="4"/>
        <v>0</v>
      </c>
      <c r="K36" s="215">
        <f t="shared" si="5"/>
        <v>0</v>
      </c>
      <c r="L36" s="216">
        <f t="shared" si="6"/>
        <v>0</v>
      </c>
    </row>
    <row r="37">
      <c r="A37" s="207" t="s">
        <v>114</v>
      </c>
      <c r="B37" s="208">
        <f>vlookup(A37,Price!A:B,2,false)</f>
        <v>0.4084922851</v>
      </c>
      <c r="C37" s="209"/>
      <c r="D37" s="210">
        <v>0.0</v>
      </c>
      <c r="E37" s="211">
        <f t="shared" si="1"/>
        <v>0</v>
      </c>
      <c r="F37" s="212">
        <f>iferror(vlookup(A37,'Transfer Pricing Playground'!A:P,16,false))</f>
        <v>0</v>
      </c>
      <c r="G37" s="213">
        <f t="shared" si="2"/>
        <v>0</v>
      </c>
      <c r="H37" s="212"/>
      <c r="I37" s="210">
        <f t="shared" si="3"/>
        <v>0</v>
      </c>
      <c r="J37" s="214">
        <f t="shared" si="4"/>
        <v>0</v>
      </c>
      <c r="K37" s="215">
        <f t="shared" si="5"/>
        <v>0</v>
      </c>
      <c r="L37" s="216">
        <f t="shared" si="6"/>
        <v>0</v>
      </c>
    </row>
    <row r="38">
      <c r="A38" s="207" t="s">
        <v>117</v>
      </c>
      <c r="B38" s="208">
        <f>vlookup(A38,Price!A:B,2,false)</f>
        <v>5.37</v>
      </c>
      <c r="C38" s="209"/>
      <c r="D38" s="210">
        <v>0.0</v>
      </c>
      <c r="E38" s="211">
        <f t="shared" si="1"/>
        <v>0</v>
      </c>
      <c r="F38" s="212">
        <f>iferror(vlookup(A38,'Transfer Pricing Playground'!A:P,16,false))</f>
        <v>0</v>
      </c>
      <c r="G38" s="213">
        <f t="shared" si="2"/>
        <v>0</v>
      </c>
      <c r="H38" s="212"/>
      <c r="I38" s="210">
        <f t="shared" si="3"/>
        <v>0</v>
      </c>
      <c r="J38" s="214">
        <f t="shared" si="4"/>
        <v>0</v>
      </c>
      <c r="K38" s="215">
        <f t="shared" si="5"/>
        <v>0</v>
      </c>
      <c r="L38" s="216">
        <f t="shared" si="6"/>
        <v>0</v>
      </c>
    </row>
    <row r="39">
      <c r="A39" s="207" t="s">
        <v>103</v>
      </c>
      <c r="B39" s="208">
        <f>vlookup(A39,Price!A:B,2,false)</f>
        <v>17.65911299</v>
      </c>
      <c r="C39" s="209"/>
      <c r="D39" s="210">
        <v>0.0</v>
      </c>
      <c r="E39" s="211">
        <f t="shared" si="1"/>
        <v>0</v>
      </c>
      <c r="F39" s="212">
        <f>iferror(vlookup(A39,'Transfer Pricing Playground'!A:P,16,false))</f>
        <v>0</v>
      </c>
      <c r="G39" s="213">
        <f t="shared" si="2"/>
        <v>0</v>
      </c>
      <c r="H39" s="212"/>
      <c r="I39" s="210">
        <f t="shared" si="3"/>
        <v>0</v>
      </c>
      <c r="J39" s="214">
        <f t="shared" si="4"/>
        <v>0</v>
      </c>
      <c r="K39" s="215">
        <f t="shared" si="5"/>
        <v>0</v>
      </c>
      <c r="L39" s="216">
        <f t="shared" si="6"/>
        <v>0</v>
      </c>
    </row>
    <row r="40">
      <c r="A40" s="207" t="s">
        <v>77</v>
      </c>
      <c r="B40" s="208">
        <f>vlookup(A40,Price!A:B,2,false)</f>
        <v>2.358615111</v>
      </c>
      <c r="C40" s="209"/>
      <c r="D40" s="210">
        <v>0.0</v>
      </c>
      <c r="E40" s="211">
        <f t="shared" si="1"/>
        <v>0</v>
      </c>
      <c r="F40" s="212">
        <f>iferror(vlookup(A40,'Transfer Pricing Playground'!A:P,16,false))</f>
        <v>0</v>
      </c>
      <c r="G40" s="213">
        <f t="shared" si="2"/>
        <v>0</v>
      </c>
      <c r="H40" s="212"/>
      <c r="I40" s="210">
        <f t="shared" si="3"/>
        <v>0</v>
      </c>
      <c r="J40" s="214">
        <f t="shared" si="4"/>
        <v>0</v>
      </c>
      <c r="K40" s="215">
        <f t="shared" si="5"/>
        <v>0</v>
      </c>
      <c r="L40" s="216">
        <f t="shared" si="6"/>
        <v>0</v>
      </c>
    </row>
    <row r="41">
      <c r="A41" s="207" t="s">
        <v>243</v>
      </c>
      <c r="B41" s="208">
        <f>vlookup(A41,Price!A:B,2,false)</f>
        <v>1.362562138</v>
      </c>
      <c r="C41" s="209"/>
      <c r="D41" s="210">
        <v>0.0</v>
      </c>
      <c r="E41" s="211">
        <f t="shared" si="1"/>
        <v>0</v>
      </c>
      <c r="F41" s="212" t="str">
        <f>iferror(vlookup(A41,'Transfer Pricing Playground'!A:P,16,false))</f>
        <v/>
      </c>
      <c r="G41" s="213">
        <f t="shared" si="2"/>
        <v>0</v>
      </c>
      <c r="H41" s="212"/>
      <c r="I41" s="210">
        <f t="shared" si="3"/>
        <v>0</v>
      </c>
      <c r="J41" s="214">
        <f t="shared" si="4"/>
        <v>0</v>
      </c>
      <c r="K41" s="215">
        <f t="shared" si="5"/>
        <v>0</v>
      </c>
      <c r="L41" s="216">
        <f t="shared" si="6"/>
        <v>0</v>
      </c>
    </row>
    <row r="42">
      <c r="A42" s="198"/>
      <c r="B42" s="208" t="str">
        <f>vlookup(A42,Price!A:B,2,false)</f>
        <v>#N/A</v>
      </c>
      <c r="C42" s="198"/>
      <c r="D42" s="198"/>
      <c r="E42" s="198"/>
      <c r="F42" s="198"/>
      <c r="G42" s="198"/>
      <c r="H42" s="198"/>
      <c r="I42" s="198"/>
      <c r="J42" s="198"/>
      <c r="K42" s="215">
        <f t="shared" ref="K42:L42" si="7">sum(K2:K41)</f>
        <v>0</v>
      </c>
      <c r="L42" s="216">
        <f t="shared" si="7"/>
        <v>0</v>
      </c>
    </row>
    <row r="43">
      <c r="A43" s="198"/>
      <c r="B43" s="208" t="str">
        <f>vlookup(A43,Price!A:B,2,false)</f>
        <v>#N/A</v>
      </c>
      <c r="C43" s="198"/>
      <c r="D43" s="198"/>
      <c r="E43" s="198"/>
      <c r="F43" s="198"/>
      <c r="G43" s="198"/>
      <c r="H43" s="198"/>
      <c r="I43" s="198"/>
      <c r="J43" s="198"/>
      <c r="K43" s="198"/>
      <c r="L43" s="198"/>
    </row>
    <row r="44">
      <c r="A44" s="198"/>
      <c r="B44" s="208" t="str">
        <f>vlookup(A44,Price!A:B,2,false)</f>
        <v>#N/A</v>
      </c>
      <c r="C44" s="198"/>
      <c r="D44" s="198"/>
      <c r="E44" s="198"/>
      <c r="F44" s="198"/>
      <c r="G44" s="198"/>
      <c r="H44" s="198"/>
      <c r="I44" s="198"/>
      <c r="J44" s="198"/>
      <c r="K44" s="198"/>
      <c r="L44" s="198"/>
    </row>
    <row r="45">
      <c r="A45" s="198"/>
      <c r="B45" s="208" t="str">
        <f>vlookup(A45,Price!A:B,2,false)</f>
        <v>#N/A</v>
      </c>
      <c r="C45" s="198"/>
      <c r="D45" s="198"/>
      <c r="E45" s="198"/>
      <c r="F45" s="198"/>
      <c r="G45" s="198"/>
      <c r="H45" s="198"/>
      <c r="I45" s="198"/>
      <c r="J45" s="198"/>
      <c r="K45" s="198"/>
      <c r="L45" s="198"/>
    </row>
    <row r="46">
      <c r="A46" s="198"/>
      <c r="B46" s="208" t="str">
        <f>vlookup(A46,Price!A:B,2,false)</f>
        <v>#N/A</v>
      </c>
      <c r="C46" s="198"/>
      <c r="D46" s="198"/>
      <c r="E46" s="198"/>
      <c r="F46" s="198"/>
      <c r="G46" s="198"/>
      <c r="H46" s="198"/>
      <c r="I46" s="198"/>
      <c r="J46" s="198"/>
      <c r="K46" s="198"/>
      <c r="L46" s="198"/>
    </row>
    <row r="47">
      <c r="A47" s="198"/>
      <c r="B47" s="208" t="str">
        <f>vlookup(A47,Price!A:B,2,false)</f>
        <v>#N/A</v>
      </c>
      <c r="C47" s="198"/>
      <c r="D47" s="198"/>
      <c r="E47" s="198"/>
      <c r="F47" s="198"/>
      <c r="G47" s="198"/>
      <c r="H47" s="198"/>
      <c r="I47" s="198"/>
      <c r="J47" s="198"/>
      <c r="K47" s="198"/>
      <c r="L47" s="198"/>
    </row>
    <row r="48">
      <c r="A48" s="198"/>
      <c r="B48" s="208" t="str">
        <f>vlookup(A48,Price!A:B,2,false)</f>
        <v>#N/A</v>
      </c>
      <c r="C48" s="198"/>
      <c r="D48" s="198"/>
      <c r="E48" s="198"/>
      <c r="F48" s="198"/>
      <c r="G48" s="198"/>
      <c r="H48" s="198"/>
      <c r="I48" s="198"/>
      <c r="J48" s="198"/>
      <c r="K48" s="198"/>
      <c r="L48" s="198"/>
    </row>
    <row r="49">
      <c r="A49" s="198"/>
      <c r="B49" s="208" t="str">
        <f>vlookup(A49,Price!A:B,2,false)</f>
        <v>#N/A</v>
      </c>
      <c r="C49" s="198"/>
      <c r="D49" s="198"/>
      <c r="E49" s="198"/>
      <c r="F49" s="198"/>
      <c r="G49" s="198"/>
      <c r="H49" s="198"/>
      <c r="I49" s="198"/>
      <c r="J49" s="198"/>
      <c r="K49" s="198"/>
      <c r="L49" s="198"/>
    </row>
    <row r="50">
      <c r="A50" s="198"/>
      <c r="B50" s="208" t="str">
        <f>vlookup(A50,Price!A:B,2,false)</f>
        <v>#N/A</v>
      </c>
      <c r="C50" s="198"/>
      <c r="D50" s="198"/>
      <c r="E50" s="198"/>
      <c r="F50" s="198"/>
      <c r="G50" s="198"/>
      <c r="H50" s="198"/>
      <c r="I50" s="198"/>
      <c r="J50" s="198"/>
      <c r="K50" s="198"/>
      <c r="L50" s="198"/>
    </row>
    <row r="51">
      <c r="A51" s="198"/>
      <c r="B51" s="208" t="str">
        <f>vlookup(A51,Price!A:B,2,false)</f>
        <v>#N/A</v>
      </c>
      <c r="C51" s="198"/>
      <c r="D51" s="198"/>
      <c r="E51" s="198"/>
      <c r="F51" s="198"/>
      <c r="G51" s="198"/>
      <c r="H51" s="198"/>
      <c r="I51" s="198"/>
      <c r="J51" s="198"/>
      <c r="K51" s="198"/>
      <c r="L51" s="198"/>
    </row>
    <row r="52">
      <c r="A52" s="198"/>
      <c r="B52" s="208" t="str">
        <f>vlookup(A52,Price!A:B,2,false)</f>
        <v>#N/A</v>
      </c>
      <c r="C52" s="198"/>
      <c r="D52" s="198"/>
      <c r="E52" s="198"/>
      <c r="F52" s="198"/>
      <c r="G52" s="198"/>
      <c r="H52" s="198"/>
      <c r="I52" s="198"/>
      <c r="J52" s="198"/>
      <c r="K52" s="198"/>
      <c r="L52" s="198"/>
    </row>
    <row r="53">
      <c r="A53" s="198"/>
      <c r="B53" s="208" t="str">
        <f>vlookup(A53,Price!A:B,2,false)</f>
        <v>#N/A</v>
      </c>
      <c r="C53" s="198"/>
      <c r="D53" s="198"/>
      <c r="E53" s="198"/>
      <c r="F53" s="198"/>
      <c r="G53" s="198"/>
      <c r="H53" s="198"/>
      <c r="I53" s="198"/>
      <c r="J53" s="198"/>
      <c r="K53" s="198"/>
      <c r="L53" s="198"/>
    </row>
    <row r="54">
      <c r="A54" s="198"/>
      <c r="B54" s="208" t="str">
        <f>vlookup(A54,Price!A:B,2,false)</f>
        <v>#N/A</v>
      </c>
      <c r="C54" s="198"/>
      <c r="D54" s="198"/>
      <c r="E54" s="198"/>
      <c r="F54" s="198"/>
      <c r="G54" s="198"/>
      <c r="H54" s="198"/>
      <c r="I54" s="198"/>
      <c r="J54" s="198"/>
      <c r="K54" s="198"/>
      <c r="L54" s="198"/>
    </row>
    <row r="55">
      <c r="A55" s="198"/>
      <c r="B55" s="208" t="str">
        <f>vlookup(A55,Price!A:B,2,false)</f>
        <v>#N/A</v>
      </c>
      <c r="C55" s="198"/>
      <c r="D55" s="198"/>
      <c r="E55" s="198"/>
      <c r="F55" s="198"/>
      <c r="G55" s="198"/>
      <c r="H55" s="198"/>
      <c r="I55" s="198"/>
      <c r="J55" s="198"/>
      <c r="K55" s="198"/>
      <c r="L55" s="198"/>
    </row>
    <row r="56">
      <c r="A56" s="198"/>
      <c r="B56" s="208" t="str">
        <f>vlookup(A56,Price!A:B,2,false)</f>
        <v>#N/A</v>
      </c>
      <c r="C56" s="198"/>
      <c r="D56" s="198"/>
      <c r="E56" s="198"/>
      <c r="F56" s="198"/>
      <c r="G56" s="198"/>
      <c r="H56" s="198"/>
      <c r="I56" s="198"/>
      <c r="J56" s="198"/>
      <c r="K56" s="198"/>
      <c r="L56" s="198"/>
    </row>
    <row r="57">
      <c r="A57" s="198"/>
      <c r="B57" s="208" t="str">
        <f>vlookup(A57,Price!A:B,2,false)</f>
        <v>#N/A</v>
      </c>
      <c r="C57" s="198"/>
      <c r="D57" s="198"/>
      <c r="E57" s="198"/>
      <c r="F57" s="198"/>
      <c r="G57" s="198"/>
      <c r="H57" s="198"/>
      <c r="I57" s="198"/>
      <c r="J57" s="198"/>
      <c r="K57" s="198"/>
      <c r="L57" s="198"/>
    </row>
    <row r="58">
      <c r="A58" s="198"/>
      <c r="B58" s="208" t="str">
        <f>vlookup(A58,Price!A:B,2,false)</f>
        <v>#N/A</v>
      </c>
      <c r="C58" s="198"/>
      <c r="D58" s="198"/>
      <c r="E58" s="198"/>
      <c r="F58" s="198"/>
      <c r="G58" s="198"/>
      <c r="H58" s="198"/>
      <c r="I58" s="198"/>
      <c r="J58" s="198"/>
      <c r="K58" s="198"/>
      <c r="L58" s="198"/>
    </row>
    <row r="59">
      <c r="A59" s="198"/>
      <c r="B59" s="208" t="str">
        <f>vlookup(A59,Price!A:B,2,false)</f>
        <v>#N/A</v>
      </c>
      <c r="C59" s="198"/>
      <c r="D59" s="198"/>
      <c r="E59" s="198"/>
      <c r="F59" s="198"/>
      <c r="G59" s="198"/>
      <c r="H59" s="198"/>
      <c r="I59" s="198"/>
      <c r="J59" s="198"/>
      <c r="K59" s="198"/>
      <c r="L59" s="198"/>
    </row>
    <row r="60">
      <c r="A60" s="198"/>
      <c r="B60" s="208" t="str">
        <f>vlookup(A60,Price!A:B,2,false)</f>
        <v>#N/A</v>
      </c>
      <c r="C60" s="198"/>
      <c r="D60" s="198"/>
      <c r="E60" s="198"/>
      <c r="F60" s="198"/>
      <c r="G60" s="198"/>
      <c r="H60" s="198"/>
      <c r="I60" s="198"/>
      <c r="J60" s="198"/>
      <c r="K60" s="198"/>
      <c r="L60" s="198"/>
    </row>
    <row r="61">
      <c r="A61" s="198"/>
      <c r="B61" s="208" t="str">
        <f>vlookup(A61,Price!A:B,2,false)</f>
        <v>#N/A</v>
      </c>
      <c r="C61" s="198"/>
      <c r="D61" s="198"/>
      <c r="E61" s="198"/>
      <c r="F61" s="198"/>
      <c r="G61" s="198"/>
      <c r="H61" s="198"/>
      <c r="I61" s="198"/>
      <c r="J61" s="198"/>
      <c r="K61" s="198"/>
      <c r="L61" s="198"/>
    </row>
    <row r="62">
      <c r="A62" s="198"/>
      <c r="B62" s="208" t="str">
        <f>vlookup(A62,Price!A:B,2,false)</f>
        <v>#N/A</v>
      </c>
      <c r="C62" s="198"/>
      <c r="D62" s="198"/>
      <c r="E62" s="198"/>
      <c r="F62" s="198"/>
      <c r="G62" s="198"/>
      <c r="H62" s="198"/>
      <c r="I62" s="198"/>
      <c r="J62" s="198"/>
      <c r="K62" s="198"/>
      <c r="L62" s="198"/>
    </row>
    <row r="63">
      <c r="A63" s="198"/>
      <c r="B63" s="208" t="str">
        <f>vlookup(A63,Price!A:B,2,false)</f>
        <v>#N/A</v>
      </c>
      <c r="C63" s="198"/>
      <c r="D63" s="198"/>
      <c r="E63" s="198"/>
      <c r="F63" s="198"/>
      <c r="G63" s="198"/>
      <c r="H63" s="198"/>
      <c r="I63" s="198"/>
      <c r="J63" s="198"/>
      <c r="K63" s="198"/>
      <c r="L63" s="198"/>
    </row>
    <row r="64">
      <c r="A64" s="198"/>
      <c r="B64" s="208" t="str">
        <f>vlookup(A64,Price!A:B,2,false)</f>
        <v>#N/A</v>
      </c>
      <c r="C64" s="198"/>
      <c r="D64" s="198"/>
      <c r="E64" s="198"/>
      <c r="F64" s="198"/>
      <c r="G64" s="198"/>
      <c r="H64" s="198"/>
      <c r="I64" s="198"/>
      <c r="J64" s="198"/>
      <c r="K64" s="198"/>
      <c r="L64" s="198"/>
    </row>
    <row r="65">
      <c r="A65" s="198"/>
      <c r="B65" s="208" t="str">
        <f>vlookup(A65,Price!A:B,2,false)</f>
        <v>#N/A</v>
      </c>
      <c r="C65" s="198"/>
      <c r="D65" s="198"/>
      <c r="E65" s="198"/>
      <c r="F65" s="198"/>
      <c r="G65" s="198"/>
      <c r="H65" s="198"/>
      <c r="I65" s="198"/>
      <c r="J65" s="198"/>
      <c r="K65" s="198"/>
      <c r="L65" s="198"/>
    </row>
    <row r="66">
      <c r="A66" s="198"/>
      <c r="B66" s="208" t="str">
        <f>vlookup(A66,Price!A:B,2,false)</f>
        <v>#N/A</v>
      </c>
      <c r="C66" s="198"/>
      <c r="D66" s="198"/>
      <c r="E66" s="198"/>
      <c r="F66" s="198"/>
      <c r="G66" s="198"/>
      <c r="H66" s="198"/>
      <c r="I66" s="198"/>
      <c r="J66" s="198"/>
      <c r="K66" s="198"/>
      <c r="L66" s="198"/>
    </row>
    <row r="67">
      <c r="A67" s="198"/>
      <c r="B67" s="208" t="str">
        <f>vlookup(A67,Price!A:B,2,false)</f>
        <v>#N/A</v>
      </c>
      <c r="C67" s="198"/>
      <c r="D67" s="198"/>
      <c r="E67" s="198"/>
      <c r="F67" s="198"/>
      <c r="G67" s="198"/>
      <c r="H67" s="198"/>
      <c r="I67" s="198"/>
      <c r="J67" s="198"/>
      <c r="K67" s="198"/>
      <c r="L67" s="198"/>
    </row>
    <row r="68">
      <c r="A68" s="198"/>
      <c r="B68" s="208" t="str">
        <f>vlookup(A68,Price!A:B,2,false)</f>
        <v>#N/A</v>
      </c>
      <c r="C68" s="198"/>
      <c r="D68" s="198"/>
      <c r="E68" s="198"/>
      <c r="F68" s="198"/>
      <c r="G68" s="198"/>
      <c r="H68" s="198"/>
      <c r="I68" s="198"/>
      <c r="J68" s="198"/>
      <c r="K68" s="198"/>
      <c r="L68" s="198"/>
    </row>
    <row r="69">
      <c r="A69" s="198"/>
      <c r="B69" s="208" t="str">
        <f>vlookup(A69,Price!A:B,2,false)</f>
        <v>#N/A</v>
      </c>
      <c r="C69" s="198"/>
      <c r="D69" s="198"/>
      <c r="E69" s="198"/>
      <c r="F69" s="198"/>
      <c r="G69" s="198"/>
      <c r="H69" s="198"/>
      <c r="I69" s="198"/>
      <c r="J69" s="198"/>
      <c r="K69" s="198"/>
      <c r="L69" s="198"/>
    </row>
    <row r="70">
      <c r="A70" s="198"/>
      <c r="B70" s="208" t="str">
        <f>vlookup(A70,Price!A:B,2,false)</f>
        <v>#N/A</v>
      </c>
      <c r="C70" s="198"/>
      <c r="D70" s="198"/>
      <c r="E70" s="198"/>
      <c r="F70" s="198"/>
      <c r="G70" s="198"/>
      <c r="H70" s="198"/>
      <c r="I70" s="198"/>
      <c r="J70" s="198"/>
      <c r="K70" s="198"/>
      <c r="L70" s="198"/>
    </row>
    <row r="71">
      <c r="A71" s="198"/>
      <c r="B71" s="208" t="str">
        <f>vlookup(A71,Price!A:B,2,false)</f>
        <v>#N/A</v>
      </c>
      <c r="C71" s="198"/>
      <c r="D71" s="198"/>
      <c r="E71" s="198"/>
      <c r="F71" s="198"/>
      <c r="G71" s="198"/>
      <c r="H71" s="198"/>
      <c r="I71" s="198"/>
      <c r="J71" s="198"/>
      <c r="K71" s="198"/>
      <c r="L71" s="198"/>
    </row>
    <row r="72">
      <c r="A72" s="198"/>
      <c r="B72" s="208" t="str">
        <f>vlookup(A72,Price!A:B,2,false)</f>
        <v>#N/A</v>
      </c>
      <c r="C72" s="198"/>
      <c r="D72" s="198"/>
      <c r="E72" s="198"/>
      <c r="F72" s="198"/>
      <c r="G72" s="198"/>
      <c r="H72" s="198"/>
      <c r="I72" s="198"/>
      <c r="J72" s="198"/>
      <c r="K72" s="198"/>
      <c r="L72" s="198"/>
    </row>
    <row r="73">
      <c r="A73" s="198"/>
      <c r="B73" s="208" t="str">
        <f>vlookup(A73,Price!A:B,2,false)</f>
        <v>#N/A</v>
      </c>
      <c r="C73" s="198"/>
      <c r="D73" s="198"/>
      <c r="E73" s="198"/>
      <c r="F73" s="198"/>
      <c r="G73" s="198"/>
      <c r="H73" s="198"/>
      <c r="I73" s="198"/>
      <c r="J73" s="198"/>
      <c r="K73" s="198"/>
      <c r="L73" s="198"/>
    </row>
    <row r="74">
      <c r="A74" s="198"/>
      <c r="B74" s="208" t="str">
        <f>vlookup(A74,Price!A:B,2,false)</f>
        <v>#N/A</v>
      </c>
      <c r="C74" s="198"/>
      <c r="D74" s="198"/>
      <c r="E74" s="198"/>
      <c r="F74" s="198"/>
      <c r="G74" s="198"/>
      <c r="H74" s="198"/>
      <c r="I74" s="198"/>
      <c r="J74" s="198"/>
      <c r="K74" s="198"/>
      <c r="L74" s="198"/>
    </row>
    <row r="75">
      <c r="A75" s="198"/>
      <c r="B75" s="208" t="str">
        <f>vlookup(A75,Price!A:B,2,false)</f>
        <v>#N/A</v>
      </c>
      <c r="C75" s="198"/>
      <c r="D75" s="198"/>
      <c r="E75" s="198"/>
      <c r="F75" s="198"/>
      <c r="G75" s="198"/>
      <c r="H75" s="198"/>
      <c r="I75" s="198"/>
      <c r="J75" s="198"/>
      <c r="K75" s="198"/>
      <c r="L75" s="198"/>
    </row>
    <row r="76">
      <c r="A76" s="198"/>
      <c r="B76" s="208" t="str">
        <f>vlookup(A76,Price!A:B,2,false)</f>
        <v>#N/A</v>
      </c>
      <c r="C76" s="198"/>
      <c r="D76" s="198"/>
      <c r="E76" s="198"/>
      <c r="F76" s="198"/>
      <c r="G76" s="198"/>
      <c r="H76" s="198"/>
      <c r="I76" s="198"/>
      <c r="J76" s="198"/>
      <c r="K76" s="198"/>
      <c r="L76" s="198"/>
    </row>
    <row r="77">
      <c r="A77" s="198"/>
      <c r="B77" s="208" t="str">
        <f>vlookup(A77,Price!A:B,2,false)</f>
        <v>#N/A</v>
      </c>
      <c r="C77" s="198"/>
      <c r="D77" s="198"/>
      <c r="E77" s="198"/>
      <c r="F77" s="198"/>
      <c r="G77" s="198"/>
      <c r="H77" s="198"/>
      <c r="I77" s="198"/>
      <c r="J77" s="198"/>
      <c r="K77" s="198"/>
      <c r="L77" s="198"/>
    </row>
    <row r="78">
      <c r="A78" s="198"/>
      <c r="B78" s="208" t="str">
        <f>vlookup(A78,Price!A:B,2,false)</f>
        <v>#N/A</v>
      </c>
      <c r="C78" s="198"/>
      <c r="D78" s="198"/>
      <c r="E78" s="198"/>
      <c r="F78" s="198"/>
      <c r="G78" s="198"/>
      <c r="H78" s="198"/>
      <c r="I78" s="198"/>
      <c r="J78" s="198"/>
      <c r="K78" s="198"/>
      <c r="L78" s="198"/>
    </row>
    <row r="79">
      <c r="A79" s="198"/>
      <c r="B79" s="208" t="str">
        <f>vlookup(A79,Price!A:B,2,false)</f>
        <v>#N/A</v>
      </c>
      <c r="C79" s="198"/>
      <c r="D79" s="198"/>
      <c r="E79" s="198"/>
      <c r="F79" s="198"/>
      <c r="G79" s="198"/>
      <c r="H79" s="198"/>
      <c r="I79" s="198"/>
      <c r="J79" s="198"/>
      <c r="K79" s="198"/>
      <c r="L79" s="198"/>
    </row>
    <row r="80">
      <c r="A80" s="198"/>
      <c r="B80" s="208" t="str">
        <f>vlookup(A80,Price!A:B,2,false)</f>
        <v>#N/A</v>
      </c>
      <c r="C80" s="198"/>
      <c r="D80" s="198"/>
      <c r="E80" s="198"/>
      <c r="F80" s="198"/>
      <c r="G80" s="198"/>
      <c r="H80" s="198"/>
      <c r="I80" s="198"/>
      <c r="J80" s="198"/>
      <c r="K80" s="198"/>
      <c r="L80" s="198"/>
    </row>
    <row r="81">
      <c r="A81" s="198"/>
      <c r="B81" s="208" t="str">
        <f>vlookup(A81,Price!A:B,2,false)</f>
        <v>#N/A</v>
      </c>
      <c r="C81" s="198"/>
      <c r="D81" s="198"/>
      <c r="E81" s="198"/>
      <c r="F81" s="198"/>
      <c r="G81" s="198"/>
      <c r="H81" s="198"/>
      <c r="I81" s="198"/>
      <c r="J81" s="198"/>
      <c r="K81" s="198"/>
      <c r="L81" s="198"/>
    </row>
    <row r="82">
      <c r="A82" s="198"/>
      <c r="B82" s="208" t="str">
        <f>vlookup(A82,Price!A:B,2,false)</f>
        <v>#N/A</v>
      </c>
      <c r="C82" s="198"/>
      <c r="D82" s="198"/>
      <c r="E82" s="198"/>
      <c r="F82" s="198"/>
      <c r="G82" s="198"/>
      <c r="H82" s="198"/>
      <c r="I82" s="198"/>
      <c r="J82" s="198"/>
      <c r="K82" s="198"/>
      <c r="L82" s="198"/>
    </row>
    <row r="83">
      <c r="A83" s="198"/>
      <c r="B83" s="208" t="str">
        <f>vlookup(A83,Price!A:B,2,false)</f>
        <v>#N/A</v>
      </c>
      <c r="C83" s="198"/>
      <c r="D83" s="198"/>
      <c r="E83" s="198"/>
      <c r="F83" s="198"/>
      <c r="G83" s="198"/>
      <c r="H83" s="198"/>
      <c r="I83" s="198"/>
      <c r="J83" s="198"/>
      <c r="K83" s="198"/>
      <c r="L83" s="198"/>
    </row>
    <row r="84">
      <c r="A84" s="198"/>
      <c r="B84" s="208" t="str">
        <f>vlookup(A84,Price!A:B,2,false)</f>
        <v>#N/A</v>
      </c>
      <c r="C84" s="198"/>
      <c r="D84" s="198"/>
      <c r="E84" s="198"/>
      <c r="F84" s="198"/>
      <c r="G84" s="198"/>
      <c r="H84" s="198"/>
      <c r="I84" s="198"/>
      <c r="J84" s="198"/>
      <c r="K84" s="198"/>
      <c r="L84" s="198"/>
    </row>
    <row r="85">
      <c r="A85" s="198"/>
      <c r="B85" s="208" t="str">
        <f>vlookup(A85,Price!A:B,2,false)</f>
        <v>#N/A</v>
      </c>
      <c r="C85" s="198"/>
      <c r="D85" s="198"/>
      <c r="E85" s="198"/>
      <c r="F85" s="198"/>
      <c r="G85" s="198"/>
      <c r="H85" s="198"/>
      <c r="I85" s="198"/>
      <c r="J85" s="198"/>
      <c r="K85" s="198"/>
      <c r="L85" s="198"/>
    </row>
    <row r="86">
      <c r="A86" s="198"/>
      <c r="B86" s="208" t="str">
        <f>vlookup(A86,Price!A:B,2,false)</f>
        <v>#N/A</v>
      </c>
      <c r="C86" s="198"/>
      <c r="D86" s="198"/>
      <c r="E86" s="198"/>
      <c r="F86" s="198"/>
      <c r="G86" s="198"/>
      <c r="H86" s="198"/>
      <c r="I86" s="198"/>
      <c r="J86" s="198"/>
      <c r="K86" s="198"/>
      <c r="L86" s="198"/>
    </row>
    <row r="87">
      <c r="A87" s="198"/>
      <c r="B87" s="208" t="str">
        <f>vlookup(A87,Price!A:B,2,false)</f>
        <v>#N/A</v>
      </c>
      <c r="C87" s="198"/>
      <c r="D87" s="198"/>
      <c r="E87" s="198"/>
      <c r="F87" s="198"/>
      <c r="G87" s="198"/>
      <c r="H87" s="198"/>
      <c r="I87" s="198"/>
      <c r="J87" s="198"/>
      <c r="K87" s="198"/>
      <c r="L87" s="198"/>
    </row>
    <row r="88">
      <c r="A88" s="198"/>
      <c r="B88" s="208" t="str">
        <f>vlookup(A88,Price!A:B,2,false)</f>
        <v>#N/A</v>
      </c>
      <c r="C88" s="198"/>
      <c r="D88" s="198"/>
      <c r="E88" s="198"/>
      <c r="F88" s="198"/>
      <c r="G88" s="198"/>
      <c r="H88" s="198"/>
      <c r="I88" s="198"/>
      <c r="J88" s="198"/>
      <c r="K88" s="198"/>
      <c r="L88" s="198"/>
    </row>
    <row r="89">
      <c r="A89" s="198"/>
      <c r="B89" s="208" t="str">
        <f>vlookup(A89,Price!A:B,2,false)</f>
        <v>#N/A</v>
      </c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>
      <c r="A90" s="198"/>
      <c r="B90" s="208" t="str">
        <f>vlookup(A90,Price!A:B,2,false)</f>
        <v>#N/A</v>
      </c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1">
      <c r="A91" s="198"/>
      <c r="B91" s="208" t="str">
        <f>vlookup(A91,Price!A:B,2,false)</f>
        <v>#N/A</v>
      </c>
      <c r="C91" s="198"/>
      <c r="D91" s="198"/>
      <c r="E91" s="198"/>
      <c r="F91" s="198"/>
      <c r="G91" s="198"/>
      <c r="H91" s="198"/>
      <c r="I91" s="198"/>
      <c r="J91" s="198"/>
      <c r="K91" s="198"/>
      <c r="L91" s="198"/>
    </row>
    <row r="92">
      <c r="A92" s="198"/>
      <c r="B92" s="208" t="str">
        <f>vlookup(A92,Price!A:B,2,false)</f>
        <v>#N/A</v>
      </c>
      <c r="C92" s="198"/>
      <c r="D92" s="198"/>
      <c r="E92" s="198"/>
      <c r="F92" s="198"/>
      <c r="G92" s="198"/>
      <c r="H92" s="198"/>
      <c r="I92" s="198"/>
      <c r="J92" s="198"/>
      <c r="K92" s="198"/>
      <c r="L92" s="198"/>
    </row>
    <row r="93">
      <c r="A93" s="198"/>
      <c r="B93" s="208" t="str">
        <f>vlookup(A93,Price!A:B,2,false)</f>
        <v>#N/A</v>
      </c>
      <c r="C93" s="198"/>
      <c r="D93" s="198"/>
      <c r="E93" s="198"/>
      <c r="F93" s="198"/>
      <c r="G93" s="198"/>
      <c r="H93" s="198"/>
      <c r="I93" s="198"/>
      <c r="J93" s="198"/>
      <c r="K93" s="198"/>
      <c r="L93" s="198"/>
    </row>
    <row r="94">
      <c r="A94" s="198"/>
      <c r="B94" s="208" t="str">
        <f>vlookup(A94,Price!A:B,2,false)</f>
        <v>#N/A</v>
      </c>
      <c r="C94" s="198"/>
      <c r="D94" s="198"/>
      <c r="E94" s="198"/>
      <c r="F94" s="198"/>
      <c r="G94" s="198"/>
      <c r="H94" s="198"/>
      <c r="I94" s="198"/>
      <c r="J94" s="198"/>
      <c r="K94" s="198"/>
      <c r="L94" s="198"/>
    </row>
    <row r="95">
      <c r="A95" s="198"/>
      <c r="B95" s="208" t="str">
        <f>vlookup(A95,Price!A:B,2,false)</f>
        <v>#N/A</v>
      </c>
      <c r="C95" s="198"/>
      <c r="D95" s="198"/>
      <c r="E95" s="198"/>
      <c r="F95" s="198"/>
      <c r="G95" s="198"/>
      <c r="H95" s="198"/>
      <c r="I95" s="198"/>
      <c r="J95" s="198"/>
      <c r="K95" s="198"/>
      <c r="L95" s="198"/>
    </row>
    <row r="96">
      <c r="A96" s="198"/>
      <c r="B96" s="208" t="str">
        <f>vlookup(A96,Price!A:B,2,false)</f>
        <v>#N/A</v>
      </c>
      <c r="C96" s="198"/>
      <c r="D96" s="198"/>
      <c r="E96" s="198"/>
      <c r="F96" s="198"/>
      <c r="G96" s="198"/>
      <c r="H96" s="198"/>
      <c r="I96" s="198"/>
      <c r="J96" s="198"/>
      <c r="K96" s="198"/>
      <c r="L96" s="198"/>
    </row>
    <row r="97">
      <c r="A97" s="198"/>
      <c r="B97" s="208" t="str">
        <f>vlookup(A97,Price!A:B,2,false)</f>
        <v>#N/A</v>
      </c>
      <c r="C97" s="198"/>
      <c r="D97" s="198"/>
      <c r="E97" s="198"/>
      <c r="F97" s="198"/>
      <c r="G97" s="198"/>
      <c r="H97" s="198"/>
      <c r="I97" s="198"/>
      <c r="J97" s="198"/>
      <c r="K97" s="198"/>
      <c r="L97" s="198"/>
    </row>
    <row r="98">
      <c r="A98" s="198"/>
      <c r="B98" s="208" t="str">
        <f>vlookup(A98,Price!A:B,2,false)</f>
        <v>#N/A</v>
      </c>
      <c r="C98" s="198"/>
      <c r="D98" s="198"/>
      <c r="E98" s="198"/>
      <c r="F98" s="198"/>
      <c r="G98" s="198"/>
      <c r="H98" s="198"/>
      <c r="I98" s="198"/>
      <c r="J98" s="198"/>
      <c r="K98" s="198"/>
      <c r="L98" s="198"/>
    </row>
    <row r="99">
      <c r="A99" s="198"/>
      <c r="B99" s="208" t="str">
        <f>vlookup(A99,Price!A:B,2,false)</f>
        <v>#N/A</v>
      </c>
      <c r="C99" s="198"/>
      <c r="D99" s="198"/>
      <c r="E99" s="198"/>
      <c r="F99" s="198"/>
      <c r="G99" s="198"/>
      <c r="H99" s="198"/>
      <c r="I99" s="198"/>
      <c r="J99" s="198"/>
      <c r="K99" s="198"/>
      <c r="L99" s="198"/>
    </row>
    <row r="100">
      <c r="A100" s="198"/>
      <c r="B100" s="208" t="str">
        <f>vlookup(A100,Price!A:B,2,false)</f>
        <v>#N/A</v>
      </c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</row>
    <row r="101">
      <c r="A101" s="198"/>
      <c r="B101" s="208" t="str">
        <f>vlookup(A101,Price!A:B,2,false)</f>
        <v>#N/A</v>
      </c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</row>
    <row r="102">
      <c r="A102" s="198"/>
      <c r="B102" s="208" t="str">
        <f>vlookup(A102,Price!A:B,2,false)</f>
        <v>#N/A</v>
      </c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</row>
    <row r="103">
      <c r="A103" s="198"/>
      <c r="B103" s="208" t="str">
        <f>vlookup(A103,Price!A:B,2,false)</f>
        <v>#N/A</v>
      </c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</row>
    <row r="104">
      <c r="A104" s="198"/>
      <c r="B104" s="208" t="str">
        <f>vlookup(A104,Price!A:B,2,false)</f>
        <v>#N/A</v>
      </c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</row>
    <row r="105">
      <c r="A105" s="198"/>
      <c r="B105" s="208" t="str">
        <f>vlookup(A105,Price!A:B,2,false)</f>
        <v>#N/A</v>
      </c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</row>
    <row r="106">
      <c r="A106" s="198"/>
      <c r="B106" s="208" t="str">
        <f>vlookup(A106,Price!A:B,2,false)</f>
        <v>#N/A</v>
      </c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</row>
    <row r="107">
      <c r="A107" s="198"/>
      <c r="B107" s="208" t="str">
        <f>vlookup(A107,Price!A:B,2,false)</f>
        <v>#N/A</v>
      </c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</row>
    <row r="108">
      <c r="A108" s="198"/>
      <c r="B108" s="208" t="str">
        <f>vlookup(A108,Price!A:B,2,false)</f>
        <v>#N/A</v>
      </c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</row>
    <row r="109">
      <c r="A109" s="198"/>
      <c r="B109" s="208" t="str">
        <f>vlookup(A109,Price!A:B,2,false)</f>
        <v>#N/A</v>
      </c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</row>
    <row r="110">
      <c r="A110" s="198"/>
      <c r="B110" s="208" t="str">
        <f>vlookup(A110,Price!A:B,2,false)</f>
        <v>#N/A</v>
      </c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</row>
    <row r="111">
      <c r="A111" s="198"/>
      <c r="B111" s="208" t="str">
        <f>vlookup(A111,Price!A:B,2,false)</f>
        <v>#N/A</v>
      </c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</row>
    <row r="112">
      <c r="A112" s="198"/>
      <c r="B112" s="208" t="str">
        <f>vlookup(A112,Price!A:B,2,false)</f>
        <v>#N/A</v>
      </c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</row>
    <row r="113">
      <c r="A113" s="198"/>
      <c r="B113" s="208" t="str">
        <f>vlookup(A113,Price!A:B,2,false)</f>
        <v>#N/A</v>
      </c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</row>
    <row r="114">
      <c r="A114" s="198"/>
      <c r="B114" s="208" t="str">
        <f>vlookup(A114,Price!A:B,2,false)</f>
        <v>#N/A</v>
      </c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</row>
    <row r="115">
      <c r="A115" s="198"/>
      <c r="B115" s="208" t="str">
        <f>vlookup(A115,Price!A:B,2,false)</f>
        <v>#N/A</v>
      </c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</row>
    <row r="116">
      <c r="A116" s="198"/>
      <c r="B116" s="208" t="str">
        <f>vlookup(A116,Price!A:B,2,false)</f>
        <v>#N/A</v>
      </c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</row>
    <row r="117">
      <c r="A117" s="198"/>
      <c r="B117" s="208" t="str">
        <f>vlookup(A117,Price!A:B,2,false)</f>
        <v>#N/A</v>
      </c>
      <c r="C117" s="198"/>
      <c r="D117" s="198"/>
      <c r="E117" s="198"/>
      <c r="F117" s="198"/>
      <c r="G117" s="198"/>
      <c r="H117" s="198"/>
      <c r="I117" s="198"/>
      <c r="J117" s="198"/>
      <c r="K117" s="198"/>
      <c r="L117" s="198"/>
    </row>
    <row r="118">
      <c r="A118" s="198"/>
      <c r="B118" s="208" t="str">
        <f>vlookup(A118,Price!A:B,2,false)</f>
        <v>#N/A</v>
      </c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</row>
    <row r="119">
      <c r="A119" s="198"/>
      <c r="B119" s="208" t="str">
        <f>vlookup(A119,Price!A:B,2,false)</f>
        <v>#N/A</v>
      </c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</row>
    <row r="120">
      <c r="A120" s="198"/>
      <c r="B120" s="208" t="str">
        <f>vlookup(A120,Price!A:B,2,false)</f>
        <v>#N/A</v>
      </c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</row>
    <row r="121">
      <c r="A121" s="198"/>
      <c r="B121" s="208" t="str">
        <f>vlookup(A121,Price!A:B,2,false)</f>
        <v>#N/A</v>
      </c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</row>
    <row r="122">
      <c r="A122" s="198"/>
      <c r="B122" s="208" t="str">
        <f>vlookup(A122,Price!A:B,2,false)</f>
        <v>#N/A</v>
      </c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</row>
    <row r="123">
      <c r="A123" s="198"/>
      <c r="B123" s="208" t="str">
        <f>vlookup(A123,Price!A:B,2,false)</f>
        <v>#N/A</v>
      </c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</row>
    <row r="124">
      <c r="A124" s="198"/>
      <c r="B124" s="208" t="str">
        <f>vlookup(A124,Price!A:B,2,false)</f>
        <v>#N/A</v>
      </c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</row>
    <row r="125">
      <c r="A125" s="198"/>
      <c r="B125" s="208" t="str">
        <f>vlookup(A125,Price!A:B,2,false)</f>
        <v>#N/A</v>
      </c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</row>
    <row r="126">
      <c r="A126" s="198"/>
      <c r="B126" s="208" t="str">
        <f>vlookup(A126,Price!A:B,2,false)</f>
        <v>#N/A</v>
      </c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</row>
    <row r="127">
      <c r="A127" s="198"/>
      <c r="B127" s="208" t="str">
        <f>vlookup(A127,Price!A:B,2,false)</f>
        <v>#N/A</v>
      </c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</row>
    <row r="128">
      <c r="A128" s="198"/>
      <c r="B128" s="208" t="str">
        <f>vlookup(A128,Price!A:B,2,false)</f>
        <v>#N/A</v>
      </c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</row>
    <row r="129">
      <c r="A129" s="198"/>
      <c r="B129" s="208" t="str">
        <f>vlookup(A129,Price!A:B,2,false)</f>
        <v>#N/A</v>
      </c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</row>
    <row r="130">
      <c r="A130" s="198"/>
      <c r="B130" s="208" t="str">
        <f>vlookup(A130,Price!A:B,2,false)</f>
        <v>#N/A</v>
      </c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</row>
    <row r="131">
      <c r="A131" s="198"/>
      <c r="B131" s="208" t="str">
        <f>vlookup(A131,Price!A:B,2,false)</f>
        <v>#N/A</v>
      </c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</row>
    <row r="132">
      <c r="A132" s="198"/>
      <c r="B132" s="208" t="str">
        <f>vlookup(A132,Price!A:B,2,false)</f>
        <v>#N/A</v>
      </c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</row>
    <row r="133">
      <c r="A133" s="198"/>
      <c r="B133" s="208" t="str">
        <f>vlookup(A133,Price!A:B,2,false)</f>
        <v>#N/A</v>
      </c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</row>
    <row r="134">
      <c r="A134" s="198"/>
      <c r="B134" s="208" t="str">
        <f>vlookup(A134,Price!A:B,2,false)</f>
        <v>#N/A</v>
      </c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</row>
    <row r="135">
      <c r="A135" s="198"/>
      <c r="B135" s="208" t="str">
        <f>vlookup(A135,Price!A:B,2,false)</f>
        <v>#N/A</v>
      </c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</row>
    <row r="136">
      <c r="A136" s="198"/>
      <c r="B136" s="208" t="str">
        <f>vlookup(A136,Price!A:B,2,false)</f>
        <v>#N/A</v>
      </c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</row>
    <row r="137">
      <c r="A137" s="198"/>
      <c r="B137" s="208" t="str">
        <f>vlookup(A137,Price!A:B,2,false)</f>
        <v>#N/A</v>
      </c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</row>
    <row r="138">
      <c r="A138" s="198"/>
      <c r="B138" s="208" t="str">
        <f>vlookup(A138,Price!A:B,2,false)</f>
        <v>#N/A</v>
      </c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</row>
    <row r="139">
      <c r="A139" s="198"/>
      <c r="B139" s="208" t="str">
        <f>vlookup(A139,Price!A:B,2,false)</f>
        <v>#N/A</v>
      </c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</row>
    <row r="140">
      <c r="A140" s="198"/>
      <c r="B140" s="208" t="str">
        <f>vlookup(A140,Price!A:B,2,false)</f>
        <v>#N/A</v>
      </c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</row>
    <row r="141">
      <c r="A141" s="198"/>
      <c r="B141" s="208" t="str">
        <f>vlookup(A141,Price!A:B,2,false)</f>
        <v>#N/A</v>
      </c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</row>
    <row r="142">
      <c r="A142" s="198"/>
      <c r="B142" s="208" t="str">
        <f>vlookup(A142,Price!A:B,2,false)</f>
        <v>#N/A</v>
      </c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</row>
    <row r="143">
      <c r="A143" s="198"/>
      <c r="B143" s="208" t="str">
        <f>vlookup(A143,Price!A:B,2,false)</f>
        <v>#N/A</v>
      </c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</row>
    <row r="144">
      <c r="A144" s="198"/>
      <c r="B144" s="208" t="str">
        <f>vlookup(A144,Price!A:B,2,false)</f>
        <v>#N/A</v>
      </c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</row>
    <row r="145">
      <c r="A145" s="198"/>
      <c r="B145" s="208" t="str">
        <f>vlookup(A145,Price!A:B,2,false)</f>
        <v>#N/A</v>
      </c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</row>
    <row r="146">
      <c r="A146" s="198"/>
      <c r="B146" s="208" t="str">
        <f>vlookup(A146,Price!A:B,2,false)</f>
        <v>#N/A</v>
      </c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</row>
    <row r="147">
      <c r="A147" s="198"/>
      <c r="B147" s="208" t="str">
        <f>vlookup(A147,Price!A:B,2,false)</f>
        <v>#N/A</v>
      </c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</row>
    <row r="148">
      <c r="A148" s="198"/>
      <c r="B148" s="208" t="str">
        <f>vlookup(A148,Price!A:B,2,false)</f>
        <v>#N/A</v>
      </c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</row>
    <row r="149">
      <c r="A149" s="198"/>
      <c r="B149" s="208" t="str">
        <f>vlookup(A149,Price!A:B,2,false)</f>
        <v>#N/A</v>
      </c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</row>
    <row r="150">
      <c r="A150" s="198"/>
      <c r="B150" s="208" t="str">
        <f>vlookup(A150,Price!A:B,2,false)</f>
        <v>#N/A</v>
      </c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</row>
    <row r="151">
      <c r="A151" s="198"/>
      <c r="B151" s="208" t="str">
        <f>vlookup(A151,Price!A:B,2,false)</f>
        <v>#N/A</v>
      </c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</row>
    <row r="152">
      <c r="A152" s="198"/>
      <c r="B152" s="208" t="str">
        <f>vlookup(A152,Price!A:B,2,false)</f>
        <v>#N/A</v>
      </c>
      <c r="C152" s="198"/>
      <c r="D152" s="198"/>
      <c r="E152" s="198"/>
      <c r="F152" s="198"/>
      <c r="G152" s="198"/>
      <c r="H152" s="198"/>
      <c r="I152" s="198"/>
      <c r="J152" s="198"/>
      <c r="K152" s="198"/>
      <c r="L152" s="198"/>
    </row>
    <row r="153">
      <c r="A153" s="198"/>
      <c r="B153" s="208" t="str">
        <f>vlookup(A153,Price!A:B,2,false)</f>
        <v>#N/A</v>
      </c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</row>
    <row r="154">
      <c r="A154" s="198"/>
      <c r="B154" s="208" t="str">
        <f>vlookup(A154,Price!A:B,2,false)</f>
        <v>#N/A</v>
      </c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</row>
    <row r="155">
      <c r="A155" s="198"/>
      <c r="B155" s="208" t="str">
        <f>vlookup(A155,Price!A:B,2,false)</f>
        <v>#N/A</v>
      </c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</row>
    <row r="156">
      <c r="A156" s="198"/>
      <c r="B156" s="208" t="str">
        <f>vlookup(A156,Price!A:B,2,false)</f>
        <v>#N/A</v>
      </c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</row>
    <row r="157">
      <c r="A157" s="198"/>
      <c r="B157" s="208" t="str">
        <f>vlookup(A157,Price!A:B,2,false)</f>
        <v>#N/A</v>
      </c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</row>
    <row r="158">
      <c r="A158" s="198"/>
      <c r="B158" s="208" t="str">
        <f>vlookup(A158,Price!A:B,2,false)</f>
        <v>#N/A</v>
      </c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</row>
    <row r="159">
      <c r="A159" s="198"/>
      <c r="B159" s="208" t="str">
        <f>vlookup(A159,Price!A:B,2,false)</f>
        <v>#N/A</v>
      </c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</row>
    <row r="160">
      <c r="A160" s="198"/>
      <c r="B160" s="208" t="str">
        <f>vlookup(A160,Price!A:B,2,false)</f>
        <v>#N/A</v>
      </c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</row>
    <row r="161">
      <c r="A161" s="198"/>
      <c r="B161" s="208" t="str">
        <f>vlookup(A161,Price!A:B,2,false)</f>
        <v>#N/A</v>
      </c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</row>
    <row r="162">
      <c r="A162" s="198"/>
      <c r="B162" s="208" t="str">
        <f>vlookup(A162,Price!A:B,2,false)</f>
        <v>#N/A</v>
      </c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</row>
    <row r="163">
      <c r="A163" s="198"/>
      <c r="B163" s="208" t="str">
        <f>vlookup(A163,Price!A:B,2,false)</f>
        <v>#N/A</v>
      </c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</row>
    <row r="164">
      <c r="A164" s="198"/>
      <c r="B164" s="208" t="str">
        <f>vlookup(A164,Price!A:B,2,false)</f>
        <v>#N/A</v>
      </c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</row>
    <row r="165">
      <c r="A165" s="198"/>
      <c r="B165" s="208" t="str">
        <f>vlookup(A165,Price!A:B,2,false)</f>
        <v>#N/A</v>
      </c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</row>
    <row r="166">
      <c r="A166" s="198"/>
      <c r="B166" s="208" t="str">
        <f>vlookup(A166,Price!A:B,2,false)</f>
        <v>#N/A</v>
      </c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</row>
    <row r="167">
      <c r="A167" s="198"/>
      <c r="B167" s="208" t="str">
        <f>vlookup(A167,Price!A:B,2,false)</f>
        <v>#N/A</v>
      </c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</row>
    <row r="168">
      <c r="A168" s="198"/>
      <c r="B168" s="208" t="str">
        <f>vlookup(A168,Price!A:B,2,false)</f>
        <v>#N/A</v>
      </c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</row>
    <row r="169">
      <c r="A169" s="198"/>
      <c r="B169" s="208" t="str">
        <f>vlookup(A169,Price!A:B,2,false)</f>
        <v>#N/A</v>
      </c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</row>
    <row r="170">
      <c r="A170" s="198"/>
      <c r="B170" s="208" t="str">
        <f>vlookup(A170,Price!A:B,2,false)</f>
        <v>#N/A</v>
      </c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</row>
    <row r="171">
      <c r="A171" s="198"/>
      <c r="B171" s="208" t="str">
        <f>vlookup(A171,Price!A:B,2,false)</f>
        <v>#N/A</v>
      </c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</row>
    <row r="172">
      <c r="A172" s="198"/>
      <c r="B172" s="208" t="str">
        <f>vlookup(A172,Price!A:B,2,false)</f>
        <v>#N/A</v>
      </c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</row>
    <row r="173">
      <c r="A173" s="198"/>
      <c r="B173" s="208" t="str">
        <f>vlookup(A173,Price!A:B,2,false)</f>
        <v>#N/A</v>
      </c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</row>
    <row r="174">
      <c r="A174" s="198"/>
      <c r="B174" s="208" t="str">
        <f>vlookup(A174,Price!A:B,2,false)</f>
        <v>#N/A</v>
      </c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</row>
    <row r="175">
      <c r="A175" s="198"/>
      <c r="B175" s="208" t="str">
        <f>vlookup(A175,Price!A:B,2,false)</f>
        <v>#N/A</v>
      </c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</row>
    <row r="176">
      <c r="A176" s="198"/>
      <c r="B176" s="208" t="str">
        <f>vlookup(A176,Price!A:B,2,false)</f>
        <v>#N/A</v>
      </c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</row>
    <row r="177">
      <c r="A177" s="198"/>
      <c r="B177" s="208" t="str">
        <f>vlookup(A177,Price!A:B,2,false)</f>
        <v>#N/A</v>
      </c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</row>
    <row r="178">
      <c r="A178" s="198"/>
      <c r="B178" s="208" t="str">
        <f>vlookup(A178,Price!A:B,2,false)</f>
        <v>#N/A</v>
      </c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</row>
    <row r="179">
      <c r="A179" s="198"/>
      <c r="B179" s="208" t="str">
        <f>vlookup(A179,Price!A:B,2,false)</f>
        <v>#N/A</v>
      </c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</row>
    <row r="180">
      <c r="A180" s="198"/>
      <c r="B180" s="208" t="str">
        <f>vlookup(A180,Price!A:B,2,false)</f>
        <v>#N/A</v>
      </c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</row>
    <row r="181">
      <c r="A181" s="198"/>
      <c r="B181" s="208" t="str">
        <f>vlookup(A181,Price!A:B,2,false)</f>
        <v>#N/A</v>
      </c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</row>
    <row r="182">
      <c r="A182" s="198"/>
      <c r="B182" s="208" t="str">
        <f>vlookup(A182,Price!A:B,2,false)</f>
        <v>#N/A</v>
      </c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</row>
    <row r="183">
      <c r="A183" s="198"/>
      <c r="B183" s="208" t="str">
        <f>vlookup(A183,Price!A:B,2,false)</f>
        <v>#N/A</v>
      </c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</row>
    <row r="184">
      <c r="A184" s="198"/>
      <c r="B184" s="208" t="str">
        <f>vlookup(A184,Price!A:B,2,false)</f>
        <v>#N/A</v>
      </c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</row>
    <row r="185">
      <c r="A185" s="198"/>
      <c r="B185" s="208" t="str">
        <f>vlookup(A185,Price!A:B,2,false)</f>
        <v>#N/A</v>
      </c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</row>
    <row r="186">
      <c r="A186" s="198"/>
      <c r="B186" s="208" t="str">
        <f>vlookup(A186,Price!A:B,2,false)</f>
        <v>#N/A</v>
      </c>
      <c r="C186" s="198"/>
      <c r="D186" s="198"/>
      <c r="E186" s="198"/>
      <c r="F186" s="198"/>
      <c r="G186" s="198"/>
      <c r="H186" s="198"/>
      <c r="I186" s="198"/>
      <c r="J186" s="198"/>
      <c r="K186" s="198"/>
      <c r="L186" s="198"/>
    </row>
    <row r="187">
      <c r="A187" s="198"/>
      <c r="B187" s="208" t="str">
        <f>vlookup(A187,Price!A:B,2,false)</f>
        <v>#N/A</v>
      </c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</row>
    <row r="188">
      <c r="A188" s="198"/>
      <c r="B188" s="208" t="str">
        <f>vlookup(A188,Price!A:B,2,false)</f>
        <v>#N/A</v>
      </c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</row>
    <row r="189">
      <c r="A189" s="198"/>
      <c r="B189" s="208" t="str">
        <f>vlookup(A189,Price!A:B,2,false)</f>
        <v>#N/A</v>
      </c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</row>
    <row r="190">
      <c r="A190" s="198"/>
      <c r="B190" s="208" t="str">
        <f>vlookup(A190,Price!A:B,2,false)</f>
        <v>#N/A</v>
      </c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</row>
    <row r="191">
      <c r="A191" s="198"/>
      <c r="B191" s="208" t="str">
        <f>vlookup(A191,Price!A:B,2,false)</f>
        <v>#N/A</v>
      </c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</row>
    <row r="192">
      <c r="A192" s="198"/>
      <c r="B192" s="208" t="str">
        <f>vlookup(A192,Price!A:B,2,false)</f>
        <v>#N/A</v>
      </c>
      <c r="C192" s="198"/>
      <c r="D192" s="198"/>
      <c r="E192" s="198"/>
      <c r="F192" s="198"/>
      <c r="G192" s="198"/>
      <c r="H192" s="198"/>
      <c r="I192" s="198"/>
      <c r="J192" s="198"/>
      <c r="K192" s="198"/>
      <c r="L192" s="198"/>
    </row>
    <row r="193">
      <c r="A193" s="198"/>
      <c r="B193" s="208" t="str">
        <f>vlookup(A193,Price!A:B,2,false)</f>
        <v>#N/A</v>
      </c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</row>
    <row r="194">
      <c r="A194" s="198"/>
      <c r="B194" s="208" t="str">
        <f>vlookup(A194,Price!A:B,2,false)</f>
        <v>#N/A</v>
      </c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</row>
    <row r="195">
      <c r="A195" s="198"/>
      <c r="B195" s="208" t="str">
        <f>vlookup(A195,Price!A:B,2,false)</f>
        <v>#N/A</v>
      </c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</row>
    <row r="196">
      <c r="A196" s="198"/>
      <c r="B196" s="208" t="str">
        <f>vlookup(A196,Price!A:B,2,false)</f>
        <v>#N/A</v>
      </c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</row>
    <row r="197">
      <c r="A197" s="198"/>
      <c r="B197" s="208" t="str">
        <f>vlookup(A197,Price!A:B,2,false)</f>
        <v>#N/A</v>
      </c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</row>
    <row r="198">
      <c r="A198" s="198"/>
      <c r="B198" s="208" t="str">
        <f>vlookup(A198,Price!A:B,2,false)</f>
        <v>#N/A</v>
      </c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</row>
    <row r="199">
      <c r="A199" s="198"/>
      <c r="B199" s="208" t="str">
        <f>vlookup(A199,Price!A:B,2,false)</f>
        <v>#N/A</v>
      </c>
      <c r="C199" s="198"/>
      <c r="D199" s="198"/>
      <c r="E199" s="198"/>
      <c r="F199" s="198"/>
      <c r="G199" s="198"/>
      <c r="H199" s="198"/>
      <c r="I199" s="198"/>
      <c r="J199" s="198"/>
      <c r="K199" s="198"/>
      <c r="L199" s="198"/>
    </row>
    <row r="200">
      <c r="A200" s="198"/>
      <c r="B200" s="208" t="str">
        <f>vlookup(A200,Price!A:B,2,false)</f>
        <v>#N/A</v>
      </c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</row>
    <row r="201">
      <c r="A201" s="198"/>
      <c r="B201" s="208" t="str">
        <f>vlookup(A201,Price!A:B,2,false)</f>
        <v>#N/A</v>
      </c>
      <c r="C201" s="198"/>
      <c r="D201" s="198"/>
      <c r="E201" s="198"/>
      <c r="F201" s="198"/>
      <c r="G201" s="198"/>
      <c r="H201" s="198"/>
      <c r="I201" s="198"/>
      <c r="J201" s="198"/>
      <c r="K201" s="198"/>
      <c r="L201" s="198"/>
    </row>
    <row r="202">
      <c r="A202" s="198"/>
      <c r="B202" s="208" t="str">
        <f>vlookup(A202,Price!A:B,2,false)</f>
        <v>#N/A</v>
      </c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</row>
    <row r="203">
      <c r="A203" s="198"/>
      <c r="B203" s="208" t="str">
        <f>vlookup(A203,Price!A:B,2,false)</f>
        <v>#N/A</v>
      </c>
      <c r="C203" s="198"/>
      <c r="D203" s="198"/>
      <c r="E203" s="198"/>
      <c r="F203" s="198"/>
      <c r="G203" s="198"/>
      <c r="H203" s="198"/>
      <c r="I203" s="198"/>
      <c r="J203" s="198"/>
      <c r="K203" s="198"/>
      <c r="L203" s="198"/>
    </row>
    <row r="204">
      <c r="A204" s="198"/>
      <c r="B204" s="208" t="str">
        <f>vlookup(A204,Price!A:B,2,false)</f>
        <v>#N/A</v>
      </c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</row>
    <row r="205">
      <c r="A205" s="198"/>
      <c r="B205" s="208" t="str">
        <f>vlookup(A205,Price!A:B,2,false)</f>
        <v>#N/A</v>
      </c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</row>
    <row r="206">
      <c r="A206" s="198"/>
      <c r="B206" s="208" t="str">
        <f>vlookup(A206,Price!A:B,2,false)</f>
        <v>#N/A</v>
      </c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</row>
    <row r="207">
      <c r="A207" s="198"/>
      <c r="B207" s="208" t="str">
        <f>vlookup(A207,Price!A:B,2,false)</f>
        <v>#N/A</v>
      </c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</row>
    <row r="208">
      <c r="A208" s="198"/>
      <c r="B208" s="208" t="str">
        <f>vlookup(A208,Price!A:B,2,false)</f>
        <v>#N/A</v>
      </c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</row>
    <row r="209">
      <c r="A209" s="198"/>
      <c r="B209" s="208" t="str">
        <f>vlookup(A209,Price!A:B,2,false)</f>
        <v>#N/A</v>
      </c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</row>
    <row r="210">
      <c r="A210" s="198"/>
      <c r="B210" s="208" t="str">
        <f>vlookup(A210,Price!A:B,2,false)</f>
        <v>#N/A</v>
      </c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</row>
    <row r="211">
      <c r="A211" s="198"/>
      <c r="B211" s="208" t="str">
        <f>vlookup(A211,Price!A:B,2,false)</f>
        <v>#N/A</v>
      </c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</row>
    <row r="212">
      <c r="A212" s="198"/>
      <c r="B212" s="208" t="str">
        <f>vlookup(A212,Price!A:B,2,false)</f>
        <v>#N/A</v>
      </c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</row>
    <row r="213">
      <c r="A213" s="198"/>
      <c r="B213" s="208" t="str">
        <f>vlookup(A213,Price!A:B,2,false)</f>
        <v>#N/A</v>
      </c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</row>
    <row r="214">
      <c r="A214" s="198"/>
      <c r="B214" s="208" t="str">
        <f>vlookup(A214,Price!A:B,2,false)</f>
        <v>#N/A</v>
      </c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</row>
    <row r="215">
      <c r="A215" s="198"/>
      <c r="B215" s="208" t="str">
        <f>vlookup(A215,Price!A:B,2,false)</f>
        <v>#N/A</v>
      </c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</row>
    <row r="216">
      <c r="A216" s="198"/>
      <c r="B216" s="208" t="str">
        <f>vlookup(A216,Price!A:B,2,false)</f>
        <v>#N/A</v>
      </c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</row>
    <row r="217">
      <c r="A217" s="198"/>
      <c r="B217" s="208" t="str">
        <f>vlookup(A217,Price!A:B,2,false)</f>
        <v>#N/A</v>
      </c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</row>
    <row r="218">
      <c r="A218" s="198"/>
      <c r="B218" s="208" t="str">
        <f>vlookup(A218,Price!A:B,2,false)</f>
        <v>#N/A</v>
      </c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</row>
    <row r="219">
      <c r="A219" s="198"/>
      <c r="B219" s="208" t="str">
        <f>vlookup(A219,Price!A:B,2,false)</f>
        <v>#N/A</v>
      </c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</row>
    <row r="220">
      <c r="A220" s="198"/>
      <c r="B220" s="208" t="str">
        <f>vlookup(A220,Price!A:B,2,false)</f>
        <v>#N/A</v>
      </c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</row>
    <row r="221">
      <c r="A221" s="198"/>
      <c r="B221" s="208" t="str">
        <f>vlookup(A221,Price!A:B,2,false)</f>
        <v>#N/A</v>
      </c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</row>
    <row r="222">
      <c r="A222" s="198"/>
      <c r="B222" s="208" t="str">
        <f>vlookup(A222,Price!A:B,2,false)</f>
        <v>#N/A</v>
      </c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</row>
    <row r="223">
      <c r="A223" s="198"/>
      <c r="B223" s="208" t="str">
        <f>vlookup(A223,Price!A:B,2,false)</f>
        <v>#N/A</v>
      </c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</row>
    <row r="224">
      <c r="A224" s="198"/>
      <c r="B224" s="208" t="str">
        <f>vlookup(A224,Price!A:B,2,false)</f>
        <v>#N/A</v>
      </c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</row>
    <row r="225">
      <c r="A225" s="198"/>
      <c r="B225" s="208" t="str">
        <f>vlookup(A225,Price!A:B,2,false)</f>
        <v>#N/A</v>
      </c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</row>
    <row r="226">
      <c r="A226" s="198"/>
      <c r="B226" s="208" t="str">
        <f>vlookup(A226,Price!A:B,2,false)</f>
        <v>#N/A</v>
      </c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</row>
    <row r="227">
      <c r="A227" s="198"/>
      <c r="B227" s="208" t="str">
        <f>vlookup(A227,Price!A:B,2,false)</f>
        <v>#N/A</v>
      </c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</row>
    <row r="228">
      <c r="A228" s="198"/>
      <c r="B228" s="208" t="str">
        <f>vlookup(A228,Price!A:B,2,false)</f>
        <v>#N/A</v>
      </c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</row>
    <row r="229">
      <c r="A229" s="198"/>
      <c r="B229" s="208" t="str">
        <f>vlookup(A229,Price!A:B,2,false)</f>
        <v>#N/A</v>
      </c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</row>
    <row r="230">
      <c r="A230" s="198"/>
      <c r="B230" s="208" t="str">
        <f>vlookup(A230,Price!A:B,2,false)</f>
        <v>#N/A</v>
      </c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</row>
    <row r="231">
      <c r="A231" s="198"/>
      <c r="B231" s="208" t="str">
        <f>vlookup(A231,Price!A:B,2,false)</f>
        <v>#N/A</v>
      </c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</row>
    <row r="232">
      <c r="A232" s="198"/>
      <c r="B232" s="208" t="str">
        <f>vlookup(A232,Price!A:B,2,false)</f>
        <v>#N/A</v>
      </c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</row>
    <row r="233">
      <c r="A233" s="198"/>
      <c r="B233" s="208" t="str">
        <f>vlookup(A233,Price!A:B,2,false)</f>
        <v>#N/A</v>
      </c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</row>
    <row r="234">
      <c r="A234" s="198"/>
      <c r="B234" s="208" t="str">
        <f>vlookup(A234,Price!A:B,2,false)</f>
        <v>#N/A</v>
      </c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</row>
    <row r="235">
      <c r="A235" s="198"/>
      <c r="B235" s="208" t="str">
        <f>vlookup(A235,Price!A:B,2,false)</f>
        <v>#N/A</v>
      </c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</row>
    <row r="236">
      <c r="A236" s="198"/>
      <c r="B236" s="208" t="str">
        <f>vlookup(A236,Price!A:B,2,false)</f>
        <v>#N/A</v>
      </c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</row>
    <row r="237">
      <c r="A237" s="198"/>
      <c r="B237" s="208" t="str">
        <f>vlookup(A237,Price!A:B,2,false)</f>
        <v>#N/A</v>
      </c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</row>
    <row r="238">
      <c r="A238" s="198"/>
      <c r="B238" s="208" t="str">
        <f>vlookup(A238,Price!A:B,2,false)</f>
        <v>#N/A</v>
      </c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</row>
    <row r="239">
      <c r="A239" s="198"/>
      <c r="B239" s="208" t="str">
        <f>vlookup(A239,Price!A:B,2,false)</f>
        <v>#N/A</v>
      </c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</row>
    <row r="240">
      <c r="A240" s="198"/>
      <c r="B240" s="208" t="str">
        <f>vlookup(A240,Price!A:B,2,false)</f>
        <v>#N/A</v>
      </c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</row>
    <row r="241">
      <c r="A241" s="198"/>
      <c r="B241" s="208" t="str">
        <f>vlookup(A241,Price!A:B,2,false)</f>
        <v>#N/A</v>
      </c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</row>
    <row r="242">
      <c r="A242" s="198"/>
      <c r="B242" s="208" t="str">
        <f>vlookup(A242,Price!A:B,2,false)</f>
        <v>#N/A</v>
      </c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</row>
    <row r="243">
      <c r="A243" s="198"/>
      <c r="B243" s="208" t="str">
        <f>vlookup(A243,Price!A:B,2,false)</f>
        <v>#N/A</v>
      </c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</row>
    <row r="244">
      <c r="A244" s="198"/>
      <c r="B244" s="208" t="str">
        <f>vlookup(A244,Price!A:B,2,false)</f>
        <v>#N/A</v>
      </c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</row>
    <row r="245">
      <c r="A245" s="198"/>
      <c r="B245" s="208" t="str">
        <f>vlookup(A245,Price!A:B,2,false)</f>
        <v>#N/A</v>
      </c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</row>
    <row r="246">
      <c r="A246" s="198"/>
      <c r="B246" s="208" t="str">
        <f>vlookup(A246,Price!A:B,2,false)</f>
        <v>#N/A</v>
      </c>
      <c r="C246" s="198"/>
      <c r="D246" s="198"/>
      <c r="E246" s="198"/>
      <c r="F246" s="198"/>
      <c r="G246" s="198"/>
      <c r="H246" s="198"/>
      <c r="I246" s="198"/>
      <c r="J246" s="198"/>
      <c r="K246" s="198"/>
      <c r="L246" s="198"/>
    </row>
    <row r="247">
      <c r="A247" s="198"/>
      <c r="B247" s="208" t="str">
        <f>vlookup(A247,Price!A:B,2,false)</f>
        <v>#N/A</v>
      </c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</row>
    <row r="248">
      <c r="A248" s="198"/>
      <c r="B248" s="208" t="str">
        <f>vlookup(A248,Price!A:B,2,false)</f>
        <v>#N/A</v>
      </c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</row>
    <row r="249">
      <c r="A249" s="198"/>
      <c r="B249" s="208" t="str">
        <f>vlookup(A249,Price!A:B,2,false)</f>
        <v>#N/A</v>
      </c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</row>
    <row r="250">
      <c r="A250" s="198"/>
      <c r="B250" s="208" t="str">
        <f>vlookup(A250,Price!A:B,2,false)</f>
        <v>#N/A</v>
      </c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</row>
    <row r="251">
      <c r="A251" s="198"/>
      <c r="B251" s="208" t="str">
        <f>vlookup(A251,Price!A:B,2,false)</f>
        <v>#N/A</v>
      </c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</row>
    <row r="252">
      <c r="A252" s="198"/>
      <c r="B252" s="208" t="str">
        <f>vlookup(A252,Price!A:B,2,false)</f>
        <v>#N/A</v>
      </c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</row>
    <row r="253">
      <c r="A253" s="198"/>
      <c r="B253" s="208" t="str">
        <f>vlookup(A253,Price!A:B,2,false)</f>
        <v>#N/A</v>
      </c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</row>
    <row r="254">
      <c r="A254" s="198"/>
      <c r="B254" s="208" t="str">
        <f>vlookup(A254,Price!A:B,2,false)</f>
        <v>#N/A</v>
      </c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</row>
    <row r="255">
      <c r="A255" s="198"/>
      <c r="B255" s="208" t="str">
        <f>vlookup(A255,Price!A:B,2,false)</f>
        <v>#N/A</v>
      </c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</row>
    <row r="256">
      <c r="A256" s="198"/>
      <c r="B256" s="208" t="str">
        <f>vlookup(A256,Price!A:B,2,false)</f>
        <v>#N/A</v>
      </c>
      <c r="C256" s="198"/>
      <c r="D256" s="198"/>
      <c r="E256" s="198"/>
      <c r="F256" s="198"/>
      <c r="G256" s="198"/>
      <c r="H256" s="198"/>
      <c r="I256" s="198"/>
      <c r="J256" s="198"/>
      <c r="K256" s="198"/>
      <c r="L256" s="198"/>
    </row>
    <row r="257">
      <c r="A257" s="198"/>
      <c r="B257" s="208" t="str">
        <f>vlookup(A257,Price!A:B,2,false)</f>
        <v>#N/A</v>
      </c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</row>
    <row r="258">
      <c r="A258" s="198"/>
      <c r="B258" s="208" t="str">
        <f>vlookup(A258,Price!A:B,2,false)</f>
        <v>#N/A</v>
      </c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</row>
    <row r="259">
      <c r="A259" s="198"/>
      <c r="B259" s="208" t="str">
        <f>vlookup(A259,Price!A:B,2,false)</f>
        <v>#N/A</v>
      </c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</row>
    <row r="260">
      <c r="A260" s="198"/>
      <c r="B260" s="208" t="str">
        <f>vlookup(A260,Price!A:B,2,false)</f>
        <v>#N/A</v>
      </c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</row>
    <row r="261">
      <c r="A261" s="198"/>
      <c r="B261" s="208" t="str">
        <f>vlookup(A261,Price!A:B,2,false)</f>
        <v>#N/A</v>
      </c>
      <c r="C261" s="198"/>
      <c r="D261" s="198"/>
      <c r="E261" s="198"/>
      <c r="F261" s="198"/>
      <c r="G261" s="198"/>
      <c r="H261" s="198"/>
      <c r="I261" s="198"/>
      <c r="J261" s="198"/>
      <c r="K261" s="198"/>
      <c r="L261" s="198"/>
    </row>
    <row r="262">
      <c r="A262" s="198"/>
      <c r="B262" s="208" t="str">
        <f>vlookup(A262,Price!A:B,2,false)</f>
        <v>#N/A</v>
      </c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</row>
    <row r="263">
      <c r="A263" s="198"/>
      <c r="B263" s="208" t="str">
        <f>vlookup(A263,Price!A:B,2,false)</f>
        <v>#N/A</v>
      </c>
      <c r="C263" s="198"/>
      <c r="D263" s="198"/>
      <c r="E263" s="198"/>
      <c r="F263" s="198"/>
      <c r="G263" s="198"/>
      <c r="H263" s="198"/>
      <c r="I263" s="198"/>
      <c r="J263" s="198"/>
      <c r="K263" s="198"/>
      <c r="L263" s="198"/>
    </row>
    <row r="264">
      <c r="A264" s="198"/>
      <c r="B264" s="208" t="str">
        <f>vlookup(A264,Price!A:B,2,false)</f>
        <v>#N/A</v>
      </c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</row>
    <row r="265">
      <c r="A265" s="198"/>
      <c r="B265" s="208" t="str">
        <f>vlookup(A265,Price!A:B,2,false)</f>
        <v>#N/A</v>
      </c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</row>
    <row r="266">
      <c r="A266" s="198"/>
      <c r="B266" s="208" t="str">
        <f>vlookup(A266,Price!A:B,2,false)</f>
        <v>#N/A</v>
      </c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</row>
    <row r="267">
      <c r="A267" s="198"/>
      <c r="B267" s="208" t="str">
        <f>vlookup(A267,Price!A:B,2,false)</f>
        <v>#N/A</v>
      </c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</row>
    <row r="268">
      <c r="A268" s="198"/>
      <c r="B268" s="208" t="str">
        <f>vlookup(A268,Price!A:B,2,false)</f>
        <v>#N/A</v>
      </c>
      <c r="C268" s="198"/>
      <c r="D268" s="198"/>
      <c r="E268" s="198"/>
      <c r="F268" s="198"/>
      <c r="G268" s="198"/>
      <c r="H268" s="198"/>
      <c r="I268" s="198"/>
      <c r="J268" s="198"/>
      <c r="K268" s="198"/>
      <c r="L268" s="198"/>
    </row>
    <row r="269">
      <c r="A269" s="198"/>
      <c r="B269" s="208" t="str">
        <f>vlookup(A269,Price!A:B,2,false)</f>
        <v>#N/A</v>
      </c>
      <c r="C269" s="198"/>
      <c r="D269" s="198"/>
      <c r="E269" s="198"/>
      <c r="F269" s="198"/>
      <c r="G269" s="198"/>
      <c r="H269" s="198"/>
      <c r="I269" s="198"/>
      <c r="J269" s="198"/>
      <c r="K269" s="198"/>
      <c r="L269" s="198"/>
    </row>
    <row r="270">
      <c r="A270" s="198"/>
      <c r="B270" s="208" t="str">
        <f>vlookup(A270,Price!A:B,2,false)</f>
        <v>#N/A</v>
      </c>
      <c r="C270" s="198"/>
      <c r="D270" s="198"/>
      <c r="E270" s="198"/>
      <c r="F270" s="198"/>
      <c r="G270" s="198"/>
      <c r="H270" s="198"/>
      <c r="I270" s="198"/>
      <c r="J270" s="198"/>
      <c r="K270" s="198"/>
      <c r="L270" s="198"/>
    </row>
    <row r="271">
      <c r="A271" s="198"/>
      <c r="B271" s="208" t="str">
        <f>vlookup(A271,Price!A:B,2,false)</f>
        <v>#N/A</v>
      </c>
      <c r="C271" s="198"/>
      <c r="D271" s="198"/>
      <c r="E271" s="198"/>
      <c r="F271" s="198"/>
      <c r="G271" s="198"/>
      <c r="H271" s="198"/>
      <c r="I271" s="198"/>
      <c r="J271" s="198"/>
      <c r="K271" s="198"/>
      <c r="L271" s="198"/>
    </row>
    <row r="272">
      <c r="A272" s="198"/>
      <c r="B272" s="208" t="str">
        <f>vlookup(A272,Price!A:B,2,false)</f>
        <v>#N/A</v>
      </c>
      <c r="C272" s="198"/>
      <c r="D272" s="198"/>
      <c r="E272" s="198"/>
      <c r="F272" s="198"/>
      <c r="G272" s="198"/>
      <c r="H272" s="198"/>
      <c r="I272" s="198"/>
      <c r="J272" s="198"/>
      <c r="K272" s="198"/>
      <c r="L272" s="198"/>
    </row>
    <row r="273">
      <c r="A273" s="198"/>
      <c r="B273" s="208" t="str">
        <f>vlookup(A273,Price!A:B,2,false)</f>
        <v>#N/A</v>
      </c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</row>
    <row r="274">
      <c r="A274" s="198"/>
      <c r="B274" s="208" t="str">
        <f>vlookup(A274,Price!A:B,2,false)</f>
        <v>#N/A</v>
      </c>
      <c r="C274" s="198"/>
      <c r="D274" s="198"/>
      <c r="E274" s="198"/>
      <c r="F274" s="198"/>
      <c r="G274" s="198"/>
      <c r="H274" s="198"/>
      <c r="I274" s="198"/>
      <c r="J274" s="198"/>
      <c r="K274" s="198"/>
      <c r="L274" s="198"/>
    </row>
    <row r="275">
      <c r="A275" s="198"/>
      <c r="B275" s="208" t="str">
        <f>vlookup(A275,Price!A:B,2,false)</f>
        <v>#N/A</v>
      </c>
      <c r="C275" s="198"/>
      <c r="D275" s="198"/>
      <c r="E275" s="198"/>
      <c r="F275" s="198"/>
      <c r="G275" s="198"/>
      <c r="H275" s="198"/>
      <c r="I275" s="198"/>
      <c r="J275" s="198"/>
      <c r="K275" s="198"/>
      <c r="L275" s="198"/>
    </row>
    <row r="276">
      <c r="A276" s="198"/>
      <c r="B276" s="208" t="str">
        <f>vlookup(A276,Price!A:B,2,false)</f>
        <v>#N/A</v>
      </c>
      <c r="C276" s="198"/>
      <c r="D276" s="198"/>
      <c r="E276" s="198"/>
      <c r="F276" s="198"/>
      <c r="G276" s="198"/>
      <c r="H276" s="198"/>
      <c r="I276" s="198"/>
      <c r="J276" s="198"/>
      <c r="K276" s="198"/>
      <c r="L276" s="198"/>
    </row>
    <row r="277">
      <c r="A277" s="198"/>
      <c r="B277" s="208" t="str">
        <f>vlookup(A277,Price!A:B,2,false)</f>
        <v>#N/A</v>
      </c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</row>
    <row r="278">
      <c r="A278" s="198"/>
      <c r="B278" s="208" t="str">
        <f>vlookup(A278,Price!A:B,2,false)</f>
        <v>#N/A</v>
      </c>
      <c r="C278" s="198"/>
      <c r="D278" s="198"/>
      <c r="E278" s="198"/>
      <c r="F278" s="198"/>
      <c r="G278" s="198"/>
      <c r="H278" s="198"/>
      <c r="I278" s="198"/>
      <c r="J278" s="198"/>
      <c r="K278" s="198"/>
      <c r="L278" s="198"/>
    </row>
    <row r="279">
      <c r="A279" s="198"/>
      <c r="B279" s="208" t="str">
        <f>vlookup(A279,Price!A:B,2,false)</f>
        <v>#N/A</v>
      </c>
      <c r="C279" s="198"/>
      <c r="D279" s="198"/>
      <c r="E279" s="198"/>
      <c r="F279" s="198"/>
      <c r="G279" s="198"/>
      <c r="H279" s="198"/>
      <c r="I279" s="198"/>
      <c r="J279" s="198"/>
      <c r="K279" s="198"/>
      <c r="L279" s="198"/>
    </row>
    <row r="280">
      <c r="A280" s="198"/>
      <c r="B280" s="208" t="str">
        <f>vlookup(A280,Price!A:B,2,false)</f>
        <v>#N/A</v>
      </c>
      <c r="C280" s="198"/>
      <c r="D280" s="198"/>
      <c r="E280" s="198"/>
      <c r="F280" s="198"/>
      <c r="G280" s="198"/>
      <c r="H280" s="198"/>
      <c r="I280" s="198"/>
      <c r="J280" s="198"/>
      <c r="K280" s="198"/>
      <c r="L280" s="198"/>
    </row>
    <row r="281">
      <c r="A281" s="198"/>
      <c r="B281" s="208" t="str">
        <f>vlookup(A281,Price!A:B,2,false)</f>
        <v>#N/A</v>
      </c>
      <c r="C281" s="198"/>
      <c r="D281" s="198"/>
      <c r="E281" s="198"/>
      <c r="F281" s="198"/>
      <c r="G281" s="198"/>
      <c r="H281" s="198"/>
      <c r="I281" s="198"/>
      <c r="J281" s="198"/>
      <c r="K281" s="198"/>
      <c r="L281" s="198"/>
    </row>
    <row r="282">
      <c r="A282" s="198"/>
      <c r="B282" s="208" t="str">
        <f>vlookup(A282,Price!A:B,2,false)</f>
        <v>#N/A</v>
      </c>
      <c r="C282" s="198"/>
      <c r="D282" s="198"/>
      <c r="E282" s="198"/>
      <c r="F282" s="198"/>
      <c r="G282" s="198"/>
      <c r="H282" s="198"/>
      <c r="I282" s="198"/>
      <c r="J282" s="198"/>
      <c r="K282" s="198"/>
      <c r="L282" s="198"/>
    </row>
    <row r="283">
      <c r="A283" s="198"/>
      <c r="B283" s="208" t="str">
        <f>vlookup(A283,Price!A:B,2,false)</f>
        <v>#N/A</v>
      </c>
      <c r="C283" s="198"/>
      <c r="D283" s="198"/>
      <c r="E283" s="198"/>
      <c r="F283" s="198"/>
      <c r="G283" s="198"/>
      <c r="H283" s="198"/>
      <c r="I283" s="198"/>
      <c r="J283" s="198"/>
      <c r="K283" s="198"/>
      <c r="L283" s="198"/>
    </row>
    <row r="284">
      <c r="A284" s="198"/>
      <c r="B284" s="208" t="str">
        <f>vlookup(A284,Price!A:B,2,false)</f>
        <v>#N/A</v>
      </c>
      <c r="C284" s="198"/>
      <c r="D284" s="198"/>
      <c r="E284" s="198"/>
      <c r="F284" s="198"/>
      <c r="G284" s="198"/>
      <c r="H284" s="198"/>
      <c r="I284" s="198"/>
      <c r="J284" s="198"/>
      <c r="K284" s="198"/>
      <c r="L284" s="198"/>
    </row>
    <row r="285">
      <c r="A285" s="198"/>
      <c r="B285" s="208" t="str">
        <f>vlookup(A285,Price!A:B,2,false)</f>
        <v>#N/A</v>
      </c>
      <c r="C285" s="198"/>
      <c r="D285" s="198"/>
      <c r="E285" s="198"/>
      <c r="F285" s="198"/>
      <c r="G285" s="198"/>
      <c r="H285" s="198"/>
      <c r="I285" s="198"/>
      <c r="J285" s="198"/>
      <c r="K285" s="198"/>
      <c r="L285" s="198"/>
    </row>
    <row r="286">
      <c r="A286" s="198"/>
      <c r="B286" s="208" t="str">
        <f>vlookup(A286,Price!A:B,2,false)</f>
        <v>#N/A</v>
      </c>
      <c r="C286" s="198"/>
      <c r="D286" s="198"/>
      <c r="E286" s="198"/>
      <c r="F286" s="198"/>
      <c r="G286" s="198"/>
      <c r="H286" s="198"/>
      <c r="I286" s="198"/>
      <c r="J286" s="198"/>
      <c r="K286" s="198"/>
      <c r="L286" s="198"/>
    </row>
    <row r="287">
      <c r="A287" s="198"/>
      <c r="B287" s="208" t="str">
        <f>vlookup(A287,Price!A:B,2,false)</f>
        <v>#N/A</v>
      </c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</row>
    <row r="288">
      <c r="A288" s="198"/>
      <c r="B288" s="208" t="str">
        <f>vlookup(A288,Price!A:B,2,false)</f>
        <v>#N/A</v>
      </c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</row>
    <row r="289">
      <c r="A289" s="198"/>
      <c r="B289" s="208" t="str">
        <f>vlookup(A289,Price!A:B,2,false)</f>
        <v>#N/A</v>
      </c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</row>
    <row r="290">
      <c r="A290" s="198"/>
      <c r="B290" s="208" t="str">
        <f>vlookup(A290,Price!A:B,2,false)</f>
        <v>#N/A</v>
      </c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</row>
    <row r="291">
      <c r="A291" s="198"/>
      <c r="B291" s="208" t="str">
        <f>vlookup(A291,Price!A:B,2,false)</f>
        <v>#N/A</v>
      </c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</row>
    <row r="292">
      <c r="A292" s="198"/>
      <c r="B292" s="208" t="str">
        <f>vlookup(A292,Price!A:B,2,false)</f>
        <v>#N/A</v>
      </c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</row>
    <row r="293">
      <c r="A293" s="198"/>
      <c r="B293" s="208" t="str">
        <f>vlookup(A293,Price!A:B,2,false)</f>
        <v>#N/A</v>
      </c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</row>
    <row r="294">
      <c r="A294" s="198"/>
      <c r="B294" s="208" t="str">
        <f>vlookup(A294,Price!A:B,2,false)</f>
        <v>#N/A</v>
      </c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</row>
    <row r="295">
      <c r="A295" s="198"/>
      <c r="B295" s="208" t="str">
        <f>vlookup(A295,Price!A:B,2,false)</f>
        <v>#N/A</v>
      </c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</row>
    <row r="296">
      <c r="A296" s="198"/>
      <c r="B296" s="208" t="str">
        <f>vlookup(A296,Price!A:B,2,false)</f>
        <v>#N/A</v>
      </c>
      <c r="C296" s="198"/>
      <c r="D296" s="198"/>
      <c r="E296" s="198"/>
      <c r="F296" s="198"/>
      <c r="G296" s="198"/>
      <c r="H296" s="198"/>
      <c r="I296" s="198"/>
      <c r="J296" s="198"/>
      <c r="K296" s="198"/>
      <c r="L296" s="198"/>
    </row>
    <row r="297">
      <c r="A297" s="198"/>
      <c r="B297" s="208" t="str">
        <f>vlookup(A297,Price!A:B,2,false)</f>
        <v>#N/A</v>
      </c>
      <c r="C297" s="198"/>
      <c r="D297" s="198"/>
      <c r="E297" s="198"/>
      <c r="F297" s="198"/>
      <c r="G297" s="198"/>
      <c r="H297" s="198"/>
      <c r="I297" s="198"/>
      <c r="J297" s="198"/>
      <c r="K297" s="198"/>
      <c r="L297" s="198"/>
    </row>
    <row r="298">
      <c r="A298" s="198"/>
      <c r="B298" s="208" t="str">
        <f>vlookup(A298,Price!A:B,2,false)</f>
        <v>#N/A</v>
      </c>
      <c r="C298" s="198"/>
      <c r="D298" s="198"/>
      <c r="E298" s="198"/>
      <c r="F298" s="198"/>
      <c r="G298" s="198"/>
      <c r="H298" s="198"/>
      <c r="I298" s="198"/>
      <c r="J298" s="198"/>
      <c r="K298" s="198"/>
      <c r="L298" s="198"/>
    </row>
    <row r="299">
      <c r="A299" s="198"/>
      <c r="B299" s="208" t="str">
        <f>vlookup(A299,Price!A:B,2,false)</f>
        <v>#N/A</v>
      </c>
      <c r="C299" s="198"/>
      <c r="D299" s="198"/>
      <c r="E299" s="198"/>
      <c r="F299" s="198"/>
      <c r="G299" s="198"/>
      <c r="H299" s="198"/>
      <c r="I299" s="198"/>
      <c r="J299" s="198"/>
      <c r="K299" s="198"/>
      <c r="L299" s="198"/>
    </row>
    <row r="300">
      <c r="A300" s="198"/>
      <c r="B300" s="208" t="str">
        <f>vlookup(A300,Price!A:B,2,false)</f>
        <v>#N/A</v>
      </c>
      <c r="C300" s="198"/>
      <c r="D300" s="198"/>
      <c r="E300" s="198"/>
      <c r="F300" s="198"/>
      <c r="G300" s="198"/>
      <c r="H300" s="198"/>
      <c r="I300" s="198"/>
      <c r="J300" s="198"/>
      <c r="K300" s="198"/>
      <c r="L300" s="198"/>
    </row>
    <row r="301">
      <c r="A301" s="198"/>
      <c r="B301" s="208" t="str">
        <f>vlookup(A301,Price!A:B,2,false)</f>
        <v>#N/A</v>
      </c>
      <c r="C301" s="198"/>
      <c r="D301" s="198"/>
      <c r="E301" s="198"/>
      <c r="F301" s="198"/>
      <c r="G301" s="198"/>
      <c r="H301" s="198"/>
      <c r="I301" s="198"/>
      <c r="J301" s="198"/>
      <c r="K301" s="198"/>
      <c r="L301" s="198"/>
    </row>
    <row r="302">
      <c r="A302" s="198"/>
      <c r="B302" s="208" t="str">
        <f>vlookup(A302,Price!A:B,2,false)</f>
        <v>#N/A</v>
      </c>
      <c r="C302" s="198"/>
      <c r="D302" s="198"/>
      <c r="E302" s="198"/>
      <c r="F302" s="198"/>
      <c r="G302" s="198"/>
      <c r="H302" s="198"/>
      <c r="I302" s="198"/>
      <c r="J302" s="198"/>
      <c r="K302" s="198"/>
      <c r="L302" s="198"/>
    </row>
    <row r="303">
      <c r="A303" s="198"/>
      <c r="B303" s="208" t="str">
        <f>vlookup(A303,Price!A:B,2,false)</f>
        <v>#N/A</v>
      </c>
      <c r="C303" s="198"/>
      <c r="D303" s="198"/>
      <c r="E303" s="198"/>
      <c r="F303" s="198"/>
      <c r="G303" s="198"/>
      <c r="H303" s="198"/>
      <c r="I303" s="198"/>
      <c r="J303" s="198"/>
      <c r="K303" s="198"/>
      <c r="L303" s="198"/>
    </row>
    <row r="304">
      <c r="A304" s="198"/>
      <c r="B304" s="208" t="str">
        <f>vlookup(A304,Price!A:B,2,false)</f>
        <v>#N/A</v>
      </c>
      <c r="C304" s="198"/>
      <c r="D304" s="198"/>
      <c r="E304" s="198"/>
      <c r="F304" s="198"/>
      <c r="G304" s="198"/>
      <c r="H304" s="198"/>
      <c r="I304" s="198"/>
      <c r="J304" s="198"/>
      <c r="K304" s="198"/>
      <c r="L304" s="198"/>
    </row>
    <row r="305">
      <c r="A305" s="198"/>
      <c r="B305" s="208" t="str">
        <f>vlookup(A305,Price!A:B,2,false)</f>
        <v>#N/A</v>
      </c>
      <c r="C305" s="198"/>
      <c r="D305" s="198"/>
      <c r="E305" s="198"/>
      <c r="F305" s="198"/>
      <c r="G305" s="198"/>
      <c r="H305" s="198"/>
      <c r="I305" s="198"/>
      <c r="J305" s="198"/>
      <c r="K305" s="198"/>
      <c r="L305" s="198"/>
    </row>
    <row r="306">
      <c r="A306" s="198"/>
      <c r="B306" s="208" t="str">
        <f>vlookup(A306,Price!A:B,2,false)</f>
        <v>#N/A</v>
      </c>
      <c r="C306" s="198"/>
      <c r="D306" s="198"/>
      <c r="E306" s="198"/>
      <c r="F306" s="198"/>
      <c r="G306" s="198"/>
      <c r="H306" s="198"/>
      <c r="I306" s="198"/>
      <c r="J306" s="198"/>
      <c r="K306" s="198"/>
      <c r="L306" s="198"/>
    </row>
    <row r="307">
      <c r="A307" s="198"/>
      <c r="B307" s="208" t="str">
        <f>vlookup(A307,Price!A:B,2,false)</f>
        <v>#N/A</v>
      </c>
      <c r="C307" s="198"/>
      <c r="D307" s="198"/>
      <c r="E307" s="198"/>
      <c r="F307" s="198"/>
      <c r="G307" s="198"/>
      <c r="H307" s="198"/>
      <c r="I307" s="198"/>
      <c r="J307" s="198"/>
      <c r="K307" s="198"/>
      <c r="L307" s="198"/>
    </row>
    <row r="308">
      <c r="A308" s="198"/>
      <c r="B308" s="208" t="str">
        <f>vlookup(A308,Price!A:B,2,false)</f>
        <v>#N/A</v>
      </c>
      <c r="C308" s="198"/>
      <c r="D308" s="198"/>
      <c r="E308" s="198"/>
      <c r="F308" s="198"/>
      <c r="G308" s="198"/>
      <c r="H308" s="198"/>
      <c r="I308" s="198"/>
      <c r="J308" s="198"/>
      <c r="K308" s="198"/>
      <c r="L308" s="198"/>
    </row>
    <row r="309">
      <c r="A309" s="198"/>
      <c r="B309" s="208" t="str">
        <f>vlookup(A309,Price!A:B,2,false)</f>
        <v>#N/A</v>
      </c>
      <c r="C309" s="198"/>
      <c r="D309" s="198"/>
      <c r="E309" s="198"/>
      <c r="F309" s="198"/>
      <c r="G309" s="198"/>
      <c r="H309" s="198"/>
      <c r="I309" s="198"/>
      <c r="J309" s="198"/>
      <c r="K309" s="198"/>
      <c r="L309" s="198"/>
    </row>
    <row r="310">
      <c r="A310" s="198"/>
      <c r="B310" s="208" t="str">
        <f>vlookup(A310,Price!A:B,2,false)</f>
        <v>#N/A</v>
      </c>
      <c r="C310" s="198"/>
      <c r="D310" s="198"/>
      <c r="E310" s="198"/>
      <c r="F310" s="198"/>
      <c r="G310" s="198"/>
      <c r="H310" s="198"/>
      <c r="I310" s="198"/>
      <c r="J310" s="198"/>
      <c r="K310" s="198"/>
      <c r="L310" s="198"/>
    </row>
    <row r="311">
      <c r="A311" s="198"/>
      <c r="B311" s="208" t="str">
        <f>vlookup(A311,Price!A:B,2,false)</f>
        <v>#N/A</v>
      </c>
      <c r="C311" s="198"/>
      <c r="D311" s="198"/>
      <c r="E311" s="198"/>
      <c r="F311" s="198"/>
      <c r="G311" s="198"/>
      <c r="H311" s="198"/>
      <c r="I311" s="198"/>
      <c r="J311" s="198"/>
      <c r="K311" s="198"/>
      <c r="L311" s="198"/>
    </row>
    <row r="312">
      <c r="A312" s="198"/>
      <c r="B312" s="208" t="str">
        <f>vlookup(A312,Price!A:B,2,false)</f>
        <v>#N/A</v>
      </c>
      <c r="C312" s="198"/>
      <c r="D312" s="198"/>
      <c r="E312" s="198"/>
      <c r="F312" s="198"/>
      <c r="G312" s="198"/>
      <c r="H312" s="198"/>
      <c r="I312" s="198"/>
      <c r="J312" s="198"/>
      <c r="K312" s="198"/>
      <c r="L312" s="198"/>
    </row>
    <row r="313">
      <c r="A313" s="198"/>
      <c r="B313" s="208" t="str">
        <f>vlookup(A313,Price!A:B,2,false)</f>
        <v>#N/A</v>
      </c>
      <c r="C313" s="198"/>
      <c r="D313" s="198"/>
      <c r="E313" s="198"/>
      <c r="F313" s="198"/>
      <c r="G313" s="198"/>
      <c r="H313" s="198"/>
      <c r="I313" s="198"/>
      <c r="J313" s="198"/>
      <c r="K313" s="198"/>
      <c r="L313" s="198"/>
    </row>
    <row r="314">
      <c r="A314" s="198"/>
      <c r="B314" s="208" t="str">
        <f>vlookup(A314,Price!A:B,2,false)</f>
        <v>#N/A</v>
      </c>
      <c r="C314" s="198"/>
      <c r="D314" s="198"/>
      <c r="E314" s="198"/>
      <c r="F314" s="198"/>
      <c r="G314" s="198"/>
      <c r="H314" s="198"/>
      <c r="I314" s="198"/>
      <c r="J314" s="198"/>
      <c r="K314" s="198"/>
      <c r="L314" s="198"/>
    </row>
    <row r="315">
      <c r="A315" s="198"/>
      <c r="B315" s="208" t="str">
        <f>vlookup(A315,Price!A:B,2,false)</f>
        <v>#N/A</v>
      </c>
      <c r="C315" s="198"/>
      <c r="D315" s="198"/>
      <c r="E315" s="198"/>
      <c r="F315" s="198"/>
      <c r="G315" s="198"/>
      <c r="H315" s="198"/>
      <c r="I315" s="198"/>
      <c r="J315" s="198"/>
      <c r="K315" s="198"/>
      <c r="L315" s="198"/>
    </row>
    <row r="316">
      <c r="A316" s="198"/>
      <c r="B316" s="208" t="str">
        <f>vlookup(A316,Price!A:B,2,false)</f>
        <v>#N/A</v>
      </c>
      <c r="C316" s="198"/>
      <c r="D316" s="198"/>
      <c r="E316" s="198"/>
      <c r="F316" s="198"/>
      <c r="G316" s="198"/>
      <c r="H316" s="198"/>
      <c r="I316" s="198"/>
      <c r="J316" s="198"/>
      <c r="K316" s="198"/>
      <c r="L316" s="198"/>
    </row>
    <row r="317">
      <c r="A317" s="198"/>
      <c r="B317" s="208" t="str">
        <f>vlookup(A317,Price!A:B,2,false)</f>
        <v>#N/A</v>
      </c>
      <c r="C317" s="198"/>
      <c r="D317" s="198"/>
      <c r="E317" s="198"/>
      <c r="F317" s="198"/>
      <c r="G317" s="198"/>
      <c r="H317" s="198"/>
      <c r="I317" s="198"/>
      <c r="J317" s="198"/>
      <c r="K317" s="198"/>
      <c r="L317" s="198"/>
    </row>
    <row r="318">
      <c r="A318" s="198"/>
      <c r="B318" s="208" t="str">
        <f>vlookup(A318,Price!A:B,2,false)</f>
        <v>#N/A</v>
      </c>
      <c r="C318" s="198"/>
      <c r="D318" s="198"/>
      <c r="E318" s="198"/>
      <c r="F318" s="198"/>
      <c r="G318" s="198"/>
      <c r="H318" s="198"/>
      <c r="I318" s="198"/>
      <c r="J318" s="198"/>
      <c r="K318" s="198"/>
      <c r="L318" s="198"/>
    </row>
    <row r="319">
      <c r="A319" s="198"/>
      <c r="B319" s="208" t="str">
        <f>vlookup(A319,Price!A:B,2,false)</f>
        <v>#N/A</v>
      </c>
      <c r="C319" s="198"/>
      <c r="D319" s="198"/>
      <c r="E319" s="198"/>
      <c r="F319" s="198"/>
      <c r="G319" s="198"/>
      <c r="H319" s="198"/>
      <c r="I319" s="198"/>
      <c r="J319" s="198"/>
      <c r="K319" s="198"/>
      <c r="L319" s="198"/>
    </row>
    <row r="320">
      <c r="A320" s="198"/>
      <c r="B320" s="208" t="str">
        <f>vlookup(A320,Price!A:B,2,false)</f>
        <v>#N/A</v>
      </c>
      <c r="C320" s="198"/>
      <c r="D320" s="198"/>
      <c r="E320" s="198"/>
      <c r="F320" s="198"/>
      <c r="G320" s="198"/>
      <c r="H320" s="198"/>
      <c r="I320" s="198"/>
      <c r="J320" s="198"/>
      <c r="K320" s="198"/>
      <c r="L320" s="198"/>
    </row>
    <row r="321">
      <c r="A321" s="198"/>
      <c r="B321" s="208" t="str">
        <f>vlookup(A321,Price!A:B,2,false)</f>
        <v>#N/A</v>
      </c>
      <c r="C321" s="198"/>
      <c r="D321" s="198"/>
      <c r="E321" s="198"/>
      <c r="F321" s="198"/>
      <c r="G321" s="198"/>
      <c r="H321" s="198"/>
      <c r="I321" s="198"/>
      <c r="J321" s="198"/>
      <c r="K321" s="198"/>
      <c r="L321" s="198"/>
    </row>
    <row r="322">
      <c r="A322" s="198"/>
      <c r="B322" s="208" t="str">
        <f>vlookup(A322,Price!A:B,2,false)</f>
        <v>#N/A</v>
      </c>
      <c r="C322" s="198"/>
      <c r="D322" s="198"/>
      <c r="E322" s="198"/>
      <c r="F322" s="198"/>
      <c r="G322" s="198"/>
      <c r="H322" s="198"/>
      <c r="I322" s="198"/>
      <c r="J322" s="198"/>
      <c r="K322" s="198"/>
      <c r="L322" s="198"/>
    </row>
    <row r="323">
      <c r="A323" s="198"/>
      <c r="B323" s="208" t="str">
        <f>vlookup(A323,Price!A:B,2,false)</f>
        <v>#N/A</v>
      </c>
      <c r="C323" s="198"/>
      <c r="D323" s="198"/>
      <c r="E323" s="198"/>
      <c r="F323" s="198"/>
      <c r="G323" s="198"/>
      <c r="H323" s="198"/>
      <c r="I323" s="198"/>
      <c r="J323" s="198"/>
      <c r="K323" s="198"/>
      <c r="L323" s="198"/>
    </row>
    <row r="324">
      <c r="A324" s="198"/>
      <c r="B324" s="208" t="str">
        <f>vlookup(A324,Price!A:B,2,false)</f>
        <v>#N/A</v>
      </c>
      <c r="C324" s="198"/>
      <c r="D324" s="198"/>
      <c r="E324" s="198"/>
      <c r="F324" s="198"/>
      <c r="G324" s="198"/>
      <c r="H324" s="198"/>
      <c r="I324" s="198"/>
      <c r="J324" s="198"/>
      <c r="K324" s="198"/>
      <c r="L324" s="198"/>
    </row>
    <row r="325">
      <c r="A325" s="198"/>
      <c r="B325" s="208" t="str">
        <f>vlookup(A325,Price!A:B,2,false)</f>
        <v>#N/A</v>
      </c>
      <c r="C325" s="198"/>
      <c r="D325" s="198"/>
      <c r="E325" s="198"/>
      <c r="F325" s="198"/>
      <c r="G325" s="198"/>
      <c r="H325" s="198"/>
      <c r="I325" s="198"/>
      <c r="J325" s="198"/>
      <c r="K325" s="198"/>
      <c r="L325" s="198"/>
    </row>
    <row r="326">
      <c r="A326" s="198"/>
      <c r="B326" s="208" t="str">
        <f>vlookup(A326,Price!A:B,2,false)</f>
        <v>#N/A</v>
      </c>
      <c r="C326" s="198"/>
      <c r="D326" s="198"/>
      <c r="E326" s="198"/>
      <c r="F326" s="198"/>
      <c r="G326" s="198"/>
      <c r="H326" s="198"/>
      <c r="I326" s="198"/>
      <c r="J326" s="198"/>
      <c r="K326" s="198"/>
      <c r="L326" s="198"/>
    </row>
    <row r="327">
      <c r="A327" s="198"/>
      <c r="B327" s="208" t="str">
        <f>vlookup(A327,Price!A:B,2,false)</f>
        <v>#N/A</v>
      </c>
      <c r="C327" s="198"/>
      <c r="D327" s="198"/>
      <c r="E327" s="198"/>
      <c r="F327" s="198"/>
      <c r="G327" s="198"/>
      <c r="H327" s="198"/>
      <c r="I327" s="198"/>
      <c r="J327" s="198"/>
      <c r="K327" s="198"/>
      <c r="L327" s="198"/>
    </row>
    <row r="328">
      <c r="A328" s="198"/>
      <c r="B328" s="208" t="str">
        <f>vlookup(A328,Price!A:B,2,false)</f>
        <v>#N/A</v>
      </c>
      <c r="C328" s="198"/>
      <c r="D328" s="198"/>
      <c r="E328" s="198"/>
      <c r="F328" s="198"/>
      <c r="G328" s="198"/>
      <c r="H328" s="198"/>
      <c r="I328" s="198"/>
      <c r="J328" s="198"/>
      <c r="K328" s="198"/>
      <c r="L328" s="198"/>
    </row>
    <row r="329">
      <c r="A329" s="198"/>
      <c r="B329" s="208" t="str">
        <f>vlookup(A329,Price!A:B,2,false)</f>
        <v>#N/A</v>
      </c>
      <c r="C329" s="198"/>
      <c r="D329" s="198"/>
      <c r="E329" s="198"/>
      <c r="F329" s="198"/>
      <c r="G329" s="198"/>
      <c r="H329" s="198"/>
      <c r="I329" s="198"/>
      <c r="J329" s="198"/>
      <c r="K329" s="198"/>
      <c r="L329" s="198"/>
    </row>
    <row r="330">
      <c r="A330" s="198"/>
      <c r="B330" s="208" t="str">
        <f>vlookup(A330,Price!A:B,2,false)</f>
        <v>#N/A</v>
      </c>
      <c r="C330" s="198"/>
      <c r="D330" s="198"/>
      <c r="E330" s="198"/>
      <c r="F330" s="198"/>
      <c r="G330" s="198"/>
      <c r="H330" s="198"/>
      <c r="I330" s="198"/>
      <c r="J330" s="198"/>
      <c r="K330" s="198"/>
      <c r="L330" s="198"/>
    </row>
    <row r="331">
      <c r="A331" s="198"/>
      <c r="B331" s="208" t="str">
        <f>vlookup(A331,Price!A:B,2,false)</f>
        <v>#N/A</v>
      </c>
      <c r="C331" s="198"/>
      <c r="D331" s="198"/>
      <c r="E331" s="198"/>
      <c r="F331" s="198"/>
      <c r="G331" s="198"/>
      <c r="H331" s="198"/>
      <c r="I331" s="198"/>
      <c r="J331" s="198"/>
      <c r="K331" s="198"/>
      <c r="L331" s="198"/>
    </row>
    <row r="332">
      <c r="A332" s="198"/>
      <c r="B332" s="208" t="str">
        <f>vlookup(A332,Price!A:B,2,false)</f>
        <v>#N/A</v>
      </c>
      <c r="C332" s="198"/>
      <c r="D332" s="198"/>
      <c r="E332" s="198"/>
      <c r="F332" s="198"/>
      <c r="G332" s="198"/>
      <c r="H332" s="198"/>
      <c r="I332" s="198"/>
      <c r="J332" s="198"/>
      <c r="K332" s="198"/>
      <c r="L332" s="198"/>
    </row>
    <row r="333">
      <c r="A333" s="198"/>
      <c r="B333" s="208" t="str">
        <f>vlookup(A333,Price!A:B,2,false)</f>
        <v>#N/A</v>
      </c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</row>
    <row r="334">
      <c r="A334" s="198"/>
      <c r="B334" s="208" t="str">
        <f>vlookup(A334,Price!A:B,2,false)</f>
        <v>#N/A</v>
      </c>
      <c r="C334" s="198"/>
      <c r="D334" s="198"/>
      <c r="E334" s="198"/>
      <c r="F334" s="198"/>
      <c r="G334" s="198"/>
      <c r="H334" s="198"/>
      <c r="I334" s="198"/>
      <c r="J334" s="198"/>
      <c r="K334" s="198"/>
      <c r="L334" s="198"/>
    </row>
    <row r="335">
      <c r="A335" s="198"/>
      <c r="B335" s="208" t="str">
        <f>vlookup(A335,Price!A:B,2,false)</f>
        <v>#N/A</v>
      </c>
      <c r="C335" s="198"/>
      <c r="D335" s="198"/>
      <c r="E335" s="198"/>
      <c r="F335" s="198"/>
      <c r="G335" s="198"/>
      <c r="H335" s="198"/>
      <c r="I335" s="198"/>
      <c r="J335" s="198"/>
      <c r="K335" s="198"/>
      <c r="L335" s="198"/>
    </row>
    <row r="336">
      <c r="A336" s="198"/>
      <c r="B336" s="208" t="str">
        <f>vlookup(A336,Price!A:B,2,false)</f>
        <v>#N/A</v>
      </c>
      <c r="C336" s="198"/>
      <c r="D336" s="198"/>
      <c r="E336" s="198"/>
      <c r="F336" s="198"/>
      <c r="G336" s="198"/>
      <c r="H336" s="198"/>
      <c r="I336" s="198"/>
      <c r="J336" s="198"/>
      <c r="K336" s="198"/>
      <c r="L336" s="198"/>
    </row>
    <row r="337">
      <c r="A337" s="198"/>
      <c r="B337" s="208" t="str">
        <f>vlookup(A337,Price!A:B,2,false)</f>
        <v>#N/A</v>
      </c>
      <c r="C337" s="198"/>
      <c r="D337" s="198"/>
      <c r="E337" s="198"/>
      <c r="F337" s="198"/>
      <c r="G337" s="198"/>
      <c r="H337" s="198"/>
      <c r="I337" s="198"/>
      <c r="J337" s="198"/>
      <c r="K337" s="198"/>
      <c r="L337" s="198"/>
    </row>
    <row r="338">
      <c r="A338" s="198"/>
      <c r="B338" s="208" t="str">
        <f>vlookup(A338,Price!A:B,2,false)</f>
        <v>#N/A</v>
      </c>
      <c r="C338" s="198"/>
      <c r="D338" s="198"/>
      <c r="E338" s="198"/>
      <c r="F338" s="198"/>
      <c r="G338" s="198"/>
      <c r="H338" s="198"/>
      <c r="I338" s="198"/>
      <c r="J338" s="198"/>
      <c r="K338" s="198"/>
      <c r="L338" s="198"/>
    </row>
    <row r="339">
      <c r="A339" s="198"/>
      <c r="B339" s="208" t="str">
        <f>vlookup(A339,Price!A:B,2,false)</f>
        <v>#N/A</v>
      </c>
      <c r="C339" s="198"/>
      <c r="D339" s="198"/>
      <c r="E339" s="198"/>
      <c r="F339" s="198"/>
      <c r="G339" s="198"/>
      <c r="H339" s="198"/>
      <c r="I339" s="198"/>
      <c r="J339" s="198"/>
      <c r="K339" s="198"/>
      <c r="L339" s="198"/>
    </row>
    <row r="340">
      <c r="A340" s="198"/>
      <c r="B340" s="208" t="str">
        <f>vlookup(A340,Price!A:B,2,false)</f>
        <v>#N/A</v>
      </c>
      <c r="C340" s="198"/>
      <c r="D340" s="198"/>
      <c r="E340" s="198"/>
      <c r="F340" s="198"/>
      <c r="G340" s="198"/>
      <c r="H340" s="198"/>
      <c r="I340" s="198"/>
      <c r="J340" s="198"/>
      <c r="K340" s="198"/>
      <c r="L340" s="198"/>
    </row>
    <row r="341">
      <c r="A341" s="198"/>
      <c r="B341" s="208" t="str">
        <f>vlookup(A341,Price!A:B,2,false)</f>
        <v>#N/A</v>
      </c>
      <c r="C341" s="198"/>
      <c r="D341" s="198"/>
      <c r="E341" s="198"/>
      <c r="F341" s="198"/>
      <c r="G341" s="198"/>
      <c r="H341" s="198"/>
      <c r="I341" s="198"/>
      <c r="J341" s="198"/>
      <c r="K341" s="198"/>
      <c r="L341" s="198"/>
    </row>
    <row r="342">
      <c r="A342" s="198"/>
      <c r="B342" s="208" t="str">
        <f>vlookup(A342,Price!A:B,2,false)</f>
        <v>#N/A</v>
      </c>
      <c r="C342" s="198"/>
      <c r="D342" s="198"/>
      <c r="E342" s="198"/>
      <c r="F342" s="198"/>
      <c r="G342" s="198"/>
      <c r="H342" s="198"/>
      <c r="I342" s="198"/>
      <c r="J342" s="198"/>
      <c r="K342" s="198"/>
      <c r="L342" s="198"/>
    </row>
    <row r="343">
      <c r="A343" s="198"/>
      <c r="B343" s="208" t="str">
        <f>vlookup(A343,Price!A:B,2,false)</f>
        <v>#N/A</v>
      </c>
      <c r="C343" s="198"/>
      <c r="D343" s="198"/>
      <c r="E343" s="198"/>
      <c r="F343" s="198"/>
      <c r="G343" s="198"/>
      <c r="H343" s="198"/>
      <c r="I343" s="198"/>
      <c r="J343" s="198"/>
      <c r="K343" s="198"/>
      <c r="L343" s="198"/>
    </row>
    <row r="344">
      <c r="A344" s="198"/>
      <c r="B344" s="208" t="str">
        <f>vlookup(A344,Price!A:B,2,false)</f>
        <v>#N/A</v>
      </c>
      <c r="C344" s="198"/>
      <c r="D344" s="198"/>
      <c r="E344" s="198"/>
      <c r="F344" s="198"/>
      <c r="G344" s="198"/>
      <c r="H344" s="198"/>
      <c r="I344" s="198"/>
      <c r="J344" s="198"/>
      <c r="K344" s="198"/>
      <c r="L344" s="198"/>
    </row>
    <row r="345">
      <c r="A345" s="198"/>
      <c r="B345" s="208" t="str">
        <f>vlookup(A345,Price!A:B,2,false)</f>
        <v>#N/A</v>
      </c>
      <c r="C345" s="198"/>
      <c r="D345" s="198"/>
      <c r="E345" s="198"/>
      <c r="F345" s="198"/>
      <c r="G345" s="198"/>
      <c r="H345" s="198"/>
      <c r="I345" s="198"/>
      <c r="J345" s="198"/>
      <c r="K345" s="198"/>
      <c r="L345" s="198"/>
    </row>
    <row r="346">
      <c r="A346" s="198"/>
      <c r="B346" s="208" t="str">
        <f>vlookup(A346,Price!A:B,2,false)</f>
        <v>#N/A</v>
      </c>
      <c r="C346" s="198"/>
      <c r="D346" s="198"/>
      <c r="E346" s="198"/>
      <c r="F346" s="198"/>
      <c r="G346" s="198"/>
      <c r="H346" s="198"/>
      <c r="I346" s="198"/>
      <c r="J346" s="198"/>
      <c r="K346" s="198"/>
      <c r="L346" s="198"/>
    </row>
    <row r="347">
      <c r="A347" s="198"/>
      <c r="B347" s="208" t="str">
        <f>vlookup(A347,Price!A:B,2,false)</f>
        <v>#N/A</v>
      </c>
      <c r="C347" s="198"/>
      <c r="D347" s="198"/>
      <c r="E347" s="198"/>
      <c r="F347" s="198"/>
      <c r="G347" s="198"/>
      <c r="H347" s="198"/>
      <c r="I347" s="198"/>
      <c r="J347" s="198"/>
      <c r="K347" s="198"/>
      <c r="L347" s="198"/>
    </row>
    <row r="348">
      <c r="A348" s="198"/>
      <c r="B348" s="208" t="str">
        <f>vlookup(A348,Price!A:B,2,false)</f>
        <v>#N/A</v>
      </c>
      <c r="C348" s="198"/>
      <c r="D348" s="198"/>
      <c r="E348" s="198"/>
      <c r="F348" s="198"/>
      <c r="G348" s="198"/>
      <c r="H348" s="198"/>
      <c r="I348" s="198"/>
      <c r="J348" s="198"/>
      <c r="K348" s="198"/>
      <c r="L348" s="198"/>
    </row>
    <row r="349">
      <c r="A349" s="198"/>
      <c r="B349" s="208" t="str">
        <f>vlookup(A349,Price!A:B,2,false)</f>
        <v>#N/A</v>
      </c>
      <c r="C349" s="198"/>
      <c r="D349" s="198"/>
      <c r="E349" s="198"/>
      <c r="F349" s="198"/>
      <c r="G349" s="198"/>
      <c r="H349" s="198"/>
      <c r="I349" s="198"/>
      <c r="J349" s="198"/>
      <c r="K349" s="198"/>
      <c r="L349" s="198"/>
    </row>
    <row r="350">
      <c r="A350" s="198"/>
      <c r="B350" s="208" t="str">
        <f>vlookup(A350,Price!A:B,2,false)</f>
        <v>#N/A</v>
      </c>
      <c r="C350" s="198"/>
      <c r="D350" s="198"/>
      <c r="E350" s="198"/>
      <c r="F350" s="198"/>
      <c r="G350" s="198"/>
      <c r="H350" s="198"/>
      <c r="I350" s="198"/>
      <c r="J350" s="198"/>
      <c r="K350" s="198"/>
      <c r="L350" s="198"/>
    </row>
    <row r="351">
      <c r="A351" s="198"/>
      <c r="B351" s="208" t="str">
        <f>vlookup(A351,Price!A:B,2,false)</f>
        <v>#N/A</v>
      </c>
      <c r="C351" s="198"/>
      <c r="D351" s="198"/>
      <c r="E351" s="198"/>
      <c r="F351" s="198"/>
      <c r="G351" s="198"/>
      <c r="H351" s="198"/>
      <c r="I351" s="198"/>
      <c r="J351" s="198"/>
      <c r="K351" s="198"/>
      <c r="L351" s="198"/>
    </row>
    <row r="352">
      <c r="A352" s="198"/>
      <c r="B352" s="208" t="str">
        <f>vlookup(A352,Price!A:B,2,false)</f>
        <v>#N/A</v>
      </c>
      <c r="C352" s="198"/>
      <c r="D352" s="198"/>
      <c r="E352" s="198"/>
      <c r="F352" s="198"/>
      <c r="G352" s="198"/>
      <c r="H352" s="198"/>
      <c r="I352" s="198"/>
      <c r="J352" s="198"/>
      <c r="K352" s="198"/>
      <c r="L352" s="198"/>
    </row>
    <row r="353">
      <c r="A353" s="198"/>
      <c r="B353" s="208" t="str">
        <f>vlookup(A353,Price!A:B,2,false)</f>
        <v>#N/A</v>
      </c>
      <c r="C353" s="198"/>
      <c r="D353" s="198"/>
      <c r="E353" s="198"/>
      <c r="F353" s="198"/>
      <c r="G353" s="198"/>
      <c r="H353" s="198"/>
      <c r="I353" s="198"/>
      <c r="J353" s="198"/>
      <c r="K353" s="198"/>
      <c r="L353" s="198"/>
    </row>
    <row r="354">
      <c r="A354" s="198"/>
      <c r="B354" s="208" t="str">
        <f>vlookup(A354,Price!A:B,2,false)</f>
        <v>#N/A</v>
      </c>
      <c r="C354" s="198"/>
      <c r="D354" s="198"/>
      <c r="E354" s="198"/>
      <c r="F354" s="198"/>
      <c r="G354" s="198"/>
      <c r="H354" s="198"/>
      <c r="I354" s="198"/>
      <c r="J354" s="198"/>
      <c r="K354" s="198"/>
      <c r="L354" s="198"/>
    </row>
    <row r="355">
      <c r="A355" s="198"/>
      <c r="B355" s="208" t="str">
        <f>vlookup(A355,Price!A:B,2,false)</f>
        <v>#N/A</v>
      </c>
      <c r="C355" s="198"/>
      <c r="D355" s="198"/>
      <c r="E355" s="198"/>
      <c r="F355" s="198"/>
      <c r="G355" s="198"/>
      <c r="H355" s="198"/>
      <c r="I355" s="198"/>
      <c r="J355" s="198"/>
      <c r="K355" s="198"/>
      <c r="L355" s="198"/>
    </row>
    <row r="356">
      <c r="A356" s="198"/>
      <c r="B356" s="208" t="str">
        <f>vlookup(A356,Price!A:B,2,false)</f>
        <v>#N/A</v>
      </c>
      <c r="C356" s="198"/>
      <c r="D356" s="198"/>
      <c r="E356" s="198"/>
      <c r="F356" s="198"/>
      <c r="G356" s="198"/>
      <c r="H356" s="198"/>
      <c r="I356" s="198"/>
      <c r="J356" s="198"/>
      <c r="K356" s="198"/>
      <c r="L356" s="198"/>
    </row>
    <row r="357">
      <c r="A357" s="198"/>
      <c r="B357" s="208" t="str">
        <f>vlookup(A357,Price!A:B,2,false)</f>
        <v>#N/A</v>
      </c>
      <c r="C357" s="198"/>
      <c r="D357" s="198"/>
      <c r="E357" s="198"/>
      <c r="F357" s="198"/>
      <c r="G357" s="198"/>
      <c r="H357" s="198"/>
      <c r="I357" s="198"/>
      <c r="J357" s="198"/>
      <c r="K357" s="198"/>
      <c r="L357" s="198"/>
    </row>
    <row r="358">
      <c r="A358" s="198"/>
      <c r="B358" s="208" t="str">
        <f>vlookup(A358,Price!A:B,2,false)</f>
        <v>#N/A</v>
      </c>
      <c r="C358" s="198"/>
      <c r="D358" s="198"/>
      <c r="E358" s="198"/>
      <c r="F358" s="198"/>
      <c r="G358" s="198"/>
      <c r="H358" s="198"/>
      <c r="I358" s="198"/>
      <c r="J358" s="198"/>
      <c r="K358" s="198"/>
      <c r="L358" s="198"/>
    </row>
    <row r="359">
      <c r="A359" s="198"/>
      <c r="B359" s="208" t="str">
        <f>vlookup(A359,Price!A:B,2,false)</f>
        <v>#N/A</v>
      </c>
      <c r="C359" s="198"/>
      <c r="D359" s="198"/>
      <c r="E359" s="198"/>
      <c r="F359" s="198"/>
      <c r="G359" s="198"/>
      <c r="H359" s="198"/>
      <c r="I359" s="198"/>
      <c r="J359" s="198"/>
      <c r="K359" s="198"/>
      <c r="L359" s="198"/>
    </row>
    <row r="360">
      <c r="A360" s="198"/>
      <c r="B360" s="208" t="str">
        <f>vlookup(A360,Price!A:B,2,false)</f>
        <v>#N/A</v>
      </c>
      <c r="C360" s="198"/>
      <c r="D360" s="198"/>
      <c r="E360" s="198"/>
      <c r="F360" s="198"/>
      <c r="G360" s="198"/>
      <c r="H360" s="198"/>
      <c r="I360" s="198"/>
      <c r="J360" s="198"/>
      <c r="K360" s="198"/>
      <c r="L360" s="198"/>
    </row>
    <row r="361">
      <c r="A361" s="198"/>
      <c r="B361" s="208" t="str">
        <f>vlookup(A361,Price!A:B,2,false)</f>
        <v>#N/A</v>
      </c>
      <c r="C361" s="198"/>
      <c r="D361" s="198"/>
      <c r="E361" s="198"/>
      <c r="F361" s="198"/>
      <c r="G361" s="198"/>
      <c r="H361" s="198"/>
      <c r="I361" s="198"/>
      <c r="J361" s="198"/>
      <c r="K361" s="198"/>
      <c r="L361" s="198"/>
    </row>
    <row r="362">
      <c r="A362" s="198"/>
      <c r="B362" s="208" t="str">
        <f>vlookup(A362,Price!A:B,2,false)</f>
        <v>#N/A</v>
      </c>
      <c r="C362" s="198"/>
      <c r="D362" s="198"/>
      <c r="E362" s="198"/>
      <c r="F362" s="198"/>
      <c r="G362" s="198"/>
      <c r="H362" s="198"/>
      <c r="I362" s="198"/>
      <c r="J362" s="198"/>
      <c r="K362" s="198"/>
      <c r="L362" s="198"/>
    </row>
    <row r="363">
      <c r="A363" s="198"/>
      <c r="B363" s="208" t="str">
        <f>vlookup(A363,Price!A:B,2,false)</f>
        <v>#N/A</v>
      </c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</row>
    <row r="364">
      <c r="A364" s="198"/>
      <c r="B364" s="208" t="str">
        <f>vlookup(A364,Price!A:B,2,false)</f>
        <v>#N/A</v>
      </c>
      <c r="C364" s="198"/>
      <c r="D364" s="198"/>
      <c r="E364" s="198"/>
      <c r="F364" s="198"/>
      <c r="G364" s="198"/>
      <c r="H364" s="198"/>
      <c r="I364" s="198"/>
      <c r="J364" s="198"/>
      <c r="K364" s="198"/>
      <c r="L364" s="198"/>
    </row>
    <row r="365">
      <c r="A365" s="198"/>
      <c r="B365" s="208" t="str">
        <f>vlookup(A365,Price!A:B,2,false)</f>
        <v>#N/A</v>
      </c>
      <c r="C365" s="198"/>
      <c r="D365" s="198"/>
      <c r="E365" s="198"/>
      <c r="F365" s="198"/>
      <c r="G365" s="198"/>
      <c r="H365" s="198"/>
      <c r="I365" s="198"/>
      <c r="J365" s="198"/>
      <c r="K365" s="198"/>
      <c r="L365" s="198"/>
    </row>
    <row r="366">
      <c r="A366" s="198"/>
      <c r="B366" s="208" t="str">
        <f>vlookup(A366,Price!A:B,2,false)</f>
        <v>#N/A</v>
      </c>
      <c r="C366" s="198"/>
      <c r="D366" s="198"/>
      <c r="E366" s="198"/>
      <c r="F366" s="198"/>
      <c r="G366" s="198"/>
      <c r="H366" s="198"/>
      <c r="I366" s="198"/>
      <c r="J366" s="198"/>
      <c r="K366" s="198"/>
      <c r="L366" s="198"/>
    </row>
    <row r="367">
      <c r="A367" s="198"/>
      <c r="B367" s="208" t="str">
        <f>vlookup(A367,Price!A:B,2,false)</f>
        <v>#N/A</v>
      </c>
      <c r="C367" s="198"/>
      <c r="D367" s="198"/>
      <c r="E367" s="198"/>
      <c r="F367" s="198"/>
      <c r="G367" s="198"/>
      <c r="H367" s="198"/>
      <c r="I367" s="198"/>
      <c r="J367" s="198"/>
      <c r="K367" s="198"/>
      <c r="L367" s="198"/>
    </row>
    <row r="368">
      <c r="A368" s="198"/>
      <c r="B368" s="208" t="str">
        <f>vlookup(A368,Price!A:B,2,false)</f>
        <v>#N/A</v>
      </c>
      <c r="C368" s="198"/>
      <c r="D368" s="198"/>
      <c r="E368" s="198"/>
      <c r="F368" s="198"/>
      <c r="G368" s="198"/>
      <c r="H368" s="198"/>
      <c r="I368" s="198"/>
      <c r="J368" s="198"/>
      <c r="K368" s="198"/>
      <c r="L368" s="198"/>
    </row>
    <row r="369">
      <c r="A369" s="198"/>
      <c r="B369" s="208" t="str">
        <f>vlookup(A369,Price!A:B,2,false)</f>
        <v>#N/A</v>
      </c>
      <c r="C369" s="198"/>
      <c r="D369" s="198"/>
      <c r="E369" s="198"/>
      <c r="F369" s="198"/>
      <c r="G369" s="198"/>
      <c r="H369" s="198"/>
      <c r="I369" s="198"/>
      <c r="J369" s="198"/>
      <c r="K369" s="198"/>
      <c r="L369" s="198"/>
    </row>
    <row r="370">
      <c r="A370" s="198"/>
      <c r="B370" s="208" t="str">
        <f>vlookup(A370,Price!A:B,2,false)</f>
        <v>#N/A</v>
      </c>
      <c r="C370" s="198"/>
      <c r="D370" s="198"/>
      <c r="E370" s="198"/>
      <c r="F370" s="198"/>
      <c r="G370" s="198"/>
      <c r="H370" s="198"/>
      <c r="I370" s="198"/>
      <c r="J370" s="198"/>
      <c r="K370" s="198"/>
      <c r="L370" s="198"/>
    </row>
    <row r="371">
      <c r="A371" s="198"/>
      <c r="B371" s="208" t="str">
        <f>vlookup(A371,Price!A:B,2,false)</f>
        <v>#N/A</v>
      </c>
      <c r="C371" s="198"/>
      <c r="D371" s="198"/>
      <c r="E371" s="198"/>
      <c r="F371" s="198"/>
      <c r="G371" s="198"/>
      <c r="H371" s="198"/>
      <c r="I371" s="198"/>
      <c r="J371" s="198"/>
      <c r="K371" s="198"/>
      <c r="L371" s="198"/>
    </row>
    <row r="372">
      <c r="A372" s="198"/>
      <c r="B372" s="208" t="str">
        <f>vlookup(A372,Price!A:B,2,false)</f>
        <v>#N/A</v>
      </c>
      <c r="C372" s="198"/>
      <c r="D372" s="198"/>
      <c r="E372" s="198"/>
      <c r="F372" s="198"/>
      <c r="G372" s="198"/>
      <c r="H372" s="198"/>
      <c r="I372" s="198"/>
      <c r="J372" s="198"/>
      <c r="K372" s="198"/>
      <c r="L372" s="198"/>
    </row>
    <row r="373">
      <c r="A373" s="198"/>
      <c r="B373" s="208" t="str">
        <f>vlookup(A373,Price!A:B,2,false)</f>
        <v>#N/A</v>
      </c>
      <c r="C373" s="198"/>
      <c r="D373" s="198"/>
      <c r="E373" s="198"/>
      <c r="F373" s="198"/>
      <c r="G373" s="198"/>
      <c r="H373" s="198"/>
      <c r="I373" s="198"/>
      <c r="J373" s="198"/>
      <c r="K373" s="198"/>
      <c r="L373" s="198"/>
    </row>
    <row r="374">
      <c r="A374" s="198"/>
      <c r="B374" s="208" t="str">
        <f>vlookup(A374,Price!A:B,2,false)</f>
        <v>#N/A</v>
      </c>
      <c r="C374" s="198"/>
      <c r="D374" s="198"/>
      <c r="E374" s="198"/>
      <c r="F374" s="198"/>
      <c r="G374" s="198"/>
      <c r="H374" s="198"/>
      <c r="I374" s="198"/>
      <c r="J374" s="198"/>
      <c r="K374" s="198"/>
      <c r="L374" s="198"/>
    </row>
    <row r="375">
      <c r="A375" s="198"/>
      <c r="B375" s="208" t="str">
        <f>vlookup(A375,Price!A:B,2,false)</f>
        <v>#N/A</v>
      </c>
      <c r="C375" s="198"/>
      <c r="D375" s="198"/>
      <c r="E375" s="198"/>
      <c r="F375" s="198"/>
      <c r="G375" s="198"/>
      <c r="H375" s="198"/>
      <c r="I375" s="198"/>
      <c r="J375" s="198"/>
      <c r="K375" s="198"/>
      <c r="L375" s="198"/>
    </row>
    <row r="376">
      <c r="A376" s="198"/>
      <c r="B376" s="208" t="str">
        <f>vlookup(A376,Price!A:B,2,false)</f>
        <v>#N/A</v>
      </c>
      <c r="C376" s="198"/>
      <c r="D376" s="198"/>
      <c r="E376" s="198"/>
      <c r="F376" s="198"/>
      <c r="G376" s="198"/>
      <c r="H376" s="198"/>
      <c r="I376" s="198"/>
      <c r="J376" s="198"/>
      <c r="K376" s="198"/>
      <c r="L376" s="198"/>
    </row>
    <row r="377">
      <c r="A377" s="198"/>
      <c r="B377" s="208" t="str">
        <f>vlookup(A377,Price!A:B,2,false)</f>
        <v>#N/A</v>
      </c>
      <c r="C377" s="198"/>
      <c r="D377" s="198"/>
      <c r="E377" s="198"/>
      <c r="F377" s="198"/>
      <c r="G377" s="198"/>
      <c r="H377" s="198"/>
      <c r="I377" s="198"/>
      <c r="J377" s="198"/>
      <c r="K377" s="198"/>
      <c r="L377" s="198"/>
    </row>
    <row r="378">
      <c r="A378" s="198"/>
      <c r="B378" s="208" t="str">
        <f>vlookup(A378,Price!A:B,2,false)</f>
        <v>#N/A</v>
      </c>
      <c r="C378" s="198"/>
      <c r="D378" s="198"/>
      <c r="E378" s="198"/>
      <c r="F378" s="198"/>
      <c r="G378" s="198"/>
      <c r="H378" s="198"/>
      <c r="I378" s="198"/>
      <c r="J378" s="198"/>
      <c r="K378" s="198"/>
      <c r="L378" s="198"/>
    </row>
    <row r="379">
      <c r="A379" s="198"/>
      <c r="B379" s="208" t="str">
        <f>vlookup(A379,Price!A:B,2,false)</f>
        <v>#N/A</v>
      </c>
      <c r="C379" s="198"/>
      <c r="D379" s="198"/>
      <c r="E379" s="198"/>
      <c r="F379" s="198"/>
      <c r="G379" s="198"/>
      <c r="H379" s="198"/>
      <c r="I379" s="198"/>
      <c r="J379" s="198"/>
      <c r="K379" s="198"/>
      <c r="L379" s="198"/>
    </row>
    <row r="380">
      <c r="A380" s="198"/>
      <c r="B380" s="208" t="str">
        <f>vlookup(A380,Price!A:B,2,false)</f>
        <v>#N/A</v>
      </c>
      <c r="C380" s="198"/>
      <c r="D380" s="198"/>
      <c r="E380" s="198"/>
      <c r="F380" s="198"/>
      <c r="G380" s="198"/>
      <c r="H380" s="198"/>
      <c r="I380" s="198"/>
      <c r="J380" s="198"/>
      <c r="K380" s="198"/>
      <c r="L380" s="198"/>
    </row>
    <row r="381">
      <c r="A381" s="198"/>
      <c r="B381" s="208" t="str">
        <f>vlookup(A381,Price!A:B,2,false)</f>
        <v>#N/A</v>
      </c>
      <c r="C381" s="198"/>
      <c r="D381" s="198"/>
      <c r="E381" s="198"/>
      <c r="F381" s="198"/>
      <c r="G381" s="198"/>
      <c r="H381" s="198"/>
      <c r="I381" s="198"/>
      <c r="J381" s="198"/>
      <c r="K381" s="198"/>
      <c r="L381" s="198"/>
    </row>
    <row r="382">
      <c r="A382" s="198"/>
      <c r="B382" s="208" t="str">
        <f>vlookup(A382,Price!A:B,2,false)</f>
        <v>#N/A</v>
      </c>
      <c r="C382" s="198"/>
      <c r="D382" s="198"/>
      <c r="E382" s="198"/>
      <c r="F382" s="198"/>
      <c r="G382" s="198"/>
      <c r="H382" s="198"/>
      <c r="I382" s="198"/>
      <c r="J382" s="198"/>
      <c r="K382" s="198"/>
      <c r="L382" s="198"/>
    </row>
    <row r="383">
      <c r="A383" s="198"/>
      <c r="B383" s="208" t="str">
        <f>vlookup(A383,Price!A:B,2,false)</f>
        <v>#N/A</v>
      </c>
      <c r="C383" s="198"/>
      <c r="D383" s="198"/>
      <c r="E383" s="198"/>
      <c r="F383" s="198"/>
      <c r="G383" s="198"/>
      <c r="H383" s="198"/>
      <c r="I383" s="198"/>
      <c r="J383" s="198"/>
      <c r="K383" s="198"/>
      <c r="L383" s="198"/>
    </row>
    <row r="384">
      <c r="A384" s="198"/>
      <c r="B384" s="208" t="str">
        <f>vlookup(A384,Price!A:B,2,false)</f>
        <v>#N/A</v>
      </c>
      <c r="C384" s="198"/>
      <c r="D384" s="198"/>
      <c r="E384" s="198"/>
      <c r="F384" s="198"/>
      <c r="G384" s="198"/>
      <c r="H384" s="198"/>
      <c r="I384" s="198"/>
      <c r="J384" s="198"/>
      <c r="K384" s="198"/>
      <c r="L384" s="198"/>
    </row>
    <row r="385">
      <c r="A385" s="198"/>
      <c r="B385" s="208" t="str">
        <f>vlookup(A385,Price!A:B,2,false)</f>
        <v>#N/A</v>
      </c>
      <c r="C385" s="198"/>
      <c r="D385" s="198"/>
      <c r="E385" s="198"/>
      <c r="F385" s="198"/>
      <c r="G385" s="198"/>
      <c r="H385" s="198"/>
      <c r="I385" s="198"/>
      <c r="J385" s="198"/>
      <c r="K385" s="198"/>
      <c r="L385" s="198"/>
    </row>
    <row r="386">
      <c r="A386" s="198"/>
      <c r="B386" s="208" t="str">
        <f>vlookup(A386,Price!A:B,2,false)</f>
        <v>#N/A</v>
      </c>
      <c r="C386" s="198"/>
      <c r="D386" s="198"/>
      <c r="E386" s="198"/>
      <c r="F386" s="198"/>
      <c r="G386" s="198"/>
      <c r="H386" s="198"/>
      <c r="I386" s="198"/>
      <c r="J386" s="198"/>
      <c r="K386" s="198"/>
      <c r="L386" s="198"/>
    </row>
    <row r="387">
      <c r="A387" s="198"/>
      <c r="B387" s="208" t="str">
        <f>vlookup(A387,Price!A:B,2,false)</f>
        <v>#N/A</v>
      </c>
      <c r="C387" s="198"/>
      <c r="D387" s="198"/>
      <c r="E387" s="198"/>
      <c r="F387" s="198"/>
      <c r="G387" s="198"/>
      <c r="H387" s="198"/>
      <c r="I387" s="198"/>
      <c r="J387" s="198"/>
      <c r="K387" s="198"/>
      <c r="L387" s="198"/>
    </row>
    <row r="388">
      <c r="A388" s="198"/>
      <c r="B388" s="208" t="str">
        <f>vlookup(A388,Price!A:B,2,false)</f>
        <v>#N/A</v>
      </c>
      <c r="C388" s="198"/>
      <c r="D388" s="198"/>
      <c r="E388" s="198"/>
      <c r="F388" s="198"/>
      <c r="G388" s="198"/>
      <c r="H388" s="198"/>
      <c r="I388" s="198"/>
      <c r="J388" s="198"/>
      <c r="K388" s="198"/>
      <c r="L388" s="198"/>
    </row>
    <row r="389">
      <c r="A389" s="198"/>
      <c r="B389" s="208" t="str">
        <f>vlookup(A389,Price!A:B,2,false)</f>
        <v>#N/A</v>
      </c>
      <c r="C389" s="198"/>
      <c r="D389" s="198"/>
      <c r="E389" s="198"/>
      <c r="F389" s="198"/>
      <c r="G389" s="198"/>
      <c r="H389" s="198"/>
      <c r="I389" s="198"/>
      <c r="J389" s="198"/>
      <c r="K389" s="198"/>
      <c r="L389" s="198"/>
    </row>
    <row r="390">
      <c r="A390" s="198"/>
      <c r="B390" s="208" t="str">
        <f>vlookup(A390,Price!A:B,2,false)</f>
        <v>#N/A</v>
      </c>
      <c r="C390" s="198"/>
      <c r="D390" s="198"/>
      <c r="E390" s="198"/>
      <c r="F390" s="198"/>
      <c r="G390" s="198"/>
      <c r="H390" s="198"/>
      <c r="I390" s="198"/>
      <c r="J390" s="198"/>
      <c r="K390" s="198"/>
      <c r="L390" s="198"/>
    </row>
    <row r="391">
      <c r="A391" s="198"/>
      <c r="B391" s="208" t="str">
        <f>vlookup(A391,Price!A:B,2,false)</f>
        <v>#N/A</v>
      </c>
      <c r="C391" s="198"/>
      <c r="D391" s="198"/>
      <c r="E391" s="198"/>
      <c r="F391" s="198"/>
      <c r="G391" s="198"/>
      <c r="H391" s="198"/>
      <c r="I391" s="198"/>
      <c r="J391" s="198"/>
      <c r="K391" s="198"/>
      <c r="L391" s="198"/>
    </row>
    <row r="392">
      <c r="A392" s="198"/>
      <c r="B392" s="208" t="str">
        <f>vlookup(A392,Price!A:B,2,false)</f>
        <v>#N/A</v>
      </c>
      <c r="C392" s="198"/>
      <c r="D392" s="198"/>
      <c r="E392" s="198"/>
      <c r="F392" s="198"/>
      <c r="G392" s="198"/>
      <c r="H392" s="198"/>
      <c r="I392" s="198"/>
      <c r="J392" s="198"/>
      <c r="K392" s="198"/>
      <c r="L392" s="198"/>
    </row>
    <row r="393">
      <c r="A393" s="198"/>
      <c r="B393" s="208" t="str">
        <f>vlookup(A393,Price!A:B,2,false)</f>
        <v>#N/A</v>
      </c>
      <c r="C393" s="198"/>
      <c r="D393" s="198"/>
      <c r="E393" s="198"/>
      <c r="F393" s="198"/>
      <c r="G393" s="198"/>
      <c r="H393" s="198"/>
      <c r="I393" s="198"/>
      <c r="J393" s="198"/>
      <c r="K393" s="198"/>
      <c r="L393" s="198"/>
    </row>
    <row r="394">
      <c r="A394" s="198"/>
      <c r="B394" s="208" t="str">
        <f>vlookup(A394,Price!A:B,2,false)</f>
        <v>#N/A</v>
      </c>
      <c r="C394" s="198"/>
      <c r="D394" s="198"/>
      <c r="E394" s="198"/>
      <c r="F394" s="198"/>
      <c r="G394" s="198"/>
      <c r="H394" s="198"/>
      <c r="I394" s="198"/>
      <c r="J394" s="198"/>
      <c r="K394" s="198"/>
      <c r="L394" s="198"/>
    </row>
    <row r="395">
      <c r="A395" s="198"/>
      <c r="B395" s="208" t="str">
        <f>vlookup(A395,Price!A:B,2,false)</f>
        <v>#N/A</v>
      </c>
      <c r="C395" s="198"/>
      <c r="D395" s="198"/>
      <c r="E395" s="198"/>
      <c r="F395" s="198"/>
      <c r="G395" s="198"/>
      <c r="H395" s="198"/>
      <c r="I395" s="198"/>
      <c r="J395" s="198"/>
      <c r="K395" s="198"/>
      <c r="L395" s="198"/>
    </row>
    <row r="396">
      <c r="A396" s="198"/>
      <c r="B396" s="208" t="str">
        <f>vlookup(A396,Price!A:B,2,false)</f>
        <v>#N/A</v>
      </c>
      <c r="C396" s="198"/>
      <c r="D396" s="198"/>
      <c r="E396" s="198"/>
      <c r="F396" s="198"/>
      <c r="G396" s="198"/>
      <c r="H396" s="198"/>
      <c r="I396" s="198"/>
      <c r="J396" s="198"/>
      <c r="K396" s="198"/>
      <c r="L396" s="198"/>
    </row>
    <row r="397">
      <c r="A397" s="198"/>
      <c r="B397" s="208" t="str">
        <f>vlookup(A397,Price!A:B,2,false)</f>
        <v>#N/A</v>
      </c>
      <c r="C397" s="198"/>
      <c r="D397" s="198"/>
      <c r="E397" s="198"/>
      <c r="F397" s="198"/>
      <c r="G397" s="198"/>
      <c r="H397" s="198"/>
      <c r="I397" s="198"/>
      <c r="J397" s="198"/>
      <c r="K397" s="198"/>
      <c r="L397" s="198"/>
    </row>
    <row r="398">
      <c r="A398" s="198"/>
      <c r="B398" s="208" t="str">
        <f>vlookup(A398,Price!A:B,2,false)</f>
        <v>#N/A</v>
      </c>
      <c r="C398" s="198"/>
      <c r="D398" s="198"/>
      <c r="E398" s="198"/>
      <c r="F398" s="198"/>
      <c r="G398" s="198"/>
      <c r="H398" s="198"/>
      <c r="I398" s="198"/>
      <c r="J398" s="198"/>
      <c r="K398" s="198"/>
      <c r="L398" s="198"/>
    </row>
    <row r="399">
      <c r="A399" s="198"/>
      <c r="B399" s="208" t="str">
        <f>vlookup(A399,Price!A:B,2,false)</f>
        <v>#N/A</v>
      </c>
      <c r="C399" s="198"/>
      <c r="D399" s="198"/>
      <c r="E399" s="198"/>
      <c r="F399" s="198"/>
      <c r="G399" s="198"/>
      <c r="H399" s="198"/>
      <c r="I399" s="198"/>
      <c r="J399" s="198"/>
      <c r="K399" s="198"/>
      <c r="L399" s="198"/>
    </row>
    <row r="400">
      <c r="A400" s="198"/>
      <c r="B400" s="208" t="str">
        <f>vlookup(A400,Price!A:B,2,false)</f>
        <v>#N/A</v>
      </c>
      <c r="C400" s="198"/>
      <c r="D400" s="198"/>
      <c r="E400" s="198"/>
      <c r="F400" s="198"/>
      <c r="G400" s="198"/>
      <c r="H400" s="198"/>
      <c r="I400" s="198"/>
      <c r="J400" s="198"/>
      <c r="K400" s="198"/>
      <c r="L400" s="198"/>
    </row>
    <row r="401">
      <c r="A401" s="198"/>
      <c r="B401" s="208" t="str">
        <f>vlookup(A401,Price!A:B,2,false)</f>
        <v>#N/A</v>
      </c>
      <c r="C401" s="198"/>
      <c r="D401" s="198"/>
      <c r="E401" s="198"/>
      <c r="F401" s="198"/>
      <c r="G401" s="198"/>
      <c r="H401" s="198"/>
      <c r="I401" s="198"/>
      <c r="J401" s="198"/>
      <c r="K401" s="198"/>
      <c r="L401" s="198"/>
    </row>
    <row r="402">
      <c r="A402" s="198"/>
      <c r="B402" s="208" t="str">
        <f>vlookup(A402,Price!A:B,2,false)</f>
        <v>#N/A</v>
      </c>
      <c r="C402" s="198"/>
      <c r="D402" s="198"/>
      <c r="E402" s="198"/>
      <c r="F402" s="198"/>
      <c r="G402" s="198"/>
      <c r="H402" s="198"/>
      <c r="I402" s="198"/>
      <c r="J402" s="198"/>
      <c r="K402" s="198"/>
      <c r="L402" s="198"/>
    </row>
    <row r="403">
      <c r="A403" s="198"/>
      <c r="B403" s="208" t="str">
        <f>vlookup(A403,Price!A:B,2,false)</f>
        <v>#N/A</v>
      </c>
      <c r="C403" s="198"/>
      <c r="D403" s="198"/>
      <c r="E403" s="198"/>
      <c r="F403" s="198"/>
      <c r="G403" s="198"/>
      <c r="H403" s="198"/>
      <c r="I403" s="198"/>
      <c r="J403" s="198"/>
      <c r="K403" s="198"/>
      <c r="L403" s="198"/>
    </row>
    <row r="404">
      <c r="A404" s="198"/>
      <c r="B404" s="208" t="str">
        <f>vlookup(A404,Price!A:B,2,false)</f>
        <v>#N/A</v>
      </c>
      <c r="C404" s="198"/>
      <c r="D404" s="198"/>
      <c r="E404" s="198"/>
      <c r="F404" s="198"/>
      <c r="G404" s="198"/>
      <c r="H404" s="198"/>
      <c r="I404" s="198"/>
      <c r="J404" s="198"/>
      <c r="K404" s="198"/>
      <c r="L404" s="198"/>
    </row>
    <row r="405">
      <c r="A405" s="198"/>
      <c r="B405" s="208" t="str">
        <f>vlookup(A405,Price!A:B,2,false)</f>
        <v>#N/A</v>
      </c>
      <c r="C405" s="198"/>
      <c r="D405" s="198"/>
      <c r="E405" s="198"/>
      <c r="F405" s="198"/>
      <c r="G405" s="198"/>
      <c r="H405" s="198"/>
      <c r="I405" s="198"/>
      <c r="J405" s="198"/>
      <c r="K405" s="198"/>
      <c r="L405" s="198"/>
    </row>
    <row r="406">
      <c r="A406" s="198"/>
      <c r="B406" s="208" t="str">
        <f>vlookup(A406,Price!A:B,2,false)</f>
        <v>#N/A</v>
      </c>
      <c r="C406" s="198"/>
      <c r="D406" s="198"/>
      <c r="E406" s="198"/>
      <c r="F406" s="198"/>
      <c r="G406" s="198"/>
      <c r="H406" s="198"/>
      <c r="I406" s="198"/>
      <c r="J406" s="198"/>
      <c r="K406" s="198"/>
      <c r="L406" s="198"/>
    </row>
    <row r="407">
      <c r="A407" s="198"/>
      <c r="B407" s="208" t="str">
        <f>vlookup(A407,Price!A:B,2,false)</f>
        <v>#N/A</v>
      </c>
      <c r="C407" s="198"/>
      <c r="D407" s="198"/>
      <c r="E407" s="198"/>
      <c r="F407" s="198"/>
      <c r="G407" s="198"/>
      <c r="H407" s="198"/>
      <c r="I407" s="198"/>
      <c r="J407" s="198"/>
      <c r="K407" s="198"/>
      <c r="L407" s="198"/>
    </row>
    <row r="408">
      <c r="A408" s="198"/>
      <c r="B408" s="208" t="str">
        <f>vlookup(A408,Price!A:B,2,false)</f>
        <v>#N/A</v>
      </c>
      <c r="C408" s="198"/>
      <c r="D408" s="198"/>
      <c r="E408" s="198"/>
      <c r="F408" s="198"/>
      <c r="G408" s="198"/>
      <c r="H408" s="198"/>
      <c r="I408" s="198"/>
      <c r="J408" s="198"/>
      <c r="K408" s="198"/>
      <c r="L408" s="198"/>
    </row>
    <row r="409">
      <c r="A409" s="198"/>
      <c r="B409" s="208" t="str">
        <f>vlookup(A409,Price!A:B,2,false)</f>
        <v>#N/A</v>
      </c>
      <c r="C409" s="198"/>
      <c r="D409" s="198"/>
      <c r="E409" s="198"/>
      <c r="F409" s="198"/>
      <c r="G409" s="198"/>
      <c r="H409" s="198"/>
      <c r="I409" s="198"/>
      <c r="J409" s="198"/>
      <c r="K409" s="198"/>
      <c r="L409" s="198"/>
    </row>
    <row r="410">
      <c r="A410" s="198"/>
      <c r="B410" s="208" t="str">
        <f>vlookup(A410,Price!A:B,2,false)</f>
        <v>#N/A</v>
      </c>
      <c r="C410" s="198"/>
      <c r="D410" s="198"/>
      <c r="E410" s="198"/>
      <c r="F410" s="198"/>
      <c r="G410" s="198"/>
      <c r="H410" s="198"/>
      <c r="I410" s="198"/>
      <c r="J410" s="198"/>
      <c r="K410" s="198"/>
      <c r="L410" s="198"/>
    </row>
    <row r="411">
      <c r="A411" s="198"/>
      <c r="B411" s="208" t="str">
        <f>vlookup(A411,Price!A:B,2,false)</f>
        <v>#N/A</v>
      </c>
      <c r="C411" s="198"/>
      <c r="D411" s="198"/>
      <c r="E411" s="198"/>
      <c r="F411" s="198"/>
      <c r="G411" s="198"/>
      <c r="H411" s="198"/>
      <c r="I411" s="198"/>
      <c r="J411" s="198"/>
      <c r="K411" s="198"/>
      <c r="L411" s="198"/>
    </row>
    <row r="412">
      <c r="A412" s="198"/>
      <c r="B412" s="208" t="str">
        <f>vlookup(A412,Price!A:B,2,false)</f>
        <v>#N/A</v>
      </c>
      <c r="C412" s="198"/>
      <c r="D412" s="198"/>
      <c r="E412" s="198"/>
      <c r="F412" s="198"/>
      <c r="G412" s="198"/>
      <c r="H412" s="198"/>
      <c r="I412" s="198"/>
      <c r="J412" s="198"/>
      <c r="K412" s="198"/>
      <c r="L412" s="198"/>
    </row>
    <row r="413">
      <c r="A413" s="198"/>
      <c r="B413" s="208" t="str">
        <f>vlookup(A413,Price!A:B,2,false)</f>
        <v>#N/A</v>
      </c>
      <c r="C413" s="198"/>
      <c r="D413" s="198"/>
      <c r="E413" s="198"/>
      <c r="F413" s="198"/>
      <c r="G413" s="198"/>
      <c r="H413" s="198"/>
      <c r="I413" s="198"/>
      <c r="J413" s="198"/>
      <c r="K413" s="198"/>
      <c r="L413" s="198"/>
    </row>
    <row r="414">
      <c r="A414" s="198"/>
      <c r="B414" s="208" t="str">
        <f>vlookup(A414,Price!A:B,2,false)</f>
        <v>#N/A</v>
      </c>
      <c r="C414" s="198"/>
      <c r="D414" s="198"/>
      <c r="E414" s="198"/>
      <c r="F414" s="198"/>
      <c r="G414" s="198"/>
      <c r="H414" s="198"/>
      <c r="I414" s="198"/>
      <c r="J414" s="198"/>
      <c r="K414" s="198"/>
      <c r="L414" s="198"/>
    </row>
    <row r="415">
      <c r="A415" s="198"/>
      <c r="B415" s="208" t="str">
        <f>vlookup(A415,Price!A:B,2,false)</f>
        <v>#N/A</v>
      </c>
      <c r="C415" s="198"/>
      <c r="D415" s="198"/>
      <c r="E415" s="198"/>
      <c r="F415" s="198"/>
      <c r="G415" s="198"/>
      <c r="H415" s="198"/>
      <c r="I415" s="198"/>
      <c r="J415" s="198"/>
      <c r="K415" s="198"/>
      <c r="L415" s="198"/>
    </row>
    <row r="416">
      <c r="A416" s="198"/>
      <c r="B416" s="208" t="str">
        <f>vlookup(A416,Price!A:B,2,false)</f>
        <v>#N/A</v>
      </c>
      <c r="C416" s="198"/>
      <c r="D416" s="198"/>
      <c r="E416" s="198"/>
      <c r="F416" s="198"/>
      <c r="G416" s="198"/>
      <c r="H416" s="198"/>
      <c r="I416" s="198"/>
      <c r="J416" s="198"/>
      <c r="K416" s="198"/>
      <c r="L416" s="198"/>
    </row>
    <row r="417">
      <c r="A417" s="198"/>
      <c r="B417" s="208" t="str">
        <f>vlookup(A417,Price!A:B,2,false)</f>
        <v>#N/A</v>
      </c>
      <c r="C417" s="198"/>
      <c r="D417" s="198"/>
      <c r="E417" s="198"/>
      <c r="F417" s="198"/>
      <c r="G417" s="198"/>
      <c r="H417" s="198"/>
      <c r="I417" s="198"/>
      <c r="J417" s="198"/>
      <c r="K417" s="198"/>
      <c r="L417" s="198"/>
    </row>
    <row r="418">
      <c r="A418" s="198"/>
      <c r="B418" s="208" t="str">
        <f>vlookup(A418,Price!A:B,2,false)</f>
        <v>#N/A</v>
      </c>
      <c r="C418" s="198"/>
      <c r="D418" s="198"/>
      <c r="E418" s="198"/>
      <c r="F418" s="198"/>
      <c r="G418" s="198"/>
      <c r="H418" s="198"/>
      <c r="I418" s="198"/>
      <c r="J418" s="198"/>
      <c r="K418" s="198"/>
      <c r="L418" s="198"/>
    </row>
    <row r="419">
      <c r="A419" s="198"/>
      <c r="B419" s="208" t="str">
        <f>vlookup(A419,Price!A:B,2,false)</f>
        <v>#N/A</v>
      </c>
      <c r="C419" s="198"/>
      <c r="D419" s="198"/>
      <c r="E419" s="198"/>
      <c r="F419" s="198"/>
      <c r="G419" s="198"/>
      <c r="H419" s="198"/>
      <c r="I419" s="198"/>
      <c r="J419" s="198"/>
      <c r="K419" s="198"/>
      <c r="L419" s="198"/>
    </row>
    <row r="420">
      <c r="A420" s="198"/>
      <c r="B420" s="208" t="str">
        <f>vlookup(A420,Price!A:B,2,false)</f>
        <v>#N/A</v>
      </c>
      <c r="C420" s="198"/>
      <c r="D420" s="198"/>
      <c r="E420" s="198"/>
      <c r="F420" s="198"/>
      <c r="G420" s="198"/>
      <c r="H420" s="198"/>
      <c r="I420" s="198"/>
      <c r="J420" s="198"/>
      <c r="K420" s="198"/>
      <c r="L420" s="198"/>
    </row>
    <row r="421">
      <c r="A421" s="198"/>
      <c r="B421" s="208" t="str">
        <f>vlookup(A421,Price!A:B,2,false)</f>
        <v>#N/A</v>
      </c>
      <c r="C421" s="198"/>
      <c r="D421" s="198"/>
      <c r="E421" s="198"/>
      <c r="F421" s="198"/>
      <c r="G421" s="198"/>
      <c r="H421" s="198"/>
      <c r="I421" s="198"/>
      <c r="J421" s="198"/>
      <c r="K421" s="198"/>
      <c r="L421" s="198"/>
    </row>
    <row r="422">
      <c r="A422" s="198"/>
      <c r="B422" s="208" t="str">
        <f>vlookup(A422,Price!A:B,2,false)</f>
        <v>#N/A</v>
      </c>
      <c r="C422" s="198"/>
      <c r="D422" s="198"/>
      <c r="E422" s="198"/>
      <c r="F422" s="198"/>
      <c r="G422" s="198"/>
      <c r="H422" s="198"/>
      <c r="I422" s="198"/>
      <c r="J422" s="198"/>
      <c r="K422" s="198"/>
      <c r="L422" s="198"/>
    </row>
    <row r="423">
      <c r="A423" s="198"/>
      <c r="B423" s="208" t="str">
        <f>vlookup(A423,Price!A:B,2,false)</f>
        <v>#N/A</v>
      </c>
      <c r="C423" s="198"/>
      <c r="D423" s="198"/>
      <c r="E423" s="198"/>
      <c r="F423" s="198"/>
      <c r="G423" s="198"/>
      <c r="H423" s="198"/>
      <c r="I423" s="198"/>
      <c r="J423" s="198"/>
      <c r="K423" s="198"/>
      <c r="L423" s="198"/>
    </row>
    <row r="424">
      <c r="A424" s="198"/>
      <c r="B424" s="208" t="str">
        <f>vlookup(A424,Price!A:B,2,false)</f>
        <v>#N/A</v>
      </c>
      <c r="C424" s="198"/>
      <c r="D424" s="198"/>
      <c r="E424" s="198"/>
      <c r="F424" s="198"/>
      <c r="G424" s="198"/>
      <c r="H424" s="198"/>
      <c r="I424" s="198"/>
      <c r="J424" s="198"/>
      <c r="K424" s="198"/>
      <c r="L424" s="198"/>
    </row>
    <row r="425">
      <c r="A425" s="198"/>
      <c r="B425" s="208" t="str">
        <f>vlookup(A425,Price!A:B,2,false)</f>
        <v>#N/A</v>
      </c>
      <c r="C425" s="198"/>
      <c r="D425" s="198"/>
      <c r="E425" s="198"/>
      <c r="F425" s="198"/>
      <c r="G425" s="198"/>
      <c r="H425" s="198"/>
      <c r="I425" s="198"/>
      <c r="J425" s="198"/>
      <c r="K425" s="198"/>
      <c r="L425" s="198"/>
    </row>
    <row r="426">
      <c r="A426" s="198"/>
      <c r="B426" s="208" t="str">
        <f>vlookup(A426,Price!A:B,2,false)</f>
        <v>#N/A</v>
      </c>
      <c r="C426" s="198"/>
      <c r="D426" s="198"/>
      <c r="E426" s="198"/>
      <c r="F426" s="198"/>
      <c r="G426" s="198"/>
      <c r="H426" s="198"/>
      <c r="I426" s="198"/>
      <c r="J426" s="198"/>
      <c r="K426" s="198"/>
      <c r="L426" s="198"/>
    </row>
    <row r="427">
      <c r="A427" s="198"/>
      <c r="B427" s="208" t="str">
        <f>vlookup(A427,Price!A:B,2,false)</f>
        <v>#N/A</v>
      </c>
      <c r="C427" s="198"/>
      <c r="D427" s="198"/>
      <c r="E427" s="198"/>
      <c r="F427" s="198"/>
      <c r="G427" s="198"/>
      <c r="H427" s="198"/>
      <c r="I427" s="198"/>
      <c r="J427" s="198"/>
      <c r="K427" s="198"/>
      <c r="L427" s="198"/>
    </row>
    <row r="428">
      <c r="A428" s="198"/>
      <c r="B428" s="208" t="str">
        <f>vlookup(A428,Price!A:B,2,false)</f>
        <v>#N/A</v>
      </c>
      <c r="C428" s="198"/>
      <c r="D428" s="198"/>
      <c r="E428" s="198"/>
      <c r="F428" s="198"/>
      <c r="G428" s="198"/>
      <c r="H428" s="198"/>
      <c r="I428" s="198"/>
      <c r="J428" s="198"/>
      <c r="K428" s="198"/>
      <c r="L428" s="198"/>
    </row>
    <row r="429">
      <c r="A429" s="198"/>
      <c r="B429" s="208" t="str">
        <f>vlookup(A429,Price!A:B,2,false)</f>
        <v>#N/A</v>
      </c>
      <c r="C429" s="198"/>
      <c r="D429" s="198"/>
      <c r="E429" s="198"/>
      <c r="F429" s="198"/>
      <c r="G429" s="198"/>
      <c r="H429" s="198"/>
      <c r="I429" s="198"/>
      <c r="J429" s="198"/>
      <c r="K429" s="198"/>
      <c r="L429" s="198"/>
    </row>
    <row r="430">
      <c r="A430" s="198"/>
      <c r="B430" s="208" t="str">
        <f>vlookup(A430,Price!A:B,2,false)</f>
        <v>#N/A</v>
      </c>
      <c r="C430" s="198"/>
      <c r="D430" s="198"/>
      <c r="E430" s="198"/>
      <c r="F430" s="198"/>
      <c r="G430" s="198"/>
      <c r="H430" s="198"/>
      <c r="I430" s="198"/>
      <c r="J430" s="198"/>
      <c r="K430" s="198"/>
      <c r="L430" s="198"/>
    </row>
    <row r="431">
      <c r="A431" s="198"/>
      <c r="B431" s="208" t="str">
        <f>vlookup(A431,Price!A:B,2,false)</f>
        <v>#N/A</v>
      </c>
      <c r="C431" s="198"/>
      <c r="D431" s="198"/>
      <c r="E431" s="198"/>
      <c r="F431" s="198"/>
      <c r="G431" s="198"/>
      <c r="H431" s="198"/>
      <c r="I431" s="198"/>
      <c r="J431" s="198"/>
      <c r="K431" s="198"/>
      <c r="L431" s="198"/>
    </row>
    <row r="432">
      <c r="A432" s="198"/>
      <c r="B432" s="208" t="str">
        <f>vlookup(A432,Price!A:B,2,false)</f>
        <v>#N/A</v>
      </c>
      <c r="C432" s="198"/>
      <c r="D432" s="198"/>
      <c r="E432" s="198"/>
      <c r="F432" s="198"/>
      <c r="G432" s="198"/>
      <c r="H432" s="198"/>
      <c r="I432" s="198"/>
      <c r="J432" s="198"/>
      <c r="K432" s="198"/>
      <c r="L432" s="198"/>
    </row>
    <row r="433">
      <c r="A433" s="198"/>
      <c r="B433" s="208" t="str">
        <f>vlookup(A433,Price!A:B,2,false)</f>
        <v>#N/A</v>
      </c>
      <c r="C433" s="198"/>
      <c r="D433" s="198"/>
      <c r="E433" s="198"/>
      <c r="F433" s="198"/>
      <c r="G433" s="198"/>
      <c r="H433" s="198"/>
      <c r="I433" s="198"/>
      <c r="J433" s="198"/>
      <c r="K433" s="198"/>
      <c r="L433" s="198"/>
    </row>
    <row r="434">
      <c r="A434" s="198"/>
      <c r="B434" s="208" t="str">
        <f>vlookup(A434,Price!A:B,2,false)</f>
        <v>#N/A</v>
      </c>
      <c r="C434" s="198"/>
      <c r="D434" s="198"/>
      <c r="E434" s="198"/>
      <c r="F434" s="198"/>
      <c r="G434" s="198"/>
      <c r="H434" s="198"/>
      <c r="I434" s="198"/>
      <c r="J434" s="198"/>
      <c r="K434" s="198"/>
      <c r="L434" s="198"/>
    </row>
    <row r="435">
      <c r="A435" s="198"/>
      <c r="B435" s="208" t="str">
        <f>vlookup(A435,Price!A:B,2,false)</f>
        <v>#N/A</v>
      </c>
      <c r="C435" s="198"/>
      <c r="D435" s="198"/>
      <c r="E435" s="198"/>
      <c r="F435" s="198"/>
      <c r="G435" s="198"/>
      <c r="H435" s="198"/>
      <c r="I435" s="198"/>
      <c r="J435" s="198"/>
      <c r="K435" s="198"/>
      <c r="L435" s="198"/>
    </row>
    <row r="436">
      <c r="A436" s="198"/>
      <c r="B436" s="208" t="str">
        <f>vlookup(A436,Price!A:B,2,false)</f>
        <v>#N/A</v>
      </c>
      <c r="C436" s="198"/>
      <c r="D436" s="198"/>
      <c r="E436" s="198"/>
      <c r="F436" s="198"/>
      <c r="G436" s="198"/>
      <c r="H436" s="198"/>
      <c r="I436" s="198"/>
      <c r="J436" s="198"/>
      <c r="K436" s="198"/>
      <c r="L436" s="198"/>
    </row>
    <row r="437">
      <c r="A437" s="198"/>
      <c r="B437" s="208" t="str">
        <f>vlookup(A437,Price!A:B,2,false)</f>
        <v>#N/A</v>
      </c>
      <c r="C437" s="198"/>
      <c r="D437" s="198"/>
      <c r="E437" s="198"/>
      <c r="F437" s="198"/>
      <c r="G437" s="198"/>
      <c r="H437" s="198"/>
      <c r="I437" s="198"/>
      <c r="J437" s="198"/>
      <c r="K437" s="198"/>
      <c r="L437" s="198"/>
    </row>
    <row r="438">
      <c r="A438" s="198"/>
      <c r="B438" s="208" t="str">
        <f>vlookup(A438,Price!A:B,2,false)</f>
        <v>#N/A</v>
      </c>
      <c r="C438" s="198"/>
      <c r="D438" s="198"/>
      <c r="E438" s="198"/>
      <c r="F438" s="198"/>
      <c r="G438" s="198"/>
      <c r="H438" s="198"/>
      <c r="I438" s="198"/>
      <c r="J438" s="198"/>
      <c r="K438" s="198"/>
      <c r="L438" s="198"/>
    </row>
    <row r="439">
      <c r="A439" s="198"/>
      <c r="B439" s="208" t="str">
        <f>vlookup(A439,Price!A:B,2,false)</f>
        <v>#N/A</v>
      </c>
      <c r="C439" s="198"/>
      <c r="D439" s="198"/>
      <c r="E439" s="198"/>
      <c r="F439" s="198"/>
      <c r="G439" s="198"/>
      <c r="H439" s="198"/>
      <c r="I439" s="198"/>
      <c r="J439" s="198"/>
      <c r="K439" s="198"/>
      <c r="L439" s="198"/>
    </row>
    <row r="440">
      <c r="A440" s="198"/>
      <c r="B440" s="208" t="str">
        <f>vlookup(A440,Price!A:B,2,false)</f>
        <v>#N/A</v>
      </c>
      <c r="C440" s="198"/>
      <c r="D440" s="198"/>
      <c r="E440" s="198"/>
      <c r="F440" s="198"/>
      <c r="G440" s="198"/>
      <c r="H440" s="198"/>
      <c r="I440" s="198"/>
      <c r="J440" s="198"/>
      <c r="K440" s="198"/>
      <c r="L440" s="198"/>
    </row>
    <row r="441">
      <c r="A441" s="198"/>
      <c r="B441" s="208" t="str">
        <f>vlookup(A441,Price!A:B,2,false)</f>
        <v>#N/A</v>
      </c>
      <c r="C441" s="198"/>
      <c r="D441" s="198"/>
      <c r="E441" s="198"/>
      <c r="F441" s="198"/>
      <c r="G441" s="198"/>
      <c r="H441" s="198"/>
      <c r="I441" s="198"/>
      <c r="J441" s="198"/>
      <c r="K441" s="198"/>
      <c r="L441" s="198"/>
    </row>
    <row r="442">
      <c r="A442" s="198"/>
      <c r="B442" s="208" t="str">
        <f>vlookup(A442,Price!A:B,2,false)</f>
        <v>#N/A</v>
      </c>
      <c r="C442" s="198"/>
      <c r="D442" s="198"/>
      <c r="E442" s="198"/>
      <c r="F442" s="198"/>
      <c r="G442" s="198"/>
      <c r="H442" s="198"/>
      <c r="I442" s="198"/>
      <c r="J442" s="198"/>
      <c r="K442" s="198"/>
      <c r="L442" s="198"/>
    </row>
    <row r="443">
      <c r="A443" s="198"/>
      <c r="B443" s="208" t="str">
        <f>vlookup(A443,Price!A:B,2,false)</f>
        <v>#N/A</v>
      </c>
      <c r="C443" s="198"/>
      <c r="D443" s="198"/>
      <c r="E443" s="198"/>
      <c r="F443" s="198"/>
      <c r="G443" s="198"/>
      <c r="H443" s="198"/>
      <c r="I443" s="198"/>
      <c r="J443" s="198"/>
      <c r="K443" s="198"/>
      <c r="L443" s="198"/>
    </row>
    <row r="444">
      <c r="A444" s="198"/>
      <c r="B444" s="208" t="str">
        <f>vlookup(A444,Price!A:B,2,false)</f>
        <v>#N/A</v>
      </c>
      <c r="C444" s="198"/>
      <c r="D444" s="198"/>
      <c r="E444" s="198"/>
      <c r="F444" s="198"/>
      <c r="G444" s="198"/>
      <c r="H444" s="198"/>
      <c r="I444" s="198"/>
      <c r="J444" s="198"/>
      <c r="K444" s="198"/>
      <c r="L444" s="198"/>
    </row>
    <row r="445">
      <c r="A445" s="198"/>
      <c r="B445" s="208" t="str">
        <f>vlookup(A445,Price!A:B,2,false)</f>
        <v>#N/A</v>
      </c>
      <c r="C445" s="198"/>
      <c r="D445" s="198"/>
      <c r="E445" s="198"/>
      <c r="F445" s="198"/>
      <c r="G445" s="198"/>
      <c r="H445" s="198"/>
      <c r="I445" s="198"/>
      <c r="J445" s="198"/>
      <c r="K445" s="198"/>
      <c r="L445" s="198"/>
    </row>
    <row r="446">
      <c r="A446" s="198"/>
      <c r="B446" s="208" t="str">
        <f>vlookup(A446,Price!A:B,2,false)</f>
        <v>#N/A</v>
      </c>
      <c r="C446" s="198"/>
      <c r="D446" s="198"/>
      <c r="E446" s="198"/>
      <c r="F446" s="198"/>
      <c r="G446" s="198"/>
      <c r="H446" s="198"/>
      <c r="I446" s="198"/>
      <c r="J446" s="198"/>
      <c r="K446" s="198"/>
      <c r="L446" s="198"/>
    </row>
    <row r="447">
      <c r="A447" s="198"/>
      <c r="B447" s="208" t="str">
        <f>vlookup(A447,Price!A:B,2,false)</f>
        <v>#N/A</v>
      </c>
      <c r="C447" s="198"/>
      <c r="D447" s="198"/>
      <c r="E447" s="198"/>
      <c r="F447" s="198"/>
      <c r="G447" s="198"/>
      <c r="H447" s="198"/>
      <c r="I447" s="198"/>
      <c r="J447" s="198"/>
      <c r="K447" s="198"/>
      <c r="L447" s="198"/>
    </row>
    <row r="448">
      <c r="A448" s="198"/>
      <c r="B448" s="208" t="str">
        <f>vlookup(A448,Price!A:B,2,false)</f>
        <v>#N/A</v>
      </c>
      <c r="C448" s="198"/>
      <c r="D448" s="198"/>
      <c r="E448" s="198"/>
      <c r="F448" s="198"/>
      <c r="G448" s="198"/>
      <c r="H448" s="198"/>
      <c r="I448" s="198"/>
      <c r="J448" s="198"/>
      <c r="K448" s="198"/>
      <c r="L448" s="198"/>
    </row>
    <row r="449">
      <c r="A449" s="198"/>
      <c r="B449" s="208" t="str">
        <f>vlookup(A449,Price!A:B,2,false)</f>
        <v>#N/A</v>
      </c>
      <c r="C449" s="198"/>
      <c r="D449" s="198"/>
      <c r="E449" s="198"/>
      <c r="F449" s="198"/>
      <c r="G449" s="198"/>
      <c r="H449" s="198"/>
      <c r="I449" s="198"/>
      <c r="J449" s="198"/>
      <c r="K449" s="198"/>
      <c r="L449" s="198"/>
    </row>
    <row r="450">
      <c r="A450" s="198"/>
      <c r="B450" s="208" t="str">
        <f>vlookup(A450,Price!A:B,2,false)</f>
        <v>#N/A</v>
      </c>
      <c r="C450" s="198"/>
      <c r="D450" s="198"/>
      <c r="E450" s="198"/>
      <c r="F450" s="198"/>
      <c r="G450" s="198"/>
      <c r="H450" s="198"/>
      <c r="I450" s="198"/>
      <c r="J450" s="198"/>
      <c r="K450" s="198"/>
      <c r="L450" s="198"/>
    </row>
    <row r="451">
      <c r="A451" s="198"/>
      <c r="B451" s="208" t="str">
        <f>vlookup(A451,Price!A:B,2,false)</f>
        <v>#N/A</v>
      </c>
      <c r="C451" s="198"/>
      <c r="D451" s="198"/>
      <c r="E451" s="198"/>
      <c r="F451" s="198"/>
      <c r="G451" s="198"/>
      <c r="H451" s="198"/>
      <c r="I451" s="198"/>
      <c r="J451" s="198"/>
      <c r="K451" s="198"/>
      <c r="L451" s="198"/>
    </row>
    <row r="452">
      <c r="A452" s="198"/>
      <c r="B452" s="208" t="str">
        <f>vlookup(A452,Price!A:B,2,false)</f>
        <v>#N/A</v>
      </c>
      <c r="C452" s="198"/>
      <c r="D452" s="198"/>
      <c r="E452" s="198"/>
      <c r="F452" s="198"/>
      <c r="G452" s="198"/>
      <c r="H452" s="198"/>
      <c r="I452" s="198"/>
      <c r="J452" s="198"/>
      <c r="K452" s="198"/>
      <c r="L452" s="198"/>
    </row>
    <row r="453">
      <c r="A453" s="198"/>
      <c r="B453" s="208" t="str">
        <f>vlookup(A453,Price!A:B,2,false)</f>
        <v>#N/A</v>
      </c>
      <c r="C453" s="198"/>
      <c r="D453" s="198"/>
      <c r="E453" s="198"/>
      <c r="F453" s="198"/>
      <c r="G453" s="198"/>
      <c r="H453" s="198"/>
      <c r="I453" s="198"/>
      <c r="J453" s="198"/>
      <c r="K453" s="198"/>
      <c r="L453" s="198"/>
    </row>
    <row r="454">
      <c r="A454" s="198"/>
      <c r="B454" s="208" t="str">
        <f>vlookup(A454,Price!A:B,2,false)</f>
        <v>#N/A</v>
      </c>
      <c r="C454" s="198"/>
      <c r="D454" s="198"/>
      <c r="E454" s="198"/>
      <c r="F454" s="198"/>
      <c r="G454" s="198"/>
      <c r="H454" s="198"/>
      <c r="I454" s="198"/>
      <c r="J454" s="198"/>
      <c r="K454" s="198"/>
      <c r="L454" s="198"/>
    </row>
    <row r="455">
      <c r="A455" s="198"/>
      <c r="B455" s="208" t="str">
        <f>vlookup(A455,Price!A:B,2,false)</f>
        <v>#N/A</v>
      </c>
      <c r="C455" s="198"/>
      <c r="D455" s="198"/>
      <c r="E455" s="198"/>
      <c r="F455" s="198"/>
      <c r="G455" s="198"/>
      <c r="H455" s="198"/>
      <c r="I455" s="198"/>
      <c r="J455" s="198"/>
      <c r="K455" s="198"/>
      <c r="L455" s="198"/>
    </row>
    <row r="456">
      <c r="A456" s="198"/>
      <c r="B456" s="208" t="str">
        <f>vlookup(A456,Price!A:B,2,false)</f>
        <v>#N/A</v>
      </c>
      <c r="C456" s="198"/>
      <c r="D456" s="198"/>
      <c r="E456" s="198"/>
      <c r="F456" s="198"/>
      <c r="G456" s="198"/>
      <c r="H456" s="198"/>
      <c r="I456" s="198"/>
      <c r="J456" s="198"/>
      <c r="K456" s="198"/>
      <c r="L456" s="198"/>
    </row>
    <row r="457">
      <c r="A457" s="198"/>
      <c r="B457" s="208" t="str">
        <f>vlookup(A457,Price!A:B,2,false)</f>
        <v>#N/A</v>
      </c>
      <c r="C457" s="198"/>
      <c r="D457" s="198"/>
      <c r="E457" s="198"/>
      <c r="F457" s="198"/>
      <c r="G457" s="198"/>
      <c r="H457" s="198"/>
      <c r="I457" s="198"/>
      <c r="J457" s="198"/>
      <c r="K457" s="198"/>
      <c r="L457" s="198"/>
    </row>
    <row r="458">
      <c r="A458" s="198"/>
      <c r="B458" s="208" t="str">
        <f>vlookup(A458,Price!A:B,2,false)</f>
        <v>#N/A</v>
      </c>
      <c r="C458" s="198"/>
      <c r="D458" s="198"/>
      <c r="E458" s="198"/>
      <c r="F458" s="198"/>
      <c r="G458" s="198"/>
      <c r="H458" s="198"/>
      <c r="I458" s="198"/>
      <c r="J458" s="198"/>
      <c r="K458" s="198"/>
      <c r="L458" s="198"/>
    </row>
    <row r="459">
      <c r="A459" s="198"/>
      <c r="B459" s="208" t="str">
        <f>vlookup(A459,Price!A:B,2,false)</f>
        <v>#N/A</v>
      </c>
      <c r="C459" s="198"/>
      <c r="D459" s="198"/>
      <c r="E459" s="198"/>
      <c r="F459" s="198"/>
      <c r="G459" s="198"/>
      <c r="H459" s="198"/>
      <c r="I459" s="198"/>
      <c r="J459" s="198"/>
      <c r="K459" s="198"/>
      <c r="L459" s="198"/>
    </row>
    <row r="460">
      <c r="A460" s="198"/>
      <c r="B460" s="208" t="str">
        <f>vlookup(A460,Price!A:B,2,false)</f>
        <v>#N/A</v>
      </c>
      <c r="C460" s="198"/>
      <c r="D460" s="198"/>
      <c r="E460" s="198"/>
      <c r="F460" s="198"/>
      <c r="G460" s="198"/>
      <c r="H460" s="198"/>
      <c r="I460" s="198"/>
      <c r="J460" s="198"/>
      <c r="K460" s="198"/>
      <c r="L460" s="198"/>
    </row>
    <row r="461">
      <c r="A461" s="198"/>
      <c r="B461" s="208" t="str">
        <f>vlookup(A461,Price!A:B,2,false)</f>
        <v>#N/A</v>
      </c>
      <c r="C461" s="198"/>
      <c r="D461" s="198"/>
      <c r="E461" s="198"/>
      <c r="F461" s="198"/>
      <c r="G461" s="198"/>
      <c r="H461" s="198"/>
      <c r="I461" s="198"/>
      <c r="J461" s="198"/>
      <c r="K461" s="198"/>
      <c r="L461" s="198"/>
    </row>
    <row r="462">
      <c r="A462" s="198"/>
      <c r="B462" s="208" t="str">
        <f>vlookup(A462,Price!A:B,2,false)</f>
        <v>#N/A</v>
      </c>
      <c r="C462" s="198"/>
      <c r="D462" s="198"/>
      <c r="E462" s="198"/>
      <c r="F462" s="198"/>
      <c r="G462" s="198"/>
      <c r="H462" s="198"/>
      <c r="I462" s="198"/>
      <c r="J462" s="198"/>
      <c r="K462" s="198"/>
      <c r="L462" s="198"/>
    </row>
    <row r="463">
      <c r="A463" s="198"/>
      <c r="B463" s="208" t="str">
        <f>vlookup(A463,Price!A:B,2,false)</f>
        <v>#N/A</v>
      </c>
      <c r="C463" s="198"/>
      <c r="D463" s="198"/>
      <c r="E463" s="198"/>
      <c r="F463" s="198"/>
      <c r="G463" s="198"/>
      <c r="H463" s="198"/>
      <c r="I463" s="198"/>
      <c r="J463" s="198"/>
      <c r="K463" s="198"/>
      <c r="L463" s="198"/>
    </row>
    <row r="464">
      <c r="A464" s="198"/>
      <c r="B464" s="208" t="str">
        <f>vlookup(A464,Price!A:B,2,false)</f>
        <v>#N/A</v>
      </c>
      <c r="C464" s="198"/>
      <c r="D464" s="198"/>
      <c r="E464" s="198"/>
      <c r="F464" s="198"/>
      <c r="G464" s="198"/>
      <c r="H464" s="198"/>
      <c r="I464" s="198"/>
      <c r="J464" s="198"/>
      <c r="K464" s="198"/>
      <c r="L464" s="198"/>
    </row>
    <row r="465">
      <c r="A465" s="198"/>
      <c r="B465" s="208" t="str">
        <f>vlookup(A465,Price!A:B,2,false)</f>
        <v>#N/A</v>
      </c>
      <c r="C465" s="198"/>
      <c r="D465" s="198"/>
      <c r="E465" s="198"/>
      <c r="F465" s="198"/>
      <c r="G465" s="198"/>
      <c r="H465" s="198"/>
      <c r="I465" s="198"/>
      <c r="J465" s="198"/>
      <c r="K465" s="198"/>
      <c r="L465" s="198"/>
    </row>
    <row r="466">
      <c r="A466" s="198"/>
      <c r="B466" s="208" t="str">
        <f>vlookup(A466,Price!A:B,2,false)</f>
        <v>#N/A</v>
      </c>
      <c r="C466" s="198"/>
      <c r="D466" s="198"/>
      <c r="E466" s="198"/>
      <c r="F466" s="198"/>
      <c r="G466" s="198"/>
      <c r="H466" s="198"/>
      <c r="I466" s="198"/>
      <c r="J466" s="198"/>
      <c r="K466" s="198"/>
      <c r="L466" s="198"/>
    </row>
    <row r="467">
      <c r="A467" s="198"/>
      <c r="B467" s="208" t="str">
        <f>vlookup(A467,Price!A:B,2,false)</f>
        <v>#N/A</v>
      </c>
      <c r="C467" s="198"/>
      <c r="D467" s="198"/>
      <c r="E467" s="198"/>
      <c r="F467" s="198"/>
      <c r="G467" s="198"/>
      <c r="H467" s="198"/>
      <c r="I467" s="198"/>
      <c r="J467" s="198"/>
      <c r="K467" s="198"/>
      <c r="L467" s="198"/>
    </row>
    <row r="468">
      <c r="A468" s="198"/>
      <c r="B468" s="208" t="str">
        <f>vlookup(A468,Price!A:B,2,false)</f>
        <v>#N/A</v>
      </c>
      <c r="C468" s="198"/>
      <c r="D468" s="198"/>
      <c r="E468" s="198"/>
      <c r="F468" s="198"/>
      <c r="G468" s="198"/>
      <c r="H468" s="198"/>
      <c r="I468" s="198"/>
      <c r="J468" s="198"/>
      <c r="K468" s="198"/>
      <c r="L468" s="198"/>
    </row>
    <row r="469">
      <c r="A469" s="198"/>
      <c r="B469" s="208" t="str">
        <f>vlookup(A469,Price!A:B,2,false)</f>
        <v>#N/A</v>
      </c>
      <c r="C469" s="198"/>
      <c r="D469" s="198"/>
      <c r="E469" s="198"/>
      <c r="F469" s="198"/>
      <c r="G469" s="198"/>
      <c r="H469" s="198"/>
      <c r="I469" s="198"/>
      <c r="J469" s="198"/>
      <c r="K469" s="198"/>
      <c r="L469" s="198"/>
    </row>
    <row r="470">
      <c r="A470" s="198"/>
      <c r="B470" s="208" t="str">
        <f>vlookup(A470,Price!A:B,2,false)</f>
        <v>#N/A</v>
      </c>
      <c r="C470" s="198"/>
      <c r="D470" s="198"/>
      <c r="E470" s="198"/>
      <c r="F470" s="198"/>
      <c r="G470" s="198"/>
      <c r="H470" s="198"/>
      <c r="I470" s="198"/>
      <c r="J470" s="198"/>
      <c r="K470" s="198"/>
      <c r="L470" s="198"/>
    </row>
    <row r="471">
      <c r="A471" s="198"/>
      <c r="B471" s="208" t="str">
        <f>vlookup(A471,Price!A:B,2,false)</f>
        <v>#N/A</v>
      </c>
      <c r="C471" s="198"/>
      <c r="D471" s="198"/>
      <c r="E471" s="198"/>
      <c r="F471" s="198"/>
      <c r="G471" s="198"/>
      <c r="H471" s="198"/>
      <c r="I471" s="198"/>
      <c r="J471" s="198"/>
      <c r="K471" s="198"/>
      <c r="L471" s="198"/>
    </row>
    <row r="472">
      <c r="A472" s="198"/>
      <c r="B472" s="208" t="str">
        <f>vlookup(A472,Price!A:B,2,false)</f>
        <v>#N/A</v>
      </c>
      <c r="C472" s="198"/>
      <c r="D472" s="198"/>
      <c r="E472" s="198"/>
      <c r="F472" s="198"/>
      <c r="G472" s="198"/>
      <c r="H472" s="198"/>
      <c r="I472" s="198"/>
      <c r="J472" s="198"/>
      <c r="K472" s="198"/>
      <c r="L472" s="198"/>
    </row>
    <row r="473">
      <c r="A473" s="198"/>
      <c r="B473" s="208" t="str">
        <f>vlookup(A473,Price!A:B,2,false)</f>
        <v>#N/A</v>
      </c>
      <c r="C473" s="198"/>
      <c r="D473" s="198"/>
      <c r="E473" s="198"/>
      <c r="F473" s="198"/>
      <c r="G473" s="198"/>
      <c r="H473" s="198"/>
      <c r="I473" s="198"/>
      <c r="J473" s="198"/>
      <c r="K473" s="198"/>
      <c r="L473" s="198"/>
    </row>
    <row r="474">
      <c r="A474" s="198"/>
      <c r="B474" s="208" t="str">
        <f>vlookup(A474,Price!A:B,2,false)</f>
        <v>#N/A</v>
      </c>
      <c r="C474" s="198"/>
      <c r="D474" s="198"/>
      <c r="E474" s="198"/>
      <c r="F474" s="198"/>
      <c r="G474" s="198"/>
      <c r="H474" s="198"/>
      <c r="I474" s="198"/>
      <c r="J474" s="198"/>
      <c r="K474" s="198"/>
      <c r="L474" s="198"/>
    </row>
    <row r="475">
      <c r="A475" s="198"/>
      <c r="B475" s="208" t="str">
        <f>vlookup(A475,Price!A:B,2,false)</f>
        <v>#N/A</v>
      </c>
      <c r="C475" s="198"/>
      <c r="D475" s="198"/>
      <c r="E475" s="198"/>
      <c r="F475" s="198"/>
      <c r="G475" s="198"/>
      <c r="H475" s="198"/>
      <c r="I475" s="198"/>
      <c r="J475" s="198"/>
      <c r="K475" s="198"/>
      <c r="L475" s="198"/>
    </row>
    <row r="476">
      <c r="A476" s="198"/>
      <c r="B476" s="208" t="str">
        <f>vlookup(A476,Price!A:B,2,false)</f>
        <v>#N/A</v>
      </c>
      <c r="C476" s="198"/>
      <c r="D476" s="198"/>
      <c r="E476" s="198"/>
      <c r="F476" s="198"/>
      <c r="G476" s="198"/>
      <c r="H476" s="198"/>
      <c r="I476" s="198"/>
      <c r="J476" s="198"/>
      <c r="K476" s="198"/>
      <c r="L476" s="198"/>
    </row>
    <row r="477">
      <c r="A477" s="198"/>
      <c r="B477" s="208" t="str">
        <f>vlookup(A477,Price!A:B,2,false)</f>
        <v>#N/A</v>
      </c>
      <c r="C477" s="198"/>
      <c r="D477" s="198"/>
      <c r="E477" s="198"/>
      <c r="F477" s="198"/>
      <c r="G477" s="198"/>
      <c r="H477" s="198"/>
      <c r="I477" s="198"/>
      <c r="J477" s="198"/>
      <c r="K477" s="198"/>
      <c r="L477" s="198"/>
    </row>
    <row r="478">
      <c r="A478" s="198"/>
      <c r="B478" s="208" t="str">
        <f>vlookup(A478,Price!A:B,2,false)</f>
        <v>#N/A</v>
      </c>
      <c r="C478" s="198"/>
      <c r="D478" s="198"/>
      <c r="E478" s="198"/>
      <c r="F478" s="198"/>
      <c r="G478" s="198"/>
      <c r="H478" s="198"/>
      <c r="I478" s="198"/>
      <c r="J478" s="198"/>
      <c r="K478" s="198"/>
      <c r="L478" s="198"/>
    </row>
    <row r="479">
      <c r="A479" s="198"/>
      <c r="B479" s="208" t="str">
        <f>vlookup(A479,Price!A:B,2,false)</f>
        <v>#N/A</v>
      </c>
      <c r="C479" s="198"/>
      <c r="D479" s="198"/>
      <c r="E479" s="198"/>
      <c r="F479" s="198"/>
      <c r="G479" s="198"/>
      <c r="H479" s="198"/>
      <c r="I479" s="198"/>
      <c r="J479" s="198"/>
      <c r="K479" s="198"/>
      <c r="L479" s="198"/>
    </row>
    <row r="480">
      <c r="A480" s="198"/>
      <c r="B480" s="208" t="str">
        <f>vlookup(A480,Price!A:B,2,false)</f>
        <v>#N/A</v>
      </c>
      <c r="C480" s="198"/>
      <c r="D480" s="198"/>
      <c r="E480" s="198"/>
      <c r="F480" s="198"/>
      <c r="G480" s="198"/>
      <c r="H480" s="198"/>
      <c r="I480" s="198"/>
      <c r="J480" s="198"/>
      <c r="K480" s="198"/>
      <c r="L480" s="198"/>
    </row>
    <row r="481">
      <c r="A481" s="198"/>
      <c r="B481" s="208" t="str">
        <f>vlookup(A481,Price!A:B,2,false)</f>
        <v>#N/A</v>
      </c>
      <c r="C481" s="198"/>
      <c r="D481" s="198"/>
      <c r="E481" s="198"/>
      <c r="F481" s="198"/>
      <c r="G481" s="198"/>
      <c r="H481" s="198"/>
      <c r="I481" s="198"/>
      <c r="J481" s="198"/>
      <c r="K481" s="198"/>
      <c r="L481" s="198"/>
    </row>
    <row r="482">
      <c r="A482" s="198"/>
      <c r="B482" s="208" t="str">
        <f>vlookup(A482,Price!A:B,2,false)</f>
        <v>#N/A</v>
      </c>
      <c r="C482" s="198"/>
      <c r="D482" s="198"/>
      <c r="E482" s="198"/>
      <c r="F482" s="198"/>
      <c r="G482" s="198"/>
      <c r="H482" s="198"/>
      <c r="I482" s="198"/>
      <c r="J482" s="198"/>
      <c r="K482" s="198"/>
      <c r="L482" s="198"/>
    </row>
    <row r="483">
      <c r="A483" s="198"/>
      <c r="B483" s="208" t="str">
        <f>vlookup(A483,Price!A:B,2,false)</f>
        <v>#N/A</v>
      </c>
      <c r="C483" s="198"/>
      <c r="D483" s="198"/>
      <c r="E483" s="198"/>
      <c r="F483" s="198"/>
      <c r="G483" s="198"/>
      <c r="H483" s="198"/>
      <c r="I483" s="198"/>
      <c r="J483" s="198"/>
      <c r="K483" s="198"/>
      <c r="L483" s="198"/>
    </row>
    <row r="484">
      <c r="A484" s="198"/>
      <c r="B484" s="208" t="str">
        <f>vlookup(A484,Price!A:B,2,false)</f>
        <v>#N/A</v>
      </c>
      <c r="C484" s="198"/>
      <c r="D484" s="198"/>
      <c r="E484" s="198"/>
      <c r="F484" s="198"/>
      <c r="G484" s="198"/>
      <c r="H484" s="198"/>
      <c r="I484" s="198"/>
      <c r="J484" s="198"/>
      <c r="K484" s="198"/>
      <c r="L484" s="198"/>
    </row>
    <row r="485">
      <c r="A485" s="198"/>
      <c r="B485" s="208" t="str">
        <f>vlookup(A485,Price!A:B,2,false)</f>
        <v>#N/A</v>
      </c>
      <c r="C485" s="198"/>
      <c r="D485" s="198"/>
      <c r="E485" s="198"/>
      <c r="F485" s="198"/>
      <c r="G485" s="198"/>
      <c r="H485" s="198"/>
      <c r="I485" s="198"/>
      <c r="J485" s="198"/>
      <c r="K485" s="198"/>
      <c r="L485" s="198"/>
    </row>
    <row r="486">
      <c r="A486" s="198"/>
      <c r="B486" s="208" t="str">
        <f>vlookup(A486,Price!A:B,2,false)</f>
        <v>#N/A</v>
      </c>
      <c r="C486" s="198"/>
      <c r="D486" s="198"/>
      <c r="E486" s="198"/>
      <c r="F486" s="198"/>
      <c r="G486" s="198"/>
      <c r="H486" s="198"/>
      <c r="I486" s="198"/>
      <c r="J486" s="198"/>
      <c r="K486" s="198"/>
      <c r="L486" s="198"/>
    </row>
    <row r="487">
      <c r="A487" s="198"/>
      <c r="B487" s="208" t="str">
        <f>vlookup(A487,Price!A:B,2,false)</f>
        <v>#N/A</v>
      </c>
      <c r="C487" s="198"/>
      <c r="D487" s="198"/>
      <c r="E487" s="198"/>
      <c r="F487" s="198"/>
      <c r="G487" s="198"/>
      <c r="H487" s="198"/>
      <c r="I487" s="198"/>
      <c r="J487" s="198"/>
      <c r="K487" s="198"/>
      <c r="L487" s="198"/>
    </row>
    <row r="488">
      <c r="A488" s="198"/>
      <c r="B488" s="208" t="str">
        <f>vlookup(A488,Price!A:B,2,false)</f>
        <v>#N/A</v>
      </c>
      <c r="C488" s="198"/>
      <c r="D488" s="198"/>
      <c r="E488" s="198"/>
      <c r="F488" s="198"/>
      <c r="G488" s="198"/>
      <c r="H488" s="198"/>
      <c r="I488" s="198"/>
      <c r="J488" s="198"/>
      <c r="K488" s="198"/>
      <c r="L488" s="198"/>
    </row>
    <row r="489">
      <c r="A489" s="198"/>
      <c r="B489" s="208" t="str">
        <f>vlookup(A489,Price!A:B,2,false)</f>
        <v>#N/A</v>
      </c>
      <c r="C489" s="198"/>
      <c r="D489" s="198"/>
      <c r="E489" s="198"/>
      <c r="F489" s="198"/>
      <c r="G489" s="198"/>
      <c r="H489" s="198"/>
      <c r="I489" s="198"/>
      <c r="J489" s="198"/>
      <c r="K489" s="198"/>
      <c r="L489" s="198"/>
    </row>
    <row r="490">
      <c r="A490" s="198"/>
      <c r="B490" s="208" t="str">
        <f>vlookup(A490,Price!A:B,2,false)</f>
        <v>#N/A</v>
      </c>
      <c r="C490" s="198"/>
      <c r="D490" s="198"/>
      <c r="E490" s="198"/>
      <c r="F490" s="198"/>
      <c r="G490" s="198"/>
      <c r="H490" s="198"/>
      <c r="I490" s="198"/>
      <c r="J490" s="198"/>
      <c r="K490" s="198"/>
      <c r="L490" s="198"/>
    </row>
    <row r="491">
      <c r="A491" s="198"/>
      <c r="B491" s="208" t="str">
        <f>vlookup(A491,Price!A:B,2,false)</f>
        <v>#N/A</v>
      </c>
      <c r="C491" s="198"/>
      <c r="D491" s="198"/>
      <c r="E491" s="198"/>
      <c r="F491" s="198"/>
      <c r="G491" s="198"/>
      <c r="H491" s="198"/>
      <c r="I491" s="198"/>
      <c r="J491" s="198"/>
      <c r="K491" s="198"/>
      <c r="L491" s="198"/>
    </row>
    <row r="492">
      <c r="A492" s="198"/>
      <c r="B492" s="208" t="str">
        <f>vlookup(A492,Price!A:B,2,false)</f>
        <v>#N/A</v>
      </c>
      <c r="C492" s="198"/>
      <c r="D492" s="198"/>
      <c r="E492" s="198"/>
      <c r="F492" s="198"/>
      <c r="G492" s="198"/>
      <c r="H492" s="198"/>
      <c r="I492" s="198"/>
      <c r="J492" s="198"/>
      <c r="K492" s="198"/>
      <c r="L492" s="198"/>
    </row>
    <row r="493">
      <c r="A493" s="198"/>
      <c r="B493" s="208" t="str">
        <f>vlookup(A493,Price!A:B,2,false)</f>
        <v>#N/A</v>
      </c>
      <c r="C493" s="198"/>
      <c r="D493" s="198"/>
      <c r="E493" s="198"/>
      <c r="F493" s="198"/>
      <c r="G493" s="198"/>
      <c r="H493" s="198"/>
      <c r="I493" s="198"/>
      <c r="J493" s="198"/>
      <c r="K493" s="198"/>
      <c r="L493" s="198"/>
    </row>
    <row r="494">
      <c r="A494" s="198"/>
      <c r="B494" s="208" t="str">
        <f>vlookup(A494,Price!A:B,2,false)</f>
        <v>#N/A</v>
      </c>
      <c r="C494" s="198"/>
      <c r="D494" s="198"/>
      <c r="E494" s="198"/>
      <c r="F494" s="198"/>
      <c r="G494" s="198"/>
      <c r="H494" s="198"/>
      <c r="I494" s="198"/>
      <c r="J494" s="198"/>
      <c r="K494" s="198"/>
      <c r="L494" s="198"/>
    </row>
    <row r="495">
      <c r="A495" s="198"/>
      <c r="B495" s="208" t="str">
        <f>vlookup(A495,Price!A:B,2,false)</f>
        <v>#N/A</v>
      </c>
      <c r="C495" s="198"/>
      <c r="D495" s="198"/>
      <c r="E495" s="198"/>
      <c r="F495" s="198"/>
      <c r="G495" s="198"/>
      <c r="H495" s="198"/>
      <c r="I495" s="198"/>
      <c r="J495" s="198"/>
      <c r="K495" s="198"/>
      <c r="L495" s="198"/>
    </row>
    <row r="496">
      <c r="A496" s="198"/>
      <c r="B496" s="208" t="str">
        <f>vlookup(A496,Price!A:B,2,false)</f>
        <v>#N/A</v>
      </c>
      <c r="C496" s="198"/>
      <c r="D496" s="198"/>
      <c r="E496" s="198"/>
      <c r="F496" s="198"/>
      <c r="G496" s="198"/>
      <c r="H496" s="198"/>
      <c r="I496" s="198"/>
      <c r="J496" s="198"/>
      <c r="K496" s="198"/>
      <c r="L496" s="198"/>
    </row>
    <row r="497">
      <c r="A497" s="198"/>
      <c r="B497" s="208" t="str">
        <f>vlookup(A497,Price!A:B,2,false)</f>
        <v>#N/A</v>
      </c>
      <c r="C497" s="198"/>
      <c r="D497" s="198"/>
      <c r="E497" s="198"/>
      <c r="F497" s="198"/>
      <c r="G497" s="198"/>
      <c r="H497" s="198"/>
      <c r="I497" s="198"/>
      <c r="J497" s="198"/>
      <c r="K497" s="198"/>
      <c r="L497" s="198"/>
    </row>
    <row r="498">
      <c r="A498" s="198"/>
      <c r="B498" s="208" t="str">
        <f>vlookup(A498,Price!A:B,2,false)</f>
        <v>#N/A</v>
      </c>
      <c r="C498" s="198"/>
      <c r="D498" s="198"/>
      <c r="E498" s="198"/>
      <c r="F498" s="198"/>
      <c r="G498" s="198"/>
      <c r="H498" s="198"/>
      <c r="I498" s="198"/>
      <c r="J498" s="198"/>
      <c r="K498" s="198"/>
      <c r="L498" s="198"/>
    </row>
    <row r="499">
      <c r="A499" s="198"/>
      <c r="B499" s="208" t="str">
        <f>vlookup(A499,Price!A:B,2,false)</f>
        <v>#N/A</v>
      </c>
      <c r="C499" s="198"/>
      <c r="D499" s="198"/>
      <c r="E499" s="198"/>
      <c r="F499" s="198"/>
      <c r="G499" s="198"/>
      <c r="H499" s="198"/>
      <c r="I499" s="198"/>
      <c r="J499" s="198"/>
      <c r="K499" s="198"/>
      <c r="L499" s="198"/>
    </row>
    <row r="500">
      <c r="A500" s="198"/>
      <c r="B500" s="208" t="str">
        <f>vlookup(A500,Price!A:B,2,false)</f>
        <v>#N/A</v>
      </c>
      <c r="C500" s="198"/>
      <c r="D500" s="198"/>
      <c r="E500" s="198"/>
      <c r="F500" s="198"/>
      <c r="G500" s="198"/>
      <c r="H500" s="198"/>
      <c r="I500" s="198"/>
      <c r="J500" s="198"/>
      <c r="K500" s="198"/>
      <c r="L500" s="198"/>
    </row>
    <row r="501">
      <c r="A501" s="198"/>
      <c r="B501" s="208" t="str">
        <f>vlookup(A501,Price!A:B,2,false)</f>
        <v>#N/A</v>
      </c>
      <c r="C501" s="198"/>
      <c r="D501" s="198"/>
      <c r="E501" s="198"/>
      <c r="F501" s="198"/>
      <c r="G501" s="198"/>
      <c r="H501" s="198"/>
      <c r="I501" s="198"/>
      <c r="J501" s="198"/>
      <c r="K501" s="198"/>
      <c r="L501" s="198"/>
    </row>
    <row r="502">
      <c r="A502" s="198"/>
      <c r="B502" s="208" t="str">
        <f>vlookup(A502,Price!A:B,2,false)</f>
        <v>#N/A</v>
      </c>
      <c r="C502" s="198"/>
      <c r="D502" s="198"/>
      <c r="E502" s="198"/>
      <c r="F502" s="198"/>
      <c r="G502" s="198"/>
      <c r="H502" s="198"/>
      <c r="I502" s="198"/>
      <c r="J502" s="198"/>
      <c r="K502" s="198"/>
      <c r="L502" s="198"/>
    </row>
    <row r="503">
      <c r="A503" s="198"/>
      <c r="B503" s="208" t="str">
        <f>vlookup(A503,Price!A:B,2,false)</f>
        <v>#N/A</v>
      </c>
      <c r="C503" s="198"/>
      <c r="D503" s="198"/>
      <c r="E503" s="198"/>
      <c r="F503" s="198"/>
      <c r="G503" s="198"/>
      <c r="H503" s="198"/>
      <c r="I503" s="198"/>
      <c r="J503" s="198"/>
      <c r="K503" s="198"/>
      <c r="L503" s="198"/>
    </row>
    <row r="504">
      <c r="A504" s="198"/>
      <c r="B504" s="208" t="str">
        <f>vlookup(A504,Price!A:B,2,false)</f>
        <v>#N/A</v>
      </c>
      <c r="C504" s="198"/>
      <c r="D504" s="198"/>
      <c r="E504" s="198"/>
      <c r="F504" s="198"/>
      <c r="G504" s="198"/>
      <c r="H504" s="198"/>
      <c r="I504" s="198"/>
      <c r="J504" s="198"/>
      <c r="K504" s="198"/>
      <c r="L504" s="198"/>
    </row>
    <row r="505">
      <c r="A505" s="198"/>
      <c r="B505" s="208" t="str">
        <f>vlookup(A505,Price!A:B,2,false)</f>
        <v>#N/A</v>
      </c>
      <c r="C505" s="198"/>
      <c r="D505" s="198"/>
      <c r="E505" s="198"/>
      <c r="F505" s="198"/>
      <c r="G505" s="198"/>
      <c r="H505" s="198"/>
      <c r="I505" s="198"/>
      <c r="J505" s="198"/>
      <c r="K505" s="198"/>
      <c r="L505" s="198"/>
    </row>
    <row r="506">
      <c r="A506" s="198"/>
      <c r="B506" s="208" t="str">
        <f>vlookup(A506,Price!A:B,2,false)</f>
        <v>#N/A</v>
      </c>
      <c r="C506" s="198"/>
      <c r="D506" s="198"/>
      <c r="E506" s="198"/>
      <c r="F506" s="198"/>
      <c r="G506" s="198"/>
      <c r="H506" s="198"/>
      <c r="I506" s="198"/>
      <c r="J506" s="198"/>
      <c r="K506" s="198"/>
      <c r="L506" s="198"/>
    </row>
    <row r="507">
      <c r="A507" s="198"/>
      <c r="B507" s="208" t="str">
        <f>vlookup(A507,Price!A:B,2,false)</f>
        <v>#N/A</v>
      </c>
      <c r="C507" s="198"/>
      <c r="D507" s="198"/>
      <c r="E507" s="198"/>
      <c r="F507" s="198"/>
      <c r="G507" s="198"/>
      <c r="H507" s="198"/>
      <c r="I507" s="198"/>
      <c r="J507" s="198"/>
      <c r="K507" s="198"/>
      <c r="L507" s="198"/>
    </row>
    <row r="508">
      <c r="A508" s="198"/>
      <c r="B508" s="208" t="str">
        <f>vlookup(A508,Price!A:B,2,false)</f>
        <v>#N/A</v>
      </c>
      <c r="C508" s="198"/>
      <c r="D508" s="198"/>
      <c r="E508" s="198"/>
      <c r="F508" s="198"/>
      <c r="G508" s="198"/>
      <c r="H508" s="198"/>
      <c r="I508" s="198"/>
      <c r="J508" s="198"/>
      <c r="K508" s="198"/>
      <c r="L508" s="198"/>
    </row>
    <row r="509">
      <c r="A509" s="198"/>
      <c r="B509" s="208" t="str">
        <f>vlookup(A509,Price!A:B,2,false)</f>
        <v>#N/A</v>
      </c>
      <c r="C509" s="198"/>
      <c r="D509" s="198"/>
      <c r="E509" s="198"/>
      <c r="F509" s="198"/>
      <c r="G509" s="198"/>
      <c r="H509" s="198"/>
      <c r="I509" s="198"/>
      <c r="J509" s="198"/>
      <c r="K509" s="198"/>
      <c r="L509" s="198"/>
    </row>
    <row r="510">
      <c r="A510" s="198"/>
      <c r="B510" s="208" t="str">
        <f>vlookup(A510,Price!A:B,2,false)</f>
        <v>#N/A</v>
      </c>
      <c r="C510" s="198"/>
      <c r="D510" s="198"/>
      <c r="E510" s="198"/>
      <c r="F510" s="198"/>
      <c r="G510" s="198"/>
      <c r="H510" s="198"/>
      <c r="I510" s="198"/>
      <c r="J510" s="198"/>
      <c r="K510" s="198"/>
      <c r="L510" s="198"/>
    </row>
    <row r="511">
      <c r="A511" s="198"/>
      <c r="B511" s="208" t="str">
        <f>vlookup(A511,Price!A:B,2,false)</f>
        <v>#N/A</v>
      </c>
      <c r="C511" s="198"/>
      <c r="D511" s="198"/>
      <c r="E511" s="198"/>
      <c r="F511" s="198"/>
      <c r="G511" s="198"/>
      <c r="H511" s="198"/>
      <c r="I511" s="198"/>
      <c r="J511" s="198"/>
      <c r="K511" s="198"/>
      <c r="L511" s="198"/>
    </row>
    <row r="512">
      <c r="A512" s="198"/>
      <c r="B512" s="208" t="str">
        <f>vlookup(A512,Price!A:B,2,false)</f>
        <v>#N/A</v>
      </c>
      <c r="C512" s="198"/>
      <c r="D512" s="198"/>
      <c r="E512" s="198"/>
      <c r="F512" s="198"/>
      <c r="G512" s="198"/>
      <c r="H512" s="198"/>
      <c r="I512" s="198"/>
      <c r="J512" s="198"/>
      <c r="K512" s="198"/>
      <c r="L512" s="198"/>
    </row>
    <row r="513">
      <c r="A513" s="198"/>
      <c r="B513" s="208" t="str">
        <f>vlookup(A513,Price!A:B,2,false)</f>
        <v>#N/A</v>
      </c>
      <c r="C513" s="198"/>
      <c r="D513" s="198"/>
      <c r="E513" s="198"/>
      <c r="F513" s="198"/>
      <c r="G513" s="198"/>
      <c r="H513" s="198"/>
      <c r="I513" s="198"/>
      <c r="J513" s="198"/>
      <c r="K513" s="198"/>
      <c r="L513" s="198"/>
    </row>
    <row r="514">
      <c r="A514" s="198"/>
      <c r="B514" s="208" t="str">
        <f>vlookup(A514,Price!A:B,2,false)</f>
        <v>#N/A</v>
      </c>
      <c r="C514" s="198"/>
      <c r="D514" s="198"/>
      <c r="E514" s="198"/>
      <c r="F514" s="198"/>
      <c r="G514" s="198"/>
      <c r="H514" s="198"/>
      <c r="I514" s="198"/>
      <c r="J514" s="198"/>
      <c r="K514" s="198"/>
      <c r="L514" s="198"/>
    </row>
    <row r="515">
      <c r="A515" s="198"/>
      <c r="B515" s="208" t="str">
        <f>vlookup(A515,Price!A:B,2,false)</f>
        <v>#N/A</v>
      </c>
      <c r="C515" s="198"/>
      <c r="D515" s="198"/>
      <c r="E515" s="198"/>
      <c r="F515" s="198"/>
      <c r="G515" s="198"/>
      <c r="H515" s="198"/>
      <c r="I515" s="198"/>
      <c r="J515" s="198"/>
      <c r="K515" s="198"/>
      <c r="L515" s="198"/>
    </row>
    <row r="516">
      <c r="A516" s="198"/>
      <c r="B516" s="208" t="str">
        <f>vlookup(A516,Price!A:B,2,false)</f>
        <v>#N/A</v>
      </c>
      <c r="C516" s="198"/>
      <c r="D516" s="198"/>
      <c r="E516" s="198"/>
      <c r="F516" s="198"/>
      <c r="G516" s="198"/>
      <c r="H516" s="198"/>
      <c r="I516" s="198"/>
      <c r="J516" s="198"/>
      <c r="K516" s="198"/>
      <c r="L516" s="198"/>
    </row>
    <row r="517">
      <c r="A517" s="198"/>
      <c r="B517" s="208" t="str">
        <f>vlookup(A517,Price!A:B,2,false)</f>
        <v>#N/A</v>
      </c>
      <c r="C517" s="198"/>
      <c r="D517" s="198"/>
      <c r="E517" s="198"/>
      <c r="F517" s="198"/>
      <c r="G517" s="198"/>
      <c r="H517" s="198"/>
      <c r="I517" s="198"/>
      <c r="J517" s="198"/>
      <c r="K517" s="198"/>
      <c r="L517" s="198"/>
    </row>
    <row r="518">
      <c r="A518" s="198"/>
      <c r="B518" s="208" t="str">
        <f>vlookup(A518,Price!A:B,2,false)</f>
        <v>#N/A</v>
      </c>
      <c r="C518" s="198"/>
      <c r="D518" s="198"/>
      <c r="E518" s="198"/>
      <c r="F518" s="198"/>
      <c r="G518" s="198"/>
      <c r="H518" s="198"/>
      <c r="I518" s="198"/>
      <c r="J518" s="198"/>
      <c r="K518" s="198"/>
      <c r="L518" s="198"/>
    </row>
    <row r="519">
      <c r="A519" s="198"/>
      <c r="B519" s="208" t="str">
        <f>vlookup(A519,Price!A:B,2,false)</f>
        <v>#N/A</v>
      </c>
      <c r="C519" s="198"/>
      <c r="D519" s="198"/>
      <c r="E519" s="198"/>
      <c r="F519" s="198"/>
      <c r="G519" s="198"/>
      <c r="H519" s="198"/>
      <c r="I519" s="198"/>
      <c r="J519" s="198"/>
      <c r="K519" s="198"/>
      <c r="L519" s="198"/>
    </row>
    <row r="520">
      <c r="A520" s="198"/>
      <c r="B520" s="208" t="str">
        <f>vlookup(A520,Price!A:B,2,false)</f>
        <v>#N/A</v>
      </c>
      <c r="C520" s="198"/>
      <c r="D520" s="198"/>
      <c r="E520" s="198"/>
      <c r="F520" s="198"/>
      <c r="G520" s="198"/>
      <c r="H520" s="198"/>
      <c r="I520" s="198"/>
      <c r="J520" s="198"/>
      <c r="K520" s="198"/>
      <c r="L520" s="198"/>
    </row>
    <row r="521">
      <c r="A521" s="198"/>
      <c r="B521" s="208" t="str">
        <f>vlookup(A521,Price!A:B,2,false)</f>
        <v>#N/A</v>
      </c>
      <c r="C521" s="198"/>
      <c r="D521" s="198"/>
      <c r="E521" s="198"/>
      <c r="F521" s="198"/>
      <c r="G521" s="198"/>
      <c r="H521" s="198"/>
      <c r="I521" s="198"/>
      <c r="J521" s="198"/>
      <c r="K521" s="198"/>
      <c r="L521" s="198"/>
    </row>
    <row r="522">
      <c r="A522" s="198"/>
      <c r="B522" s="208" t="str">
        <f>vlookup(A522,Price!A:B,2,false)</f>
        <v>#N/A</v>
      </c>
      <c r="C522" s="198"/>
      <c r="D522" s="198"/>
      <c r="E522" s="198"/>
      <c r="F522" s="198"/>
      <c r="G522" s="198"/>
      <c r="H522" s="198"/>
      <c r="I522" s="198"/>
      <c r="J522" s="198"/>
      <c r="K522" s="198"/>
      <c r="L522" s="198"/>
    </row>
    <row r="523">
      <c r="A523" s="198"/>
      <c r="B523" s="208" t="str">
        <f>vlookup(A523,Price!A:B,2,false)</f>
        <v>#N/A</v>
      </c>
      <c r="C523" s="198"/>
      <c r="D523" s="198"/>
      <c r="E523" s="198"/>
      <c r="F523" s="198"/>
      <c r="G523" s="198"/>
      <c r="H523" s="198"/>
      <c r="I523" s="198"/>
      <c r="J523" s="198"/>
      <c r="K523" s="198"/>
      <c r="L523" s="198"/>
    </row>
    <row r="524">
      <c r="A524" s="198"/>
      <c r="B524" s="208" t="str">
        <f>vlookup(A524,Price!A:B,2,false)</f>
        <v>#N/A</v>
      </c>
      <c r="C524" s="198"/>
      <c r="D524" s="198"/>
      <c r="E524" s="198"/>
      <c r="F524" s="198"/>
      <c r="G524" s="198"/>
      <c r="H524" s="198"/>
      <c r="I524" s="198"/>
      <c r="J524" s="198"/>
      <c r="K524" s="198"/>
      <c r="L524" s="198"/>
    </row>
    <row r="525">
      <c r="A525" s="198"/>
      <c r="B525" s="208" t="str">
        <f>vlookup(A525,Price!A:B,2,false)</f>
        <v>#N/A</v>
      </c>
      <c r="C525" s="198"/>
      <c r="D525" s="198"/>
      <c r="E525" s="198"/>
      <c r="F525" s="198"/>
      <c r="G525" s="198"/>
      <c r="H525" s="198"/>
      <c r="I525" s="198"/>
      <c r="J525" s="198"/>
      <c r="K525" s="198"/>
      <c r="L525" s="198"/>
    </row>
    <row r="526">
      <c r="A526" s="198"/>
      <c r="B526" s="208" t="str">
        <f>vlookup(A526,Price!A:B,2,false)</f>
        <v>#N/A</v>
      </c>
      <c r="C526" s="198"/>
      <c r="D526" s="198"/>
      <c r="E526" s="198"/>
      <c r="F526" s="198"/>
      <c r="G526" s="198"/>
      <c r="H526" s="198"/>
      <c r="I526" s="198"/>
      <c r="J526" s="198"/>
      <c r="K526" s="198"/>
      <c r="L526" s="198"/>
    </row>
    <row r="527">
      <c r="A527" s="198"/>
      <c r="B527" s="208" t="str">
        <f>vlookup(A527,Price!A:B,2,false)</f>
        <v>#N/A</v>
      </c>
      <c r="C527" s="198"/>
      <c r="D527" s="198"/>
      <c r="E527" s="198"/>
      <c r="F527" s="198"/>
      <c r="G527" s="198"/>
      <c r="H527" s="198"/>
      <c r="I527" s="198"/>
      <c r="J527" s="198"/>
      <c r="K527" s="198"/>
      <c r="L527" s="198"/>
    </row>
    <row r="528">
      <c r="A528" s="198"/>
      <c r="B528" s="208" t="str">
        <f>vlookup(A528,Price!A:B,2,false)</f>
        <v>#N/A</v>
      </c>
      <c r="C528" s="198"/>
      <c r="D528" s="198"/>
      <c r="E528" s="198"/>
      <c r="F528" s="198"/>
      <c r="G528" s="198"/>
      <c r="H528" s="198"/>
      <c r="I528" s="198"/>
      <c r="J528" s="198"/>
      <c r="K528" s="198"/>
      <c r="L528" s="198"/>
    </row>
    <row r="529">
      <c r="A529" s="198"/>
      <c r="B529" s="208" t="str">
        <f>vlookup(A529,Price!A:B,2,false)</f>
        <v>#N/A</v>
      </c>
      <c r="C529" s="198"/>
      <c r="D529" s="198"/>
      <c r="E529" s="198"/>
      <c r="F529" s="198"/>
      <c r="G529" s="198"/>
      <c r="H529" s="198"/>
      <c r="I529" s="198"/>
      <c r="J529" s="198"/>
      <c r="K529" s="198"/>
      <c r="L529" s="198"/>
    </row>
    <row r="530">
      <c r="A530" s="198"/>
      <c r="B530" s="208" t="str">
        <f>vlookup(A530,Price!A:B,2,false)</f>
        <v>#N/A</v>
      </c>
      <c r="C530" s="198"/>
      <c r="D530" s="198"/>
      <c r="E530" s="198"/>
      <c r="F530" s="198"/>
      <c r="G530" s="198"/>
      <c r="H530" s="198"/>
      <c r="I530" s="198"/>
      <c r="J530" s="198"/>
      <c r="K530" s="198"/>
      <c r="L530" s="198"/>
    </row>
    <row r="531">
      <c r="A531" s="198"/>
      <c r="B531" s="208" t="str">
        <f>vlookup(A531,Price!A:B,2,false)</f>
        <v>#N/A</v>
      </c>
      <c r="C531" s="198"/>
      <c r="D531" s="198"/>
      <c r="E531" s="198"/>
      <c r="F531" s="198"/>
      <c r="G531" s="198"/>
      <c r="H531" s="198"/>
      <c r="I531" s="198"/>
      <c r="J531" s="198"/>
      <c r="K531" s="198"/>
      <c r="L531" s="198"/>
    </row>
    <row r="532">
      <c r="A532" s="198"/>
      <c r="B532" s="208" t="str">
        <f>vlookup(A532,Price!A:B,2,false)</f>
        <v>#N/A</v>
      </c>
      <c r="C532" s="198"/>
      <c r="D532" s="198"/>
      <c r="E532" s="198"/>
      <c r="F532" s="198"/>
      <c r="G532" s="198"/>
      <c r="H532" s="198"/>
      <c r="I532" s="198"/>
      <c r="J532" s="198"/>
      <c r="K532" s="198"/>
      <c r="L532" s="198"/>
    </row>
    <row r="533">
      <c r="A533" s="198"/>
      <c r="B533" s="208" t="str">
        <f>vlookup(A533,Price!A:B,2,false)</f>
        <v>#N/A</v>
      </c>
      <c r="C533" s="198"/>
      <c r="D533" s="198"/>
      <c r="E533" s="198"/>
      <c r="F533" s="198"/>
      <c r="G533" s="198"/>
      <c r="H533" s="198"/>
      <c r="I533" s="198"/>
      <c r="J533" s="198"/>
      <c r="K533" s="198"/>
      <c r="L533" s="198"/>
    </row>
    <row r="534">
      <c r="A534" s="198"/>
      <c r="B534" s="208" t="str">
        <f>vlookup(A534,Price!A:B,2,false)</f>
        <v>#N/A</v>
      </c>
      <c r="C534" s="198"/>
      <c r="D534" s="198"/>
      <c r="E534" s="198"/>
      <c r="F534" s="198"/>
      <c r="G534" s="198"/>
      <c r="H534" s="198"/>
      <c r="I534" s="198"/>
      <c r="J534" s="198"/>
      <c r="K534" s="198"/>
      <c r="L534" s="198"/>
    </row>
    <row r="535">
      <c r="A535" s="198"/>
      <c r="B535" s="208" t="str">
        <f>vlookup(A535,Price!A:B,2,false)</f>
        <v>#N/A</v>
      </c>
      <c r="C535" s="198"/>
      <c r="D535" s="198"/>
      <c r="E535" s="198"/>
      <c r="F535" s="198"/>
      <c r="G535" s="198"/>
      <c r="H535" s="198"/>
      <c r="I535" s="198"/>
      <c r="J535" s="198"/>
      <c r="K535" s="198"/>
      <c r="L535" s="198"/>
    </row>
    <row r="536">
      <c r="A536" s="198"/>
      <c r="B536" s="208" t="str">
        <f>vlookup(A536,Price!A:B,2,false)</f>
        <v>#N/A</v>
      </c>
      <c r="C536" s="198"/>
      <c r="D536" s="198"/>
      <c r="E536" s="198"/>
      <c r="F536" s="198"/>
      <c r="G536" s="198"/>
      <c r="H536" s="198"/>
      <c r="I536" s="198"/>
      <c r="J536" s="198"/>
      <c r="K536" s="198"/>
      <c r="L536" s="198"/>
    </row>
    <row r="537">
      <c r="A537" s="198"/>
      <c r="B537" s="208" t="str">
        <f>vlookup(A537,Price!A:B,2,false)</f>
        <v>#N/A</v>
      </c>
      <c r="C537" s="198"/>
      <c r="D537" s="198"/>
      <c r="E537" s="198"/>
      <c r="F537" s="198"/>
      <c r="G537" s="198"/>
      <c r="H537" s="198"/>
      <c r="I537" s="198"/>
      <c r="J537" s="198"/>
      <c r="K537" s="198"/>
      <c r="L537" s="198"/>
    </row>
    <row r="538">
      <c r="A538" s="198"/>
      <c r="B538" s="208" t="str">
        <f>vlookup(A538,Price!A:B,2,false)</f>
        <v>#N/A</v>
      </c>
      <c r="C538" s="198"/>
      <c r="D538" s="198"/>
      <c r="E538" s="198"/>
      <c r="F538" s="198"/>
      <c r="G538" s="198"/>
      <c r="H538" s="198"/>
      <c r="I538" s="198"/>
      <c r="J538" s="198"/>
      <c r="K538" s="198"/>
      <c r="L538" s="198"/>
    </row>
    <row r="539">
      <c r="A539" s="198"/>
      <c r="B539" s="208" t="str">
        <f>vlookup(A539,Price!A:B,2,false)</f>
        <v>#N/A</v>
      </c>
      <c r="C539" s="198"/>
      <c r="D539" s="198"/>
      <c r="E539" s="198"/>
      <c r="F539" s="198"/>
      <c r="G539" s="198"/>
      <c r="H539" s="198"/>
      <c r="I539" s="198"/>
      <c r="J539" s="198"/>
      <c r="K539" s="198"/>
      <c r="L539" s="198"/>
    </row>
    <row r="540">
      <c r="A540" s="198"/>
      <c r="B540" s="208" t="str">
        <f>vlookup(A540,Price!A:B,2,false)</f>
        <v>#N/A</v>
      </c>
      <c r="C540" s="198"/>
      <c r="D540" s="198"/>
      <c r="E540" s="198"/>
      <c r="F540" s="198"/>
      <c r="G540" s="198"/>
      <c r="H540" s="198"/>
      <c r="I540" s="198"/>
      <c r="J540" s="198"/>
      <c r="K540" s="198"/>
      <c r="L540" s="198"/>
    </row>
    <row r="541">
      <c r="A541" s="198"/>
      <c r="B541" s="208" t="str">
        <f>vlookup(A541,Price!A:B,2,false)</f>
        <v>#N/A</v>
      </c>
      <c r="C541" s="198"/>
      <c r="D541" s="198"/>
      <c r="E541" s="198"/>
      <c r="F541" s="198"/>
      <c r="G541" s="198"/>
      <c r="H541" s="198"/>
      <c r="I541" s="198"/>
      <c r="J541" s="198"/>
      <c r="K541" s="198"/>
      <c r="L541" s="198"/>
    </row>
    <row r="542">
      <c r="A542" s="198"/>
      <c r="B542" s="208" t="str">
        <f>vlookup(A542,Price!A:B,2,false)</f>
        <v>#N/A</v>
      </c>
      <c r="C542" s="198"/>
      <c r="D542" s="198"/>
      <c r="E542" s="198"/>
      <c r="F542" s="198"/>
      <c r="G542" s="198"/>
      <c r="H542" s="198"/>
      <c r="I542" s="198"/>
      <c r="J542" s="198"/>
      <c r="K542" s="198"/>
      <c r="L542" s="198"/>
    </row>
    <row r="543">
      <c r="A543" s="198"/>
      <c r="B543" s="208" t="str">
        <f>vlookup(A543,Price!A:B,2,false)</f>
        <v>#N/A</v>
      </c>
      <c r="C543" s="198"/>
      <c r="D543" s="198"/>
      <c r="E543" s="198"/>
      <c r="F543" s="198"/>
      <c r="G543" s="198"/>
      <c r="H543" s="198"/>
      <c r="I543" s="198"/>
      <c r="J543" s="198"/>
      <c r="K543" s="198"/>
      <c r="L543" s="198"/>
    </row>
    <row r="544">
      <c r="A544" s="198"/>
      <c r="B544" s="208" t="str">
        <f>vlookup(A544,Price!A:B,2,false)</f>
        <v>#N/A</v>
      </c>
      <c r="C544" s="198"/>
      <c r="D544" s="198"/>
      <c r="E544" s="198"/>
      <c r="F544" s="198"/>
      <c r="G544" s="198"/>
      <c r="H544" s="198"/>
      <c r="I544" s="198"/>
      <c r="J544" s="198"/>
      <c r="K544" s="198"/>
      <c r="L544" s="198"/>
    </row>
    <row r="545">
      <c r="A545" s="198"/>
      <c r="B545" s="208" t="str">
        <f>vlookup(A545,Price!A:B,2,false)</f>
        <v>#N/A</v>
      </c>
      <c r="C545" s="198"/>
      <c r="D545" s="198"/>
      <c r="E545" s="198"/>
      <c r="F545" s="198"/>
      <c r="G545" s="198"/>
      <c r="H545" s="198"/>
      <c r="I545" s="198"/>
      <c r="J545" s="198"/>
      <c r="K545" s="198"/>
      <c r="L545" s="198"/>
    </row>
    <row r="546">
      <c r="A546" s="198"/>
      <c r="B546" s="208" t="str">
        <f>vlookup(A546,Price!A:B,2,false)</f>
        <v>#N/A</v>
      </c>
      <c r="C546" s="198"/>
      <c r="D546" s="198"/>
      <c r="E546" s="198"/>
      <c r="F546" s="198"/>
      <c r="G546" s="198"/>
      <c r="H546" s="198"/>
      <c r="I546" s="198"/>
      <c r="J546" s="198"/>
      <c r="K546" s="198"/>
      <c r="L546" s="198"/>
    </row>
    <row r="547">
      <c r="A547" s="198"/>
      <c r="B547" s="208" t="str">
        <f>vlookup(A547,Price!A:B,2,false)</f>
        <v>#N/A</v>
      </c>
      <c r="C547" s="198"/>
      <c r="D547" s="198"/>
      <c r="E547" s="198"/>
      <c r="F547" s="198"/>
      <c r="G547" s="198"/>
      <c r="H547" s="198"/>
      <c r="I547" s="198"/>
      <c r="J547" s="198"/>
      <c r="K547" s="198"/>
      <c r="L547" s="198"/>
    </row>
    <row r="548">
      <c r="A548" s="198"/>
      <c r="B548" s="208" t="str">
        <f>vlookup(A548,Price!A:B,2,false)</f>
        <v>#N/A</v>
      </c>
      <c r="C548" s="198"/>
      <c r="D548" s="198"/>
      <c r="E548" s="198"/>
      <c r="F548" s="198"/>
      <c r="G548" s="198"/>
      <c r="H548" s="198"/>
      <c r="I548" s="198"/>
      <c r="J548" s="198"/>
      <c r="K548" s="198"/>
      <c r="L548" s="198"/>
    </row>
    <row r="549">
      <c r="A549" s="198"/>
      <c r="B549" s="208" t="str">
        <f>vlookup(A549,Price!A:B,2,false)</f>
        <v>#N/A</v>
      </c>
      <c r="C549" s="198"/>
      <c r="D549" s="198"/>
      <c r="E549" s="198"/>
      <c r="F549" s="198"/>
      <c r="G549" s="198"/>
      <c r="H549" s="198"/>
      <c r="I549" s="198"/>
      <c r="J549" s="198"/>
      <c r="K549" s="198"/>
      <c r="L549" s="198"/>
    </row>
    <row r="550">
      <c r="A550" s="198"/>
      <c r="B550" s="208" t="str">
        <f>vlookup(A550,Price!A:B,2,false)</f>
        <v>#N/A</v>
      </c>
      <c r="C550" s="198"/>
      <c r="D550" s="198"/>
      <c r="E550" s="198"/>
      <c r="F550" s="198"/>
      <c r="G550" s="198"/>
      <c r="H550" s="198"/>
      <c r="I550" s="198"/>
      <c r="J550" s="198"/>
      <c r="K550" s="198"/>
      <c r="L550" s="198"/>
    </row>
    <row r="551">
      <c r="A551" s="198"/>
      <c r="B551" s="208" t="str">
        <f>vlookup(A551,Price!A:B,2,false)</f>
        <v>#N/A</v>
      </c>
      <c r="C551" s="198"/>
      <c r="D551" s="198"/>
      <c r="E551" s="198"/>
      <c r="F551" s="198"/>
      <c r="G551" s="198"/>
      <c r="H551" s="198"/>
      <c r="I551" s="198"/>
      <c r="J551" s="198"/>
      <c r="K551" s="198"/>
      <c r="L551" s="198"/>
    </row>
    <row r="552">
      <c r="A552" s="198"/>
      <c r="B552" s="208" t="str">
        <f>vlookup(A552,Price!A:B,2,false)</f>
        <v>#N/A</v>
      </c>
      <c r="C552" s="198"/>
      <c r="D552" s="198"/>
      <c r="E552" s="198"/>
      <c r="F552" s="198"/>
      <c r="G552" s="198"/>
      <c r="H552" s="198"/>
      <c r="I552" s="198"/>
      <c r="J552" s="198"/>
      <c r="K552" s="198"/>
      <c r="L552" s="198"/>
    </row>
    <row r="553">
      <c r="A553" s="198"/>
      <c r="B553" s="208" t="str">
        <f>vlookup(A553,Price!A:B,2,false)</f>
        <v>#N/A</v>
      </c>
      <c r="C553" s="198"/>
      <c r="D553" s="198"/>
      <c r="E553" s="198"/>
      <c r="F553" s="198"/>
      <c r="G553" s="198"/>
      <c r="H553" s="198"/>
      <c r="I553" s="198"/>
      <c r="J553" s="198"/>
      <c r="K553" s="198"/>
      <c r="L553" s="198"/>
    </row>
    <row r="554">
      <c r="A554" s="198"/>
      <c r="B554" s="208" t="str">
        <f>vlookup(A554,Price!A:B,2,false)</f>
        <v>#N/A</v>
      </c>
      <c r="C554" s="198"/>
      <c r="D554" s="198"/>
      <c r="E554" s="198"/>
      <c r="F554" s="198"/>
      <c r="G554" s="198"/>
      <c r="H554" s="198"/>
      <c r="I554" s="198"/>
      <c r="J554" s="198"/>
      <c r="K554" s="198"/>
      <c r="L554" s="198"/>
    </row>
    <row r="555">
      <c r="A555" s="198"/>
      <c r="B555" s="208" t="str">
        <f>vlookup(A555,Price!A:B,2,false)</f>
        <v>#N/A</v>
      </c>
      <c r="C555" s="198"/>
      <c r="D555" s="198"/>
      <c r="E555" s="198"/>
      <c r="F555" s="198"/>
      <c r="G555" s="198"/>
      <c r="H555" s="198"/>
      <c r="I555" s="198"/>
      <c r="J555" s="198"/>
      <c r="K555" s="198"/>
      <c r="L555" s="198"/>
    </row>
    <row r="556">
      <c r="A556" s="198"/>
      <c r="B556" s="208" t="str">
        <f>vlookup(A556,Price!A:B,2,false)</f>
        <v>#N/A</v>
      </c>
      <c r="C556" s="198"/>
      <c r="D556" s="198"/>
      <c r="E556" s="198"/>
      <c r="F556" s="198"/>
      <c r="G556" s="198"/>
      <c r="H556" s="198"/>
      <c r="I556" s="198"/>
      <c r="J556" s="198"/>
      <c r="K556" s="198"/>
      <c r="L556" s="198"/>
    </row>
    <row r="557">
      <c r="A557" s="198"/>
      <c r="B557" s="208" t="str">
        <f>vlookup(A557,Price!A:B,2,false)</f>
        <v>#N/A</v>
      </c>
      <c r="C557" s="198"/>
      <c r="D557" s="198"/>
      <c r="E557" s="198"/>
      <c r="F557" s="198"/>
      <c r="G557" s="198"/>
      <c r="H557" s="198"/>
      <c r="I557" s="198"/>
      <c r="J557" s="198"/>
      <c r="K557" s="198"/>
      <c r="L557" s="198"/>
    </row>
    <row r="558">
      <c r="A558" s="198"/>
      <c r="B558" s="208" t="str">
        <f>vlookup(A558,Price!A:B,2,false)</f>
        <v>#N/A</v>
      </c>
      <c r="C558" s="198"/>
      <c r="D558" s="198"/>
      <c r="E558" s="198"/>
      <c r="F558" s="198"/>
      <c r="G558" s="198"/>
      <c r="H558" s="198"/>
      <c r="I558" s="198"/>
      <c r="J558" s="198"/>
      <c r="K558" s="198"/>
      <c r="L558" s="198"/>
    </row>
    <row r="559">
      <c r="A559" s="198"/>
      <c r="B559" s="208" t="str">
        <f>vlookup(A559,Price!A:B,2,false)</f>
        <v>#N/A</v>
      </c>
      <c r="C559" s="198"/>
      <c r="D559" s="198"/>
      <c r="E559" s="198"/>
      <c r="F559" s="198"/>
      <c r="G559" s="198"/>
      <c r="H559" s="198"/>
      <c r="I559" s="198"/>
      <c r="J559" s="198"/>
      <c r="K559" s="198"/>
      <c r="L559" s="198"/>
    </row>
    <row r="560">
      <c r="A560" s="198"/>
      <c r="B560" s="208" t="str">
        <f>vlookup(A560,Price!A:B,2,false)</f>
        <v>#N/A</v>
      </c>
      <c r="C560" s="198"/>
      <c r="D560" s="198"/>
      <c r="E560" s="198"/>
      <c r="F560" s="198"/>
      <c r="G560" s="198"/>
      <c r="H560" s="198"/>
      <c r="I560" s="198"/>
      <c r="J560" s="198"/>
      <c r="K560" s="198"/>
      <c r="L560" s="198"/>
    </row>
    <row r="561">
      <c r="A561" s="198"/>
      <c r="B561" s="208" t="str">
        <f>vlookup(A561,Price!A:B,2,false)</f>
        <v>#N/A</v>
      </c>
      <c r="C561" s="198"/>
      <c r="D561" s="198"/>
      <c r="E561" s="198"/>
      <c r="F561" s="198"/>
      <c r="G561" s="198"/>
      <c r="H561" s="198"/>
      <c r="I561" s="198"/>
      <c r="J561" s="198"/>
      <c r="K561" s="198"/>
      <c r="L561" s="198"/>
    </row>
    <row r="562">
      <c r="A562" s="198"/>
      <c r="B562" s="208" t="str">
        <f>vlookup(A562,Price!A:B,2,false)</f>
        <v>#N/A</v>
      </c>
      <c r="C562" s="198"/>
      <c r="D562" s="198"/>
      <c r="E562" s="198"/>
      <c r="F562" s="198"/>
      <c r="G562" s="198"/>
      <c r="H562" s="198"/>
      <c r="I562" s="198"/>
      <c r="J562" s="198"/>
      <c r="K562" s="198"/>
      <c r="L562" s="198"/>
    </row>
    <row r="563">
      <c r="A563" s="198"/>
      <c r="B563" s="208" t="str">
        <f>vlookup(A563,Price!A:B,2,false)</f>
        <v>#N/A</v>
      </c>
      <c r="C563" s="198"/>
      <c r="D563" s="198"/>
      <c r="E563" s="198"/>
      <c r="F563" s="198"/>
      <c r="G563" s="198"/>
      <c r="H563" s="198"/>
      <c r="I563" s="198"/>
      <c r="J563" s="198"/>
      <c r="K563" s="198"/>
      <c r="L563" s="198"/>
    </row>
    <row r="564">
      <c r="A564" s="198"/>
      <c r="B564" s="208" t="str">
        <f>vlookup(A564,Price!A:B,2,false)</f>
        <v>#N/A</v>
      </c>
      <c r="C564" s="198"/>
      <c r="D564" s="198"/>
      <c r="E564" s="198"/>
      <c r="F564" s="198"/>
      <c r="G564" s="198"/>
      <c r="H564" s="198"/>
      <c r="I564" s="198"/>
      <c r="J564" s="198"/>
      <c r="K564" s="198"/>
      <c r="L564" s="198"/>
    </row>
    <row r="565">
      <c r="A565" s="198"/>
      <c r="B565" s="208" t="str">
        <f>vlookup(A565,Price!A:B,2,false)</f>
        <v>#N/A</v>
      </c>
      <c r="C565" s="198"/>
      <c r="D565" s="198"/>
      <c r="E565" s="198"/>
      <c r="F565" s="198"/>
      <c r="G565" s="198"/>
      <c r="H565" s="198"/>
      <c r="I565" s="198"/>
      <c r="J565" s="198"/>
      <c r="K565" s="198"/>
      <c r="L565" s="198"/>
    </row>
    <row r="566">
      <c r="A566" s="198"/>
      <c r="B566" s="208" t="str">
        <f>vlookup(A566,Price!A:B,2,false)</f>
        <v>#N/A</v>
      </c>
      <c r="C566" s="198"/>
      <c r="D566" s="198"/>
      <c r="E566" s="198"/>
      <c r="F566" s="198"/>
      <c r="G566" s="198"/>
      <c r="H566" s="198"/>
      <c r="I566" s="198"/>
      <c r="J566" s="198"/>
      <c r="K566" s="198"/>
      <c r="L566" s="198"/>
    </row>
    <row r="567">
      <c r="A567" s="198"/>
      <c r="B567" s="208" t="str">
        <f>vlookup(A567,Price!A:B,2,false)</f>
        <v>#N/A</v>
      </c>
      <c r="C567" s="198"/>
      <c r="D567" s="198"/>
      <c r="E567" s="198"/>
      <c r="F567" s="198"/>
      <c r="G567" s="198"/>
      <c r="H567" s="198"/>
      <c r="I567" s="198"/>
      <c r="J567" s="198"/>
      <c r="K567" s="198"/>
      <c r="L567" s="198"/>
    </row>
    <row r="568">
      <c r="A568" s="198"/>
      <c r="B568" s="208" t="str">
        <f>vlookup(A568,Price!A:B,2,false)</f>
        <v>#N/A</v>
      </c>
      <c r="C568" s="198"/>
      <c r="D568" s="198"/>
      <c r="E568" s="198"/>
      <c r="F568" s="198"/>
      <c r="G568" s="198"/>
      <c r="H568" s="198"/>
      <c r="I568" s="198"/>
      <c r="J568" s="198"/>
      <c r="K568" s="198"/>
      <c r="L568" s="198"/>
    </row>
    <row r="569">
      <c r="A569" s="198"/>
      <c r="B569" s="208" t="str">
        <f>vlookup(A569,Price!A:B,2,false)</f>
        <v>#N/A</v>
      </c>
      <c r="C569" s="198"/>
      <c r="D569" s="198"/>
      <c r="E569" s="198"/>
      <c r="F569" s="198"/>
      <c r="G569" s="198"/>
      <c r="H569" s="198"/>
      <c r="I569" s="198"/>
      <c r="J569" s="198"/>
      <c r="K569" s="198"/>
      <c r="L569" s="198"/>
    </row>
    <row r="570">
      <c r="A570" s="198"/>
      <c r="B570" s="208" t="str">
        <f>vlookup(A570,Price!A:B,2,false)</f>
        <v>#N/A</v>
      </c>
      <c r="C570" s="198"/>
      <c r="D570" s="198"/>
      <c r="E570" s="198"/>
      <c r="F570" s="198"/>
      <c r="G570" s="198"/>
      <c r="H570" s="198"/>
      <c r="I570" s="198"/>
      <c r="J570" s="198"/>
      <c r="K570" s="198"/>
      <c r="L570" s="198"/>
    </row>
    <row r="571">
      <c r="A571" s="198"/>
      <c r="B571" s="208" t="str">
        <f>vlookup(A571,Price!A:B,2,false)</f>
        <v>#N/A</v>
      </c>
      <c r="C571" s="198"/>
      <c r="D571" s="198"/>
      <c r="E571" s="198"/>
      <c r="F571" s="198"/>
      <c r="G571" s="198"/>
      <c r="H571" s="198"/>
      <c r="I571" s="198"/>
      <c r="J571" s="198"/>
      <c r="K571" s="198"/>
      <c r="L571" s="198"/>
    </row>
    <row r="572">
      <c r="A572" s="198"/>
      <c r="B572" s="208" t="str">
        <f>vlookup(A572,Price!A:B,2,false)</f>
        <v>#N/A</v>
      </c>
      <c r="C572" s="198"/>
      <c r="D572" s="198"/>
      <c r="E572" s="198"/>
      <c r="F572" s="198"/>
      <c r="G572" s="198"/>
      <c r="H572" s="198"/>
      <c r="I572" s="198"/>
      <c r="J572" s="198"/>
      <c r="K572" s="198"/>
      <c r="L572" s="198"/>
    </row>
    <row r="573">
      <c r="A573" s="198"/>
      <c r="B573" s="208" t="str">
        <f>vlookup(A573,Price!A:B,2,false)</f>
        <v>#N/A</v>
      </c>
      <c r="C573" s="198"/>
      <c r="D573" s="198"/>
      <c r="E573" s="198"/>
      <c r="F573" s="198"/>
      <c r="G573" s="198"/>
      <c r="H573" s="198"/>
      <c r="I573" s="198"/>
      <c r="J573" s="198"/>
      <c r="K573" s="198"/>
      <c r="L573" s="198"/>
    </row>
    <row r="574">
      <c r="A574" s="198"/>
      <c r="B574" s="208" t="str">
        <f>vlookup(A574,Price!A:B,2,false)</f>
        <v>#N/A</v>
      </c>
      <c r="C574" s="198"/>
      <c r="D574" s="198"/>
      <c r="E574" s="198"/>
      <c r="F574" s="198"/>
      <c r="G574" s="198"/>
      <c r="H574" s="198"/>
      <c r="I574" s="198"/>
      <c r="J574" s="198"/>
      <c r="K574" s="198"/>
      <c r="L574" s="198"/>
    </row>
    <row r="575">
      <c r="A575" s="198"/>
      <c r="B575" s="208" t="str">
        <f>vlookup(A575,Price!A:B,2,false)</f>
        <v>#N/A</v>
      </c>
      <c r="C575" s="198"/>
      <c r="D575" s="198"/>
      <c r="E575" s="198"/>
      <c r="F575" s="198"/>
      <c r="G575" s="198"/>
      <c r="H575" s="198"/>
      <c r="I575" s="198"/>
      <c r="J575" s="198"/>
      <c r="K575" s="198"/>
      <c r="L575" s="198"/>
    </row>
    <row r="576">
      <c r="A576" s="198"/>
      <c r="B576" s="208" t="str">
        <f>vlookup(A576,Price!A:B,2,false)</f>
        <v>#N/A</v>
      </c>
      <c r="C576" s="198"/>
      <c r="D576" s="198"/>
      <c r="E576" s="198"/>
      <c r="F576" s="198"/>
      <c r="G576" s="198"/>
      <c r="H576" s="198"/>
      <c r="I576" s="198"/>
      <c r="J576" s="198"/>
      <c r="K576" s="198"/>
      <c r="L576" s="198"/>
    </row>
    <row r="577">
      <c r="A577" s="198"/>
      <c r="B577" s="208" t="str">
        <f>vlookup(A577,Price!A:B,2,false)</f>
        <v>#N/A</v>
      </c>
      <c r="C577" s="198"/>
      <c r="D577" s="198"/>
      <c r="E577" s="198"/>
      <c r="F577" s="198"/>
      <c r="G577" s="198"/>
      <c r="H577" s="198"/>
      <c r="I577" s="198"/>
      <c r="J577" s="198"/>
      <c r="K577" s="198"/>
      <c r="L577" s="198"/>
    </row>
    <row r="578">
      <c r="A578" s="198"/>
      <c r="B578" s="208" t="str">
        <f>vlookup(A578,Price!A:B,2,false)</f>
        <v>#N/A</v>
      </c>
      <c r="C578" s="198"/>
      <c r="D578" s="198"/>
      <c r="E578" s="198"/>
      <c r="F578" s="198"/>
      <c r="G578" s="198"/>
      <c r="H578" s="198"/>
      <c r="I578" s="198"/>
      <c r="J578" s="198"/>
      <c r="K578" s="198"/>
      <c r="L578" s="198"/>
    </row>
    <row r="579">
      <c r="A579" s="198"/>
      <c r="B579" s="208" t="str">
        <f>vlookup(A579,Price!A:B,2,false)</f>
        <v>#N/A</v>
      </c>
      <c r="C579" s="198"/>
      <c r="D579" s="198"/>
      <c r="E579" s="198"/>
      <c r="F579" s="198"/>
      <c r="G579" s="198"/>
      <c r="H579" s="198"/>
      <c r="I579" s="198"/>
      <c r="J579" s="198"/>
      <c r="K579" s="198"/>
      <c r="L579" s="198"/>
    </row>
    <row r="580">
      <c r="A580" s="198"/>
      <c r="B580" s="208" t="str">
        <f>vlookup(A580,Price!A:B,2,false)</f>
        <v>#N/A</v>
      </c>
      <c r="C580" s="198"/>
      <c r="D580" s="198"/>
      <c r="E580" s="198"/>
      <c r="F580" s="198"/>
      <c r="G580" s="198"/>
      <c r="H580" s="198"/>
      <c r="I580" s="198"/>
      <c r="J580" s="198"/>
      <c r="K580" s="198"/>
      <c r="L580" s="198"/>
    </row>
    <row r="581">
      <c r="A581" s="198"/>
      <c r="B581" s="208" t="str">
        <f>vlookup(A581,Price!A:B,2,false)</f>
        <v>#N/A</v>
      </c>
      <c r="C581" s="198"/>
      <c r="D581" s="198"/>
      <c r="E581" s="198"/>
      <c r="F581" s="198"/>
      <c r="G581" s="198"/>
      <c r="H581" s="198"/>
      <c r="I581" s="198"/>
      <c r="J581" s="198"/>
      <c r="K581" s="198"/>
      <c r="L581" s="198"/>
    </row>
    <row r="582">
      <c r="A582" s="198"/>
      <c r="B582" s="208" t="str">
        <f>vlookup(A582,Price!A:B,2,false)</f>
        <v>#N/A</v>
      </c>
      <c r="C582" s="198"/>
      <c r="D582" s="198"/>
      <c r="E582" s="198"/>
      <c r="F582" s="198"/>
      <c r="G582" s="198"/>
      <c r="H582" s="198"/>
      <c r="I582" s="198"/>
      <c r="J582" s="198"/>
      <c r="K582" s="198"/>
      <c r="L582" s="198"/>
    </row>
    <row r="583">
      <c r="A583" s="198"/>
      <c r="B583" s="208" t="str">
        <f>vlookup(A583,Price!A:B,2,false)</f>
        <v>#N/A</v>
      </c>
      <c r="C583" s="198"/>
      <c r="D583" s="198"/>
      <c r="E583" s="198"/>
      <c r="F583" s="198"/>
      <c r="G583" s="198"/>
      <c r="H583" s="198"/>
      <c r="I583" s="198"/>
      <c r="J583" s="198"/>
      <c r="K583" s="198"/>
      <c r="L583" s="198"/>
    </row>
    <row r="584">
      <c r="A584" s="198"/>
      <c r="B584" s="208" t="str">
        <f>vlookup(A584,Price!A:B,2,false)</f>
        <v>#N/A</v>
      </c>
      <c r="C584" s="198"/>
      <c r="D584" s="198"/>
      <c r="E584" s="198"/>
      <c r="F584" s="198"/>
      <c r="G584" s="198"/>
      <c r="H584" s="198"/>
      <c r="I584" s="198"/>
      <c r="J584" s="198"/>
      <c r="K584" s="198"/>
      <c r="L584" s="198"/>
    </row>
    <row r="585">
      <c r="A585" s="198"/>
      <c r="B585" s="208" t="str">
        <f>vlookup(A585,Price!A:B,2,false)</f>
        <v>#N/A</v>
      </c>
      <c r="C585" s="198"/>
      <c r="D585" s="198"/>
      <c r="E585" s="198"/>
      <c r="F585" s="198"/>
      <c r="G585" s="198"/>
      <c r="H585" s="198"/>
      <c r="I585" s="198"/>
      <c r="J585" s="198"/>
      <c r="K585" s="198"/>
      <c r="L585" s="198"/>
    </row>
    <row r="586">
      <c r="A586" s="198"/>
      <c r="B586" s="208" t="str">
        <f>vlookup(A586,Price!A:B,2,false)</f>
        <v>#N/A</v>
      </c>
      <c r="C586" s="198"/>
      <c r="D586" s="198"/>
      <c r="E586" s="198"/>
      <c r="F586" s="198"/>
      <c r="G586" s="198"/>
      <c r="H586" s="198"/>
      <c r="I586" s="198"/>
      <c r="J586" s="198"/>
      <c r="K586" s="198"/>
      <c r="L586" s="198"/>
    </row>
    <row r="587">
      <c r="A587" s="198"/>
      <c r="B587" s="208" t="str">
        <f>vlookup(A587,Price!A:B,2,false)</f>
        <v>#N/A</v>
      </c>
      <c r="C587" s="198"/>
      <c r="D587" s="198"/>
      <c r="E587" s="198"/>
      <c r="F587" s="198"/>
      <c r="G587" s="198"/>
      <c r="H587" s="198"/>
      <c r="I587" s="198"/>
      <c r="J587" s="198"/>
      <c r="K587" s="198"/>
      <c r="L587" s="198"/>
    </row>
    <row r="588">
      <c r="A588" s="198"/>
      <c r="B588" s="208" t="str">
        <f>vlookup(A588,Price!A:B,2,false)</f>
        <v>#N/A</v>
      </c>
      <c r="C588" s="198"/>
      <c r="D588" s="198"/>
      <c r="E588" s="198"/>
      <c r="F588" s="198"/>
      <c r="G588" s="198"/>
      <c r="H588" s="198"/>
      <c r="I588" s="198"/>
      <c r="J588" s="198"/>
      <c r="K588" s="198"/>
      <c r="L588" s="198"/>
    </row>
    <row r="589">
      <c r="A589" s="198"/>
      <c r="B589" s="208" t="str">
        <f>vlookup(A589,Price!A:B,2,false)</f>
        <v>#N/A</v>
      </c>
      <c r="C589" s="198"/>
      <c r="D589" s="198"/>
      <c r="E589" s="198"/>
      <c r="F589" s="198"/>
      <c r="G589" s="198"/>
      <c r="H589" s="198"/>
      <c r="I589" s="198"/>
      <c r="J589" s="198"/>
      <c r="K589" s="198"/>
      <c r="L589" s="198"/>
    </row>
    <row r="590">
      <c r="A590" s="198"/>
      <c r="B590" s="208" t="str">
        <f>vlookup(A590,Price!A:B,2,false)</f>
        <v>#N/A</v>
      </c>
      <c r="C590" s="198"/>
      <c r="D590" s="198"/>
      <c r="E590" s="198"/>
      <c r="F590" s="198"/>
      <c r="G590" s="198"/>
      <c r="H590" s="198"/>
      <c r="I590" s="198"/>
      <c r="J590" s="198"/>
      <c r="K590" s="198"/>
      <c r="L590" s="198"/>
    </row>
    <row r="591">
      <c r="A591" s="198"/>
      <c r="B591" s="208" t="str">
        <f>vlookup(A591,Price!A:B,2,false)</f>
        <v>#N/A</v>
      </c>
      <c r="C591" s="198"/>
      <c r="D591" s="198"/>
      <c r="E591" s="198"/>
      <c r="F591" s="198"/>
      <c r="G591" s="198"/>
      <c r="H591" s="198"/>
      <c r="I591" s="198"/>
      <c r="J591" s="198"/>
      <c r="K591" s="198"/>
      <c r="L591" s="198"/>
    </row>
    <row r="592">
      <c r="A592" s="198"/>
      <c r="B592" s="208" t="str">
        <f>vlookup(A592,Price!A:B,2,false)</f>
        <v>#N/A</v>
      </c>
      <c r="C592" s="198"/>
      <c r="D592" s="198"/>
      <c r="E592" s="198"/>
      <c r="F592" s="198"/>
      <c r="G592" s="198"/>
      <c r="H592" s="198"/>
      <c r="I592" s="198"/>
      <c r="J592" s="198"/>
      <c r="K592" s="198"/>
      <c r="L592" s="198"/>
    </row>
    <row r="593">
      <c r="A593" s="198"/>
      <c r="B593" s="208" t="str">
        <f>vlookup(A593,Price!A:B,2,false)</f>
        <v>#N/A</v>
      </c>
      <c r="C593" s="198"/>
      <c r="D593" s="198"/>
      <c r="E593" s="198"/>
      <c r="F593" s="198"/>
      <c r="G593" s="198"/>
      <c r="H593" s="198"/>
      <c r="I593" s="198"/>
      <c r="J593" s="198"/>
      <c r="K593" s="198"/>
      <c r="L593" s="198"/>
    </row>
    <row r="594">
      <c r="A594" s="198"/>
      <c r="B594" s="208" t="str">
        <f>vlookup(A594,Price!A:B,2,false)</f>
        <v>#N/A</v>
      </c>
      <c r="C594" s="198"/>
      <c r="D594" s="198"/>
      <c r="E594" s="198"/>
      <c r="F594" s="198"/>
      <c r="G594" s="198"/>
      <c r="H594" s="198"/>
      <c r="I594" s="198"/>
      <c r="J594" s="198"/>
      <c r="K594" s="198"/>
      <c r="L594" s="198"/>
    </row>
    <row r="595">
      <c r="A595" s="198"/>
      <c r="B595" s="208" t="str">
        <f>vlookup(A595,Price!A:B,2,false)</f>
        <v>#N/A</v>
      </c>
      <c r="C595" s="198"/>
      <c r="D595" s="198"/>
      <c r="E595" s="198"/>
      <c r="F595" s="198"/>
      <c r="G595" s="198"/>
      <c r="H595" s="198"/>
      <c r="I595" s="198"/>
      <c r="J595" s="198"/>
      <c r="K595" s="198"/>
      <c r="L595" s="198"/>
    </row>
    <row r="596">
      <c r="A596" s="198"/>
      <c r="B596" s="208" t="str">
        <f>vlookup(A596,Price!A:B,2,false)</f>
        <v>#N/A</v>
      </c>
      <c r="C596" s="198"/>
      <c r="D596" s="198"/>
      <c r="E596" s="198"/>
      <c r="F596" s="198"/>
      <c r="G596" s="198"/>
      <c r="H596" s="198"/>
      <c r="I596" s="198"/>
      <c r="J596" s="198"/>
      <c r="K596" s="198"/>
      <c r="L596" s="198"/>
    </row>
    <row r="597">
      <c r="A597" s="198"/>
      <c r="B597" s="208" t="str">
        <f>vlookup(A597,Price!A:B,2,false)</f>
        <v>#N/A</v>
      </c>
      <c r="C597" s="198"/>
      <c r="D597" s="198"/>
      <c r="E597" s="198"/>
      <c r="F597" s="198"/>
      <c r="G597" s="198"/>
      <c r="H597" s="198"/>
      <c r="I597" s="198"/>
      <c r="J597" s="198"/>
      <c r="K597" s="198"/>
      <c r="L597" s="198"/>
    </row>
    <row r="598">
      <c r="A598" s="198"/>
      <c r="B598" s="208" t="str">
        <f>vlookup(A598,Price!A:B,2,false)</f>
        <v>#N/A</v>
      </c>
      <c r="C598" s="198"/>
      <c r="D598" s="198"/>
      <c r="E598" s="198"/>
      <c r="F598" s="198"/>
      <c r="G598" s="198"/>
      <c r="H598" s="198"/>
      <c r="I598" s="198"/>
      <c r="J598" s="198"/>
      <c r="K598" s="198"/>
      <c r="L598" s="198"/>
    </row>
    <row r="599">
      <c r="A599" s="198"/>
      <c r="B599" s="208" t="str">
        <f>vlookup(A599,Price!A:B,2,false)</f>
        <v>#N/A</v>
      </c>
      <c r="C599" s="198"/>
      <c r="D599" s="198"/>
      <c r="E599" s="198"/>
      <c r="F599" s="198"/>
      <c r="G599" s="198"/>
      <c r="H599" s="198"/>
      <c r="I599" s="198"/>
      <c r="J599" s="198"/>
      <c r="K599" s="198"/>
      <c r="L599" s="198"/>
    </row>
    <row r="600">
      <c r="A600" s="198"/>
      <c r="B600" s="208" t="str">
        <f>vlookup(A600,Price!A:B,2,false)</f>
        <v>#N/A</v>
      </c>
      <c r="C600" s="198"/>
      <c r="D600" s="198"/>
      <c r="E600" s="198"/>
      <c r="F600" s="198"/>
      <c r="G600" s="198"/>
      <c r="H600" s="198"/>
      <c r="I600" s="198"/>
      <c r="J600" s="198"/>
      <c r="K600" s="198"/>
      <c r="L600" s="198"/>
    </row>
    <row r="601">
      <c r="A601" s="198"/>
      <c r="B601" s="208" t="str">
        <f>vlookup(A601,Price!A:B,2,false)</f>
        <v>#N/A</v>
      </c>
      <c r="C601" s="198"/>
      <c r="D601" s="198"/>
      <c r="E601" s="198"/>
      <c r="F601" s="198"/>
      <c r="G601" s="198"/>
      <c r="H601" s="198"/>
      <c r="I601" s="198"/>
      <c r="J601" s="198"/>
      <c r="K601" s="198"/>
      <c r="L601" s="198"/>
    </row>
    <row r="602">
      <c r="A602" s="198"/>
      <c r="B602" s="208" t="str">
        <f>vlookup(A602,Price!A:B,2,false)</f>
        <v>#N/A</v>
      </c>
      <c r="C602" s="198"/>
      <c r="D602" s="198"/>
      <c r="E602" s="198"/>
      <c r="F602" s="198"/>
      <c r="G602" s="198"/>
      <c r="H602" s="198"/>
      <c r="I602" s="198"/>
      <c r="J602" s="198"/>
      <c r="K602" s="198"/>
      <c r="L602" s="198"/>
    </row>
    <row r="603">
      <c r="A603" s="198"/>
      <c r="B603" s="208" t="str">
        <f>vlookup(A603,Price!A:B,2,false)</f>
        <v>#N/A</v>
      </c>
      <c r="C603" s="198"/>
      <c r="D603" s="198"/>
      <c r="E603" s="198"/>
      <c r="F603" s="198"/>
      <c r="G603" s="198"/>
      <c r="H603" s="198"/>
      <c r="I603" s="198"/>
      <c r="J603" s="198"/>
      <c r="K603" s="198"/>
      <c r="L603" s="198"/>
    </row>
    <row r="604">
      <c r="A604" s="198"/>
      <c r="B604" s="208" t="str">
        <f>vlookup(A604,Price!A:B,2,false)</f>
        <v>#N/A</v>
      </c>
      <c r="C604" s="198"/>
      <c r="D604" s="198"/>
      <c r="E604" s="198"/>
      <c r="F604" s="198"/>
      <c r="G604" s="198"/>
      <c r="H604" s="198"/>
      <c r="I604" s="198"/>
      <c r="J604" s="198"/>
      <c r="K604" s="198"/>
      <c r="L604" s="198"/>
    </row>
    <row r="605">
      <c r="A605" s="198"/>
      <c r="B605" s="208" t="str">
        <f>vlookup(A605,Price!A:B,2,false)</f>
        <v>#N/A</v>
      </c>
      <c r="C605" s="198"/>
      <c r="D605" s="198"/>
      <c r="E605" s="198"/>
      <c r="F605" s="198"/>
      <c r="G605" s="198"/>
      <c r="H605" s="198"/>
      <c r="I605" s="198"/>
      <c r="J605" s="198"/>
      <c r="K605" s="198"/>
      <c r="L605" s="198"/>
    </row>
    <row r="606">
      <c r="A606" s="198"/>
      <c r="B606" s="208" t="str">
        <f>vlookup(A606,Price!A:B,2,false)</f>
        <v>#N/A</v>
      </c>
      <c r="C606" s="198"/>
      <c r="D606" s="198"/>
      <c r="E606" s="198"/>
      <c r="F606" s="198"/>
      <c r="G606" s="198"/>
      <c r="H606" s="198"/>
      <c r="I606" s="198"/>
      <c r="J606" s="198"/>
      <c r="K606" s="198"/>
      <c r="L606" s="198"/>
    </row>
    <row r="607">
      <c r="A607" s="198"/>
      <c r="B607" s="208" t="str">
        <f>vlookup(A607,Price!A:B,2,false)</f>
        <v>#N/A</v>
      </c>
      <c r="C607" s="198"/>
      <c r="D607" s="198"/>
      <c r="E607" s="198"/>
      <c r="F607" s="198"/>
      <c r="G607" s="198"/>
      <c r="H607" s="198"/>
      <c r="I607" s="198"/>
      <c r="J607" s="198"/>
      <c r="K607" s="198"/>
      <c r="L607" s="198"/>
    </row>
    <row r="608">
      <c r="A608" s="198"/>
      <c r="B608" s="208" t="str">
        <f>vlookup(A608,Price!A:B,2,false)</f>
        <v>#N/A</v>
      </c>
      <c r="C608" s="198"/>
      <c r="D608" s="198"/>
      <c r="E608" s="198"/>
      <c r="F608" s="198"/>
      <c r="G608" s="198"/>
      <c r="H608" s="198"/>
      <c r="I608" s="198"/>
      <c r="J608" s="198"/>
      <c r="K608" s="198"/>
      <c r="L608" s="198"/>
    </row>
    <row r="609">
      <c r="A609" s="198"/>
      <c r="B609" s="208" t="str">
        <f>vlookup(A609,Price!A:B,2,false)</f>
        <v>#N/A</v>
      </c>
      <c r="C609" s="198"/>
      <c r="D609" s="198"/>
      <c r="E609" s="198"/>
      <c r="F609" s="198"/>
      <c r="G609" s="198"/>
      <c r="H609" s="198"/>
      <c r="I609" s="198"/>
      <c r="J609" s="198"/>
      <c r="K609" s="198"/>
      <c r="L609" s="198"/>
    </row>
    <row r="610">
      <c r="A610" s="198"/>
      <c r="B610" s="208" t="str">
        <f>vlookup(A610,Price!A:B,2,false)</f>
        <v>#N/A</v>
      </c>
      <c r="C610" s="198"/>
      <c r="D610" s="198"/>
      <c r="E610" s="198"/>
      <c r="F610" s="198"/>
      <c r="G610" s="198"/>
      <c r="H610" s="198"/>
      <c r="I610" s="198"/>
      <c r="J610" s="198"/>
      <c r="K610" s="198"/>
      <c r="L610" s="198"/>
    </row>
    <row r="611">
      <c r="A611" s="198"/>
      <c r="B611" s="208" t="str">
        <f>vlookup(A611,Price!A:B,2,false)</f>
        <v>#N/A</v>
      </c>
      <c r="C611" s="198"/>
      <c r="D611" s="198"/>
      <c r="E611" s="198"/>
      <c r="F611" s="198"/>
      <c r="G611" s="198"/>
      <c r="H611" s="198"/>
      <c r="I611" s="198"/>
      <c r="J611" s="198"/>
      <c r="K611" s="198"/>
      <c r="L611" s="198"/>
    </row>
    <row r="612">
      <c r="A612" s="198"/>
      <c r="B612" s="208" t="str">
        <f>vlookup(A612,Price!A:B,2,false)</f>
        <v>#N/A</v>
      </c>
      <c r="C612" s="198"/>
      <c r="D612" s="198"/>
      <c r="E612" s="198"/>
      <c r="F612" s="198"/>
      <c r="G612" s="198"/>
      <c r="H612" s="198"/>
      <c r="I612" s="198"/>
      <c r="J612" s="198"/>
      <c r="K612" s="198"/>
      <c r="L612" s="198"/>
    </row>
    <row r="613">
      <c r="A613" s="198"/>
      <c r="B613" s="208" t="str">
        <f>vlookup(A613,Price!A:B,2,false)</f>
        <v>#N/A</v>
      </c>
      <c r="C613" s="198"/>
      <c r="D613" s="198"/>
      <c r="E613" s="198"/>
      <c r="F613" s="198"/>
      <c r="G613" s="198"/>
      <c r="H613" s="198"/>
      <c r="I613" s="198"/>
      <c r="J613" s="198"/>
      <c r="K613" s="198"/>
      <c r="L613" s="198"/>
    </row>
    <row r="614">
      <c r="A614" s="198"/>
      <c r="B614" s="208" t="str">
        <f>vlookup(A614,Price!A:B,2,false)</f>
        <v>#N/A</v>
      </c>
      <c r="C614" s="198"/>
      <c r="D614" s="198"/>
      <c r="E614" s="198"/>
      <c r="F614" s="198"/>
      <c r="G614" s="198"/>
      <c r="H614" s="198"/>
      <c r="I614" s="198"/>
      <c r="J614" s="198"/>
      <c r="K614" s="198"/>
      <c r="L614" s="198"/>
    </row>
    <row r="615">
      <c r="A615" s="198"/>
      <c r="B615" s="208" t="str">
        <f>vlookup(A615,Price!A:B,2,false)</f>
        <v>#N/A</v>
      </c>
      <c r="C615" s="198"/>
      <c r="D615" s="198"/>
      <c r="E615" s="198"/>
      <c r="F615" s="198"/>
      <c r="G615" s="198"/>
      <c r="H615" s="198"/>
      <c r="I615" s="198"/>
      <c r="J615" s="198"/>
      <c r="K615" s="198"/>
      <c r="L615" s="198"/>
    </row>
    <row r="616">
      <c r="A616" s="198"/>
      <c r="B616" s="208" t="str">
        <f>vlookup(A616,Price!A:B,2,false)</f>
        <v>#N/A</v>
      </c>
      <c r="C616" s="198"/>
      <c r="D616" s="198"/>
      <c r="E616" s="198"/>
      <c r="F616" s="198"/>
      <c r="G616" s="198"/>
      <c r="H616" s="198"/>
      <c r="I616" s="198"/>
      <c r="J616" s="198"/>
      <c r="K616" s="198"/>
      <c r="L616" s="198"/>
    </row>
    <row r="617">
      <c r="A617" s="198"/>
      <c r="B617" s="208" t="str">
        <f>vlookup(A617,Price!A:B,2,false)</f>
        <v>#N/A</v>
      </c>
      <c r="C617" s="198"/>
      <c r="D617" s="198"/>
      <c r="E617" s="198"/>
      <c r="F617" s="198"/>
      <c r="G617" s="198"/>
      <c r="H617" s="198"/>
      <c r="I617" s="198"/>
      <c r="J617" s="198"/>
      <c r="K617" s="198"/>
      <c r="L617" s="198"/>
    </row>
    <row r="618">
      <c r="A618" s="198"/>
      <c r="B618" s="208" t="str">
        <f>vlookup(A618,Price!A:B,2,false)</f>
        <v>#N/A</v>
      </c>
      <c r="C618" s="198"/>
      <c r="D618" s="198"/>
      <c r="E618" s="198"/>
      <c r="F618" s="198"/>
      <c r="G618" s="198"/>
      <c r="H618" s="198"/>
      <c r="I618" s="198"/>
      <c r="J618" s="198"/>
      <c r="K618" s="198"/>
      <c r="L618" s="198"/>
    </row>
    <row r="619">
      <c r="A619" s="198"/>
      <c r="B619" s="208" t="str">
        <f>vlookup(A619,Price!A:B,2,false)</f>
        <v>#N/A</v>
      </c>
      <c r="C619" s="198"/>
      <c r="D619" s="198"/>
      <c r="E619" s="198"/>
      <c r="F619" s="198"/>
      <c r="G619" s="198"/>
      <c r="H619" s="198"/>
      <c r="I619" s="198"/>
      <c r="J619" s="198"/>
      <c r="K619" s="198"/>
      <c r="L619" s="198"/>
    </row>
    <row r="620">
      <c r="A620" s="198"/>
      <c r="B620" s="208" t="str">
        <f>vlookup(A620,Price!A:B,2,false)</f>
        <v>#N/A</v>
      </c>
      <c r="C620" s="198"/>
      <c r="D620" s="198"/>
      <c r="E620" s="198"/>
      <c r="F620" s="198"/>
      <c r="G620" s="198"/>
      <c r="H620" s="198"/>
      <c r="I620" s="198"/>
      <c r="J620" s="198"/>
      <c r="K620" s="198"/>
      <c r="L620" s="198"/>
    </row>
    <row r="621">
      <c r="A621" s="198"/>
      <c r="B621" s="208" t="str">
        <f>vlookup(A621,Price!A:B,2,false)</f>
        <v>#N/A</v>
      </c>
      <c r="C621" s="198"/>
      <c r="D621" s="198"/>
      <c r="E621" s="198"/>
      <c r="F621" s="198"/>
      <c r="G621" s="198"/>
      <c r="H621" s="198"/>
      <c r="I621" s="198"/>
      <c r="J621" s="198"/>
      <c r="K621" s="198"/>
      <c r="L621" s="198"/>
    </row>
    <row r="622">
      <c r="A622" s="198"/>
      <c r="B622" s="208" t="str">
        <f>vlookup(A622,Price!A:B,2,false)</f>
        <v>#N/A</v>
      </c>
      <c r="C622" s="198"/>
      <c r="D622" s="198"/>
      <c r="E622" s="198"/>
      <c r="F622" s="198"/>
      <c r="G622" s="198"/>
      <c r="H622" s="198"/>
      <c r="I622" s="198"/>
      <c r="J622" s="198"/>
      <c r="K622" s="198"/>
      <c r="L622" s="198"/>
    </row>
    <row r="623">
      <c r="A623" s="198"/>
      <c r="B623" s="208" t="str">
        <f>vlookup(A623,Price!A:B,2,false)</f>
        <v>#N/A</v>
      </c>
      <c r="C623" s="198"/>
      <c r="D623" s="198"/>
      <c r="E623" s="198"/>
      <c r="F623" s="198"/>
      <c r="G623" s="198"/>
      <c r="H623" s="198"/>
      <c r="I623" s="198"/>
      <c r="J623" s="198"/>
      <c r="K623" s="198"/>
      <c r="L623" s="198"/>
    </row>
    <row r="624">
      <c r="A624" s="198"/>
      <c r="B624" s="208" t="str">
        <f>vlookup(A624,Price!A:B,2,false)</f>
        <v>#N/A</v>
      </c>
      <c r="C624" s="198"/>
      <c r="D624" s="198"/>
      <c r="E624" s="198"/>
      <c r="F624" s="198"/>
      <c r="G624" s="198"/>
      <c r="H624" s="198"/>
      <c r="I624" s="198"/>
      <c r="J624" s="198"/>
      <c r="K624" s="198"/>
      <c r="L624" s="198"/>
    </row>
    <row r="625">
      <c r="A625" s="198"/>
      <c r="B625" s="208" t="str">
        <f>vlookup(A625,Price!A:B,2,false)</f>
        <v>#N/A</v>
      </c>
      <c r="C625" s="198"/>
      <c r="D625" s="198"/>
      <c r="E625" s="198"/>
      <c r="F625" s="198"/>
      <c r="G625" s="198"/>
      <c r="H625" s="198"/>
      <c r="I625" s="198"/>
      <c r="J625" s="198"/>
      <c r="K625" s="198"/>
      <c r="L625" s="198"/>
    </row>
    <row r="626">
      <c r="A626" s="198"/>
      <c r="B626" s="208" t="str">
        <f>vlookup(A626,Price!A:B,2,false)</f>
        <v>#N/A</v>
      </c>
      <c r="C626" s="198"/>
      <c r="D626" s="198"/>
      <c r="E626" s="198"/>
      <c r="F626" s="198"/>
      <c r="G626" s="198"/>
      <c r="H626" s="198"/>
      <c r="I626" s="198"/>
      <c r="J626" s="198"/>
      <c r="K626" s="198"/>
      <c r="L626" s="198"/>
    </row>
    <row r="627">
      <c r="A627" s="198"/>
      <c r="B627" s="208" t="str">
        <f>vlookup(A627,Price!A:B,2,false)</f>
        <v>#N/A</v>
      </c>
      <c r="C627" s="198"/>
      <c r="D627" s="198"/>
      <c r="E627" s="198"/>
      <c r="F627" s="198"/>
      <c r="G627" s="198"/>
      <c r="H627" s="198"/>
      <c r="I627" s="198"/>
      <c r="J627" s="198"/>
      <c r="K627" s="198"/>
      <c r="L627" s="198"/>
    </row>
    <row r="628">
      <c r="A628" s="198"/>
      <c r="B628" s="208" t="str">
        <f>vlookup(A628,Price!A:B,2,false)</f>
        <v>#N/A</v>
      </c>
      <c r="C628" s="198"/>
      <c r="D628" s="198"/>
      <c r="E628" s="198"/>
      <c r="F628" s="198"/>
      <c r="G628" s="198"/>
      <c r="H628" s="198"/>
      <c r="I628" s="198"/>
      <c r="J628" s="198"/>
      <c r="K628" s="198"/>
      <c r="L628" s="198"/>
    </row>
    <row r="629">
      <c r="A629" s="198"/>
      <c r="B629" s="208" t="str">
        <f>vlookup(A629,Price!A:B,2,false)</f>
        <v>#N/A</v>
      </c>
      <c r="C629" s="198"/>
      <c r="D629" s="198"/>
      <c r="E629" s="198"/>
      <c r="F629" s="198"/>
      <c r="G629" s="198"/>
      <c r="H629" s="198"/>
      <c r="I629" s="198"/>
      <c r="J629" s="198"/>
      <c r="K629" s="198"/>
      <c r="L629" s="198"/>
    </row>
    <row r="630">
      <c r="A630" s="198"/>
      <c r="B630" s="208" t="str">
        <f>vlookup(A630,Price!A:B,2,false)</f>
        <v>#N/A</v>
      </c>
      <c r="C630" s="198"/>
      <c r="D630" s="198"/>
      <c r="E630" s="198"/>
      <c r="F630" s="198"/>
      <c r="G630" s="198"/>
      <c r="H630" s="198"/>
      <c r="I630" s="198"/>
      <c r="J630" s="198"/>
      <c r="K630" s="198"/>
      <c r="L630" s="198"/>
    </row>
    <row r="631">
      <c r="A631" s="198"/>
      <c r="B631" s="208" t="str">
        <f>vlookup(A631,Price!A:B,2,false)</f>
        <v>#N/A</v>
      </c>
      <c r="C631" s="198"/>
      <c r="D631" s="198"/>
      <c r="E631" s="198"/>
      <c r="F631" s="198"/>
      <c r="G631" s="198"/>
      <c r="H631" s="198"/>
      <c r="I631" s="198"/>
      <c r="J631" s="198"/>
      <c r="K631" s="198"/>
      <c r="L631" s="198"/>
    </row>
    <row r="632">
      <c r="A632" s="198"/>
      <c r="B632" s="208" t="str">
        <f>vlookup(A632,Price!A:B,2,false)</f>
        <v>#N/A</v>
      </c>
      <c r="C632" s="198"/>
      <c r="D632" s="198"/>
      <c r="E632" s="198"/>
      <c r="F632" s="198"/>
      <c r="G632" s="198"/>
      <c r="H632" s="198"/>
      <c r="I632" s="198"/>
      <c r="J632" s="198"/>
      <c r="K632" s="198"/>
      <c r="L632" s="198"/>
    </row>
    <row r="633">
      <c r="A633" s="198"/>
      <c r="B633" s="208" t="str">
        <f>vlookup(A633,Price!A:B,2,false)</f>
        <v>#N/A</v>
      </c>
      <c r="C633" s="198"/>
      <c r="D633" s="198"/>
      <c r="E633" s="198"/>
      <c r="F633" s="198"/>
      <c r="G633" s="198"/>
      <c r="H633" s="198"/>
      <c r="I633" s="198"/>
      <c r="J633" s="198"/>
      <c r="K633" s="198"/>
      <c r="L633" s="198"/>
    </row>
    <row r="634">
      <c r="A634" s="198"/>
      <c r="B634" s="208" t="str">
        <f>vlookup(A634,Price!A:B,2,false)</f>
        <v>#N/A</v>
      </c>
      <c r="C634" s="198"/>
      <c r="D634" s="198"/>
      <c r="E634" s="198"/>
      <c r="F634" s="198"/>
      <c r="G634" s="198"/>
      <c r="H634" s="198"/>
      <c r="I634" s="198"/>
      <c r="J634" s="198"/>
      <c r="K634" s="198"/>
      <c r="L634" s="198"/>
    </row>
    <row r="635">
      <c r="A635" s="198"/>
      <c r="B635" s="208" t="str">
        <f>vlookup(A635,Price!A:B,2,false)</f>
        <v>#N/A</v>
      </c>
      <c r="C635" s="198"/>
      <c r="D635" s="198"/>
      <c r="E635" s="198"/>
      <c r="F635" s="198"/>
      <c r="G635" s="198"/>
      <c r="H635" s="198"/>
      <c r="I635" s="198"/>
      <c r="J635" s="198"/>
      <c r="K635" s="198"/>
      <c r="L635" s="198"/>
    </row>
    <row r="636">
      <c r="A636" s="198"/>
      <c r="B636" s="208" t="str">
        <f>vlookup(A636,Price!A:B,2,false)</f>
        <v>#N/A</v>
      </c>
      <c r="C636" s="198"/>
      <c r="D636" s="198"/>
      <c r="E636" s="198"/>
      <c r="F636" s="198"/>
      <c r="G636" s="198"/>
      <c r="H636" s="198"/>
      <c r="I636" s="198"/>
      <c r="J636" s="198"/>
      <c r="K636" s="198"/>
      <c r="L636" s="198"/>
    </row>
    <row r="637">
      <c r="A637" s="198"/>
      <c r="B637" s="208" t="str">
        <f>vlookup(A637,Price!A:B,2,false)</f>
        <v>#N/A</v>
      </c>
      <c r="C637" s="198"/>
      <c r="D637" s="198"/>
      <c r="E637" s="198"/>
      <c r="F637" s="198"/>
      <c r="G637" s="198"/>
      <c r="H637" s="198"/>
      <c r="I637" s="198"/>
      <c r="J637" s="198"/>
      <c r="K637" s="198"/>
      <c r="L637" s="198"/>
    </row>
    <row r="638">
      <c r="A638" s="198"/>
      <c r="B638" s="208" t="str">
        <f>vlookup(A638,Price!A:B,2,false)</f>
        <v>#N/A</v>
      </c>
      <c r="C638" s="198"/>
      <c r="D638" s="198"/>
      <c r="E638" s="198"/>
      <c r="F638" s="198"/>
      <c r="G638" s="198"/>
      <c r="H638" s="198"/>
      <c r="I638" s="198"/>
      <c r="J638" s="198"/>
      <c r="K638" s="198"/>
      <c r="L638" s="198"/>
    </row>
    <row r="639">
      <c r="A639" s="198"/>
      <c r="B639" s="208" t="str">
        <f>vlookup(A639,Price!A:B,2,false)</f>
        <v>#N/A</v>
      </c>
      <c r="C639" s="198"/>
      <c r="D639" s="198"/>
      <c r="E639" s="198"/>
      <c r="F639" s="198"/>
      <c r="G639" s="198"/>
      <c r="H639" s="198"/>
      <c r="I639" s="198"/>
      <c r="J639" s="198"/>
      <c r="K639" s="198"/>
      <c r="L639" s="198"/>
    </row>
    <row r="640">
      <c r="A640" s="198"/>
      <c r="B640" s="208" t="str">
        <f>vlookup(A640,Price!A:B,2,false)</f>
        <v>#N/A</v>
      </c>
      <c r="C640" s="198"/>
      <c r="D640" s="198"/>
      <c r="E640" s="198"/>
      <c r="F640" s="198"/>
      <c r="G640" s="198"/>
      <c r="H640" s="198"/>
      <c r="I640" s="198"/>
      <c r="J640" s="198"/>
      <c r="K640" s="198"/>
      <c r="L640" s="198"/>
    </row>
    <row r="641">
      <c r="A641" s="198"/>
      <c r="B641" s="208" t="str">
        <f>vlookup(A641,Price!A:B,2,false)</f>
        <v>#N/A</v>
      </c>
      <c r="C641" s="198"/>
      <c r="D641" s="198"/>
      <c r="E641" s="198"/>
      <c r="F641" s="198"/>
      <c r="G641" s="198"/>
      <c r="H641" s="198"/>
      <c r="I641" s="198"/>
      <c r="J641" s="198"/>
      <c r="K641" s="198"/>
      <c r="L641" s="198"/>
    </row>
    <row r="642">
      <c r="A642" s="198"/>
      <c r="B642" s="208" t="str">
        <f>vlookup(A642,Price!A:B,2,false)</f>
        <v>#N/A</v>
      </c>
      <c r="C642" s="198"/>
      <c r="D642" s="198"/>
      <c r="E642" s="198"/>
      <c r="F642" s="198"/>
      <c r="G642" s="198"/>
      <c r="H642" s="198"/>
      <c r="I642" s="198"/>
      <c r="J642" s="198"/>
      <c r="K642" s="198"/>
      <c r="L642" s="198"/>
    </row>
    <row r="643">
      <c r="A643" s="198"/>
      <c r="B643" s="208" t="str">
        <f>vlookup(A643,Price!A:B,2,false)</f>
        <v>#N/A</v>
      </c>
      <c r="C643" s="198"/>
      <c r="D643" s="198"/>
      <c r="E643" s="198"/>
      <c r="F643" s="198"/>
      <c r="G643" s="198"/>
      <c r="H643" s="198"/>
      <c r="I643" s="198"/>
      <c r="J643" s="198"/>
      <c r="K643" s="198"/>
      <c r="L643" s="198"/>
    </row>
    <row r="644">
      <c r="A644" s="198"/>
      <c r="B644" s="208" t="str">
        <f>vlookup(A644,Price!A:B,2,false)</f>
        <v>#N/A</v>
      </c>
      <c r="C644" s="198"/>
      <c r="D644" s="198"/>
      <c r="E644" s="198"/>
      <c r="F644" s="198"/>
      <c r="G644" s="198"/>
      <c r="H644" s="198"/>
      <c r="I644" s="198"/>
      <c r="J644" s="198"/>
      <c r="K644" s="198"/>
      <c r="L644" s="198"/>
    </row>
    <row r="645">
      <c r="A645" s="198"/>
      <c r="B645" s="208" t="str">
        <f>vlookup(A645,Price!A:B,2,false)</f>
        <v>#N/A</v>
      </c>
      <c r="C645" s="198"/>
      <c r="D645" s="198"/>
      <c r="E645" s="198"/>
      <c r="F645" s="198"/>
      <c r="G645" s="198"/>
      <c r="H645" s="198"/>
      <c r="I645" s="198"/>
      <c r="J645" s="198"/>
      <c r="K645" s="198"/>
      <c r="L645" s="198"/>
    </row>
    <row r="646">
      <c r="A646" s="198"/>
      <c r="B646" s="208" t="str">
        <f>vlookup(A646,Price!A:B,2,false)</f>
        <v>#N/A</v>
      </c>
      <c r="C646" s="198"/>
      <c r="D646" s="198"/>
      <c r="E646" s="198"/>
      <c r="F646" s="198"/>
      <c r="G646" s="198"/>
      <c r="H646" s="198"/>
      <c r="I646" s="198"/>
      <c r="J646" s="198"/>
      <c r="K646" s="198"/>
      <c r="L646" s="198"/>
    </row>
    <row r="647">
      <c r="A647" s="198"/>
      <c r="B647" s="208" t="str">
        <f>vlookup(A647,Price!A:B,2,false)</f>
        <v>#N/A</v>
      </c>
      <c r="C647" s="198"/>
      <c r="D647" s="198"/>
      <c r="E647" s="198"/>
      <c r="F647" s="198"/>
      <c r="G647" s="198"/>
      <c r="H647" s="198"/>
      <c r="I647" s="198"/>
      <c r="J647" s="198"/>
      <c r="K647" s="198"/>
      <c r="L647" s="198"/>
    </row>
    <row r="648">
      <c r="A648" s="198"/>
      <c r="B648" s="208" t="str">
        <f>vlookup(A648,Price!A:B,2,false)</f>
        <v>#N/A</v>
      </c>
      <c r="C648" s="198"/>
      <c r="D648" s="198"/>
      <c r="E648" s="198"/>
      <c r="F648" s="198"/>
      <c r="G648" s="198"/>
      <c r="H648" s="198"/>
      <c r="I648" s="198"/>
      <c r="J648" s="198"/>
      <c r="K648" s="198"/>
      <c r="L648" s="198"/>
    </row>
    <row r="649">
      <c r="A649" s="198"/>
      <c r="B649" s="208" t="str">
        <f>vlookup(A649,Price!A:B,2,false)</f>
        <v>#N/A</v>
      </c>
      <c r="C649" s="198"/>
      <c r="D649" s="198"/>
      <c r="E649" s="198"/>
      <c r="F649" s="198"/>
      <c r="G649" s="198"/>
      <c r="H649" s="198"/>
      <c r="I649" s="198"/>
      <c r="J649" s="198"/>
      <c r="K649" s="198"/>
      <c r="L649" s="198"/>
    </row>
    <row r="650">
      <c r="A650" s="198"/>
      <c r="B650" s="208" t="str">
        <f>vlookup(A650,Price!A:B,2,false)</f>
        <v>#N/A</v>
      </c>
      <c r="C650" s="198"/>
      <c r="D650" s="198"/>
      <c r="E650" s="198"/>
      <c r="F650" s="198"/>
      <c r="G650" s="198"/>
      <c r="H650" s="198"/>
      <c r="I650" s="198"/>
      <c r="J650" s="198"/>
      <c r="K650" s="198"/>
      <c r="L650" s="198"/>
    </row>
    <row r="651">
      <c r="A651" s="198"/>
      <c r="B651" s="208" t="str">
        <f>vlookup(A651,Price!A:B,2,false)</f>
        <v>#N/A</v>
      </c>
      <c r="C651" s="198"/>
      <c r="D651" s="198"/>
      <c r="E651" s="198"/>
      <c r="F651" s="198"/>
      <c r="G651" s="198"/>
      <c r="H651" s="198"/>
      <c r="I651" s="198"/>
      <c r="J651" s="198"/>
      <c r="K651" s="198"/>
      <c r="L651" s="198"/>
    </row>
    <row r="652">
      <c r="A652" s="198"/>
      <c r="B652" s="208" t="str">
        <f>vlookup(A652,Price!A:B,2,false)</f>
        <v>#N/A</v>
      </c>
      <c r="C652" s="198"/>
      <c r="D652" s="198"/>
      <c r="E652" s="198"/>
      <c r="F652" s="198"/>
      <c r="G652" s="198"/>
      <c r="H652" s="198"/>
      <c r="I652" s="198"/>
      <c r="J652" s="198"/>
      <c r="K652" s="198"/>
      <c r="L652" s="198"/>
    </row>
    <row r="653">
      <c r="A653" s="198"/>
      <c r="B653" s="208" t="str">
        <f>vlookup(A653,Price!A:B,2,false)</f>
        <v>#N/A</v>
      </c>
      <c r="C653" s="198"/>
      <c r="D653" s="198"/>
      <c r="E653" s="198"/>
      <c r="F653" s="198"/>
      <c r="G653" s="198"/>
      <c r="H653" s="198"/>
      <c r="I653" s="198"/>
      <c r="J653" s="198"/>
      <c r="K653" s="198"/>
      <c r="L653" s="198"/>
    </row>
    <row r="654">
      <c r="A654" s="198"/>
      <c r="B654" s="208" t="str">
        <f>vlookup(A654,Price!A:B,2,false)</f>
        <v>#N/A</v>
      </c>
      <c r="C654" s="198"/>
      <c r="D654" s="198"/>
      <c r="E654" s="198"/>
      <c r="F654" s="198"/>
      <c r="G654" s="198"/>
      <c r="H654" s="198"/>
      <c r="I654" s="198"/>
      <c r="J654" s="198"/>
      <c r="K654" s="198"/>
      <c r="L654" s="198"/>
    </row>
    <row r="655">
      <c r="A655" s="198"/>
      <c r="B655" s="208" t="str">
        <f>vlookup(A655,Price!A:B,2,false)</f>
        <v>#N/A</v>
      </c>
      <c r="C655" s="198"/>
      <c r="D655" s="198"/>
      <c r="E655" s="198"/>
      <c r="F655" s="198"/>
      <c r="G655" s="198"/>
      <c r="H655" s="198"/>
      <c r="I655" s="198"/>
      <c r="J655" s="198"/>
      <c r="K655" s="198"/>
      <c r="L655" s="198"/>
    </row>
    <row r="656">
      <c r="A656" s="198"/>
      <c r="B656" s="208" t="str">
        <f>vlookup(A656,Price!A:B,2,false)</f>
        <v>#N/A</v>
      </c>
      <c r="C656" s="198"/>
      <c r="D656" s="198"/>
      <c r="E656" s="198"/>
      <c r="F656" s="198"/>
      <c r="G656" s="198"/>
      <c r="H656" s="198"/>
      <c r="I656" s="198"/>
      <c r="J656" s="198"/>
      <c r="K656" s="198"/>
      <c r="L656" s="198"/>
    </row>
    <row r="657">
      <c r="A657" s="198"/>
      <c r="B657" s="208" t="str">
        <f>vlookup(A657,Price!A:B,2,false)</f>
        <v>#N/A</v>
      </c>
      <c r="C657" s="198"/>
      <c r="D657" s="198"/>
      <c r="E657" s="198"/>
      <c r="F657" s="198"/>
      <c r="G657" s="198"/>
      <c r="H657" s="198"/>
      <c r="I657" s="198"/>
      <c r="J657" s="198"/>
      <c r="K657" s="198"/>
      <c r="L657" s="198"/>
    </row>
    <row r="658">
      <c r="A658" s="198"/>
      <c r="B658" s="208" t="str">
        <f>vlookup(A658,Price!A:B,2,false)</f>
        <v>#N/A</v>
      </c>
      <c r="C658" s="198"/>
      <c r="D658" s="198"/>
      <c r="E658" s="198"/>
      <c r="F658" s="198"/>
      <c r="G658" s="198"/>
      <c r="H658" s="198"/>
      <c r="I658" s="198"/>
      <c r="J658" s="198"/>
      <c r="K658" s="198"/>
      <c r="L658" s="198"/>
    </row>
    <row r="659">
      <c r="A659" s="198"/>
      <c r="B659" s="208" t="str">
        <f>vlookup(A659,Price!A:B,2,false)</f>
        <v>#N/A</v>
      </c>
      <c r="C659" s="198"/>
      <c r="D659" s="198"/>
      <c r="E659" s="198"/>
      <c r="F659" s="198"/>
      <c r="G659" s="198"/>
      <c r="H659" s="198"/>
      <c r="I659" s="198"/>
      <c r="J659" s="198"/>
      <c r="K659" s="198"/>
      <c r="L659" s="198"/>
    </row>
    <row r="660">
      <c r="A660" s="198"/>
      <c r="B660" s="208" t="str">
        <f>vlookup(A660,Price!A:B,2,false)</f>
        <v>#N/A</v>
      </c>
      <c r="C660" s="198"/>
      <c r="D660" s="198"/>
      <c r="E660" s="198"/>
      <c r="F660" s="198"/>
      <c r="G660" s="198"/>
      <c r="H660" s="198"/>
      <c r="I660" s="198"/>
      <c r="J660" s="198"/>
      <c r="K660" s="198"/>
      <c r="L660" s="198"/>
    </row>
    <row r="661">
      <c r="A661" s="198"/>
      <c r="B661" s="208" t="str">
        <f>vlookup(A661,Price!A:B,2,false)</f>
        <v>#N/A</v>
      </c>
      <c r="C661" s="198"/>
      <c r="D661" s="198"/>
      <c r="E661" s="198"/>
      <c r="F661" s="198"/>
      <c r="G661" s="198"/>
      <c r="H661" s="198"/>
      <c r="I661" s="198"/>
      <c r="J661" s="198"/>
      <c r="K661" s="198"/>
      <c r="L661" s="198"/>
    </row>
    <row r="662">
      <c r="A662" s="198"/>
      <c r="B662" s="208" t="str">
        <f>vlookup(A662,Price!A:B,2,false)</f>
        <v>#N/A</v>
      </c>
      <c r="C662" s="198"/>
      <c r="D662" s="198"/>
      <c r="E662" s="198"/>
      <c r="F662" s="198"/>
      <c r="G662" s="198"/>
      <c r="H662" s="198"/>
      <c r="I662" s="198"/>
      <c r="J662" s="198"/>
      <c r="K662" s="198"/>
      <c r="L662" s="198"/>
    </row>
    <row r="663">
      <c r="A663" s="198"/>
      <c r="B663" s="208" t="str">
        <f>vlookup(A663,Price!A:B,2,false)</f>
        <v>#N/A</v>
      </c>
      <c r="C663" s="198"/>
      <c r="D663" s="198"/>
      <c r="E663" s="198"/>
      <c r="F663" s="198"/>
      <c r="G663" s="198"/>
      <c r="H663" s="198"/>
      <c r="I663" s="198"/>
      <c r="J663" s="198"/>
      <c r="K663" s="198"/>
      <c r="L663" s="198"/>
    </row>
    <row r="664">
      <c r="A664" s="198"/>
      <c r="B664" s="208" t="str">
        <f>vlookup(A664,Price!A:B,2,false)</f>
        <v>#N/A</v>
      </c>
      <c r="C664" s="198"/>
      <c r="D664" s="198"/>
      <c r="E664" s="198"/>
      <c r="F664" s="198"/>
      <c r="G664" s="198"/>
      <c r="H664" s="198"/>
      <c r="I664" s="198"/>
      <c r="J664" s="198"/>
      <c r="K664" s="198"/>
      <c r="L664" s="198"/>
    </row>
    <row r="665">
      <c r="A665" s="198"/>
      <c r="B665" s="208" t="str">
        <f>vlookup(A665,Price!A:B,2,false)</f>
        <v>#N/A</v>
      </c>
      <c r="C665" s="198"/>
      <c r="D665" s="198"/>
      <c r="E665" s="198"/>
      <c r="F665" s="198"/>
      <c r="G665" s="198"/>
      <c r="H665" s="198"/>
      <c r="I665" s="198"/>
      <c r="J665" s="198"/>
      <c r="K665" s="198"/>
      <c r="L665" s="198"/>
    </row>
    <row r="666">
      <c r="A666" s="198"/>
      <c r="B666" s="208" t="str">
        <f>vlookup(A666,Price!A:B,2,false)</f>
        <v>#N/A</v>
      </c>
      <c r="C666" s="198"/>
      <c r="D666" s="198"/>
      <c r="E666" s="198"/>
      <c r="F666" s="198"/>
      <c r="G666" s="198"/>
      <c r="H666" s="198"/>
      <c r="I666" s="198"/>
      <c r="J666" s="198"/>
      <c r="K666" s="198"/>
      <c r="L666" s="198"/>
    </row>
    <row r="667">
      <c r="A667" s="198"/>
      <c r="B667" s="208" t="str">
        <f>vlookup(A667,Price!A:B,2,false)</f>
        <v>#N/A</v>
      </c>
      <c r="C667" s="198"/>
      <c r="D667" s="198"/>
      <c r="E667" s="198"/>
      <c r="F667" s="198"/>
      <c r="G667" s="198"/>
      <c r="H667" s="198"/>
      <c r="I667" s="198"/>
      <c r="J667" s="198"/>
      <c r="K667" s="198"/>
      <c r="L667" s="198"/>
    </row>
    <row r="668">
      <c r="A668" s="198"/>
      <c r="B668" s="208" t="str">
        <f>vlookup(A668,Price!A:B,2,false)</f>
        <v>#N/A</v>
      </c>
      <c r="C668" s="198"/>
      <c r="D668" s="198"/>
      <c r="E668" s="198"/>
      <c r="F668" s="198"/>
      <c r="G668" s="198"/>
      <c r="H668" s="198"/>
      <c r="I668" s="198"/>
      <c r="J668" s="198"/>
      <c r="K668" s="198"/>
      <c r="L668" s="198"/>
    </row>
    <row r="669">
      <c r="A669" s="198"/>
      <c r="B669" s="208" t="str">
        <f>vlookup(A669,Price!A:B,2,false)</f>
        <v>#N/A</v>
      </c>
      <c r="C669" s="198"/>
      <c r="D669" s="198"/>
      <c r="E669" s="198"/>
      <c r="F669" s="198"/>
      <c r="G669" s="198"/>
      <c r="H669" s="198"/>
      <c r="I669" s="198"/>
      <c r="J669" s="198"/>
      <c r="K669" s="198"/>
      <c r="L669" s="198"/>
    </row>
    <row r="670">
      <c r="A670" s="198"/>
      <c r="B670" s="208" t="str">
        <f>vlookup(A670,Price!A:B,2,false)</f>
        <v>#N/A</v>
      </c>
      <c r="C670" s="198"/>
      <c r="D670" s="198"/>
      <c r="E670" s="198"/>
      <c r="F670" s="198"/>
      <c r="G670" s="198"/>
      <c r="H670" s="198"/>
      <c r="I670" s="198"/>
      <c r="J670" s="198"/>
      <c r="K670" s="198"/>
      <c r="L670" s="198"/>
    </row>
    <row r="671">
      <c r="A671" s="198"/>
      <c r="B671" s="208" t="str">
        <f>vlookup(A671,Price!A:B,2,false)</f>
        <v>#N/A</v>
      </c>
      <c r="C671" s="198"/>
      <c r="D671" s="198"/>
      <c r="E671" s="198"/>
      <c r="F671" s="198"/>
      <c r="G671" s="198"/>
      <c r="H671" s="198"/>
      <c r="I671" s="198"/>
      <c r="J671" s="198"/>
      <c r="K671" s="198"/>
      <c r="L671" s="198"/>
    </row>
    <row r="672">
      <c r="A672" s="198"/>
      <c r="B672" s="208" t="str">
        <f>vlookup(A672,Price!A:B,2,false)</f>
        <v>#N/A</v>
      </c>
      <c r="C672" s="198"/>
      <c r="D672" s="198"/>
      <c r="E672" s="198"/>
      <c r="F672" s="198"/>
      <c r="G672" s="198"/>
      <c r="H672" s="198"/>
      <c r="I672" s="198"/>
      <c r="J672" s="198"/>
      <c r="K672" s="198"/>
      <c r="L672" s="198"/>
    </row>
    <row r="673">
      <c r="A673" s="198"/>
      <c r="B673" s="208" t="str">
        <f>vlookup(A673,Price!A:B,2,false)</f>
        <v>#N/A</v>
      </c>
      <c r="C673" s="198"/>
      <c r="D673" s="198"/>
      <c r="E673" s="198"/>
      <c r="F673" s="198"/>
      <c r="G673" s="198"/>
      <c r="H673" s="198"/>
      <c r="I673" s="198"/>
      <c r="J673" s="198"/>
      <c r="K673" s="198"/>
      <c r="L673" s="198"/>
    </row>
    <row r="674">
      <c r="A674" s="198"/>
      <c r="B674" s="208" t="str">
        <f>vlookup(A674,Price!A:B,2,false)</f>
        <v>#N/A</v>
      </c>
      <c r="C674" s="198"/>
      <c r="D674" s="198"/>
      <c r="E674" s="198"/>
      <c r="F674" s="198"/>
      <c r="G674" s="198"/>
      <c r="H674" s="198"/>
      <c r="I674" s="198"/>
      <c r="J674" s="198"/>
      <c r="K674" s="198"/>
      <c r="L674" s="198"/>
    </row>
    <row r="675">
      <c r="A675" s="198"/>
      <c r="B675" s="208" t="str">
        <f>vlookup(A675,Price!A:B,2,false)</f>
        <v>#N/A</v>
      </c>
      <c r="C675" s="198"/>
      <c r="D675" s="198"/>
      <c r="E675" s="198"/>
      <c r="F675" s="198"/>
      <c r="G675" s="198"/>
      <c r="H675" s="198"/>
      <c r="I675" s="198"/>
      <c r="J675" s="198"/>
      <c r="K675" s="198"/>
      <c r="L675" s="198"/>
    </row>
    <row r="676">
      <c r="A676" s="198"/>
      <c r="B676" s="208" t="str">
        <f>vlookup(A676,Price!A:B,2,false)</f>
        <v>#N/A</v>
      </c>
      <c r="C676" s="198"/>
      <c r="D676" s="198"/>
      <c r="E676" s="198"/>
      <c r="F676" s="198"/>
      <c r="G676" s="198"/>
      <c r="H676" s="198"/>
      <c r="I676" s="198"/>
      <c r="J676" s="198"/>
      <c r="K676" s="198"/>
      <c r="L676" s="198"/>
    </row>
    <row r="677">
      <c r="A677" s="198"/>
      <c r="B677" s="208" t="str">
        <f>vlookup(A677,Price!A:B,2,false)</f>
        <v>#N/A</v>
      </c>
      <c r="C677" s="198"/>
      <c r="D677" s="198"/>
      <c r="E677" s="198"/>
      <c r="F677" s="198"/>
      <c r="G677" s="198"/>
      <c r="H677" s="198"/>
      <c r="I677" s="198"/>
      <c r="J677" s="198"/>
      <c r="K677" s="198"/>
      <c r="L677" s="198"/>
    </row>
    <row r="678">
      <c r="A678" s="198"/>
      <c r="B678" s="208" t="str">
        <f>vlookup(A678,Price!A:B,2,false)</f>
        <v>#N/A</v>
      </c>
      <c r="C678" s="198"/>
      <c r="D678" s="198"/>
      <c r="E678" s="198"/>
      <c r="F678" s="198"/>
      <c r="G678" s="198"/>
      <c r="H678" s="198"/>
      <c r="I678" s="198"/>
      <c r="J678" s="198"/>
      <c r="K678" s="198"/>
      <c r="L678" s="198"/>
    </row>
    <row r="679">
      <c r="A679" s="198"/>
      <c r="B679" s="208" t="str">
        <f>vlookup(A679,Price!A:B,2,false)</f>
        <v>#N/A</v>
      </c>
      <c r="C679" s="198"/>
      <c r="D679" s="198"/>
      <c r="E679" s="198"/>
      <c r="F679" s="198"/>
      <c r="G679" s="198"/>
      <c r="H679" s="198"/>
      <c r="I679" s="198"/>
      <c r="J679" s="198"/>
      <c r="K679" s="198"/>
      <c r="L679" s="198"/>
    </row>
    <row r="680">
      <c r="A680" s="198"/>
      <c r="B680" s="208" t="str">
        <f>vlookup(A680,Price!A:B,2,false)</f>
        <v>#N/A</v>
      </c>
      <c r="C680" s="198"/>
      <c r="D680" s="198"/>
      <c r="E680" s="198"/>
      <c r="F680" s="198"/>
      <c r="G680" s="198"/>
      <c r="H680" s="198"/>
      <c r="I680" s="198"/>
      <c r="J680" s="198"/>
      <c r="K680" s="198"/>
      <c r="L680" s="198"/>
    </row>
    <row r="681">
      <c r="A681" s="198"/>
      <c r="B681" s="208" t="str">
        <f>vlookup(A681,Price!A:B,2,false)</f>
        <v>#N/A</v>
      </c>
      <c r="C681" s="198"/>
      <c r="D681" s="198"/>
      <c r="E681" s="198"/>
      <c r="F681" s="198"/>
      <c r="G681" s="198"/>
      <c r="H681" s="198"/>
      <c r="I681" s="198"/>
      <c r="J681" s="198"/>
      <c r="K681" s="198"/>
      <c r="L681" s="198"/>
    </row>
    <row r="682">
      <c r="A682" s="198"/>
      <c r="B682" s="208" t="str">
        <f>vlookup(A682,Price!A:B,2,false)</f>
        <v>#N/A</v>
      </c>
      <c r="C682" s="198"/>
      <c r="D682" s="198"/>
      <c r="E682" s="198"/>
      <c r="F682" s="198"/>
      <c r="G682" s="198"/>
      <c r="H682" s="198"/>
      <c r="I682" s="198"/>
      <c r="J682" s="198"/>
      <c r="K682" s="198"/>
      <c r="L682" s="198"/>
    </row>
    <row r="683">
      <c r="A683" s="198"/>
      <c r="B683" s="208" t="str">
        <f>vlookup(A683,Price!A:B,2,false)</f>
        <v>#N/A</v>
      </c>
      <c r="C683" s="198"/>
      <c r="D683" s="198"/>
      <c r="E683" s="198"/>
      <c r="F683" s="198"/>
      <c r="G683" s="198"/>
      <c r="H683" s="198"/>
      <c r="I683" s="198"/>
      <c r="J683" s="198"/>
      <c r="K683" s="198"/>
      <c r="L683" s="198"/>
    </row>
    <row r="684">
      <c r="A684" s="198"/>
      <c r="B684" s="208" t="str">
        <f>vlookup(A684,Price!A:B,2,false)</f>
        <v>#N/A</v>
      </c>
      <c r="C684" s="198"/>
      <c r="D684" s="198"/>
      <c r="E684" s="198"/>
      <c r="F684" s="198"/>
      <c r="G684" s="198"/>
      <c r="H684" s="198"/>
      <c r="I684" s="198"/>
      <c r="J684" s="198"/>
      <c r="K684" s="198"/>
      <c r="L684" s="198"/>
    </row>
    <row r="685">
      <c r="A685" s="198"/>
      <c r="B685" s="208" t="str">
        <f>vlookup(A685,Price!A:B,2,false)</f>
        <v>#N/A</v>
      </c>
      <c r="C685" s="198"/>
      <c r="D685" s="198"/>
      <c r="E685" s="198"/>
      <c r="F685" s="198"/>
      <c r="G685" s="198"/>
      <c r="H685" s="198"/>
      <c r="I685" s="198"/>
      <c r="J685" s="198"/>
      <c r="K685" s="198"/>
      <c r="L685" s="198"/>
    </row>
    <row r="686">
      <c r="A686" s="198"/>
      <c r="B686" s="208" t="str">
        <f>vlookup(A686,Price!A:B,2,false)</f>
        <v>#N/A</v>
      </c>
      <c r="C686" s="198"/>
      <c r="D686" s="198"/>
      <c r="E686" s="198"/>
      <c r="F686" s="198"/>
      <c r="G686" s="198"/>
      <c r="H686" s="198"/>
      <c r="I686" s="198"/>
      <c r="J686" s="198"/>
      <c r="K686" s="198"/>
      <c r="L686" s="198"/>
    </row>
    <row r="687">
      <c r="A687" s="198"/>
      <c r="B687" s="208" t="str">
        <f>vlookup(A687,Price!A:B,2,false)</f>
        <v>#N/A</v>
      </c>
      <c r="C687" s="198"/>
      <c r="D687" s="198"/>
      <c r="E687" s="198"/>
      <c r="F687" s="198"/>
      <c r="G687" s="198"/>
      <c r="H687" s="198"/>
      <c r="I687" s="198"/>
      <c r="J687" s="198"/>
      <c r="K687" s="198"/>
      <c r="L687" s="198"/>
    </row>
    <row r="688">
      <c r="A688" s="198"/>
      <c r="B688" s="208" t="str">
        <f>vlookup(A688,Price!A:B,2,false)</f>
        <v>#N/A</v>
      </c>
      <c r="C688" s="198"/>
      <c r="D688" s="198"/>
      <c r="E688" s="198"/>
      <c r="F688" s="198"/>
      <c r="G688" s="198"/>
      <c r="H688" s="198"/>
      <c r="I688" s="198"/>
      <c r="J688" s="198"/>
      <c r="K688" s="198"/>
      <c r="L688" s="198"/>
    </row>
    <row r="689">
      <c r="A689" s="198"/>
      <c r="B689" s="208" t="str">
        <f>vlookup(A689,Price!A:B,2,false)</f>
        <v>#N/A</v>
      </c>
      <c r="C689" s="198"/>
      <c r="D689" s="198"/>
      <c r="E689" s="198"/>
      <c r="F689" s="198"/>
      <c r="G689" s="198"/>
      <c r="H689" s="198"/>
      <c r="I689" s="198"/>
      <c r="J689" s="198"/>
      <c r="K689" s="198"/>
      <c r="L689" s="198"/>
    </row>
    <row r="690">
      <c r="A690" s="198"/>
      <c r="B690" s="208" t="str">
        <f>vlookup(A690,Price!A:B,2,false)</f>
        <v>#N/A</v>
      </c>
      <c r="C690" s="198"/>
      <c r="D690" s="198"/>
      <c r="E690" s="198"/>
      <c r="F690" s="198"/>
      <c r="G690" s="198"/>
      <c r="H690" s="198"/>
      <c r="I690" s="198"/>
      <c r="J690" s="198"/>
      <c r="K690" s="198"/>
      <c r="L690" s="198"/>
    </row>
    <row r="691">
      <c r="A691" s="198"/>
      <c r="B691" s="208" t="str">
        <f>vlookup(A691,Price!A:B,2,false)</f>
        <v>#N/A</v>
      </c>
      <c r="C691" s="198"/>
      <c r="D691" s="198"/>
      <c r="E691" s="198"/>
      <c r="F691" s="198"/>
      <c r="G691" s="198"/>
      <c r="H691" s="198"/>
      <c r="I691" s="198"/>
      <c r="J691" s="198"/>
      <c r="K691" s="198"/>
      <c r="L691" s="198"/>
    </row>
    <row r="692">
      <c r="A692" s="198"/>
      <c r="B692" s="208" t="str">
        <f>vlookup(A692,Price!A:B,2,false)</f>
        <v>#N/A</v>
      </c>
      <c r="C692" s="198"/>
      <c r="D692" s="198"/>
      <c r="E692" s="198"/>
      <c r="F692" s="198"/>
      <c r="G692" s="198"/>
      <c r="H692" s="198"/>
      <c r="I692" s="198"/>
      <c r="J692" s="198"/>
      <c r="K692" s="198"/>
      <c r="L692" s="198"/>
    </row>
    <row r="693">
      <c r="A693" s="198"/>
      <c r="B693" s="208" t="str">
        <f>vlookup(A693,Price!A:B,2,false)</f>
        <v>#N/A</v>
      </c>
      <c r="C693" s="198"/>
      <c r="D693" s="198"/>
      <c r="E693" s="198"/>
      <c r="F693" s="198"/>
      <c r="G693" s="198"/>
      <c r="H693" s="198"/>
      <c r="I693" s="198"/>
      <c r="J693" s="198"/>
      <c r="K693" s="198"/>
      <c r="L693" s="198"/>
    </row>
    <row r="694">
      <c r="A694" s="198"/>
      <c r="B694" s="208" t="str">
        <f>vlookup(A694,Price!A:B,2,false)</f>
        <v>#N/A</v>
      </c>
      <c r="C694" s="198"/>
      <c r="D694" s="198"/>
      <c r="E694" s="198"/>
      <c r="F694" s="198"/>
      <c r="G694" s="198"/>
      <c r="H694" s="198"/>
      <c r="I694" s="198"/>
      <c r="J694" s="198"/>
      <c r="K694" s="198"/>
      <c r="L694" s="198"/>
    </row>
    <row r="695">
      <c r="A695" s="198"/>
      <c r="B695" s="208" t="str">
        <f>vlookup(A695,Price!A:B,2,false)</f>
        <v>#N/A</v>
      </c>
      <c r="C695" s="198"/>
      <c r="D695" s="198"/>
      <c r="E695" s="198"/>
      <c r="F695" s="198"/>
      <c r="G695" s="198"/>
      <c r="H695" s="198"/>
      <c r="I695" s="198"/>
      <c r="J695" s="198"/>
      <c r="K695" s="198"/>
      <c r="L695" s="198"/>
    </row>
    <row r="696">
      <c r="A696" s="198"/>
      <c r="B696" s="208" t="str">
        <f>vlookup(A696,Price!A:B,2,false)</f>
        <v>#N/A</v>
      </c>
      <c r="C696" s="198"/>
      <c r="D696" s="198"/>
      <c r="E696" s="198"/>
      <c r="F696" s="198"/>
      <c r="G696" s="198"/>
      <c r="H696" s="198"/>
      <c r="I696" s="198"/>
      <c r="J696" s="198"/>
      <c r="K696" s="198"/>
      <c r="L696" s="198"/>
    </row>
    <row r="697">
      <c r="A697" s="198"/>
      <c r="B697" s="208" t="str">
        <f>vlookup(A697,Price!A:B,2,false)</f>
        <v>#N/A</v>
      </c>
      <c r="C697" s="198"/>
      <c r="D697" s="198"/>
      <c r="E697" s="198"/>
      <c r="F697" s="198"/>
      <c r="G697" s="198"/>
      <c r="H697" s="198"/>
      <c r="I697" s="198"/>
      <c r="J697" s="198"/>
      <c r="K697" s="198"/>
      <c r="L697" s="198"/>
    </row>
    <row r="698">
      <c r="A698" s="198"/>
      <c r="B698" s="208" t="str">
        <f>vlookup(A698,Price!A:B,2,false)</f>
        <v>#N/A</v>
      </c>
      <c r="C698" s="198"/>
      <c r="D698" s="198"/>
      <c r="E698" s="198"/>
      <c r="F698" s="198"/>
      <c r="G698" s="198"/>
      <c r="H698" s="198"/>
      <c r="I698" s="198"/>
      <c r="J698" s="198"/>
      <c r="K698" s="198"/>
      <c r="L698" s="198"/>
    </row>
    <row r="699">
      <c r="A699" s="198"/>
      <c r="B699" s="208" t="str">
        <f>vlookup(A699,Price!A:B,2,false)</f>
        <v>#N/A</v>
      </c>
      <c r="C699" s="198"/>
      <c r="D699" s="198"/>
      <c r="E699" s="198"/>
      <c r="F699" s="198"/>
      <c r="G699" s="198"/>
      <c r="H699" s="198"/>
      <c r="I699" s="198"/>
      <c r="J699" s="198"/>
      <c r="K699" s="198"/>
      <c r="L699" s="198"/>
    </row>
    <row r="700">
      <c r="A700" s="198"/>
      <c r="B700" s="208" t="str">
        <f>vlookup(A700,Price!A:B,2,false)</f>
        <v>#N/A</v>
      </c>
      <c r="C700" s="198"/>
      <c r="D700" s="198"/>
      <c r="E700" s="198"/>
      <c r="F700" s="198"/>
      <c r="G700" s="198"/>
      <c r="H700" s="198"/>
      <c r="I700" s="198"/>
      <c r="J700" s="198"/>
      <c r="K700" s="198"/>
      <c r="L700" s="198"/>
    </row>
    <row r="701">
      <c r="A701" s="198"/>
      <c r="B701" s="208" t="str">
        <f>vlookup(A701,Price!A:B,2,false)</f>
        <v>#N/A</v>
      </c>
      <c r="C701" s="198"/>
      <c r="D701" s="198"/>
      <c r="E701" s="198"/>
      <c r="F701" s="198"/>
      <c r="G701" s="198"/>
      <c r="H701" s="198"/>
      <c r="I701" s="198"/>
      <c r="J701" s="198"/>
      <c r="K701" s="198"/>
      <c r="L701" s="198"/>
    </row>
    <row r="702">
      <c r="A702" s="198"/>
      <c r="B702" s="208" t="str">
        <f>vlookup(A702,Price!A:B,2,false)</f>
        <v>#N/A</v>
      </c>
      <c r="C702" s="198"/>
      <c r="D702" s="198"/>
      <c r="E702" s="198"/>
      <c r="F702" s="198"/>
      <c r="G702" s="198"/>
      <c r="H702" s="198"/>
      <c r="I702" s="198"/>
      <c r="J702" s="198"/>
      <c r="K702" s="198"/>
      <c r="L702" s="198"/>
    </row>
    <row r="703">
      <c r="A703" s="198"/>
      <c r="B703" s="208" t="str">
        <f>vlookup(A703,Price!A:B,2,false)</f>
        <v>#N/A</v>
      </c>
      <c r="C703" s="198"/>
      <c r="D703" s="198"/>
      <c r="E703" s="198"/>
      <c r="F703" s="198"/>
      <c r="G703" s="198"/>
      <c r="H703" s="198"/>
      <c r="I703" s="198"/>
      <c r="J703" s="198"/>
      <c r="K703" s="198"/>
      <c r="L703" s="198"/>
    </row>
    <row r="704">
      <c r="A704" s="198"/>
      <c r="B704" s="208" t="str">
        <f>vlookup(A704,Price!A:B,2,false)</f>
        <v>#N/A</v>
      </c>
      <c r="C704" s="198"/>
      <c r="D704" s="198"/>
      <c r="E704" s="198"/>
      <c r="F704" s="198"/>
      <c r="G704" s="198"/>
      <c r="H704" s="198"/>
      <c r="I704" s="198"/>
      <c r="J704" s="198"/>
      <c r="K704" s="198"/>
      <c r="L704" s="198"/>
    </row>
    <row r="705">
      <c r="A705" s="198"/>
      <c r="B705" s="208" t="str">
        <f>vlookup(A705,Price!A:B,2,false)</f>
        <v>#N/A</v>
      </c>
      <c r="C705" s="198"/>
      <c r="D705" s="198"/>
      <c r="E705" s="198"/>
      <c r="F705" s="198"/>
      <c r="G705" s="198"/>
      <c r="H705" s="198"/>
      <c r="I705" s="198"/>
      <c r="J705" s="198"/>
      <c r="K705" s="198"/>
      <c r="L705" s="198"/>
    </row>
    <row r="706">
      <c r="A706" s="198"/>
      <c r="B706" s="208" t="str">
        <f>vlookup(A706,Price!A:B,2,false)</f>
        <v>#N/A</v>
      </c>
      <c r="C706" s="198"/>
      <c r="D706" s="198"/>
      <c r="E706" s="198"/>
      <c r="F706" s="198"/>
      <c r="G706" s="198"/>
      <c r="H706" s="198"/>
      <c r="I706" s="198"/>
      <c r="J706" s="198"/>
      <c r="K706" s="198"/>
      <c r="L706" s="198"/>
    </row>
    <row r="707">
      <c r="A707" s="198"/>
      <c r="B707" s="208" t="str">
        <f>vlookup(A707,Price!A:B,2,false)</f>
        <v>#N/A</v>
      </c>
      <c r="C707" s="198"/>
      <c r="D707" s="198"/>
      <c r="E707" s="198"/>
      <c r="F707" s="198"/>
      <c r="G707" s="198"/>
      <c r="H707" s="198"/>
      <c r="I707" s="198"/>
      <c r="J707" s="198"/>
      <c r="K707" s="198"/>
      <c r="L707" s="198"/>
    </row>
    <row r="708">
      <c r="A708" s="198"/>
      <c r="B708" s="208" t="str">
        <f>vlookup(A708,Price!A:B,2,false)</f>
        <v>#N/A</v>
      </c>
      <c r="C708" s="198"/>
      <c r="D708" s="198"/>
      <c r="E708" s="198"/>
      <c r="F708" s="198"/>
      <c r="G708" s="198"/>
      <c r="H708" s="198"/>
      <c r="I708" s="198"/>
      <c r="J708" s="198"/>
      <c r="K708" s="198"/>
      <c r="L708" s="198"/>
    </row>
    <row r="709">
      <c r="A709" s="198"/>
      <c r="B709" s="208" t="str">
        <f>vlookup(A709,Price!A:B,2,false)</f>
        <v>#N/A</v>
      </c>
      <c r="C709" s="198"/>
      <c r="D709" s="198"/>
      <c r="E709" s="198"/>
      <c r="F709" s="198"/>
      <c r="G709" s="198"/>
      <c r="H709" s="198"/>
      <c r="I709" s="198"/>
      <c r="J709" s="198"/>
      <c r="K709" s="198"/>
      <c r="L709" s="198"/>
    </row>
    <row r="710">
      <c r="A710" s="198"/>
      <c r="B710" s="208" t="str">
        <f>vlookup(A710,Price!A:B,2,false)</f>
        <v>#N/A</v>
      </c>
      <c r="C710" s="198"/>
      <c r="D710" s="198"/>
      <c r="E710" s="198"/>
      <c r="F710" s="198"/>
      <c r="G710" s="198"/>
      <c r="H710" s="198"/>
      <c r="I710" s="198"/>
      <c r="J710" s="198"/>
      <c r="K710" s="198"/>
      <c r="L710" s="198"/>
    </row>
    <row r="711">
      <c r="A711" s="198"/>
      <c r="B711" s="208" t="str">
        <f>vlookup(A711,Price!A:B,2,false)</f>
        <v>#N/A</v>
      </c>
      <c r="C711" s="198"/>
      <c r="D711" s="198"/>
      <c r="E711" s="198"/>
      <c r="F711" s="198"/>
      <c r="G711" s="198"/>
      <c r="H711" s="198"/>
      <c r="I711" s="198"/>
      <c r="J711" s="198"/>
      <c r="K711" s="198"/>
      <c r="L711" s="198"/>
    </row>
    <row r="712">
      <c r="A712" s="198"/>
      <c r="B712" s="208" t="str">
        <f>vlookup(A712,Price!A:B,2,false)</f>
        <v>#N/A</v>
      </c>
      <c r="C712" s="198"/>
      <c r="D712" s="198"/>
      <c r="E712" s="198"/>
      <c r="F712" s="198"/>
      <c r="G712" s="198"/>
      <c r="H712" s="198"/>
      <c r="I712" s="198"/>
      <c r="J712" s="198"/>
      <c r="K712" s="198"/>
      <c r="L712" s="198"/>
    </row>
    <row r="713">
      <c r="A713" s="198"/>
      <c r="B713" s="208" t="str">
        <f>vlookup(A713,Price!A:B,2,false)</f>
        <v>#N/A</v>
      </c>
      <c r="C713" s="198"/>
      <c r="D713" s="198"/>
      <c r="E713" s="198"/>
      <c r="F713" s="198"/>
      <c r="G713" s="198"/>
      <c r="H713" s="198"/>
      <c r="I713" s="198"/>
      <c r="J713" s="198"/>
      <c r="K713" s="198"/>
      <c r="L713" s="198"/>
    </row>
    <row r="714">
      <c r="A714" s="198"/>
      <c r="B714" s="208" t="str">
        <f>vlookup(A714,Price!A:B,2,false)</f>
        <v>#N/A</v>
      </c>
      <c r="C714" s="198"/>
      <c r="D714" s="198"/>
      <c r="E714" s="198"/>
      <c r="F714" s="198"/>
      <c r="G714" s="198"/>
      <c r="H714" s="198"/>
      <c r="I714" s="198"/>
      <c r="J714" s="198"/>
      <c r="K714" s="198"/>
      <c r="L714" s="198"/>
    </row>
    <row r="715">
      <c r="A715" s="198"/>
      <c r="B715" s="208" t="str">
        <f>vlookup(A715,Price!A:B,2,false)</f>
        <v>#N/A</v>
      </c>
      <c r="C715" s="198"/>
      <c r="D715" s="198"/>
      <c r="E715" s="198"/>
      <c r="F715" s="198"/>
      <c r="G715" s="198"/>
      <c r="H715" s="198"/>
      <c r="I715" s="198"/>
      <c r="J715" s="198"/>
      <c r="K715" s="198"/>
      <c r="L715" s="198"/>
    </row>
    <row r="716">
      <c r="A716" s="198"/>
      <c r="B716" s="208" t="str">
        <f>vlookup(A716,Price!A:B,2,false)</f>
        <v>#N/A</v>
      </c>
      <c r="C716" s="198"/>
      <c r="D716" s="198"/>
      <c r="E716" s="198"/>
      <c r="F716" s="198"/>
      <c r="G716" s="198"/>
      <c r="H716" s="198"/>
      <c r="I716" s="198"/>
      <c r="J716" s="198"/>
      <c r="K716" s="198"/>
      <c r="L716" s="198"/>
    </row>
    <row r="717">
      <c r="A717" s="198"/>
      <c r="B717" s="208" t="str">
        <f>vlookup(A717,Price!A:B,2,false)</f>
        <v>#N/A</v>
      </c>
      <c r="C717" s="198"/>
      <c r="D717" s="198"/>
      <c r="E717" s="198"/>
      <c r="F717" s="198"/>
      <c r="G717" s="198"/>
      <c r="H717" s="198"/>
      <c r="I717" s="198"/>
      <c r="J717" s="198"/>
      <c r="K717" s="198"/>
      <c r="L717" s="198"/>
    </row>
    <row r="718">
      <c r="A718" s="198"/>
      <c r="B718" s="208" t="str">
        <f>vlookup(A718,Price!A:B,2,false)</f>
        <v>#N/A</v>
      </c>
      <c r="C718" s="198"/>
      <c r="D718" s="198"/>
      <c r="E718" s="198"/>
      <c r="F718" s="198"/>
      <c r="G718" s="198"/>
      <c r="H718" s="198"/>
      <c r="I718" s="198"/>
      <c r="J718" s="198"/>
      <c r="K718" s="198"/>
      <c r="L718" s="198"/>
    </row>
    <row r="719">
      <c r="A719" s="198"/>
      <c r="B719" s="208" t="str">
        <f>vlookup(A719,Price!A:B,2,false)</f>
        <v>#N/A</v>
      </c>
      <c r="C719" s="198"/>
      <c r="D719" s="198"/>
      <c r="E719" s="198"/>
      <c r="F719" s="198"/>
      <c r="G719" s="198"/>
      <c r="H719" s="198"/>
      <c r="I719" s="198"/>
      <c r="J719" s="198"/>
      <c r="K719" s="198"/>
      <c r="L719" s="198"/>
    </row>
    <row r="720">
      <c r="A720" s="198"/>
      <c r="B720" s="208" t="str">
        <f>vlookup(A720,Price!A:B,2,false)</f>
        <v>#N/A</v>
      </c>
      <c r="C720" s="198"/>
      <c r="D720" s="198"/>
      <c r="E720" s="198"/>
      <c r="F720" s="198"/>
      <c r="G720" s="198"/>
      <c r="H720" s="198"/>
      <c r="I720" s="198"/>
      <c r="J720" s="198"/>
      <c r="K720" s="198"/>
      <c r="L720" s="198"/>
    </row>
    <row r="721">
      <c r="A721" s="198"/>
      <c r="B721" s="208" t="str">
        <f>vlookup(A721,Price!A:B,2,false)</f>
        <v>#N/A</v>
      </c>
      <c r="C721" s="198"/>
      <c r="D721" s="198"/>
      <c r="E721" s="198"/>
      <c r="F721" s="198"/>
      <c r="G721" s="198"/>
      <c r="H721" s="198"/>
      <c r="I721" s="198"/>
      <c r="J721" s="198"/>
      <c r="K721" s="198"/>
      <c r="L721" s="198"/>
    </row>
    <row r="722">
      <c r="A722" s="198"/>
      <c r="B722" s="208" t="str">
        <f>vlookup(A722,Price!A:B,2,false)</f>
        <v>#N/A</v>
      </c>
      <c r="C722" s="198"/>
      <c r="D722" s="198"/>
      <c r="E722" s="198"/>
      <c r="F722" s="198"/>
      <c r="G722" s="198"/>
      <c r="H722" s="198"/>
      <c r="I722" s="198"/>
      <c r="J722" s="198"/>
      <c r="K722" s="198"/>
      <c r="L722" s="198"/>
    </row>
    <row r="723">
      <c r="A723" s="198"/>
      <c r="B723" s="208" t="str">
        <f>vlookup(A723,Price!A:B,2,false)</f>
        <v>#N/A</v>
      </c>
      <c r="C723" s="198"/>
      <c r="D723" s="198"/>
      <c r="E723" s="198"/>
      <c r="F723" s="198"/>
      <c r="G723" s="198"/>
      <c r="H723" s="198"/>
      <c r="I723" s="198"/>
      <c r="J723" s="198"/>
      <c r="K723" s="198"/>
      <c r="L723" s="198"/>
    </row>
    <row r="724">
      <c r="A724" s="198"/>
      <c r="B724" s="208" t="str">
        <f>vlookup(A724,Price!A:B,2,false)</f>
        <v>#N/A</v>
      </c>
      <c r="C724" s="198"/>
      <c r="D724" s="198"/>
      <c r="E724" s="198"/>
      <c r="F724" s="198"/>
      <c r="G724" s="198"/>
      <c r="H724" s="198"/>
      <c r="I724" s="198"/>
      <c r="J724" s="198"/>
      <c r="K724" s="198"/>
      <c r="L724" s="198"/>
    </row>
    <row r="725">
      <c r="A725" s="198"/>
      <c r="B725" s="208" t="str">
        <f>vlookup(A725,Price!A:B,2,false)</f>
        <v>#N/A</v>
      </c>
      <c r="C725" s="198"/>
      <c r="D725" s="198"/>
      <c r="E725" s="198"/>
      <c r="F725" s="198"/>
      <c r="G725" s="198"/>
      <c r="H725" s="198"/>
      <c r="I725" s="198"/>
      <c r="J725" s="198"/>
      <c r="K725" s="198"/>
      <c r="L725" s="198"/>
    </row>
    <row r="726">
      <c r="A726" s="198"/>
      <c r="B726" s="208" t="str">
        <f>vlookup(A726,Price!A:B,2,false)</f>
        <v>#N/A</v>
      </c>
      <c r="C726" s="198"/>
      <c r="D726" s="198"/>
      <c r="E726" s="198"/>
      <c r="F726" s="198"/>
      <c r="G726" s="198"/>
      <c r="H726" s="198"/>
      <c r="I726" s="198"/>
      <c r="J726" s="198"/>
      <c r="K726" s="198"/>
      <c r="L726" s="198"/>
    </row>
    <row r="727">
      <c r="A727" s="198"/>
      <c r="B727" s="208" t="str">
        <f>vlookup(A727,Price!A:B,2,false)</f>
        <v>#N/A</v>
      </c>
      <c r="C727" s="198"/>
      <c r="D727" s="198"/>
      <c r="E727" s="198"/>
      <c r="F727" s="198"/>
      <c r="G727" s="198"/>
      <c r="H727" s="198"/>
      <c r="I727" s="198"/>
      <c r="J727" s="198"/>
      <c r="K727" s="198"/>
      <c r="L727" s="198"/>
    </row>
    <row r="728">
      <c r="A728" s="198"/>
      <c r="B728" s="208" t="str">
        <f>vlookup(A728,Price!A:B,2,false)</f>
        <v>#N/A</v>
      </c>
      <c r="C728" s="198"/>
      <c r="D728" s="198"/>
      <c r="E728" s="198"/>
      <c r="F728" s="198"/>
      <c r="G728" s="198"/>
      <c r="H728" s="198"/>
      <c r="I728" s="198"/>
      <c r="J728" s="198"/>
      <c r="K728" s="198"/>
      <c r="L728" s="198"/>
    </row>
    <row r="729">
      <c r="A729" s="198"/>
      <c r="B729" s="208" t="str">
        <f>vlookup(A729,Price!A:B,2,false)</f>
        <v>#N/A</v>
      </c>
      <c r="C729" s="198"/>
      <c r="D729" s="198"/>
      <c r="E729" s="198"/>
      <c r="F729" s="198"/>
      <c r="G729" s="198"/>
      <c r="H729" s="198"/>
      <c r="I729" s="198"/>
      <c r="J729" s="198"/>
      <c r="K729" s="198"/>
      <c r="L729" s="198"/>
    </row>
    <row r="730">
      <c r="A730" s="198"/>
      <c r="B730" s="208" t="str">
        <f>vlookup(A730,Price!A:B,2,false)</f>
        <v>#N/A</v>
      </c>
      <c r="C730" s="198"/>
      <c r="D730" s="198"/>
      <c r="E730" s="198"/>
      <c r="F730" s="198"/>
      <c r="G730" s="198"/>
      <c r="H730" s="198"/>
      <c r="I730" s="198"/>
      <c r="J730" s="198"/>
      <c r="K730" s="198"/>
      <c r="L730" s="198"/>
    </row>
    <row r="731">
      <c r="A731" s="198"/>
      <c r="B731" s="208" t="str">
        <f>vlookup(A731,Price!A:B,2,false)</f>
        <v>#N/A</v>
      </c>
      <c r="C731" s="198"/>
      <c r="D731" s="198"/>
      <c r="E731" s="198"/>
      <c r="F731" s="198"/>
      <c r="G731" s="198"/>
      <c r="H731" s="198"/>
      <c r="I731" s="198"/>
      <c r="J731" s="198"/>
      <c r="K731" s="198"/>
      <c r="L731" s="198"/>
    </row>
    <row r="732">
      <c r="A732" s="198"/>
      <c r="B732" s="208" t="str">
        <f>vlookup(A732,Price!A:B,2,false)</f>
        <v>#N/A</v>
      </c>
      <c r="C732" s="198"/>
      <c r="D732" s="198"/>
      <c r="E732" s="198"/>
      <c r="F732" s="198"/>
      <c r="G732" s="198"/>
      <c r="H732" s="198"/>
      <c r="I732" s="198"/>
      <c r="J732" s="198"/>
      <c r="K732" s="198"/>
      <c r="L732" s="198"/>
    </row>
    <row r="733">
      <c r="A733" s="198"/>
      <c r="B733" s="208" t="str">
        <f>vlookup(A733,Price!A:B,2,false)</f>
        <v>#N/A</v>
      </c>
      <c r="C733" s="198"/>
      <c r="D733" s="198"/>
      <c r="E733" s="198"/>
      <c r="F733" s="198"/>
      <c r="G733" s="198"/>
      <c r="H733" s="198"/>
      <c r="I733" s="198"/>
      <c r="J733" s="198"/>
      <c r="K733" s="198"/>
      <c r="L733" s="198"/>
    </row>
    <row r="734">
      <c r="A734" s="198"/>
      <c r="B734" s="208" t="str">
        <f>vlookup(A734,Price!A:B,2,false)</f>
        <v>#N/A</v>
      </c>
      <c r="C734" s="198"/>
      <c r="D734" s="198"/>
      <c r="E734" s="198"/>
      <c r="F734" s="198"/>
      <c r="G734" s="198"/>
      <c r="H734" s="198"/>
      <c r="I734" s="198"/>
      <c r="J734" s="198"/>
      <c r="K734" s="198"/>
      <c r="L734" s="198"/>
    </row>
    <row r="735">
      <c r="A735" s="198"/>
      <c r="B735" s="208" t="str">
        <f>vlookup(A735,Price!A:B,2,false)</f>
        <v>#N/A</v>
      </c>
      <c r="C735" s="198"/>
      <c r="D735" s="198"/>
      <c r="E735" s="198"/>
      <c r="F735" s="198"/>
      <c r="G735" s="198"/>
      <c r="H735" s="198"/>
      <c r="I735" s="198"/>
      <c r="J735" s="198"/>
      <c r="K735" s="198"/>
      <c r="L735" s="198"/>
    </row>
    <row r="736">
      <c r="A736" s="198"/>
      <c r="B736" s="208" t="str">
        <f>vlookup(A736,Price!A:B,2,false)</f>
        <v>#N/A</v>
      </c>
      <c r="C736" s="198"/>
      <c r="D736" s="198"/>
      <c r="E736" s="198"/>
      <c r="F736" s="198"/>
      <c r="G736" s="198"/>
      <c r="H736" s="198"/>
      <c r="I736" s="198"/>
      <c r="J736" s="198"/>
      <c r="K736" s="198"/>
      <c r="L736" s="198"/>
    </row>
    <row r="737">
      <c r="A737" s="198"/>
      <c r="B737" s="208" t="str">
        <f>vlookup(A737,Price!A:B,2,false)</f>
        <v>#N/A</v>
      </c>
      <c r="C737" s="198"/>
      <c r="D737" s="198"/>
      <c r="E737" s="198"/>
      <c r="F737" s="198"/>
      <c r="G737" s="198"/>
      <c r="H737" s="198"/>
      <c r="I737" s="198"/>
      <c r="J737" s="198"/>
      <c r="K737" s="198"/>
      <c r="L737" s="198"/>
    </row>
    <row r="738">
      <c r="A738" s="198"/>
      <c r="B738" s="208" t="str">
        <f>vlookup(A738,Price!A:B,2,false)</f>
        <v>#N/A</v>
      </c>
      <c r="C738" s="198"/>
      <c r="D738" s="198"/>
      <c r="E738" s="198"/>
      <c r="F738" s="198"/>
      <c r="G738" s="198"/>
      <c r="H738" s="198"/>
      <c r="I738" s="198"/>
      <c r="J738" s="198"/>
      <c r="K738" s="198"/>
      <c r="L738" s="198"/>
    </row>
    <row r="739">
      <c r="A739" s="198"/>
      <c r="B739" s="208" t="str">
        <f>vlookup(A739,Price!A:B,2,false)</f>
        <v>#N/A</v>
      </c>
      <c r="C739" s="198"/>
      <c r="D739" s="198"/>
      <c r="E739" s="198"/>
      <c r="F739" s="198"/>
      <c r="G739" s="198"/>
      <c r="H739" s="198"/>
      <c r="I739" s="198"/>
      <c r="J739" s="198"/>
      <c r="K739" s="198"/>
      <c r="L739" s="198"/>
    </row>
    <row r="740">
      <c r="A740" s="198"/>
      <c r="B740" s="208" t="str">
        <f>vlookup(A740,Price!A:B,2,false)</f>
        <v>#N/A</v>
      </c>
      <c r="C740" s="198"/>
      <c r="D740" s="198"/>
      <c r="E740" s="198"/>
      <c r="F740" s="198"/>
      <c r="G740" s="198"/>
      <c r="H740" s="198"/>
      <c r="I740" s="198"/>
      <c r="J740" s="198"/>
      <c r="K740" s="198"/>
      <c r="L740" s="198"/>
    </row>
    <row r="741">
      <c r="A741" s="198"/>
      <c r="B741" s="208" t="str">
        <f>vlookup(A741,Price!A:B,2,false)</f>
        <v>#N/A</v>
      </c>
      <c r="C741" s="198"/>
      <c r="D741" s="198"/>
      <c r="E741" s="198"/>
      <c r="F741" s="198"/>
      <c r="G741" s="198"/>
      <c r="H741" s="198"/>
      <c r="I741" s="198"/>
      <c r="J741" s="198"/>
      <c r="K741" s="198"/>
      <c r="L741" s="198"/>
    </row>
    <row r="742">
      <c r="A742" s="198"/>
      <c r="B742" s="208" t="str">
        <f>vlookup(A742,Price!A:B,2,false)</f>
        <v>#N/A</v>
      </c>
      <c r="C742" s="198"/>
      <c r="D742" s="198"/>
      <c r="E742" s="198"/>
      <c r="F742" s="198"/>
      <c r="G742" s="198"/>
      <c r="H742" s="198"/>
      <c r="I742" s="198"/>
      <c r="J742" s="198"/>
      <c r="K742" s="198"/>
      <c r="L742" s="198"/>
    </row>
    <row r="743">
      <c r="A743" s="198"/>
      <c r="B743" s="208" t="str">
        <f>vlookup(A743,Price!A:B,2,false)</f>
        <v>#N/A</v>
      </c>
      <c r="C743" s="198"/>
      <c r="D743" s="198"/>
      <c r="E743" s="198"/>
      <c r="F743" s="198"/>
      <c r="G743" s="198"/>
      <c r="H743" s="198"/>
      <c r="I743" s="198"/>
      <c r="J743" s="198"/>
      <c r="K743" s="198"/>
      <c r="L743" s="198"/>
    </row>
    <row r="744">
      <c r="A744" s="198"/>
      <c r="B744" s="208" t="str">
        <f>vlookup(A744,Price!A:B,2,false)</f>
        <v>#N/A</v>
      </c>
      <c r="C744" s="198"/>
      <c r="D744" s="198"/>
      <c r="E744" s="198"/>
      <c r="F744" s="198"/>
      <c r="G744" s="198"/>
      <c r="H744" s="198"/>
      <c r="I744" s="198"/>
      <c r="J744" s="198"/>
      <c r="K744" s="198"/>
      <c r="L744" s="198"/>
    </row>
    <row r="745">
      <c r="A745" s="198"/>
      <c r="B745" s="208" t="str">
        <f>vlookup(A745,Price!A:B,2,false)</f>
        <v>#N/A</v>
      </c>
      <c r="C745" s="198"/>
      <c r="D745" s="198"/>
      <c r="E745" s="198"/>
      <c r="F745" s="198"/>
      <c r="G745" s="198"/>
      <c r="H745" s="198"/>
      <c r="I745" s="198"/>
      <c r="J745" s="198"/>
      <c r="K745" s="198"/>
      <c r="L745" s="198"/>
    </row>
    <row r="746">
      <c r="A746" s="198"/>
      <c r="B746" s="208" t="str">
        <f>vlookup(A746,Price!A:B,2,false)</f>
        <v>#N/A</v>
      </c>
      <c r="C746" s="198"/>
      <c r="D746" s="198"/>
      <c r="E746" s="198"/>
      <c r="F746" s="198"/>
      <c r="G746" s="198"/>
      <c r="H746" s="198"/>
      <c r="I746" s="198"/>
      <c r="J746" s="198"/>
      <c r="K746" s="198"/>
      <c r="L746" s="198"/>
    </row>
    <row r="747">
      <c r="A747" s="198"/>
      <c r="B747" s="208" t="str">
        <f>vlookup(A747,Price!A:B,2,false)</f>
        <v>#N/A</v>
      </c>
      <c r="C747" s="198"/>
      <c r="D747" s="198"/>
      <c r="E747" s="198"/>
      <c r="F747" s="198"/>
      <c r="G747" s="198"/>
      <c r="H747" s="198"/>
      <c r="I747" s="198"/>
      <c r="J747" s="198"/>
      <c r="K747" s="198"/>
      <c r="L747" s="198"/>
    </row>
    <row r="748">
      <c r="A748" s="198"/>
      <c r="B748" s="208" t="str">
        <f>vlookup(A748,Price!A:B,2,false)</f>
        <v>#N/A</v>
      </c>
      <c r="C748" s="198"/>
      <c r="D748" s="198"/>
      <c r="E748" s="198"/>
      <c r="F748" s="198"/>
      <c r="G748" s="198"/>
      <c r="H748" s="198"/>
      <c r="I748" s="198"/>
      <c r="J748" s="198"/>
      <c r="K748" s="198"/>
      <c r="L748" s="198"/>
    </row>
    <row r="749">
      <c r="A749" s="198"/>
      <c r="B749" s="208" t="str">
        <f>vlookup(A749,Price!A:B,2,false)</f>
        <v>#N/A</v>
      </c>
      <c r="C749" s="198"/>
      <c r="D749" s="198"/>
      <c r="E749" s="198"/>
      <c r="F749" s="198"/>
      <c r="G749" s="198"/>
      <c r="H749" s="198"/>
      <c r="I749" s="198"/>
      <c r="J749" s="198"/>
      <c r="K749" s="198"/>
      <c r="L749" s="198"/>
    </row>
    <row r="750">
      <c r="A750" s="198"/>
      <c r="B750" s="208" t="str">
        <f>vlookup(A750,Price!A:B,2,false)</f>
        <v>#N/A</v>
      </c>
      <c r="C750" s="198"/>
      <c r="D750" s="198"/>
      <c r="E750" s="198"/>
      <c r="F750" s="198"/>
      <c r="G750" s="198"/>
      <c r="H750" s="198"/>
      <c r="I750" s="198"/>
      <c r="J750" s="198"/>
      <c r="K750" s="198"/>
      <c r="L750" s="198"/>
    </row>
    <row r="751">
      <c r="A751" s="198"/>
      <c r="B751" s="208" t="str">
        <f>vlookup(A751,Price!A:B,2,false)</f>
        <v>#N/A</v>
      </c>
      <c r="C751" s="198"/>
      <c r="D751" s="198"/>
      <c r="E751" s="198"/>
      <c r="F751" s="198"/>
      <c r="G751" s="198"/>
      <c r="H751" s="198"/>
      <c r="I751" s="198"/>
      <c r="J751" s="198"/>
      <c r="K751" s="198"/>
      <c r="L751" s="198"/>
    </row>
    <row r="752">
      <c r="A752" s="198"/>
      <c r="B752" s="208" t="str">
        <f>vlookup(A752,Price!A:B,2,false)</f>
        <v>#N/A</v>
      </c>
      <c r="C752" s="198"/>
      <c r="D752" s="198"/>
      <c r="E752" s="198"/>
      <c r="F752" s="198"/>
      <c r="G752" s="198"/>
      <c r="H752" s="198"/>
      <c r="I752" s="198"/>
      <c r="J752" s="198"/>
      <c r="K752" s="198"/>
      <c r="L752" s="198"/>
    </row>
    <row r="753">
      <c r="A753" s="198"/>
      <c r="B753" s="208" t="str">
        <f>vlookup(A753,Price!A:B,2,false)</f>
        <v>#N/A</v>
      </c>
      <c r="C753" s="198"/>
      <c r="D753" s="198"/>
      <c r="E753" s="198"/>
      <c r="F753" s="198"/>
      <c r="G753" s="198"/>
      <c r="H753" s="198"/>
      <c r="I753" s="198"/>
      <c r="J753" s="198"/>
      <c r="K753" s="198"/>
      <c r="L753" s="198"/>
    </row>
    <row r="754">
      <c r="A754" s="198"/>
      <c r="B754" s="208" t="str">
        <f>vlookup(A754,Price!A:B,2,false)</f>
        <v>#N/A</v>
      </c>
      <c r="C754" s="198"/>
      <c r="D754" s="198"/>
      <c r="E754" s="198"/>
      <c r="F754" s="198"/>
      <c r="G754" s="198"/>
      <c r="H754" s="198"/>
      <c r="I754" s="198"/>
      <c r="J754" s="198"/>
      <c r="K754" s="198"/>
      <c r="L754" s="198"/>
    </row>
    <row r="755">
      <c r="A755" s="198"/>
      <c r="B755" s="208" t="str">
        <f>vlookup(A755,Price!A:B,2,false)</f>
        <v>#N/A</v>
      </c>
      <c r="C755" s="198"/>
      <c r="D755" s="198"/>
      <c r="E755" s="198"/>
      <c r="F755" s="198"/>
      <c r="G755" s="198"/>
      <c r="H755" s="198"/>
      <c r="I755" s="198"/>
      <c r="J755" s="198"/>
      <c r="K755" s="198"/>
      <c r="L755" s="198"/>
    </row>
    <row r="756">
      <c r="A756" s="198"/>
      <c r="B756" s="208" t="str">
        <f>vlookup(A756,Price!A:B,2,false)</f>
        <v>#N/A</v>
      </c>
      <c r="C756" s="198"/>
      <c r="D756" s="198"/>
      <c r="E756" s="198"/>
      <c r="F756" s="198"/>
      <c r="G756" s="198"/>
      <c r="H756" s="198"/>
      <c r="I756" s="198"/>
      <c r="J756" s="198"/>
      <c r="K756" s="198"/>
      <c r="L756" s="198"/>
    </row>
    <row r="757">
      <c r="A757" s="198"/>
      <c r="B757" s="208" t="str">
        <f>vlookup(A757,Price!A:B,2,false)</f>
        <v>#N/A</v>
      </c>
      <c r="C757" s="198"/>
      <c r="D757" s="198"/>
      <c r="E757" s="198"/>
      <c r="F757" s="198"/>
      <c r="G757" s="198"/>
      <c r="H757" s="198"/>
      <c r="I757" s="198"/>
      <c r="J757" s="198"/>
      <c r="K757" s="198"/>
      <c r="L757" s="198"/>
    </row>
    <row r="758">
      <c r="A758" s="198"/>
      <c r="B758" s="208" t="str">
        <f>vlookup(A758,Price!A:B,2,false)</f>
        <v>#N/A</v>
      </c>
      <c r="C758" s="198"/>
      <c r="D758" s="198"/>
      <c r="E758" s="198"/>
      <c r="F758" s="198"/>
      <c r="G758" s="198"/>
      <c r="H758" s="198"/>
      <c r="I758" s="198"/>
      <c r="J758" s="198"/>
      <c r="K758" s="198"/>
      <c r="L758" s="198"/>
    </row>
    <row r="759">
      <c r="A759" s="198"/>
      <c r="B759" s="208" t="str">
        <f>vlookup(A759,Price!A:B,2,false)</f>
        <v>#N/A</v>
      </c>
      <c r="C759" s="198"/>
      <c r="D759" s="198"/>
      <c r="E759" s="198"/>
      <c r="F759" s="198"/>
      <c r="G759" s="198"/>
      <c r="H759" s="198"/>
      <c r="I759" s="198"/>
      <c r="J759" s="198"/>
      <c r="K759" s="198"/>
      <c r="L759" s="198"/>
    </row>
    <row r="760">
      <c r="A760" s="198"/>
      <c r="B760" s="208" t="str">
        <f>vlookup(A760,Price!A:B,2,false)</f>
        <v>#N/A</v>
      </c>
      <c r="C760" s="198"/>
      <c r="D760" s="198"/>
      <c r="E760" s="198"/>
      <c r="F760" s="198"/>
      <c r="G760" s="198"/>
      <c r="H760" s="198"/>
      <c r="I760" s="198"/>
      <c r="J760" s="198"/>
      <c r="K760" s="198"/>
      <c r="L760" s="198"/>
    </row>
    <row r="761">
      <c r="A761" s="198"/>
      <c r="B761" s="208" t="str">
        <f>vlookup(A761,Price!A:B,2,false)</f>
        <v>#N/A</v>
      </c>
      <c r="C761" s="198"/>
      <c r="D761" s="198"/>
      <c r="E761" s="198"/>
      <c r="F761" s="198"/>
      <c r="G761" s="198"/>
      <c r="H761" s="198"/>
      <c r="I761" s="198"/>
      <c r="J761" s="198"/>
      <c r="K761" s="198"/>
      <c r="L761" s="198"/>
    </row>
    <row r="762">
      <c r="A762" s="198"/>
      <c r="B762" s="208" t="str">
        <f>vlookup(A762,Price!A:B,2,false)</f>
        <v>#N/A</v>
      </c>
      <c r="C762" s="198"/>
      <c r="D762" s="198"/>
      <c r="E762" s="198"/>
      <c r="F762" s="198"/>
      <c r="G762" s="198"/>
      <c r="H762" s="198"/>
      <c r="I762" s="198"/>
      <c r="J762" s="198"/>
      <c r="K762" s="198"/>
      <c r="L762" s="198"/>
    </row>
    <row r="763">
      <c r="A763" s="198"/>
      <c r="B763" s="208" t="str">
        <f>vlookup(A763,Price!A:B,2,false)</f>
        <v>#N/A</v>
      </c>
      <c r="C763" s="198"/>
      <c r="D763" s="198"/>
      <c r="E763" s="198"/>
      <c r="F763" s="198"/>
      <c r="G763" s="198"/>
      <c r="H763" s="198"/>
      <c r="I763" s="198"/>
      <c r="J763" s="198"/>
      <c r="K763" s="198"/>
      <c r="L763" s="198"/>
    </row>
    <row r="764">
      <c r="A764" s="198"/>
      <c r="B764" s="208" t="str">
        <f>vlookup(A764,Price!A:B,2,false)</f>
        <v>#N/A</v>
      </c>
      <c r="C764" s="198"/>
      <c r="D764" s="198"/>
      <c r="E764" s="198"/>
      <c r="F764" s="198"/>
      <c r="G764" s="198"/>
      <c r="H764" s="198"/>
      <c r="I764" s="198"/>
      <c r="J764" s="198"/>
      <c r="K764" s="198"/>
      <c r="L764" s="198"/>
    </row>
    <row r="765">
      <c r="A765" s="198"/>
      <c r="B765" s="208" t="str">
        <f>vlookup(A765,Price!A:B,2,false)</f>
        <v>#N/A</v>
      </c>
      <c r="C765" s="198"/>
      <c r="D765" s="198"/>
      <c r="E765" s="198"/>
      <c r="F765" s="198"/>
      <c r="G765" s="198"/>
      <c r="H765" s="198"/>
      <c r="I765" s="198"/>
      <c r="J765" s="198"/>
      <c r="K765" s="198"/>
      <c r="L765" s="198"/>
    </row>
    <row r="766">
      <c r="A766" s="198"/>
      <c r="B766" s="208" t="str">
        <f>vlookup(A766,Price!A:B,2,false)</f>
        <v>#N/A</v>
      </c>
      <c r="C766" s="198"/>
      <c r="D766" s="198"/>
      <c r="E766" s="198"/>
      <c r="F766" s="198"/>
      <c r="G766" s="198"/>
      <c r="H766" s="198"/>
      <c r="I766" s="198"/>
      <c r="J766" s="198"/>
      <c r="K766" s="198"/>
      <c r="L766" s="198"/>
    </row>
    <row r="767">
      <c r="A767" s="198"/>
      <c r="B767" s="208" t="str">
        <f>vlookup(A767,Price!A:B,2,false)</f>
        <v>#N/A</v>
      </c>
      <c r="C767" s="198"/>
      <c r="D767" s="198"/>
      <c r="E767" s="198"/>
      <c r="F767" s="198"/>
      <c r="G767" s="198"/>
      <c r="H767" s="198"/>
      <c r="I767" s="198"/>
      <c r="J767" s="198"/>
      <c r="K767" s="198"/>
      <c r="L767" s="198"/>
    </row>
    <row r="768">
      <c r="A768" s="198"/>
      <c r="B768" s="208" t="str">
        <f>vlookup(A768,Price!A:B,2,false)</f>
        <v>#N/A</v>
      </c>
      <c r="C768" s="198"/>
      <c r="D768" s="198"/>
      <c r="E768" s="198"/>
      <c r="F768" s="198"/>
      <c r="G768" s="198"/>
      <c r="H768" s="198"/>
      <c r="I768" s="198"/>
      <c r="J768" s="198"/>
      <c r="K768" s="198"/>
      <c r="L768" s="198"/>
    </row>
    <row r="769">
      <c r="A769" s="198"/>
      <c r="B769" s="208" t="str">
        <f>vlookup(A769,Price!A:B,2,false)</f>
        <v>#N/A</v>
      </c>
      <c r="C769" s="198"/>
      <c r="D769" s="198"/>
      <c r="E769" s="198"/>
      <c r="F769" s="198"/>
      <c r="G769" s="198"/>
      <c r="H769" s="198"/>
      <c r="I769" s="198"/>
      <c r="J769" s="198"/>
      <c r="K769" s="198"/>
      <c r="L769" s="198"/>
    </row>
    <row r="770">
      <c r="A770" s="198"/>
      <c r="B770" s="208" t="str">
        <f>vlookup(A770,Price!A:B,2,false)</f>
        <v>#N/A</v>
      </c>
      <c r="C770" s="198"/>
      <c r="D770" s="198"/>
      <c r="E770" s="198"/>
      <c r="F770" s="198"/>
      <c r="G770" s="198"/>
      <c r="H770" s="198"/>
      <c r="I770" s="198"/>
      <c r="J770" s="198"/>
      <c r="K770" s="198"/>
      <c r="L770" s="198"/>
    </row>
    <row r="771">
      <c r="A771" s="198"/>
      <c r="B771" s="208" t="str">
        <f>vlookup(A771,Price!A:B,2,false)</f>
        <v>#N/A</v>
      </c>
      <c r="C771" s="198"/>
      <c r="D771" s="198"/>
      <c r="E771" s="198"/>
      <c r="F771" s="198"/>
      <c r="G771" s="198"/>
      <c r="H771" s="198"/>
      <c r="I771" s="198"/>
      <c r="J771" s="198"/>
      <c r="K771" s="198"/>
      <c r="L771" s="198"/>
    </row>
    <row r="772">
      <c r="A772" s="198"/>
      <c r="B772" s="208" t="str">
        <f>vlookup(A772,Price!A:B,2,false)</f>
        <v>#N/A</v>
      </c>
      <c r="C772" s="198"/>
      <c r="D772" s="198"/>
      <c r="E772" s="198"/>
      <c r="F772" s="198"/>
      <c r="G772" s="198"/>
      <c r="H772" s="198"/>
      <c r="I772" s="198"/>
      <c r="J772" s="198"/>
      <c r="K772" s="198"/>
      <c r="L772" s="198"/>
    </row>
    <row r="773">
      <c r="A773" s="198"/>
      <c r="B773" s="208" t="str">
        <f>vlookup(A773,Price!A:B,2,false)</f>
        <v>#N/A</v>
      </c>
      <c r="C773" s="198"/>
      <c r="D773" s="198"/>
      <c r="E773" s="198"/>
      <c r="F773" s="198"/>
      <c r="G773" s="198"/>
      <c r="H773" s="198"/>
      <c r="I773" s="198"/>
      <c r="J773" s="198"/>
      <c r="K773" s="198"/>
      <c r="L773" s="198"/>
    </row>
    <row r="774">
      <c r="A774" s="198"/>
      <c r="B774" s="208" t="str">
        <f>vlookup(A774,Price!A:B,2,false)</f>
        <v>#N/A</v>
      </c>
      <c r="C774" s="198"/>
      <c r="D774" s="198"/>
      <c r="E774" s="198"/>
      <c r="F774" s="198"/>
      <c r="G774" s="198"/>
      <c r="H774" s="198"/>
      <c r="I774" s="198"/>
      <c r="J774" s="198"/>
      <c r="K774" s="198"/>
      <c r="L774" s="198"/>
    </row>
    <row r="775">
      <c r="A775" s="198"/>
      <c r="B775" s="208" t="str">
        <f>vlookup(A775,Price!A:B,2,false)</f>
        <v>#N/A</v>
      </c>
      <c r="C775" s="198"/>
      <c r="D775" s="198"/>
      <c r="E775" s="198"/>
      <c r="F775" s="198"/>
      <c r="G775" s="198"/>
      <c r="H775" s="198"/>
      <c r="I775" s="198"/>
      <c r="J775" s="198"/>
      <c r="K775" s="198"/>
      <c r="L775" s="198"/>
    </row>
    <row r="776">
      <c r="A776" s="198"/>
      <c r="B776" s="208" t="str">
        <f>vlookup(A776,Price!A:B,2,false)</f>
        <v>#N/A</v>
      </c>
      <c r="C776" s="198"/>
      <c r="D776" s="198"/>
      <c r="E776" s="198"/>
      <c r="F776" s="198"/>
      <c r="G776" s="198"/>
      <c r="H776" s="198"/>
      <c r="I776" s="198"/>
      <c r="J776" s="198"/>
      <c r="K776" s="198"/>
      <c r="L776" s="198"/>
    </row>
    <row r="777">
      <c r="A777" s="198"/>
      <c r="B777" s="208" t="str">
        <f>vlookup(A777,Price!A:B,2,false)</f>
        <v>#N/A</v>
      </c>
      <c r="C777" s="198"/>
      <c r="D777" s="198"/>
      <c r="E777" s="198"/>
      <c r="F777" s="198"/>
      <c r="G777" s="198"/>
      <c r="H777" s="198"/>
      <c r="I777" s="198"/>
      <c r="J777" s="198"/>
      <c r="K777" s="198"/>
      <c r="L777" s="198"/>
    </row>
    <row r="778">
      <c r="A778" s="198"/>
      <c r="B778" s="208" t="str">
        <f>vlookup(A778,Price!A:B,2,false)</f>
        <v>#N/A</v>
      </c>
      <c r="C778" s="198"/>
      <c r="D778" s="198"/>
      <c r="E778" s="198"/>
      <c r="F778" s="198"/>
      <c r="G778" s="198"/>
      <c r="H778" s="198"/>
      <c r="I778" s="198"/>
      <c r="J778" s="198"/>
      <c r="K778" s="198"/>
      <c r="L778" s="198"/>
    </row>
    <row r="779">
      <c r="A779" s="198"/>
      <c r="B779" s="208" t="str">
        <f>vlookup(A779,Price!A:B,2,false)</f>
        <v>#N/A</v>
      </c>
      <c r="C779" s="198"/>
      <c r="D779" s="198"/>
      <c r="E779" s="198"/>
      <c r="F779" s="198"/>
      <c r="G779" s="198"/>
      <c r="H779" s="198"/>
      <c r="I779" s="198"/>
      <c r="J779" s="198"/>
      <c r="K779" s="198"/>
      <c r="L779" s="198"/>
    </row>
    <row r="780">
      <c r="A780" s="198"/>
      <c r="B780" s="208" t="str">
        <f>vlookup(A780,Price!A:B,2,false)</f>
        <v>#N/A</v>
      </c>
      <c r="C780" s="198"/>
      <c r="D780" s="198"/>
      <c r="E780" s="198"/>
      <c r="F780" s="198"/>
      <c r="G780" s="198"/>
      <c r="H780" s="198"/>
      <c r="I780" s="198"/>
      <c r="J780" s="198"/>
      <c r="K780" s="198"/>
      <c r="L780" s="198"/>
    </row>
    <row r="781">
      <c r="A781" s="198"/>
      <c r="B781" s="208" t="str">
        <f>vlookup(A781,Price!A:B,2,false)</f>
        <v>#N/A</v>
      </c>
      <c r="C781" s="198"/>
      <c r="D781" s="198"/>
      <c r="E781" s="198"/>
      <c r="F781" s="198"/>
      <c r="G781" s="198"/>
      <c r="H781" s="198"/>
      <c r="I781" s="198"/>
      <c r="J781" s="198"/>
      <c r="K781" s="198"/>
      <c r="L781" s="198"/>
    </row>
    <row r="782">
      <c r="A782" s="198"/>
      <c r="B782" s="208" t="str">
        <f>vlookup(A782,Price!A:B,2,false)</f>
        <v>#N/A</v>
      </c>
      <c r="C782" s="198"/>
      <c r="D782" s="198"/>
      <c r="E782" s="198"/>
      <c r="F782" s="198"/>
      <c r="G782" s="198"/>
      <c r="H782" s="198"/>
      <c r="I782" s="198"/>
      <c r="J782" s="198"/>
      <c r="K782" s="198"/>
      <c r="L782" s="198"/>
    </row>
    <row r="783">
      <c r="A783" s="198"/>
      <c r="B783" s="208" t="str">
        <f>vlookup(A783,Price!A:B,2,false)</f>
        <v>#N/A</v>
      </c>
      <c r="C783" s="198"/>
      <c r="D783" s="198"/>
      <c r="E783" s="198"/>
      <c r="F783" s="198"/>
      <c r="G783" s="198"/>
      <c r="H783" s="198"/>
      <c r="I783" s="198"/>
      <c r="J783" s="198"/>
      <c r="K783" s="198"/>
      <c r="L783" s="198"/>
    </row>
    <row r="784">
      <c r="A784" s="198"/>
      <c r="B784" s="208" t="str">
        <f>vlookup(A784,Price!A:B,2,false)</f>
        <v>#N/A</v>
      </c>
      <c r="C784" s="198"/>
      <c r="D784" s="198"/>
      <c r="E784" s="198"/>
      <c r="F784" s="198"/>
      <c r="G784" s="198"/>
      <c r="H784" s="198"/>
      <c r="I784" s="198"/>
      <c r="J784" s="198"/>
      <c r="K784" s="198"/>
      <c r="L784" s="198"/>
    </row>
    <row r="785">
      <c r="A785" s="198"/>
      <c r="B785" s="208" t="str">
        <f>vlookup(A785,Price!A:B,2,false)</f>
        <v>#N/A</v>
      </c>
      <c r="C785" s="198"/>
      <c r="D785" s="198"/>
      <c r="E785" s="198"/>
      <c r="F785" s="198"/>
      <c r="G785" s="198"/>
      <c r="H785" s="198"/>
      <c r="I785" s="198"/>
      <c r="J785" s="198"/>
      <c r="K785" s="198"/>
      <c r="L785" s="198"/>
    </row>
    <row r="786">
      <c r="A786" s="198"/>
      <c r="B786" s="208" t="str">
        <f>vlookup(A786,Price!A:B,2,false)</f>
        <v>#N/A</v>
      </c>
      <c r="C786" s="198"/>
      <c r="D786" s="198"/>
      <c r="E786" s="198"/>
      <c r="F786" s="198"/>
      <c r="G786" s="198"/>
      <c r="H786" s="198"/>
      <c r="I786" s="198"/>
      <c r="J786" s="198"/>
      <c r="K786" s="198"/>
      <c r="L786" s="198"/>
    </row>
    <row r="787">
      <c r="A787" s="198"/>
      <c r="B787" s="208" t="str">
        <f>vlookup(A787,Price!A:B,2,false)</f>
        <v>#N/A</v>
      </c>
      <c r="C787" s="198"/>
      <c r="D787" s="198"/>
      <c r="E787" s="198"/>
      <c r="F787" s="198"/>
      <c r="G787" s="198"/>
      <c r="H787" s="198"/>
      <c r="I787" s="198"/>
      <c r="J787" s="198"/>
      <c r="K787" s="198"/>
      <c r="L787" s="198"/>
    </row>
    <row r="788">
      <c r="A788" s="198"/>
      <c r="B788" s="208" t="str">
        <f>vlookup(A788,Price!A:B,2,false)</f>
        <v>#N/A</v>
      </c>
      <c r="C788" s="198"/>
      <c r="D788" s="198"/>
      <c r="E788" s="198"/>
      <c r="F788" s="198"/>
      <c r="G788" s="198"/>
      <c r="H788" s="198"/>
      <c r="I788" s="198"/>
      <c r="J788" s="198"/>
      <c r="K788" s="198"/>
      <c r="L788" s="198"/>
    </row>
    <row r="789">
      <c r="A789" s="198"/>
      <c r="B789" s="208" t="str">
        <f>vlookup(A789,Price!A:B,2,false)</f>
        <v>#N/A</v>
      </c>
      <c r="C789" s="198"/>
      <c r="D789" s="198"/>
      <c r="E789" s="198"/>
      <c r="F789" s="198"/>
      <c r="G789" s="198"/>
      <c r="H789" s="198"/>
      <c r="I789" s="198"/>
      <c r="J789" s="198"/>
      <c r="K789" s="198"/>
      <c r="L789" s="198"/>
    </row>
    <row r="790">
      <c r="A790" s="198"/>
      <c r="B790" s="208" t="str">
        <f>vlookup(A790,Price!A:B,2,false)</f>
        <v>#N/A</v>
      </c>
      <c r="C790" s="198"/>
      <c r="D790" s="198"/>
      <c r="E790" s="198"/>
      <c r="F790" s="198"/>
      <c r="G790" s="198"/>
      <c r="H790" s="198"/>
      <c r="I790" s="198"/>
      <c r="J790" s="198"/>
      <c r="K790" s="198"/>
      <c r="L790" s="198"/>
    </row>
    <row r="791">
      <c r="A791" s="198"/>
      <c r="B791" s="208" t="str">
        <f>vlookup(A791,Price!A:B,2,false)</f>
        <v>#N/A</v>
      </c>
      <c r="C791" s="198"/>
      <c r="D791" s="198"/>
      <c r="E791" s="198"/>
      <c r="F791" s="198"/>
      <c r="G791" s="198"/>
      <c r="H791" s="198"/>
      <c r="I791" s="198"/>
      <c r="J791" s="198"/>
      <c r="K791" s="198"/>
      <c r="L791" s="198"/>
    </row>
    <row r="792">
      <c r="A792" s="198"/>
      <c r="B792" s="208" t="str">
        <f>vlookup(A792,Price!A:B,2,false)</f>
        <v>#N/A</v>
      </c>
      <c r="C792" s="198"/>
      <c r="D792" s="198"/>
      <c r="E792" s="198"/>
      <c r="F792" s="198"/>
      <c r="G792" s="198"/>
      <c r="H792" s="198"/>
      <c r="I792" s="198"/>
      <c r="J792" s="198"/>
      <c r="K792" s="198"/>
      <c r="L792" s="198"/>
    </row>
    <row r="793">
      <c r="A793" s="198"/>
      <c r="B793" s="208" t="str">
        <f>vlookup(A793,Price!A:B,2,false)</f>
        <v>#N/A</v>
      </c>
      <c r="C793" s="198"/>
      <c r="D793" s="198"/>
      <c r="E793" s="198"/>
      <c r="F793" s="198"/>
      <c r="G793" s="198"/>
      <c r="H793" s="198"/>
      <c r="I793" s="198"/>
      <c r="J793" s="198"/>
      <c r="K793" s="198"/>
      <c r="L793" s="198"/>
    </row>
    <row r="794">
      <c r="A794" s="198"/>
      <c r="B794" s="208" t="str">
        <f>vlookup(A794,Price!A:B,2,false)</f>
        <v>#N/A</v>
      </c>
      <c r="C794" s="198"/>
      <c r="D794" s="198"/>
      <c r="E794" s="198"/>
      <c r="F794" s="198"/>
      <c r="G794" s="198"/>
      <c r="H794" s="198"/>
      <c r="I794" s="198"/>
      <c r="J794" s="198"/>
      <c r="K794" s="198"/>
      <c r="L794" s="198"/>
    </row>
    <row r="795">
      <c r="A795" s="198"/>
      <c r="B795" s="208" t="str">
        <f>vlookup(A795,Price!A:B,2,false)</f>
        <v>#N/A</v>
      </c>
      <c r="C795" s="198"/>
      <c r="D795" s="198"/>
      <c r="E795" s="198"/>
      <c r="F795" s="198"/>
      <c r="G795" s="198"/>
      <c r="H795" s="198"/>
      <c r="I795" s="198"/>
      <c r="J795" s="198"/>
      <c r="K795" s="198"/>
      <c r="L795" s="198"/>
    </row>
    <row r="796">
      <c r="A796" s="198"/>
      <c r="B796" s="208" t="str">
        <f>vlookup(A796,Price!A:B,2,false)</f>
        <v>#N/A</v>
      </c>
      <c r="C796" s="198"/>
      <c r="D796" s="198"/>
      <c r="E796" s="198"/>
      <c r="F796" s="198"/>
      <c r="G796" s="198"/>
      <c r="H796" s="198"/>
      <c r="I796" s="198"/>
      <c r="J796" s="198"/>
      <c r="K796" s="198"/>
      <c r="L796" s="198"/>
    </row>
    <row r="797">
      <c r="A797" s="198"/>
      <c r="B797" s="208" t="str">
        <f>vlookup(A797,Price!A:B,2,false)</f>
        <v>#N/A</v>
      </c>
      <c r="C797" s="198"/>
      <c r="D797" s="198"/>
      <c r="E797" s="198"/>
      <c r="F797" s="198"/>
      <c r="G797" s="198"/>
      <c r="H797" s="198"/>
      <c r="I797" s="198"/>
      <c r="J797" s="198"/>
      <c r="K797" s="198"/>
      <c r="L797" s="198"/>
    </row>
    <row r="798">
      <c r="A798" s="198"/>
      <c r="B798" s="208" t="str">
        <f>vlookup(A798,Price!A:B,2,false)</f>
        <v>#N/A</v>
      </c>
      <c r="C798" s="198"/>
      <c r="D798" s="198"/>
      <c r="E798" s="198"/>
      <c r="F798" s="198"/>
      <c r="G798" s="198"/>
      <c r="H798" s="198"/>
      <c r="I798" s="198"/>
      <c r="J798" s="198"/>
      <c r="K798" s="198"/>
      <c r="L798" s="198"/>
    </row>
    <row r="799">
      <c r="A799" s="198"/>
      <c r="B799" s="208" t="str">
        <f>vlookup(A799,Price!A:B,2,false)</f>
        <v>#N/A</v>
      </c>
      <c r="C799" s="198"/>
      <c r="D799" s="198"/>
      <c r="E799" s="198"/>
      <c r="F799" s="198"/>
      <c r="G799" s="198"/>
      <c r="H799" s="198"/>
      <c r="I799" s="198"/>
      <c r="J799" s="198"/>
      <c r="K799" s="198"/>
      <c r="L799" s="198"/>
    </row>
    <row r="800">
      <c r="A800" s="198"/>
      <c r="B800" s="208" t="str">
        <f>vlookup(A800,Price!A:B,2,false)</f>
        <v>#N/A</v>
      </c>
      <c r="C800" s="198"/>
      <c r="D800" s="198"/>
      <c r="E800" s="198"/>
      <c r="F800" s="198"/>
      <c r="G800" s="198"/>
      <c r="H800" s="198"/>
      <c r="I800" s="198"/>
      <c r="J800" s="198"/>
      <c r="K800" s="198"/>
      <c r="L800" s="198"/>
    </row>
    <row r="801">
      <c r="A801" s="198"/>
      <c r="B801" s="208" t="str">
        <f>vlookup(A801,Price!A:B,2,false)</f>
        <v>#N/A</v>
      </c>
      <c r="C801" s="198"/>
      <c r="D801" s="198"/>
      <c r="E801" s="198"/>
      <c r="F801" s="198"/>
      <c r="G801" s="198"/>
      <c r="H801" s="198"/>
      <c r="I801" s="198"/>
      <c r="J801" s="198"/>
      <c r="K801" s="198"/>
      <c r="L801" s="198"/>
    </row>
    <row r="802">
      <c r="A802" s="198"/>
      <c r="B802" s="208" t="str">
        <f>vlookup(A802,Price!A:B,2,false)</f>
        <v>#N/A</v>
      </c>
      <c r="C802" s="198"/>
      <c r="D802" s="198"/>
      <c r="E802" s="198"/>
      <c r="F802" s="198"/>
      <c r="G802" s="198"/>
      <c r="H802" s="198"/>
      <c r="I802" s="198"/>
      <c r="J802" s="198"/>
      <c r="K802" s="198"/>
      <c r="L802" s="198"/>
    </row>
    <row r="803">
      <c r="A803" s="198"/>
      <c r="B803" s="208" t="str">
        <f>vlookup(A803,Price!A:B,2,false)</f>
        <v>#N/A</v>
      </c>
      <c r="C803" s="198"/>
      <c r="D803" s="198"/>
      <c r="E803" s="198"/>
      <c r="F803" s="198"/>
      <c r="G803" s="198"/>
      <c r="H803" s="198"/>
      <c r="I803" s="198"/>
      <c r="J803" s="198"/>
      <c r="K803" s="198"/>
      <c r="L803" s="198"/>
    </row>
    <row r="804">
      <c r="A804" s="198"/>
      <c r="B804" s="208" t="str">
        <f>vlookup(A804,Price!A:B,2,false)</f>
        <v>#N/A</v>
      </c>
      <c r="C804" s="198"/>
      <c r="D804" s="198"/>
      <c r="E804" s="198"/>
      <c r="F804" s="198"/>
      <c r="G804" s="198"/>
      <c r="H804" s="198"/>
      <c r="I804" s="198"/>
      <c r="J804" s="198"/>
      <c r="K804" s="198"/>
      <c r="L804" s="198"/>
    </row>
    <row r="805">
      <c r="A805" s="198"/>
      <c r="B805" s="208" t="str">
        <f>vlookup(A805,Price!A:B,2,false)</f>
        <v>#N/A</v>
      </c>
      <c r="C805" s="198"/>
      <c r="D805" s="198"/>
      <c r="E805" s="198"/>
      <c r="F805" s="198"/>
      <c r="G805" s="198"/>
      <c r="H805" s="198"/>
      <c r="I805" s="198"/>
      <c r="J805" s="198"/>
      <c r="K805" s="198"/>
      <c r="L805" s="198"/>
    </row>
    <row r="806">
      <c r="A806" s="198"/>
      <c r="B806" s="208" t="str">
        <f>vlookup(A806,Price!A:B,2,false)</f>
        <v>#N/A</v>
      </c>
      <c r="C806" s="198"/>
      <c r="D806" s="198"/>
      <c r="E806" s="198"/>
      <c r="F806" s="198"/>
      <c r="G806" s="198"/>
      <c r="H806" s="198"/>
      <c r="I806" s="198"/>
      <c r="J806" s="198"/>
      <c r="K806" s="198"/>
      <c r="L806" s="198"/>
    </row>
    <row r="807">
      <c r="A807" s="198"/>
      <c r="B807" s="208" t="str">
        <f>vlookup(A807,Price!A:B,2,false)</f>
        <v>#N/A</v>
      </c>
      <c r="C807" s="198"/>
      <c r="D807" s="198"/>
      <c r="E807" s="198"/>
      <c r="F807" s="198"/>
      <c r="G807" s="198"/>
      <c r="H807" s="198"/>
      <c r="I807" s="198"/>
      <c r="J807" s="198"/>
      <c r="K807" s="198"/>
      <c r="L807" s="198"/>
    </row>
    <row r="808">
      <c r="A808" s="198"/>
      <c r="B808" s="208" t="str">
        <f>vlookup(A808,Price!A:B,2,false)</f>
        <v>#N/A</v>
      </c>
      <c r="C808" s="198"/>
      <c r="D808" s="198"/>
      <c r="E808" s="198"/>
      <c r="F808" s="198"/>
      <c r="G808" s="198"/>
      <c r="H808" s="198"/>
      <c r="I808" s="198"/>
      <c r="J808" s="198"/>
      <c r="K808" s="198"/>
      <c r="L808" s="198"/>
    </row>
    <row r="809">
      <c r="A809" s="198"/>
      <c r="B809" s="208" t="str">
        <f>vlookup(A809,Price!A:B,2,false)</f>
        <v>#N/A</v>
      </c>
      <c r="C809" s="198"/>
      <c r="D809" s="198"/>
      <c r="E809" s="198"/>
      <c r="F809" s="198"/>
      <c r="G809" s="198"/>
      <c r="H809" s="198"/>
      <c r="I809" s="198"/>
      <c r="J809" s="198"/>
      <c r="K809" s="198"/>
      <c r="L809" s="198"/>
    </row>
    <row r="810">
      <c r="A810" s="198"/>
      <c r="B810" s="208" t="str">
        <f>vlookup(A810,Price!A:B,2,false)</f>
        <v>#N/A</v>
      </c>
      <c r="C810" s="198"/>
      <c r="D810" s="198"/>
      <c r="E810" s="198"/>
      <c r="F810" s="198"/>
      <c r="G810" s="198"/>
      <c r="H810" s="198"/>
      <c r="I810" s="198"/>
      <c r="J810" s="198"/>
      <c r="K810" s="198"/>
      <c r="L810" s="198"/>
    </row>
    <row r="811">
      <c r="A811" s="198"/>
      <c r="B811" s="208" t="str">
        <f>vlookup(A811,Price!A:B,2,false)</f>
        <v>#N/A</v>
      </c>
      <c r="C811" s="198"/>
      <c r="D811" s="198"/>
      <c r="E811" s="198"/>
      <c r="F811" s="198"/>
      <c r="G811" s="198"/>
      <c r="H811" s="198"/>
      <c r="I811" s="198"/>
      <c r="J811" s="198"/>
      <c r="K811" s="198"/>
      <c r="L811" s="198"/>
    </row>
    <row r="812">
      <c r="A812" s="198"/>
      <c r="B812" s="208" t="str">
        <f>vlookup(A812,Price!A:B,2,false)</f>
        <v>#N/A</v>
      </c>
      <c r="C812" s="198"/>
      <c r="D812" s="198"/>
      <c r="E812" s="198"/>
      <c r="F812" s="198"/>
      <c r="G812" s="198"/>
      <c r="H812" s="198"/>
      <c r="I812" s="198"/>
      <c r="J812" s="198"/>
      <c r="K812" s="198"/>
      <c r="L812" s="198"/>
    </row>
    <row r="813">
      <c r="A813" s="198"/>
      <c r="B813" s="208" t="str">
        <f>vlookup(A813,Price!A:B,2,false)</f>
        <v>#N/A</v>
      </c>
      <c r="C813" s="198"/>
      <c r="D813" s="198"/>
      <c r="E813" s="198"/>
      <c r="F813" s="198"/>
      <c r="G813" s="198"/>
      <c r="H813" s="198"/>
      <c r="I813" s="198"/>
      <c r="J813" s="198"/>
      <c r="K813" s="198"/>
      <c r="L813" s="198"/>
    </row>
    <row r="814">
      <c r="A814" s="198"/>
      <c r="B814" s="208" t="str">
        <f>vlookup(A814,Price!A:B,2,false)</f>
        <v>#N/A</v>
      </c>
      <c r="C814" s="198"/>
      <c r="D814" s="198"/>
      <c r="E814" s="198"/>
      <c r="F814" s="198"/>
      <c r="G814" s="198"/>
      <c r="H814" s="198"/>
      <c r="I814" s="198"/>
      <c r="J814" s="198"/>
      <c r="K814" s="198"/>
      <c r="L814" s="198"/>
    </row>
    <row r="815">
      <c r="A815" s="198"/>
      <c r="B815" s="208" t="str">
        <f>vlookup(A815,Price!A:B,2,false)</f>
        <v>#N/A</v>
      </c>
      <c r="C815" s="198"/>
      <c r="D815" s="198"/>
      <c r="E815" s="198"/>
      <c r="F815" s="198"/>
      <c r="G815" s="198"/>
      <c r="H815" s="198"/>
      <c r="I815" s="198"/>
      <c r="J815" s="198"/>
      <c r="K815" s="198"/>
      <c r="L815" s="198"/>
    </row>
    <row r="816">
      <c r="A816" s="198"/>
      <c r="B816" s="208" t="str">
        <f>vlookup(A816,Price!A:B,2,false)</f>
        <v>#N/A</v>
      </c>
      <c r="C816" s="198"/>
      <c r="D816" s="198"/>
      <c r="E816" s="198"/>
      <c r="F816" s="198"/>
      <c r="G816" s="198"/>
      <c r="H816" s="198"/>
      <c r="I816" s="198"/>
      <c r="J816" s="198"/>
      <c r="K816" s="198"/>
      <c r="L816" s="198"/>
    </row>
    <row r="817">
      <c r="A817" s="198"/>
      <c r="B817" s="208" t="str">
        <f>vlookup(A817,Price!A:B,2,false)</f>
        <v>#N/A</v>
      </c>
      <c r="C817" s="198"/>
      <c r="D817" s="198"/>
      <c r="E817" s="198"/>
      <c r="F817" s="198"/>
      <c r="G817" s="198"/>
      <c r="H817" s="198"/>
      <c r="I817" s="198"/>
      <c r="J817" s="198"/>
      <c r="K817" s="198"/>
      <c r="L817" s="198"/>
    </row>
    <row r="818">
      <c r="A818" s="198"/>
      <c r="B818" s="208" t="str">
        <f>vlookup(A818,Price!A:B,2,false)</f>
        <v>#N/A</v>
      </c>
      <c r="C818" s="198"/>
      <c r="D818" s="198"/>
      <c r="E818" s="198"/>
      <c r="F818" s="198"/>
      <c r="G818" s="198"/>
      <c r="H818" s="198"/>
      <c r="I818" s="198"/>
      <c r="J818" s="198"/>
      <c r="K818" s="198"/>
      <c r="L818" s="198"/>
    </row>
    <row r="819">
      <c r="A819" s="198"/>
      <c r="B819" s="208" t="str">
        <f>vlookup(A819,Price!A:B,2,false)</f>
        <v>#N/A</v>
      </c>
      <c r="C819" s="198"/>
      <c r="D819" s="198"/>
      <c r="E819" s="198"/>
      <c r="F819" s="198"/>
      <c r="G819" s="198"/>
      <c r="H819" s="198"/>
      <c r="I819" s="198"/>
      <c r="J819" s="198"/>
      <c r="K819" s="198"/>
      <c r="L819" s="198"/>
    </row>
    <row r="820">
      <c r="A820" s="198"/>
      <c r="B820" s="208" t="str">
        <f>vlookup(A820,Price!A:B,2,false)</f>
        <v>#N/A</v>
      </c>
      <c r="C820" s="198"/>
      <c r="D820" s="198"/>
      <c r="E820" s="198"/>
      <c r="F820" s="198"/>
      <c r="G820" s="198"/>
      <c r="H820" s="198"/>
      <c r="I820" s="198"/>
      <c r="J820" s="198"/>
      <c r="K820" s="198"/>
      <c r="L820" s="198"/>
    </row>
    <row r="821">
      <c r="A821" s="198"/>
      <c r="B821" s="208" t="str">
        <f>vlookup(A821,Price!A:B,2,false)</f>
        <v>#N/A</v>
      </c>
      <c r="C821" s="198"/>
      <c r="D821" s="198"/>
      <c r="E821" s="198"/>
      <c r="F821" s="198"/>
      <c r="G821" s="198"/>
      <c r="H821" s="198"/>
      <c r="I821" s="198"/>
      <c r="J821" s="198"/>
      <c r="K821" s="198"/>
      <c r="L821" s="198"/>
    </row>
    <row r="822">
      <c r="A822" s="198"/>
      <c r="B822" s="208" t="str">
        <f>vlookup(A822,Price!A:B,2,false)</f>
        <v>#N/A</v>
      </c>
      <c r="C822" s="198"/>
      <c r="D822" s="198"/>
      <c r="E822" s="198"/>
      <c r="F822" s="198"/>
      <c r="G822" s="198"/>
      <c r="H822" s="198"/>
      <c r="I822" s="198"/>
      <c r="J822" s="198"/>
      <c r="K822" s="198"/>
      <c r="L822" s="198"/>
    </row>
    <row r="823">
      <c r="A823" s="198"/>
      <c r="B823" s="208" t="str">
        <f>vlookup(A823,Price!A:B,2,false)</f>
        <v>#N/A</v>
      </c>
      <c r="C823" s="198"/>
      <c r="D823" s="198"/>
      <c r="E823" s="198"/>
      <c r="F823" s="198"/>
      <c r="G823" s="198"/>
      <c r="H823" s="198"/>
      <c r="I823" s="198"/>
      <c r="J823" s="198"/>
      <c r="K823" s="198"/>
      <c r="L823" s="198"/>
    </row>
    <row r="824">
      <c r="A824" s="198"/>
      <c r="B824" s="208" t="str">
        <f>vlookup(A824,Price!A:B,2,false)</f>
        <v>#N/A</v>
      </c>
      <c r="C824" s="198"/>
      <c r="D824" s="198"/>
      <c r="E824" s="198"/>
      <c r="F824" s="198"/>
      <c r="G824" s="198"/>
      <c r="H824" s="198"/>
      <c r="I824" s="198"/>
      <c r="J824" s="198"/>
      <c r="K824" s="198"/>
      <c r="L824" s="198"/>
    </row>
    <row r="825">
      <c r="A825" s="198"/>
      <c r="B825" s="208" t="str">
        <f>vlookup(A825,Price!A:B,2,false)</f>
        <v>#N/A</v>
      </c>
      <c r="C825" s="198"/>
      <c r="D825" s="198"/>
      <c r="E825" s="198"/>
      <c r="F825" s="198"/>
      <c r="G825" s="198"/>
      <c r="H825" s="198"/>
      <c r="I825" s="198"/>
      <c r="J825" s="198"/>
      <c r="K825" s="198"/>
      <c r="L825" s="198"/>
    </row>
    <row r="826">
      <c r="A826" s="198"/>
      <c r="B826" s="208" t="str">
        <f>vlookup(A826,Price!A:B,2,false)</f>
        <v>#N/A</v>
      </c>
      <c r="C826" s="198"/>
      <c r="D826" s="198"/>
      <c r="E826" s="198"/>
      <c r="F826" s="198"/>
      <c r="G826" s="198"/>
      <c r="H826" s="198"/>
      <c r="I826" s="198"/>
      <c r="J826" s="198"/>
      <c r="K826" s="198"/>
      <c r="L826" s="198"/>
    </row>
    <row r="827">
      <c r="A827" s="198"/>
      <c r="B827" s="208" t="str">
        <f>vlookup(A827,Price!A:B,2,false)</f>
        <v>#N/A</v>
      </c>
      <c r="C827" s="198"/>
      <c r="D827" s="198"/>
      <c r="E827" s="198"/>
      <c r="F827" s="198"/>
      <c r="G827" s="198"/>
      <c r="H827" s="198"/>
      <c r="I827" s="198"/>
      <c r="J827" s="198"/>
      <c r="K827" s="198"/>
      <c r="L827" s="198"/>
    </row>
    <row r="828">
      <c r="A828" s="198"/>
      <c r="B828" s="208" t="str">
        <f>vlookup(A828,Price!A:B,2,false)</f>
        <v>#N/A</v>
      </c>
      <c r="C828" s="198"/>
      <c r="D828" s="198"/>
      <c r="E828" s="198"/>
      <c r="F828" s="198"/>
      <c r="G828" s="198"/>
      <c r="H828" s="198"/>
      <c r="I828" s="198"/>
      <c r="J828" s="198"/>
      <c r="K828" s="198"/>
      <c r="L828" s="198"/>
    </row>
    <row r="829">
      <c r="A829" s="198"/>
      <c r="B829" s="208" t="str">
        <f>vlookup(A829,Price!A:B,2,false)</f>
        <v>#N/A</v>
      </c>
      <c r="C829" s="198"/>
      <c r="D829" s="198"/>
      <c r="E829" s="198"/>
      <c r="F829" s="198"/>
      <c r="G829" s="198"/>
      <c r="H829" s="198"/>
      <c r="I829" s="198"/>
      <c r="J829" s="198"/>
      <c r="K829" s="198"/>
      <c r="L829" s="198"/>
    </row>
    <row r="830">
      <c r="A830" s="198"/>
      <c r="B830" s="208" t="str">
        <f>vlookup(A830,Price!A:B,2,false)</f>
        <v>#N/A</v>
      </c>
      <c r="C830" s="198"/>
      <c r="D830" s="198"/>
      <c r="E830" s="198"/>
      <c r="F830" s="198"/>
      <c r="G830" s="198"/>
      <c r="H830" s="198"/>
      <c r="I830" s="198"/>
      <c r="J830" s="198"/>
      <c r="K830" s="198"/>
      <c r="L830" s="198"/>
    </row>
    <row r="831">
      <c r="A831" s="198"/>
      <c r="B831" s="208" t="str">
        <f>vlookup(A831,Price!A:B,2,false)</f>
        <v>#N/A</v>
      </c>
      <c r="C831" s="198"/>
      <c r="D831" s="198"/>
      <c r="E831" s="198"/>
      <c r="F831" s="198"/>
      <c r="G831" s="198"/>
      <c r="H831" s="198"/>
      <c r="I831" s="198"/>
      <c r="J831" s="198"/>
      <c r="K831" s="198"/>
      <c r="L831" s="198"/>
    </row>
    <row r="832">
      <c r="A832" s="198"/>
      <c r="B832" s="208" t="str">
        <f>vlookup(A832,Price!A:B,2,false)</f>
        <v>#N/A</v>
      </c>
      <c r="C832" s="198"/>
      <c r="D832" s="198"/>
      <c r="E832" s="198"/>
      <c r="F832" s="198"/>
      <c r="G832" s="198"/>
      <c r="H832" s="198"/>
      <c r="I832" s="198"/>
      <c r="J832" s="198"/>
      <c r="K832" s="198"/>
      <c r="L832" s="198"/>
    </row>
    <row r="833">
      <c r="A833" s="198"/>
      <c r="B833" s="208" t="str">
        <f>vlookup(A833,Price!A:B,2,false)</f>
        <v>#N/A</v>
      </c>
      <c r="C833" s="198"/>
      <c r="D833" s="198"/>
      <c r="E833" s="198"/>
      <c r="F833" s="198"/>
      <c r="G833" s="198"/>
      <c r="H833" s="198"/>
      <c r="I833" s="198"/>
      <c r="J833" s="198"/>
      <c r="K833" s="198"/>
      <c r="L833" s="198"/>
    </row>
    <row r="834">
      <c r="A834" s="198"/>
      <c r="B834" s="208" t="str">
        <f>vlookup(A834,Price!A:B,2,false)</f>
        <v>#N/A</v>
      </c>
      <c r="C834" s="198"/>
      <c r="D834" s="198"/>
      <c r="E834" s="198"/>
      <c r="F834" s="198"/>
      <c r="G834" s="198"/>
      <c r="H834" s="198"/>
      <c r="I834" s="198"/>
      <c r="J834" s="198"/>
      <c r="K834" s="198"/>
      <c r="L834" s="198"/>
    </row>
    <row r="835">
      <c r="A835" s="198"/>
      <c r="B835" s="208" t="str">
        <f>vlookup(A835,Price!A:B,2,false)</f>
        <v>#N/A</v>
      </c>
      <c r="C835" s="198"/>
      <c r="D835" s="198"/>
      <c r="E835" s="198"/>
      <c r="F835" s="198"/>
      <c r="G835" s="198"/>
      <c r="H835" s="198"/>
      <c r="I835" s="198"/>
      <c r="J835" s="198"/>
      <c r="K835" s="198"/>
      <c r="L835" s="198"/>
    </row>
    <row r="836">
      <c r="A836" s="198"/>
      <c r="B836" s="208" t="str">
        <f>vlookup(A836,Price!A:B,2,false)</f>
        <v>#N/A</v>
      </c>
      <c r="C836" s="198"/>
      <c r="D836" s="198"/>
      <c r="E836" s="198"/>
      <c r="F836" s="198"/>
      <c r="G836" s="198"/>
      <c r="H836" s="198"/>
      <c r="I836" s="198"/>
      <c r="J836" s="198"/>
      <c r="K836" s="198"/>
      <c r="L836" s="198"/>
    </row>
    <row r="837">
      <c r="A837" s="198"/>
      <c r="B837" s="208" t="str">
        <f>vlookup(A837,Price!A:B,2,false)</f>
        <v>#N/A</v>
      </c>
      <c r="C837" s="198"/>
      <c r="D837" s="198"/>
      <c r="E837" s="198"/>
      <c r="F837" s="198"/>
      <c r="G837" s="198"/>
      <c r="H837" s="198"/>
      <c r="I837" s="198"/>
      <c r="J837" s="198"/>
      <c r="K837" s="198"/>
      <c r="L837" s="198"/>
    </row>
    <row r="838">
      <c r="A838" s="198"/>
      <c r="B838" s="208" t="str">
        <f>vlookup(A838,Price!A:B,2,false)</f>
        <v>#N/A</v>
      </c>
      <c r="C838" s="198"/>
      <c r="D838" s="198"/>
      <c r="E838" s="198"/>
      <c r="F838" s="198"/>
      <c r="G838" s="198"/>
      <c r="H838" s="198"/>
      <c r="I838" s="198"/>
      <c r="J838" s="198"/>
      <c r="K838" s="198"/>
      <c r="L838" s="198"/>
    </row>
    <row r="839">
      <c r="A839" s="198"/>
      <c r="B839" s="208" t="str">
        <f>vlookup(A839,Price!A:B,2,false)</f>
        <v>#N/A</v>
      </c>
      <c r="C839" s="198"/>
      <c r="D839" s="198"/>
      <c r="E839" s="198"/>
      <c r="F839" s="198"/>
      <c r="G839" s="198"/>
      <c r="H839" s="198"/>
      <c r="I839" s="198"/>
      <c r="J839" s="198"/>
      <c r="K839" s="198"/>
      <c r="L839" s="198"/>
    </row>
    <row r="840">
      <c r="A840" s="198"/>
      <c r="B840" s="208" t="str">
        <f>vlookup(A840,Price!A:B,2,false)</f>
        <v>#N/A</v>
      </c>
      <c r="C840" s="198"/>
      <c r="D840" s="198"/>
      <c r="E840" s="198"/>
      <c r="F840" s="198"/>
      <c r="G840" s="198"/>
      <c r="H840" s="198"/>
      <c r="I840" s="198"/>
      <c r="J840" s="198"/>
      <c r="K840" s="198"/>
      <c r="L840" s="198"/>
    </row>
    <row r="841">
      <c r="A841" s="198"/>
      <c r="B841" s="208" t="str">
        <f>vlookup(A841,Price!A:B,2,false)</f>
        <v>#N/A</v>
      </c>
      <c r="C841" s="198"/>
      <c r="D841" s="198"/>
      <c r="E841" s="198"/>
      <c r="F841" s="198"/>
      <c r="G841" s="198"/>
      <c r="H841" s="198"/>
      <c r="I841" s="198"/>
      <c r="J841" s="198"/>
      <c r="K841" s="198"/>
      <c r="L841" s="198"/>
    </row>
    <row r="842">
      <c r="A842" s="198"/>
      <c r="B842" s="208" t="str">
        <f>vlookup(A842,Price!A:B,2,false)</f>
        <v>#N/A</v>
      </c>
      <c r="C842" s="198"/>
      <c r="D842" s="198"/>
      <c r="E842" s="198"/>
      <c r="F842" s="198"/>
      <c r="G842" s="198"/>
      <c r="H842" s="198"/>
      <c r="I842" s="198"/>
      <c r="J842" s="198"/>
      <c r="K842" s="198"/>
      <c r="L842" s="198"/>
    </row>
    <row r="843">
      <c r="A843" s="198"/>
      <c r="B843" s="208" t="str">
        <f>vlookup(A843,Price!A:B,2,false)</f>
        <v>#N/A</v>
      </c>
      <c r="C843" s="198"/>
      <c r="D843" s="198"/>
      <c r="E843" s="198"/>
      <c r="F843" s="198"/>
      <c r="G843" s="198"/>
      <c r="H843" s="198"/>
      <c r="I843" s="198"/>
      <c r="J843" s="198"/>
      <c r="K843" s="198"/>
      <c r="L843" s="198"/>
    </row>
    <row r="844">
      <c r="A844" s="198"/>
      <c r="B844" s="208" t="str">
        <f>vlookup(A844,Price!A:B,2,false)</f>
        <v>#N/A</v>
      </c>
      <c r="C844" s="198"/>
      <c r="D844" s="198"/>
      <c r="E844" s="198"/>
      <c r="F844" s="198"/>
      <c r="G844" s="198"/>
      <c r="H844" s="198"/>
      <c r="I844" s="198"/>
      <c r="J844" s="198"/>
      <c r="K844" s="198"/>
      <c r="L844" s="198"/>
    </row>
    <row r="845">
      <c r="A845" s="198"/>
      <c r="B845" s="208" t="str">
        <f>vlookup(A845,Price!A:B,2,false)</f>
        <v>#N/A</v>
      </c>
      <c r="C845" s="198"/>
      <c r="D845" s="198"/>
      <c r="E845" s="198"/>
      <c r="F845" s="198"/>
      <c r="G845" s="198"/>
      <c r="H845" s="198"/>
      <c r="I845" s="198"/>
      <c r="J845" s="198"/>
      <c r="K845" s="198"/>
      <c r="L845" s="198"/>
    </row>
    <row r="846">
      <c r="A846" s="198"/>
      <c r="B846" s="208" t="str">
        <f>vlookup(A846,Price!A:B,2,false)</f>
        <v>#N/A</v>
      </c>
      <c r="C846" s="198"/>
      <c r="D846" s="198"/>
      <c r="E846" s="198"/>
      <c r="F846" s="198"/>
      <c r="G846" s="198"/>
      <c r="H846" s="198"/>
      <c r="I846" s="198"/>
      <c r="J846" s="198"/>
      <c r="K846" s="198"/>
      <c r="L846" s="198"/>
    </row>
    <row r="847">
      <c r="A847" s="198"/>
      <c r="B847" s="208" t="str">
        <f>vlookup(A847,Price!A:B,2,false)</f>
        <v>#N/A</v>
      </c>
      <c r="C847" s="198"/>
      <c r="D847" s="198"/>
      <c r="E847" s="198"/>
      <c r="F847" s="198"/>
      <c r="G847" s="198"/>
      <c r="H847" s="198"/>
      <c r="I847" s="198"/>
      <c r="J847" s="198"/>
      <c r="K847" s="198"/>
      <c r="L847" s="198"/>
    </row>
    <row r="848">
      <c r="A848" s="198"/>
      <c r="B848" s="208" t="str">
        <f>vlookup(A848,Price!A:B,2,false)</f>
        <v>#N/A</v>
      </c>
      <c r="C848" s="198"/>
      <c r="D848" s="198"/>
      <c r="E848" s="198"/>
      <c r="F848" s="198"/>
      <c r="G848" s="198"/>
      <c r="H848" s="198"/>
      <c r="I848" s="198"/>
      <c r="J848" s="198"/>
      <c r="K848" s="198"/>
      <c r="L848" s="198"/>
    </row>
    <row r="849">
      <c r="A849" s="198"/>
      <c r="B849" s="208" t="str">
        <f>vlookup(A849,Price!A:B,2,false)</f>
        <v>#N/A</v>
      </c>
      <c r="C849" s="198"/>
      <c r="D849" s="198"/>
      <c r="E849" s="198"/>
      <c r="F849" s="198"/>
      <c r="G849" s="198"/>
      <c r="H849" s="198"/>
      <c r="I849" s="198"/>
      <c r="J849" s="198"/>
      <c r="K849" s="198"/>
      <c r="L849" s="198"/>
    </row>
    <row r="850">
      <c r="A850" s="198"/>
      <c r="B850" s="208" t="str">
        <f>vlookup(A850,Price!A:B,2,false)</f>
        <v>#N/A</v>
      </c>
      <c r="C850" s="198"/>
      <c r="D850" s="198"/>
      <c r="E850" s="198"/>
      <c r="F850" s="198"/>
      <c r="G850" s="198"/>
      <c r="H850" s="198"/>
      <c r="I850" s="198"/>
      <c r="J850" s="198"/>
      <c r="K850" s="198"/>
      <c r="L850" s="198"/>
    </row>
    <row r="851">
      <c r="A851" s="198"/>
      <c r="B851" s="208" t="str">
        <f>vlookup(A851,Price!A:B,2,false)</f>
        <v>#N/A</v>
      </c>
      <c r="C851" s="198"/>
      <c r="D851" s="198"/>
      <c r="E851" s="198"/>
      <c r="F851" s="198"/>
      <c r="G851" s="198"/>
      <c r="H851" s="198"/>
      <c r="I851" s="198"/>
      <c r="J851" s="198"/>
      <c r="K851" s="198"/>
      <c r="L851" s="198"/>
    </row>
    <row r="852">
      <c r="A852" s="198"/>
      <c r="B852" s="208" t="str">
        <f>vlookup(A852,Price!A:B,2,false)</f>
        <v>#N/A</v>
      </c>
      <c r="C852" s="198"/>
      <c r="D852" s="198"/>
      <c r="E852" s="198"/>
      <c r="F852" s="198"/>
      <c r="G852" s="198"/>
      <c r="H852" s="198"/>
      <c r="I852" s="198"/>
      <c r="J852" s="198"/>
      <c r="K852" s="198"/>
      <c r="L852" s="198"/>
    </row>
    <row r="853">
      <c r="A853" s="198"/>
      <c r="B853" s="208" t="str">
        <f>vlookup(A853,Price!A:B,2,false)</f>
        <v>#N/A</v>
      </c>
      <c r="C853" s="198"/>
      <c r="D853" s="198"/>
      <c r="E853" s="198"/>
      <c r="F853" s="198"/>
      <c r="G853" s="198"/>
      <c r="H853" s="198"/>
      <c r="I853" s="198"/>
      <c r="J853" s="198"/>
      <c r="K853" s="198"/>
      <c r="L853" s="198"/>
    </row>
    <row r="854">
      <c r="A854" s="198"/>
      <c r="B854" s="208" t="str">
        <f>vlookup(A854,Price!A:B,2,false)</f>
        <v>#N/A</v>
      </c>
      <c r="C854" s="198"/>
      <c r="D854" s="198"/>
      <c r="E854" s="198"/>
      <c r="F854" s="198"/>
      <c r="G854" s="198"/>
      <c r="H854" s="198"/>
      <c r="I854" s="198"/>
      <c r="J854" s="198"/>
      <c r="K854" s="198"/>
      <c r="L854" s="198"/>
    </row>
    <row r="855">
      <c r="A855" s="198"/>
      <c r="B855" s="208" t="str">
        <f>vlookup(A855,Price!A:B,2,false)</f>
        <v>#N/A</v>
      </c>
      <c r="C855" s="198"/>
      <c r="D855" s="198"/>
      <c r="E855" s="198"/>
      <c r="F855" s="198"/>
      <c r="G855" s="198"/>
      <c r="H855" s="198"/>
      <c r="I855" s="198"/>
      <c r="J855" s="198"/>
      <c r="K855" s="198"/>
      <c r="L855" s="198"/>
    </row>
    <row r="856">
      <c r="A856" s="198"/>
      <c r="B856" s="208" t="str">
        <f>vlookup(A856,Price!A:B,2,false)</f>
        <v>#N/A</v>
      </c>
      <c r="C856" s="198"/>
      <c r="D856" s="198"/>
      <c r="E856" s="198"/>
      <c r="F856" s="198"/>
      <c r="G856" s="198"/>
      <c r="H856" s="198"/>
      <c r="I856" s="198"/>
      <c r="J856" s="198"/>
      <c r="K856" s="198"/>
      <c r="L856" s="198"/>
    </row>
    <row r="857">
      <c r="A857" s="198"/>
      <c r="B857" s="208" t="str">
        <f>vlookup(A857,Price!A:B,2,false)</f>
        <v>#N/A</v>
      </c>
      <c r="C857" s="198"/>
      <c r="D857" s="198"/>
      <c r="E857" s="198"/>
      <c r="F857" s="198"/>
      <c r="G857" s="198"/>
      <c r="H857" s="198"/>
      <c r="I857" s="198"/>
      <c r="J857" s="198"/>
      <c r="K857" s="198"/>
      <c r="L857" s="198"/>
    </row>
    <row r="858">
      <c r="A858" s="198"/>
      <c r="B858" s="208" t="str">
        <f>vlookup(A858,Price!A:B,2,false)</f>
        <v>#N/A</v>
      </c>
      <c r="C858" s="198"/>
      <c r="D858" s="198"/>
      <c r="E858" s="198"/>
      <c r="F858" s="198"/>
      <c r="G858" s="198"/>
      <c r="H858" s="198"/>
      <c r="I858" s="198"/>
      <c r="J858" s="198"/>
      <c r="K858" s="198"/>
      <c r="L858" s="198"/>
    </row>
    <row r="859">
      <c r="A859" s="198"/>
      <c r="B859" s="208" t="str">
        <f>vlookup(A859,Price!A:B,2,false)</f>
        <v>#N/A</v>
      </c>
      <c r="C859" s="198"/>
      <c r="D859" s="198"/>
      <c r="E859" s="198"/>
      <c r="F859" s="198"/>
      <c r="G859" s="198"/>
      <c r="H859" s="198"/>
      <c r="I859" s="198"/>
      <c r="J859" s="198"/>
      <c r="K859" s="198"/>
      <c r="L859" s="198"/>
    </row>
    <row r="860">
      <c r="A860" s="198"/>
      <c r="B860" s="208" t="str">
        <f>vlookup(A860,Price!A:B,2,false)</f>
        <v>#N/A</v>
      </c>
      <c r="C860" s="198"/>
      <c r="D860" s="198"/>
      <c r="E860" s="198"/>
      <c r="F860" s="198"/>
      <c r="G860" s="198"/>
      <c r="H860" s="198"/>
      <c r="I860" s="198"/>
      <c r="J860" s="198"/>
      <c r="K860" s="198"/>
      <c r="L860" s="198"/>
    </row>
    <row r="861">
      <c r="A861" s="198"/>
      <c r="B861" s="208" t="str">
        <f>vlookup(A861,Price!A:B,2,false)</f>
        <v>#N/A</v>
      </c>
      <c r="C861" s="198"/>
      <c r="D861" s="198"/>
      <c r="E861" s="198"/>
      <c r="F861" s="198"/>
      <c r="G861" s="198"/>
      <c r="H861" s="198"/>
      <c r="I861" s="198"/>
      <c r="J861" s="198"/>
      <c r="K861" s="198"/>
      <c r="L861" s="198"/>
    </row>
    <row r="862">
      <c r="A862" s="198"/>
      <c r="B862" s="208" t="str">
        <f>vlookup(A862,Price!A:B,2,false)</f>
        <v>#N/A</v>
      </c>
      <c r="C862" s="198"/>
      <c r="D862" s="198"/>
      <c r="E862" s="198"/>
      <c r="F862" s="198"/>
      <c r="G862" s="198"/>
      <c r="H862" s="198"/>
      <c r="I862" s="198"/>
      <c r="J862" s="198"/>
      <c r="K862" s="198"/>
      <c r="L862" s="198"/>
    </row>
    <row r="863">
      <c r="A863" s="198"/>
      <c r="B863" s="208" t="str">
        <f>vlookup(A863,Price!A:B,2,false)</f>
        <v>#N/A</v>
      </c>
      <c r="C863" s="198"/>
      <c r="D863" s="198"/>
      <c r="E863" s="198"/>
      <c r="F863" s="198"/>
      <c r="G863" s="198"/>
      <c r="H863" s="198"/>
      <c r="I863" s="198"/>
      <c r="J863" s="198"/>
      <c r="K863" s="198"/>
      <c r="L863" s="198"/>
    </row>
    <row r="864">
      <c r="A864" s="198"/>
      <c r="B864" s="208" t="str">
        <f>vlookup(A864,Price!A:B,2,false)</f>
        <v>#N/A</v>
      </c>
      <c r="C864" s="198"/>
      <c r="D864" s="198"/>
      <c r="E864" s="198"/>
      <c r="F864" s="198"/>
      <c r="G864" s="198"/>
      <c r="H864" s="198"/>
      <c r="I864" s="198"/>
      <c r="J864" s="198"/>
      <c r="K864" s="198"/>
      <c r="L864" s="198"/>
    </row>
    <row r="865">
      <c r="A865" s="198"/>
      <c r="B865" s="208" t="str">
        <f>vlookup(A865,Price!A:B,2,false)</f>
        <v>#N/A</v>
      </c>
      <c r="C865" s="198"/>
      <c r="D865" s="198"/>
      <c r="E865" s="198"/>
      <c r="F865" s="198"/>
      <c r="G865" s="198"/>
      <c r="H865" s="198"/>
      <c r="I865" s="198"/>
      <c r="J865" s="198"/>
      <c r="K865" s="198"/>
      <c r="L865" s="198"/>
    </row>
    <row r="866">
      <c r="A866" s="198"/>
      <c r="B866" s="208" t="str">
        <f>vlookup(A866,Price!A:B,2,false)</f>
        <v>#N/A</v>
      </c>
      <c r="C866" s="198"/>
      <c r="D866" s="198"/>
      <c r="E866" s="198"/>
      <c r="F866" s="198"/>
      <c r="G866" s="198"/>
      <c r="H866" s="198"/>
      <c r="I866" s="198"/>
      <c r="J866" s="198"/>
      <c r="K866" s="198"/>
      <c r="L866" s="198"/>
    </row>
    <row r="867">
      <c r="A867" s="198"/>
      <c r="B867" s="208" t="str">
        <f>vlookup(A867,Price!A:B,2,false)</f>
        <v>#N/A</v>
      </c>
      <c r="C867" s="198"/>
      <c r="D867" s="198"/>
      <c r="E867" s="198"/>
      <c r="F867" s="198"/>
      <c r="G867" s="198"/>
      <c r="H867" s="198"/>
      <c r="I867" s="198"/>
      <c r="J867" s="198"/>
      <c r="K867" s="198"/>
      <c r="L867" s="198"/>
    </row>
    <row r="868">
      <c r="A868" s="198"/>
      <c r="B868" s="208" t="str">
        <f>vlookup(A868,Price!A:B,2,false)</f>
        <v>#N/A</v>
      </c>
      <c r="C868" s="198"/>
      <c r="D868" s="198"/>
      <c r="E868" s="198"/>
      <c r="F868" s="198"/>
      <c r="G868" s="198"/>
      <c r="H868" s="198"/>
      <c r="I868" s="198"/>
      <c r="J868" s="198"/>
      <c r="K868" s="198"/>
      <c r="L868" s="198"/>
    </row>
    <row r="869">
      <c r="A869" s="198"/>
      <c r="B869" s="208" t="str">
        <f>vlookup(A869,Price!A:B,2,false)</f>
        <v>#N/A</v>
      </c>
      <c r="C869" s="198"/>
      <c r="D869" s="198"/>
      <c r="E869" s="198"/>
      <c r="F869" s="198"/>
      <c r="G869" s="198"/>
      <c r="H869" s="198"/>
      <c r="I869" s="198"/>
      <c r="J869" s="198"/>
      <c r="K869" s="198"/>
      <c r="L869" s="198"/>
    </row>
    <row r="870">
      <c r="A870" s="198"/>
      <c r="B870" s="208" t="str">
        <f>vlookup(A870,Price!A:B,2,false)</f>
        <v>#N/A</v>
      </c>
      <c r="C870" s="198"/>
      <c r="D870" s="198"/>
      <c r="E870" s="198"/>
      <c r="F870" s="198"/>
      <c r="G870" s="198"/>
      <c r="H870" s="198"/>
      <c r="I870" s="198"/>
      <c r="J870" s="198"/>
      <c r="K870" s="198"/>
      <c r="L870" s="198"/>
    </row>
    <row r="871">
      <c r="A871" s="198"/>
      <c r="B871" s="208" t="str">
        <f>vlookup(A871,Price!A:B,2,false)</f>
        <v>#N/A</v>
      </c>
      <c r="C871" s="198"/>
      <c r="D871" s="198"/>
      <c r="E871" s="198"/>
      <c r="F871" s="198"/>
      <c r="G871" s="198"/>
      <c r="H871" s="198"/>
      <c r="I871" s="198"/>
      <c r="J871" s="198"/>
      <c r="K871" s="198"/>
      <c r="L871" s="198"/>
    </row>
    <row r="872">
      <c r="A872" s="198"/>
      <c r="B872" s="208" t="str">
        <f>vlookup(A872,Price!A:B,2,false)</f>
        <v>#N/A</v>
      </c>
      <c r="C872" s="198"/>
      <c r="D872" s="198"/>
      <c r="E872" s="198"/>
      <c r="F872" s="198"/>
      <c r="G872" s="198"/>
      <c r="H872" s="198"/>
      <c r="I872" s="198"/>
      <c r="J872" s="198"/>
      <c r="K872" s="198"/>
      <c r="L872" s="198"/>
    </row>
    <row r="873">
      <c r="A873" s="198"/>
      <c r="B873" s="208" t="str">
        <f>vlookup(A873,Price!A:B,2,false)</f>
        <v>#N/A</v>
      </c>
      <c r="C873" s="198"/>
      <c r="D873" s="198"/>
      <c r="E873" s="198"/>
      <c r="F873" s="198"/>
      <c r="G873" s="198"/>
      <c r="H873" s="198"/>
      <c r="I873" s="198"/>
      <c r="J873" s="198"/>
      <c r="K873" s="198"/>
      <c r="L873" s="198"/>
    </row>
    <row r="874">
      <c r="A874" s="198"/>
      <c r="B874" s="208" t="str">
        <f>vlookup(A874,Price!A:B,2,false)</f>
        <v>#N/A</v>
      </c>
      <c r="C874" s="198"/>
      <c r="D874" s="198"/>
      <c r="E874" s="198"/>
      <c r="F874" s="198"/>
      <c r="G874" s="198"/>
      <c r="H874" s="198"/>
      <c r="I874" s="198"/>
      <c r="J874" s="198"/>
      <c r="K874" s="198"/>
      <c r="L874" s="198"/>
    </row>
    <row r="875">
      <c r="A875" s="198"/>
      <c r="B875" s="208" t="str">
        <f>vlookup(A875,Price!A:B,2,false)</f>
        <v>#N/A</v>
      </c>
      <c r="C875" s="198"/>
      <c r="D875" s="198"/>
      <c r="E875" s="198"/>
      <c r="F875" s="198"/>
      <c r="G875" s="198"/>
      <c r="H875" s="198"/>
      <c r="I875" s="198"/>
      <c r="J875" s="198"/>
      <c r="K875" s="198"/>
      <c r="L875" s="198"/>
    </row>
    <row r="876">
      <c r="A876" s="198"/>
      <c r="B876" s="208" t="str">
        <f>vlookup(A876,Price!A:B,2,false)</f>
        <v>#N/A</v>
      </c>
      <c r="C876" s="198"/>
      <c r="D876" s="198"/>
      <c r="E876" s="198"/>
      <c r="F876" s="198"/>
      <c r="G876" s="198"/>
      <c r="H876" s="198"/>
      <c r="I876" s="198"/>
      <c r="J876" s="198"/>
      <c r="K876" s="198"/>
      <c r="L876" s="198"/>
    </row>
    <row r="877">
      <c r="A877" s="198"/>
      <c r="B877" s="208" t="str">
        <f>vlookup(A877,Price!A:B,2,false)</f>
        <v>#N/A</v>
      </c>
      <c r="C877" s="198"/>
      <c r="D877" s="198"/>
      <c r="E877" s="198"/>
      <c r="F877" s="198"/>
      <c r="G877" s="198"/>
      <c r="H877" s="198"/>
      <c r="I877" s="198"/>
      <c r="J877" s="198"/>
      <c r="K877" s="198"/>
      <c r="L877" s="198"/>
    </row>
    <row r="878">
      <c r="A878" s="198"/>
      <c r="B878" s="208" t="str">
        <f>vlookup(A878,Price!A:B,2,false)</f>
        <v>#N/A</v>
      </c>
      <c r="C878" s="198"/>
      <c r="D878" s="198"/>
      <c r="E878" s="198"/>
      <c r="F878" s="198"/>
      <c r="G878" s="198"/>
      <c r="H878" s="198"/>
      <c r="I878" s="198"/>
      <c r="J878" s="198"/>
      <c r="K878" s="198"/>
      <c r="L878" s="198"/>
    </row>
    <row r="879">
      <c r="A879" s="198"/>
      <c r="B879" s="208" t="str">
        <f>vlookup(A879,Price!A:B,2,false)</f>
        <v>#N/A</v>
      </c>
      <c r="C879" s="198"/>
      <c r="D879" s="198"/>
      <c r="E879" s="198"/>
      <c r="F879" s="198"/>
      <c r="G879" s="198"/>
      <c r="H879" s="198"/>
      <c r="I879" s="198"/>
      <c r="J879" s="198"/>
      <c r="K879" s="198"/>
      <c r="L879" s="198"/>
    </row>
    <row r="880">
      <c r="A880" s="198"/>
      <c r="B880" s="208" t="str">
        <f>vlookup(A880,Price!A:B,2,false)</f>
        <v>#N/A</v>
      </c>
      <c r="C880" s="198"/>
      <c r="D880" s="198"/>
      <c r="E880" s="198"/>
      <c r="F880" s="198"/>
      <c r="G880" s="198"/>
      <c r="H880" s="198"/>
      <c r="I880" s="198"/>
      <c r="J880" s="198"/>
      <c r="K880" s="198"/>
      <c r="L880" s="198"/>
    </row>
    <row r="881">
      <c r="A881" s="198"/>
      <c r="B881" s="208" t="str">
        <f>vlookup(A881,Price!A:B,2,false)</f>
        <v>#N/A</v>
      </c>
      <c r="C881" s="198"/>
      <c r="D881" s="198"/>
      <c r="E881" s="198"/>
      <c r="F881" s="198"/>
      <c r="G881" s="198"/>
      <c r="H881" s="198"/>
      <c r="I881" s="198"/>
      <c r="J881" s="198"/>
      <c r="K881" s="198"/>
      <c r="L881" s="198"/>
    </row>
    <row r="882">
      <c r="A882" s="198"/>
      <c r="B882" s="208" t="str">
        <f>vlookup(A882,Price!A:B,2,false)</f>
        <v>#N/A</v>
      </c>
      <c r="C882" s="198"/>
      <c r="D882" s="198"/>
      <c r="E882" s="198"/>
      <c r="F882" s="198"/>
      <c r="G882" s="198"/>
      <c r="H882" s="198"/>
      <c r="I882" s="198"/>
      <c r="J882" s="198"/>
      <c r="K882" s="198"/>
      <c r="L882" s="198"/>
    </row>
    <row r="883">
      <c r="A883" s="198"/>
      <c r="B883" s="208" t="str">
        <f>vlookup(A883,Price!A:B,2,false)</f>
        <v>#N/A</v>
      </c>
      <c r="C883" s="198"/>
      <c r="D883" s="198"/>
      <c r="E883" s="198"/>
      <c r="F883" s="198"/>
      <c r="G883" s="198"/>
      <c r="H883" s="198"/>
      <c r="I883" s="198"/>
      <c r="J883" s="198"/>
      <c r="K883" s="198"/>
      <c r="L883" s="198"/>
    </row>
    <row r="884">
      <c r="A884" s="198"/>
      <c r="B884" s="208" t="str">
        <f>vlookup(A884,Price!A:B,2,false)</f>
        <v>#N/A</v>
      </c>
      <c r="C884" s="198"/>
      <c r="D884" s="198"/>
      <c r="E884" s="198"/>
      <c r="F884" s="198"/>
      <c r="G884" s="198"/>
      <c r="H884" s="198"/>
      <c r="I884" s="198"/>
      <c r="J884" s="198"/>
      <c r="K884" s="198"/>
      <c r="L884" s="198"/>
    </row>
    <row r="885">
      <c r="A885" s="198"/>
      <c r="B885" s="208" t="str">
        <f>vlookup(A885,Price!A:B,2,false)</f>
        <v>#N/A</v>
      </c>
      <c r="C885" s="198"/>
      <c r="D885" s="198"/>
      <c r="E885" s="198"/>
      <c r="F885" s="198"/>
      <c r="G885" s="198"/>
      <c r="H885" s="198"/>
      <c r="I885" s="198"/>
      <c r="J885" s="198"/>
      <c r="K885" s="198"/>
      <c r="L885" s="198"/>
    </row>
    <row r="886">
      <c r="A886" s="198"/>
      <c r="B886" s="208" t="str">
        <f>vlookup(A886,Price!A:B,2,false)</f>
        <v>#N/A</v>
      </c>
      <c r="C886" s="198"/>
      <c r="D886" s="198"/>
      <c r="E886" s="198"/>
      <c r="F886" s="198"/>
      <c r="G886" s="198"/>
      <c r="H886" s="198"/>
      <c r="I886" s="198"/>
      <c r="J886" s="198"/>
      <c r="K886" s="198"/>
      <c r="L886" s="198"/>
    </row>
    <row r="887">
      <c r="A887" s="198"/>
      <c r="B887" s="208" t="str">
        <f>vlookup(A887,Price!A:B,2,false)</f>
        <v>#N/A</v>
      </c>
      <c r="C887" s="198"/>
      <c r="D887" s="198"/>
      <c r="E887" s="198"/>
      <c r="F887" s="198"/>
      <c r="G887" s="198"/>
      <c r="H887" s="198"/>
      <c r="I887" s="198"/>
      <c r="J887" s="198"/>
      <c r="K887" s="198"/>
      <c r="L887" s="198"/>
    </row>
    <row r="888">
      <c r="A888" s="198"/>
      <c r="B888" s="208" t="str">
        <f>vlookup(A888,Price!A:B,2,false)</f>
        <v>#N/A</v>
      </c>
      <c r="C888" s="198"/>
      <c r="D888" s="198"/>
      <c r="E888" s="198"/>
      <c r="F888" s="198"/>
      <c r="G888" s="198"/>
      <c r="H888" s="198"/>
      <c r="I888" s="198"/>
      <c r="J888" s="198"/>
      <c r="K888" s="198"/>
      <c r="L888" s="198"/>
    </row>
    <row r="889">
      <c r="A889" s="198"/>
      <c r="B889" s="208" t="str">
        <f>vlookup(A889,Price!A:B,2,false)</f>
        <v>#N/A</v>
      </c>
      <c r="C889" s="198"/>
      <c r="D889" s="198"/>
      <c r="E889" s="198"/>
      <c r="F889" s="198"/>
      <c r="G889" s="198"/>
      <c r="H889" s="198"/>
      <c r="I889" s="198"/>
      <c r="J889" s="198"/>
      <c r="K889" s="198"/>
      <c r="L889" s="198"/>
    </row>
    <row r="890">
      <c r="A890" s="198"/>
      <c r="B890" s="208" t="str">
        <f>vlookup(A890,Price!A:B,2,false)</f>
        <v>#N/A</v>
      </c>
      <c r="C890" s="198"/>
      <c r="D890" s="198"/>
      <c r="E890" s="198"/>
      <c r="F890" s="198"/>
      <c r="G890" s="198"/>
      <c r="H890" s="198"/>
      <c r="I890" s="198"/>
      <c r="J890" s="198"/>
      <c r="K890" s="198"/>
      <c r="L890" s="198"/>
    </row>
    <row r="891">
      <c r="A891" s="198"/>
      <c r="B891" s="208" t="str">
        <f>vlookup(A891,Price!A:B,2,false)</f>
        <v>#N/A</v>
      </c>
      <c r="C891" s="198"/>
      <c r="D891" s="198"/>
      <c r="E891" s="198"/>
      <c r="F891" s="198"/>
      <c r="G891" s="198"/>
      <c r="H891" s="198"/>
      <c r="I891" s="198"/>
      <c r="J891" s="198"/>
      <c r="K891" s="198"/>
      <c r="L891" s="198"/>
    </row>
    <row r="892">
      <c r="A892" s="198"/>
      <c r="B892" s="208" t="str">
        <f>vlookup(A892,Price!A:B,2,false)</f>
        <v>#N/A</v>
      </c>
      <c r="C892" s="198"/>
      <c r="D892" s="198"/>
      <c r="E892" s="198"/>
      <c r="F892" s="198"/>
      <c r="G892" s="198"/>
      <c r="H892" s="198"/>
      <c r="I892" s="198"/>
      <c r="J892" s="198"/>
      <c r="K892" s="198"/>
      <c r="L892" s="198"/>
    </row>
    <row r="893">
      <c r="A893" s="198"/>
      <c r="B893" s="208" t="str">
        <f>vlookup(A893,Price!A:B,2,false)</f>
        <v>#N/A</v>
      </c>
      <c r="C893" s="198"/>
      <c r="D893" s="198"/>
      <c r="E893" s="198"/>
      <c r="F893" s="198"/>
      <c r="G893" s="198"/>
      <c r="H893" s="198"/>
      <c r="I893" s="198"/>
      <c r="J893" s="198"/>
      <c r="K893" s="198"/>
      <c r="L893" s="198"/>
    </row>
    <row r="894">
      <c r="A894" s="198"/>
      <c r="B894" s="208" t="str">
        <f>vlookup(A894,Price!A:B,2,false)</f>
        <v>#N/A</v>
      </c>
      <c r="C894" s="198"/>
      <c r="D894" s="198"/>
      <c r="E894" s="198"/>
      <c r="F894" s="198"/>
      <c r="G894" s="198"/>
      <c r="H894" s="198"/>
      <c r="I894" s="198"/>
      <c r="J894" s="198"/>
      <c r="K894" s="198"/>
      <c r="L894" s="198"/>
    </row>
    <row r="895">
      <c r="A895" s="198"/>
      <c r="B895" s="208" t="str">
        <f>vlookup(A895,Price!A:B,2,false)</f>
        <v>#N/A</v>
      </c>
      <c r="C895" s="198"/>
      <c r="D895" s="198"/>
      <c r="E895" s="198"/>
      <c r="F895" s="198"/>
      <c r="G895" s="198"/>
      <c r="H895" s="198"/>
      <c r="I895" s="198"/>
      <c r="J895" s="198"/>
      <c r="K895" s="198"/>
      <c r="L895" s="198"/>
    </row>
    <row r="896">
      <c r="A896" s="198"/>
      <c r="B896" s="208" t="str">
        <f>vlookup(A896,Price!A:B,2,false)</f>
        <v>#N/A</v>
      </c>
      <c r="C896" s="198"/>
      <c r="D896" s="198"/>
      <c r="E896" s="198"/>
      <c r="F896" s="198"/>
      <c r="G896" s="198"/>
      <c r="H896" s="198"/>
      <c r="I896" s="198"/>
      <c r="J896" s="198"/>
      <c r="K896" s="198"/>
      <c r="L896" s="198"/>
    </row>
    <row r="897">
      <c r="A897" s="198"/>
      <c r="B897" s="208" t="str">
        <f>vlookup(A897,Price!A:B,2,false)</f>
        <v>#N/A</v>
      </c>
      <c r="C897" s="198"/>
      <c r="D897" s="198"/>
      <c r="E897" s="198"/>
      <c r="F897" s="198"/>
      <c r="G897" s="198"/>
      <c r="H897" s="198"/>
      <c r="I897" s="198"/>
      <c r="J897" s="198"/>
      <c r="K897" s="198"/>
      <c r="L897" s="198"/>
    </row>
    <row r="898">
      <c r="A898" s="198"/>
      <c r="B898" s="208" t="str">
        <f>vlookup(A898,Price!A:B,2,false)</f>
        <v>#N/A</v>
      </c>
      <c r="C898" s="198"/>
      <c r="D898" s="198"/>
      <c r="E898" s="198"/>
      <c r="F898" s="198"/>
      <c r="G898" s="198"/>
      <c r="H898" s="198"/>
      <c r="I898" s="198"/>
      <c r="J898" s="198"/>
      <c r="K898" s="198"/>
      <c r="L898" s="198"/>
    </row>
    <row r="899">
      <c r="A899" s="198"/>
      <c r="B899" s="208" t="str">
        <f>vlookup(A899,Price!A:B,2,false)</f>
        <v>#N/A</v>
      </c>
      <c r="C899" s="198"/>
      <c r="D899" s="198"/>
      <c r="E899" s="198"/>
      <c r="F899" s="198"/>
      <c r="G899" s="198"/>
      <c r="H899" s="198"/>
      <c r="I899" s="198"/>
      <c r="J899" s="198"/>
      <c r="K899" s="198"/>
      <c r="L899" s="198"/>
    </row>
    <row r="900">
      <c r="A900" s="198"/>
      <c r="B900" s="208" t="str">
        <f>vlookup(A900,Price!A:B,2,false)</f>
        <v>#N/A</v>
      </c>
      <c r="C900" s="198"/>
      <c r="D900" s="198"/>
      <c r="E900" s="198"/>
      <c r="F900" s="198"/>
      <c r="G900" s="198"/>
      <c r="H900" s="198"/>
      <c r="I900" s="198"/>
      <c r="J900" s="198"/>
      <c r="K900" s="198"/>
      <c r="L900" s="198"/>
    </row>
    <row r="901">
      <c r="A901" s="198"/>
      <c r="B901" s="208" t="str">
        <f>vlookup(A901,Price!A:B,2,false)</f>
        <v>#N/A</v>
      </c>
      <c r="C901" s="198"/>
      <c r="D901" s="198"/>
      <c r="E901" s="198"/>
      <c r="F901" s="198"/>
      <c r="G901" s="198"/>
      <c r="H901" s="198"/>
      <c r="I901" s="198"/>
      <c r="J901" s="198"/>
      <c r="K901" s="198"/>
      <c r="L901" s="198"/>
    </row>
    <row r="902">
      <c r="A902" s="198"/>
      <c r="B902" s="208" t="str">
        <f>vlookup(A902,Price!A:B,2,false)</f>
        <v>#N/A</v>
      </c>
      <c r="C902" s="198"/>
      <c r="D902" s="198"/>
      <c r="E902" s="198"/>
      <c r="F902" s="198"/>
      <c r="G902" s="198"/>
      <c r="H902" s="198"/>
      <c r="I902" s="198"/>
      <c r="J902" s="198"/>
      <c r="K902" s="198"/>
      <c r="L902" s="198"/>
    </row>
    <row r="903">
      <c r="A903" s="198"/>
      <c r="B903" s="208" t="str">
        <f>vlookup(A903,Price!A:B,2,false)</f>
        <v>#N/A</v>
      </c>
      <c r="C903" s="198"/>
      <c r="D903" s="198"/>
      <c r="E903" s="198"/>
      <c r="F903" s="198"/>
      <c r="G903" s="198"/>
      <c r="H903" s="198"/>
      <c r="I903" s="198"/>
      <c r="J903" s="198"/>
      <c r="K903" s="198"/>
      <c r="L903" s="198"/>
    </row>
    <row r="904">
      <c r="A904" s="198"/>
      <c r="B904" s="208" t="str">
        <f>vlookup(A904,Price!A:B,2,false)</f>
        <v>#N/A</v>
      </c>
      <c r="C904" s="198"/>
      <c r="D904" s="198"/>
      <c r="E904" s="198"/>
      <c r="F904" s="198"/>
      <c r="G904" s="198"/>
      <c r="H904" s="198"/>
      <c r="I904" s="198"/>
      <c r="J904" s="198"/>
      <c r="K904" s="198"/>
      <c r="L904" s="198"/>
    </row>
    <row r="905">
      <c r="A905" s="198"/>
      <c r="B905" s="208" t="str">
        <f>vlookup(A905,Price!A:B,2,false)</f>
        <v>#N/A</v>
      </c>
      <c r="C905" s="198"/>
      <c r="D905" s="198"/>
      <c r="E905" s="198"/>
      <c r="F905" s="198"/>
      <c r="G905" s="198"/>
      <c r="H905" s="198"/>
      <c r="I905" s="198"/>
      <c r="J905" s="198"/>
      <c r="K905" s="198"/>
      <c r="L905" s="198"/>
    </row>
    <row r="906">
      <c r="A906" s="198"/>
      <c r="B906" s="208" t="str">
        <f>vlookup(A906,Price!A:B,2,false)</f>
        <v>#N/A</v>
      </c>
      <c r="C906" s="198"/>
      <c r="D906" s="198"/>
      <c r="E906" s="198"/>
      <c r="F906" s="198"/>
      <c r="G906" s="198"/>
      <c r="H906" s="198"/>
      <c r="I906" s="198"/>
      <c r="J906" s="198"/>
      <c r="K906" s="198"/>
      <c r="L906" s="198"/>
    </row>
    <row r="907">
      <c r="A907" s="198"/>
      <c r="B907" s="208" t="str">
        <f>vlookup(A907,Price!A:B,2,false)</f>
        <v>#N/A</v>
      </c>
      <c r="C907" s="198"/>
      <c r="D907" s="198"/>
      <c r="E907" s="198"/>
      <c r="F907" s="198"/>
      <c r="G907" s="198"/>
      <c r="H907" s="198"/>
      <c r="I907" s="198"/>
      <c r="J907" s="198"/>
      <c r="K907" s="198"/>
      <c r="L907" s="198"/>
    </row>
    <row r="908">
      <c r="A908" s="198"/>
      <c r="B908" s="208" t="str">
        <f>vlookup(A908,Price!A:B,2,false)</f>
        <v>#N/A</v>
      </c>
      <c r="C908" s="198"/>
      <c r="D908" s="198"/>
      <c r="E908" s="198"/>
      <c r="F908" s="198"/>
      <c r="G908" s="198"/>
      <c r="H908" s="198"/>
      <c r="I908" s="198"/>
      <c r="J908" s="198"/>
      <c r="K908" s="198"/>
      <c r="L908" s="198"/>
    </row>
    <row r="909">
      <c r="A909" s="198"/>
      <c r="B909" s="208" t="str">
        <f>vlookup(A909,Price!A:B,2,false)</f>
        <v>#N/A</v>
      </c>
      <c r="C909" s="198"/>
      <c r="D909" s="198"/>
      <c r="E909" s="198"/>
      <c r="F909" s="198"/>
      <c r="G909" s="198"/>
      <c r="H909" s="198"/>
      <c r="I909" s="198"/>
      <c r="J909" s="198"/>
      <c r="K909" s="198"/>
      <c r="L909" s="198"/>
    </row>
    <row r="910">
      <c r="A910" s="198"/>
      <c r="B910" s="208" t="str">
        <f>vlookup(A910,Price!A:B,2,false)</f>
        <v>#N/A</v>
      </c>
      <c r="C910" s="198"/>
      <c r="D910" s="198"/>
      <c r="E910" s="198"/>
      <c r="F910" s="198"/>
      <c r="G910" s="198"/>
      <c r="H910" s="198"/>
      <c r="I910" s="198"/>
      <c r="J910" s="198"/>
      <c r="K910" s="198"/>
      <c r="L910" s="198"/>
    </row>
    <row r="911">
      <c r="A911" s="198"/>
      <c r="B911" s="208" t="str">
        <f>vlookup(A911,Price!A:B,2,false)</f>
        <v>#N/A</v>
      </c>
      <c r="C911" s="198"/>
      <c r="D911" s="198"/>
      <c r="E911" s="198"/>
      <c r="F911" s="198"/>
      <c r="G911" s="198"/>
      <c r="H911" s="198"/>
      <c r="I911" s="198"/>
      <c r="J911" s="198"/>
      <c r="K911" s="198"/>
      <c r="L911" s="198"/>
    </row>
    <row r="912">
      <c r="A912" s="198"/>
      <c r="B912" s="208" t="str">
        <f>vlookup(A912,Price!A:B,2,false)</f>
        <v>#N/A</v>
      </c>
      <c r="C912" s="198"/>
      <c r="D912" s="198"/>
      <c r="E912" s="198"/>
      <c r="F912" s="198"/>
      <c r="G912" s="198"/>
      <c r="H912" s="198"/>
      <c r="I912" s="198"/>
      <c r="J912" s="198"/>
      <c r="K912" s="198"/>
      <c r="L912" s="198"/>
    </row>
    <row r="913">
      <c r="A913" s="198"/>
      <c r="B913" s="208" t="str">
        <f>vlookup(A913,Price!A:B,2,false)</f>
        <v>#N/A</v>
      </c>
      <c r="C913" s="198"/>
      <c r="D913" s="198"/>
      <c r="E913" s="198"/>
      <c r="F913" s="198"/>
      <c r="G913" s="198"/>
      <c r="H913" s="198"/>
      <c r="I913" s="198"/>
      <c r="J913" s="198"/>
      <c r="K913" s="198"/>
      <c r="L913" s="198"/>
    </row>
    <row r="914">
      <c r="A914" s="198"/>
      <c r="B914" s="208" t="str">
        <f>vlookup(A914,Price!A:B,2,false)</f>
        <v>#N/A</v>
      </c>
      <c r="C914" s="198"/>
      <c r="D914" s="198"/>
      <c r="E914" s="198"/>
      <c r="F914" s="198"/>
      <c r="G914" s="198"/>
      <c r="H914" s="198"/>
      <c r="I914" s="198"/>
      <c r="J914" s="198"/>
      <c r="K914" s="198"/>
      <c r="L914" s="198"/>
    </row>
    <row r="915">
      <c r="A915" s="198"/>
      <c r="B915" s="208" t="str">
        <f>vlookup(A915,Price!A:B,2,false)</f>
        <v>#N/A</v>
      </c>
      <c r="C915" s="198"/>
      <c r="D915" s="198"/>
      <c r="E915" s="198"/>
      <c r="F915" s="198"/>
      <c r="G915" s="198"/>
      <c r="H915" s="198"/>
      <c r="I915" s="198"/>
      <c r="J915" s="198"/>
      <c r="K915" s="198"/>
      <c r="L915" s="198"/>
    </row>
    <row r="916">
      <c r="A916" s="198"/>
      <c r="B916" s="208" t="str">
        <f>vlookup(A916,Price!A:B,2,false)</f>
        <v>#N/A</v>
      </c>
      <c r="C916" s="198"/>
      <c r="D916" s="198"/>
      <c r="E916" s="198"/>
      <c r="F916" s="198"/>
      <c r="G916" s="198"/>
      <c r="H916" s="198"/>
      <c r="I916" s="198"/>
      <c r="J916" s="198"/>
      <c r="K916" s="198"/>
      <c r="L916" s="198"/>
    </row>
    <row r="917">
      <c r="A917" s="198"/>
      <c r="B917" s="208" t="str">
        <f>vlookup(A917,Price!A:B,2,false)</f>
        <v>#N/A</v>
      </c>
      <c r="C917" s="198"/>
      <c r="D917" s="198"/>
      <c r="E917" s="198"/>
      <c r="F917" s="198"/>
      <c r="G917" s="198"/>
      <c r="H917" s="198"/>
      <c r="I917" s="198"/>
      <c r="J917" s="198"/>
      <c r="K917" s="198"/>
      <c r="L917" s="198"/>
    </row>
    <row r="918">
      <c r="A918" s="198"/>
      <c r="B918" s="208" t="str">
        <f>vlookup(A918,Price!A:B,2,false)</f>
        <v>#N/A</v>
      </c>
      <c r="C918" s="198"/>
      <c r="D918" s="198"/>
      <c r="E918" s="198"/>
      <c r="F918" s="198"/>
      <c r="G918" s="198"/>
      <c r="H918" s="198"/>
      <c r="I918" s="198"/>
      <c r="J918" s="198"/>
      <c r="K918" s="198"/>
      <c r="L918" s="198"/>
    </row>
    <row r="919">
      <c r="A919" s="198"/>
      <c r="B919" s="208" t="str">
        <f>vlookup(A919,Price!A:B,2,false)</f>
        <v>#N/A</v>
      </c>
      <c r="C919" s="198"/>
      <c r="D919" s="198"/>
      <c r="E919" s="198"/>
      <c r="F919" s="198"/>
      <c r="G919" s="198"/>
      <c r="H919" s="198"/>
      <c r="I919" s="198"/>
      <c r="J919" s="198"/>
      <c r="K919" s="198"/>
      <c r="L919" s="198"/>
    </row>
    <row r="920">
      <c r="A920" s="198"/>
      <c r="B920" s="208" t="str">
        <f>vlookup(A920,Price!A:B,2,false)</f>
        <v>#N/A</v>
      </c>
      <c r="C920" s="198"/>
      <c r="D920" s="198"/>
      <c r="E920" s="198"/>
      <c r="F920" s="198"/>
      <c r="G920" s="198"/>
      <c r="H920" s="198"/>
      <c r="I920" s="198"/>
      <c r="J920" s="198"/>
      <c r="K920" s="198"/>
      <c r="L920" s="198"/>
    </row>
    <row r="921">
      <c r="A921" s="198"/>
      <c r="B921" s="208" t="str">
        <f>vlookup(A921,Price!A:B,2,false)</f>
        <v>#N/A</v>
      </c>
      <c r="C921" s="198"/>
      <c r="D921" s="198"/>
      <c r="E921" s="198"/>
      <c r="F921" s="198"/>
      <c r="G921" s="198"/>
      <c r="H921" s="198"/>
      <c r="I921" s="198"/>
      <c r="J921" s="198"/>
      <c r="K921" s="198"/>
      <c r="L921" s="198"/>
    </row>
    <row r="922">
      <c r="A922" s="198"/>
      <c r="B922" s="208" t="str">
        <f>vlookup(A922,Price!A:B,2,false)</f>
        <v>#N/A</v>
      </c>
      <c r="C922" s="198"/>
      <c r="D922" s="198"/>
      <c r="E922" s="198"/>
      <c r="F922" s="198"/>
      <c r="G922" s="198"/>
      <c r="H922" s="198"/>
      <c r="I922" s="198"/>
      <c r="J922" s="198"/>
      <c r="K922" s="198"/>
      <c r="L922" s="198"/>
    </row>
    <row r="923">
      <c r="A923" s="198"/>
      <c r="B923" s="208" t="str">
        <f>vlookup(A923,Price!A:B,2,false)</f>
        <v>#N/A</v>
      </c>
      <c r="C923" s="198"/>
      <c r="D923" s="198"/>
      <c r="E923" s="198"/>
      <c r="F923" s="198"/>
      <c r="G923" s="198"/>
      <c r="H923" s="198"/>
      <c r="I923" s="198"/>
      <c r="J923" s="198"/>
      <c r="K923" s="198"/>
      <c r="L923" s="198"/>
    </row>
    <row r="924">
      <c r="A924" s="198"/>
      <c r="B924" s="208" t="str">
        <f>vlookup(A924,Price!A:B,2,false)</f>
        <v>#N/A</v>
      </c>
      <c r="C924" s="198"/>
      <c r="D924" s="198"/>
      <c r="E924" s="198"/>
      <c r="F924" s="198"/>
      <c r="G924" s="198"/>
      <c r="H924" s="198"/>
      <c r="I924" s="198"/>
      <c r="J924" s="198"/>
      <c r="K924" s="198"/>
      <c r="L924" s="198"/>
    </row>
    <row r="925">
      <c r="A925" s="198"/>
      <c r="B925" s="208" t="str">
        <f>vlookup(A925,Price!A:B,2,false)</f>
        <v>#N/A</v>
      </c>
      <c r="C925" s="198"/>
      <c r="D925" s="198"/>
      <c r="E925" s="198"/>
      <c r="F925" s="198"/>
      <c r="G925" s="198"/>
      <c r="H925" s="198"/>
      <c r="I925" s="198"/>
      <c r="J925" s="198"/>
      <c r="K925" s="198"/>
      <c r="L925" s="198"/>
    </row>
    <row r="926">
      <c r="A926" s="198"/>
      <c r="B926" s="208" t="str">
        <f>vlookup(A926,Price!A:B,2,false)</f>
        <v>#N/A</v>
      </c>
      <c r="C926" s="198"/>
      <c r="D926" s="198"/>
      <c r="E926" s="198"/>
      <c r="F926" s="198"/>
      <c r="G926" s="198"/>
      <c r="H926" s="198"/>
      <c r="I926" s="198"/>
      <c r="J926" s="198"/>
      <c r="K926" s="198"/>
      <c r="L926" s="198"/>
    </row>
    <row r="927">
      <c r="A927" s="198"/>
      <c r="B927" s="208" t="str">
        <f>vlookup(A927,Price!A:B,2,false)</f>
        <v>#N/A</v>
      </c>
      <c r="C927" s="198"/>
      <c r="D927" s="198"/>
      <c r="E927" s="198"/>
      <c r="F927" s="198"/>
      <c r="G927" s="198"/>
      <c r="H927" s="198"/>
      <c r="I927" s="198"/>
      <c r="J927" s="198"/>
      <c r="K927" s="198"/>
      <c r="L927" s="198"/>
    </row>
    <row r="928">
      <c r="A928" s="198"/>
      <c r="B928" s="208" t="str">
        <f>vlookup(A928,Price!A:B,2,false)</f>
        <v>#N/A</v>
      </c>
      <c r="C928" s="198"/>
      <c r="D928" s="198"/>
      <c r="E928" s="198"/>
      <c r="F928" s="198"/>
      <c r="G928" s="198"/>
      <c r="H928" s="198"/>
      <c r="I928" s="198"/>
      <c r="J928" s="198"/>
      <c r="K928" s="198"/>
      <c r="L928" s="198"/>
    </row>
    <row r="929">
      <c r="A929" s="198"/>
      <c r="B929" s="208" t="str">
        <f>vlookup(A929,Price!A:B,2,false)</f>
        <v>#N/A</v>
      </c>
      <c r="C929" s="198"/>
      <c r="D929" s="198"/>
      <c r="E929" s="198"/>
      <c r="F929" s="198"/>
      <c r="G929" s="198"/>
      <c r="H929" s="198"/>
      <c r="I929" s="198"/>
      <c r="J929" s="198"/>
      <c r="K929" s="198"/>
      <c r="L929" s="198"/>
    </row>
    <row r="930">
      <c r="A930" s="198"/>
      <c r="B930" s="208" t="str">
        <f>vlookup(A930,Price!A:B,2,false)</f>
        <v>#N/A</v>
      </c>
      <c r="C930" s="198"/>
      <c r="D930" s="198"/>
      <c r="E930" s="198"/>
      <c r="F930" s="198"/>
      <c r="G930" s="198"/>
      <c r="H930" s="198"/>
      <c r="I930" s="198"/>
      <c r="J930" s="198"/>
      <c r="K930" s="198"/>
      <c r="L930" s="198"/>
    </row>
    <row r="931">
      <c r="A931" s="198"/>
      <c r="B931" s="208" t="str">
        <f>vlookup(A931,Price!A:B,2,false)</f>
        <v>#N/A</v>
      </c>
      <c r="C931" s="198"/>
      <c r="D931" s="198"/>
      <c r="E931" s="198"/>
      <c r="F931" s="198"/>
      <c r="G931" s="198"/>
      <c r="H931" s="198"/>
      <c r="I931" s="198"/>
      <c r="J931" s="198"/>
      <c r="K931" s="198"/>
      <c r="L931" s="198"/>
    </row>
    <row r="932">
      <c r="A932" s="198"/>
      <c r="B932" s="208" t="str">
        <f>vlookup(A932,Price!A:B,2,false)</f>
        <v>#N/A</v>
      </c>
      <c r="C932" s="198"/>
      <c r="D932" s="198"/>
      <c r="E932" s="198"/>
      <c r="F932" s="198"/>
      <c r="G932" s="198"/>
      <c r="H932" s="198"/>
      <c r="I932" s="198"/>
      <c r="J932" s="198"/>
      <c r="K932" s="198"/>
      <c r="L932" s="198"/>
    </row>
    <row r="933">
      <c r="A933" s="198"/>
      <c r="B933" s="208" t="str">
        <f>vlookup(A933,Price!A:B,2,false)</f>
        <v>#N/A</v>
      </c>
      <c r="C933" s="198"/>
      <c r="D933" s="198"/>
      <c r="E933" s="198"/>
      <c r="F933" s="198"/>
      <c r="G933" s="198"/>
      <c r="H933" s="198"/>
      <c r="I933" s="198"/>
      <c r="J933" s="198"/>
      <c r="K933" s="198"/>
      <c r="L933" s="198"/>
    </row>
    <row r="934">
      <c r="A934" s="198"/>
      <c r="B934" s="208" t="str">
        <f>vlookup(A934,Price!A:B,2,false)</f>
        <v>#N/A</v>
      </c>
      <c r="C934" s="198"/>
      <c r="D934" s="198"/>
      <c r="E934" s="198"/>
      <c r="F934" s="198"/>
      <c r="G934" s="198"/>
      <c r="H934" s="198"/>
      <c r="I934" s="198"/>
      <c r="J934" s="198"/>
      <c r="K934" s="198"/>
      <c r="L934" s="198"/>
    </row>
    <row r="935">
      <c r="A935" s="198"/>
      <c r="B935" s="208" t="str">
        <f>vlookup(A935,Price!A:B,2,false)</f>
        <v>#N/A</v>
      </c>
      <c r="C935" s="198"/>
      <c r="D935" s="198"/>
      <c r="E935" s="198"/>
      <c r="F935" s="198"/>
      <c r="G935" s="198"/>
      <c r="H935" s="198"/>
      <c r="I935" s="198"/>
      <c r="J935" s="198"/>
      <c r="K935" s="198"/>
      <c r="L935" s="198"/>
    </row>
    <row r="936">
      <c r="A936" s="198"/>
      <c r="B936" s="208" t="str">
        <f>vlookup(A936,Price!A:B,2,false)</f>
        <v>#N/A</v>
      </c>
      <c r="C936" s="198"/>
      <c r="D936" s="198"/>
      <c r="E936" s="198"/>
      <c r="F936" s="198"/>
      <c r="G936" s="198"/>
      <c r="H936" s="198"/>
      <c r="I936" s="198"/>
      <c r="J936" s="198"/>
      <c r="K936" s="198"/>
      <c r="L936" s="198"/>
    </row>
    <row r="937">
      <c r="A937" s="198"/>
      <c r="B937" s="208" t="str">
        <f>vlookup(A937,Price!A:B,2,false)</f>
        <v>#N/A</v>
      </c>
      <c r="C937" s="198"/>
      <c r="D937" s="198"/>
      <c r="E937" s="198"/>
      <c r="F937" s="198"/>
      <c r="G937" s="198"/>
      <c r="H937" s="198"/>
      <c r="I937" s="198"/>
      <c r="J937" s="198"/>
      <c r="K937" s="198"/>
      <c r="L937" s="198"/>
    </row>
    <row r="938">
      <c r="A938" s="198"/>
      <c r="B938" s="208" t="str">
        <f>vlookup(A938,Price!A:B,2,false)</f>
        <v>#N/A</v>
      </c>
      <c r="C938" s="198"/>
      <c r="D938" s="198"/>
      <c r="E938" s="198"/>
      <c r="F938" s="198"/>
      <c r="G938" s="198"/>
      <c r="H938" s="198"/>
      <c r="I938" s="198"/>
      <c r="J938" s="198"/>
      <c r="K938" s="198"/>
      <c r="L938" s="198"/>
    </row>
    <row r="939">
      <c r="A939" s="198"/>
      <c r="B939" s="208" t="str">
        <f>vlookup(A939,Price!A:B,2,false)</f>
        <v>#N/A</v>
      </c>
      <c r="C939" s="198"/>
      <c r="D939" s="198"/>
      <c r="E939" s="198"/>
      <c r="F939" s="198"/>
      <c r="G939" s="198"/>
      <c r="H939" s="198"/>
      <c r="I939" s="198"/>
      <c r="J939" s="198"/>
      <c r="K939" s="198"/>
      <c r="L939" s="198"/>
    </row>
    <row r="940">
      <c r="A940" s="198"/>
      <c r="B940" s="208" t="str">
        <f>vlookup(A940,Price!A:B,2,false)</f>
        <v>#N/A</v>
      </c>
      <c r="C940" s="198"/>
      <c r="D940" s="198"/>
      <c r="E940" s="198"/>
      <c r="F940" s="198"/>
      <c r="G940" s="198"/>
      <c r="H940" s="198"/>
      <c r="I940" s="198"/>
      <c r="J940" s="198"/>
      <c r="K940" s="198"/>
      <c r="L940" s="198"/>
    </row>
    <row r="941">
      <c r="A941" s="198"/>
      <c r="B941" s="208" t="str">
        <f>vlookup(A941,Price!A:B,2,false)</f>
        <v>#N/A</v>
      </c>
      <c r="C941" s="198"/>
      <c r="D941" s="198"/>
      <c r="E941" s="198"/>
      <c r="F941" s="198"/>
      <c r="G941" s="198"/>
      <c r="H941" s="198"/>
      <c r="I941" s="198"/>
      <c r="J941" s="198"/>
      <c r="K941" s="198"/>
      <c r="L941" s="198"/>
    </row>
    <row r="942">
      <c r="A942" s="198"/>
      <c r="B942" s="208" t="str">
        <f>vlookup(A942,Price!A:B,2,false)</f>
        <v>#N/A</v>
      </c>
      <c r="C942" s="198"/>
      <c r="D942" s="198"/>
      <c r="E942" s="198"/>
      <c r="F942" s="198"/>
      <c r="G942" s="198"/>
      <c r="H942" s="198"/>
      <c r="I942" s="198"/>
      <c r="J942" s="198"/>
      <c r="K942" s="198"/>
      <c r="L942" s="198"/>
    </row>
    <row r="943">
      <c r="A943" s="198"/>
      <c r="B943" s="208" t="str">
        <f>vlookup(A943,Price!A:B,2,false)</f>
        <v>#N/A</v>
      </c>
      <c r="C943" s="198"/>
      <c r="D943" s="198"/>
      <c r="E943" s="198"/>
      <c r="F943" s="198"/>
      <c r="G943" s="198"/>
      <c r="H943" s="198"/>
      <c r="I943" s="198"/>
      <c r="J943" s="198"/>
      <c r="K943" s="198"/>
      <c r="L943" s="198"/>
    </row>
    <row r="944">
      <c r="A944" s="198"/>
      <c r="B944" s="208" t="str">
        <f>vlookup(A944,Price!A:B,2,false)</f>
        <v>#N/A</v>
      </c>
      <c r="C944" s="198"/>
      <c r="D944" s="198"/>
      <c r="E944" s="198"/>
      <c r="F944" s="198"/>
      <c r="G944" s="198"/>
      <c r="H944" s="198"/>
      <c r="I944" s="198"/>
      <c r="J944" s="198"/>
      <c r="K944" s="198"/>
      <c r="L944" s="198"/>
    </row>
    <row r="945">
      <c r="A945" s="198"/>
      <c r="B945" s="208" t="str">
        <f>vlookup(A945,Price!A:B,2,false)</f>
        <v>#N/A</v>
      </c>
      <c r="C945" s="198"/>
      <c r="D945" s="198"/>
      <c r="E945" s="198"/>
      <c r="F945" s="198"/>
      <c r="G945" s="198"/>
      <c r="H945" s="198"/>
      <c r="I945" s="198"/>
      <c r="J945" s="198"/>
      <c r="K945" s="198"/>
      <c r="L945" s="198"/>
    </row>
    <row r="946">
      <c r="A946" s="198"/>
      <c r="B946" s="208" t="str">
        <f>vlookup(A946,Price!A:B,2,false)</f>
        <v>#N/A</v>
      </c>
      <c r="C946" s="198"/>
      <c r="D946" s="198"/>
      <c r="E946" s="198"/>
      <c r="F946" s="198"/>
      <c r="G946" s="198"/>
      <c r="H946" s="198"/>
      <c r="I946" s="198"/>
      <c r="J946" s="198"/>
      <c r="K946" s="198"/>
      <c r="L946" s="198"/>
    </row>
    <row r="947">
      <c r="A947" s="198"/>
      <c r="B947" s="208" t="str">
        <f>vlookup(A947,Price!A:B,2,false)</f>
        <v>#N/A</v>
      </c>
      <c r="C947" s="198"/>
      <c r="D947" s="198"/>
      <c r="E947" s="198"/>
      <c r="F947" s="198"/>
      <c r="G947" s="198"/>
      <c r="H947" s="198"/>
      <c r="I947" s="198"/>
      <c r="J947" s="198"/>
      <c r="K947" s="198"/>
      <c r="L947" s="198"/>
    </row>
    <row r="948">
      <c r="A948" s="198"/>
      <c r="B948" s="208" t="str">
        <f>vlookup(A948,Price!A:B,2,false)</f>
        <v>#N/A</v>
      </c>
      <c r="C948" s="198"/>
      <c r="D948" s="198"/>
      <c r="E948" s="198"/>
      <c r="F948" s="198"/>
      <c r="G948" s="198"/>
      <c r="H948" s="198"/>
      <c r="I948" s="198"/>
      <c r="J948" s="198"/>
      <c r="K948" s="198"/>
      <c r="L948" s="198"/>
    </row>
    <row r="949">
      <c r="A949" s="198"/>
      <c r="B949" s="208" t="str">
        <f>vlookup(A949,Price!A:B,2,false)</f>
        <v>#N/A</v>
      </c>
      <c r="C949" s="198"/>
      <c r="D949" s="198"/>
      <c r="E949" s="198"/>
      <c r="F949" s="198"/>
      <c r="G949" s="198"/>
      <c r="H949" s="198"/>
      <c r="I949" s="198"/>
      <c r="J949" s="198"/>
      <c r="K949" s="198"/>
      <c r="L949" s="198"/>
    </row>
    <row r="950">
      <c r="A950" s="198"/>
      <c r="B950" s="208" t="str">
        <f>vlookup(A950,Price!A:B,2,false)</f>
        <v>#N/A</v>
      </c>
      <c r="C950" s="198"/>
      <c r="D950" s="198"/>
      <c r="E950" s="198"/>
      <c r="F950" s="198"/>
      <c r="G950" s="198"/>
      <c r="H950" s="198"/>
      <c r="I950" s="198"/>
      <c r="J950" s="198"/>
      <c r="K950" s="198"/>
      <c r="L950" s="198"/>
    </row>
    <row r="951">
      <c r="A951" s="198"/>
      <c r="B951" s="208" t="str">
        <f>vlookup(A951,Price!A:B,2,false)</f>
        <v>#N/A</v>
      </c>
      <c r="C951" s="198"/>
      <c r="D951" s="198"/>
      <c r="E951" s="198"/>
      <c r="F951" s="198"/>
      <c r="G951" s="198"/>
      <c r="H951" s="198"/>
      <c r="I951" s="198"/>
      <c r="J951" s="198"/>
      <c r="K951" s="198"/>
      <c r="L951" s="198"/>
    </row>
    <row r="952">
      <c r="A952" s="198"/>
      <c r="B952" s="208" t="str">
        <f>vlookup(A952,Price!A:B,2,false)</f>
        <v>#N/A</v>
      </c>
      <c r="C952" s="198"/>
      <c r="D952" s="198"/>
      <c r="E952" s="198"/>
      <c r="F952" s="198"/>
      <c r="G952" s="198"/>
      <c r="H952" s="198"/>
      <c r="I952" s="198"/>
      <c r="J952" s="198"/>
      <c r="K952" s="198"/>
      <c r="L952" s="198"/>
    </row>
    <row r="953">
      <c r="A953" s="198"/>
      <c r="B953" s="208" t="str">
        <f>vlookup(A953,Price!A:B,2,false)</f>
        <v>#N/A</v>
      </c>
      <c r="C953" s="198"/>
      <c r="D953" s="198"/>
      <c r="E953" s="198"/>
      <c r="F953" s="198"/>
      <c r="G953" s="198"/>
      <c r="H953" s="198"/>
      <c r="I953" s="198"/>
      <c r="J953" s="198"/>
      <c r="K953" s="198"/>
      <c r="L953" s="198"/>
    </row>
    <row r="954">
      <c r="A954" s="198"/>
      <c r="B954" s="208" t="str">
        <f>vlookup(A954,Price!A:B,2,false)</f>
        <v>#N/A</v>
      </c>
      <c r="C954" s="198"/>
      <c r="D954" s="198"/>
      <c r="E954" s="198"/>
      <c r="F954" s="198"/>
      <c r="G954" s="198"/>
      <c r="H954" s="198"/>
      <c r="I954" s="198"/>
      <c r="J954" s="198"/>
      <c r="K954" s="198"/>
      <c r="L954" s="198"/>
    </row>
    <row r="955">
      <c r="A955" s="198"/>
      <c r="B955" s="208" t="str">
        <f>vlookup(A955,Price!A:B,2,false)</f>
        <v>#N/A</v>
      </c>
      <c r="C955" s="198"/>
      <c r="D955" s="198"/>
      <c r="E955" s="198"/>
      <c r="F955" s="198"/>
      <c r="G955" s="198"/>
      <c r="H955" s="198"/>
      <c r="I955" s="198"/>
      <c r="J955" s="198"/>
      <c r="K955" s="198"/>
      <c r="L955" s="198"/>
    </row>
    <row r="956">
      <c r="A956" s="198"/>
      <c r="B956" s="208" t="str">
        <f>vlookup(A956,Price!A:B,2,false)</f>
        <v>#N/A</v>
      </c>
      <c r="C956" s="198"/>
      <c r="D956" s="198"/>
      <c r="E956" s="198"/>
      <c r="F956" s="198"/>
      <c r="G956" s="198"/>
      <c r="H956" s="198"/>
      <c r="I956" s="198"/>
      <c r="J956" s="198"/>
      <c r="K956" s="198"/>
      <c r="L956" s="198"/>
    </row>
    <row r="957">
      <c r="A957" s="198"/>
      <c r="B957" s="208" t="str">
        <f>vlookup(A957,Price!A:B,2,false)</f>
        <v>#N/A</v>
      </c>
      <c r="C957" s="198"/>
      <c r="D957" s="198"/>
      <c r="E957" s="198"/>
      <c r="F957" s="198"/>
      <c r="G957" s="198"/>
      <c r="H957" s="198"/>
      <c r="I957" s="198"/>
      <c r="J957" s="198"/>
      <c r="K957" s="198"/>
      <c r="L957" s="198"/>
    </row>
    <row r="958">
      <c r="A958" s="198"/>
      <c r="B958" s="208" t="str">
        <f>vlookup(A958,Price!A:B,2,false)</f>
        <v>#N/A</v>
      </c>
      <c r="C958" s="198"/>
      <c r="D958" s="198"/>
      <c r="E958" s="198"/>
      <c r="F958" s="198"/>
      <c r="G958" s="198"/>
      <c r="H958" s="198"/>
      <c r="I958" s="198"/>
      <c r="J958" s="198"/>
      <c r="K958" s="198"/>
      <c r="L958" s="198"/>
    </row>
    <row r="959">
      <c r="A959" s="198"/>
      <c r="B959" s="208" t="str">
        <f>vlookup(A959,Price!A:B,2,false)</f>
        <v>#N/A</v>
      </c>
      <c r="C959" s="198"/>
      <c r="D959" s="198"/>
      <c r="E959" s="198"/>
      <c r="F959" s="198"/>
      <c r="G959" s="198"/>
      <c r="H959" s="198"/>
      <c r="I959" s="198"/>
      <c r="J959" s="198"/>
      <c r="K959" s="198"/>
      <c r="L959" s="198"/>
    </row>
    <row r="960">
      <c r="A960" s="198"/>
      <c r="B960" s="208" t="str">
        <f>vlookup(A960,Price!A:B,2,false)</f>
        <v>#N/A</v>
      </c>
      <c r="C960" s="198"/>
      <c r="D960" s="198"/>
      <c r="E960" s="198"/>
      <c r="F960" s="198"/>
      <c r="G960" s="198"/>
      <c r="H960" s="198"/>
      <c r="I960" s="198"/>
      <c r="J960" s="198"/>
      <c r="K960" s="198"/>
      <c r="L960" s="198"/>
    </row>
    <row r="961">
      <c r="A961" s="198"/>
      <c r="B961" s="208" t="str">
        <f>vlookup(A961,Price!A:B,2,false)</f>
        <v>#N/A</v>
      </c>
      <c r="C961" s="198"/>
      <c r="D961" s="198"/>
      <c r="E961" s="198"/>
      <c r="F961" s="198"/>
      <c r="G961" s="198"/>
      <c r="H961" s="198"/>
      <c r="I961" s="198"/>
      <c r="J961" s="198"/>
      <c r="K961" s="198"/>
      <c r="L961" s="198"/>
    </row>
    <row r="962">
      <c r="A962" s="198"/>
      <c r="B962" s="208" t="str">
        <f>vlookup(A962,Price!A:B,2,false)</f>
        <v>#N/A</v>
      </c>
      <c r="C962" s="198"/>
      <c r="D962" s="198"/>
      <c r="E962" s="198"/>
      <c r="F962" s="198"/>
      <c r="G962" s="198"/>
      <c r="H962" s="198"/>
      <c r="I962" s="198"/>
      <c r="J962" s="198"/>
      <c r="K962" s="198"/>
      <c r="L962" s="198"/>
    </row>
    <row r="963">
      <c r="A963" s="198"/>
      <c r="B963" s="208" t="str">
        <f>vlookup(A963,Price!A:B,2,false)</f>
        <v>#N/A</v>
      </c>
      <c r="C963" s="198"/>
      <c r="D963" s="198"/>
      <c r="E963" s="198"/>
      <c r="F963" s="198"/>
      <c r="G963" s="198"/>
      <c r="H963" s="198"/>
      <c r="I963" s="198"/>
      <c r="J963" s="198"/>
      <c r="K963" s="198"/>
      <c r="L963" s="198"/>
    </row>
    <row r="964">
      <c r="A964" s="198"/>
      <c r="B964" s="208" t="str">
        <f>vlookup(A964,Price!A:B,2,false)</f>
        <v>#N/A</v>
      </c>
      <c r="C964" s="198"/>
      <c r="D964" s="198"/>
      <c r="E964" s="198"/>
      <c r="F964" s="198"/>
      <c r="G964" s="198"/>
      <c r="H964" s="198"/>
      <c r="I964" s="198"/>
      <c r="J964" s="198"/>
      <c r="K964" s="198"/>
      <c r="L964" s="198"/>
    </row>
    <row r="965">
      <c r="A965" s="198"/>
      <c r="B965" s="208" t="str">
        <f>vlookup(A965,Price!A:B,2,false)</f>
        <v>#N/A</v>
      </c>
      <c r="C965" s="198"/>
      <c r="D965" s="198"/>
      <c r="E965" s="198"/>
      <c r="F965" s="198"/>
      <c r="G965" s="198"/>
      <c r="H965" s="198"/>
      <c r="I965" s="198"/>
      <c r="J965" s="198"/>
      <c r="K965" s="198"/>
      <c r="L965" s="198"/>
    </row>
    <row r="966">
      <c r="A966" s="198"/>
      <c r="B966" s="208" t="str">
        <f>vlookup(A966,Price!A:B,2,false)</f>
        <v>#N/A</v>
      </c>
      <c r="C966" s="198"/>
      <c r="D966" s="198"/>
      <c r="E966" s="198"/>
      <c r="F966" s="198"/>
      <c r="G966" s="198"/>
      <c r="H966" s="198"/>
      <c r="I966" s="198"/>
      <c r="J966" s="198"/>
      <c r="K966" s="198"/>
      <c r="L966" s="198"/>
    </row>
    <row r="967">
      <c r="A967" s="198"/>
      <c r="B967" s="208" t="str">
        <f>vlookup(A967,Price!A:B,2,false)</f>
        <v>#N/A</v>
      </c>
      <c r="C967" s="198"/>
      <c r="D967" s="198"/>
      <c r="E967" s="198"/>
      <c r="F967" s="198"/>
      <c r="G967" s="198"/>
      <c r="H967" s="198"/>
      <c r="I967" s="198"/>
      <c r="J967" s="198"/>
      <c r="K967" s="198"/>
      <c r="L967" s="198"/>
    </row>
    <row r="968">
      <c r="A968" s="198"/>
      <c r="B968" s="208" t="str">
        <f>vlookup(A968,Price!A:B,2,false)</f>
        <v>#N/A</v>
      </c>
      <c r="C968" s="198"/>
      <c r="D968" s="198"/>
      <c r="E968" s="198"/>
      <c r="F968" s="198"/>
      <c r="G968" s="198"/>
      <c r="H968" s="198"/>
      <c r="I968" s="198"/>
      <c r="J968" s="198"/>
      <c r="K968" s="198"/>
      <c r="L968" s="198"/>
    </row>
    <row r="969">
      <c r="A969" s="198"/>
      <c r="B969" s="208" t="str">
        <f>vlookup(A969,Price!A:B,2,false)</f>
        <v>#N/A</v>
      </c>
      <c r="C969" s="198"/>
      <c r="D969" s="198"/>
      <c r="E969" s="198"/>
      <c r="F969" s="198"/>
      <c r="G969" s="198"/>
      <c r="H969" s="198"/>
      <c r="I969" s="198"/>
      <c r="J969" s="198"/>
      <c r="K969" s="198"/>
      <c r="L969" s="198"/>
    </row>
    <row r="970">
      <c r="A970" s="198"/>
      <c r="B970" s="208" t="str">
        <f>vlookup(A970,Price!A:B,2,false)</f>
        <v>#N/A</v>
      </c>
      <c r="C970" s="198"/>
      <c r="D970" s="198"/>
      <c r="E970" s="198"/>
      <c r="F970" s="198"/>
      <c r="G970" s="198"/>
      <c r="H970" s="198"/>
      <c r="I970" s="198"/>
      <c r="J970" s="198"/>
      <c r="K970" s="198"/>
      <c r="L970" s="198"/>
    </row>
    <row r="971">
      <c r="A971" s="198"/>
      <c r="B971" s="208" t="str">
        <f>vlookup(A971,Price!A:B,2,false)</f>
        <v>#N/A</v>
      </c>
      <c r="C971" s="198"/>
      <c r="D971" s="198"/>
      <c r="E971" s="198"/>
      <c r="F971" s="198"/>
      <c r="G971" s="198"/>
      <c r="H971" s="198"/>
      <c r="I971" s="198"/>
      <c r="J971" s="198"/>
      <c r="K971" s="198"/>
      <c r="L971" s="198"/>
    </row>
    <row r="972">
      <c r="A972" s="198"/>
      <c r="B972" s="208" t="str">
        <f>vlookup(A972,Price!A:B,2,false)</f>
        <v>#N/A</v>
      </c>
      <c r="C972" s="198"/>
      <c r="D972" s="198"/>
      <c r="E972" s="198"/>
      <c r="F972" s="198"/>
      <c r="G972" s="198"/>
      <c r="H972" s="198"/>
      <c r="I972" s="198"/>
      <c r="J972" s="198"/>
      <c r="K972" s="198"/>
      <c r="L972" s="198"/>
    </row>
    <row r="973">
      <c r="A973" s="198"/>
      <c r="B973" s="208" t="str">
        <f>vlookup(A973,Price!A:B,2,false)</f>
        <v>#N/A</v>
      </c>
      <c r="C973" s="198"/>
      <c r="D973" s="198"/>
      <c r="E973" s="198"/>
      <c r="F973" s="198"/>
      <c r="G973" s="198"/>
      <c r="H973" s="198"/>
      <c r="I973" s="198"/>
      <c r="J973" s="198"/>
      <c r="K973" s="198"/>
      <c r="L973" s="198"/>
    </row>
    <row r="974">
      <c r="A974" s="198"/>
      <c r="B974" s="208" t="str">
        <f>vlookup(A974,Price!A:B,2,false)</f>
        <v>#N/A</v>
      </c>
      <c r="C974" s="198"/>
      <c r="D974" s="198"/>
      <c r="E974" s="198"/>
      <c r="F974" s="198"/>
      <c r="G974" s="198"/>
      <c r="H974" s="198"/>
      <c r="I974" s="198"/>
      <c r="J974" s="198"/>
      <c r="K974" s="198"/>
      <c r="L974" s="198"/>
    </row>
    <row r="975">
      <c r="A975" s="198"/>
      <c r="B975" s="208" t="str">
        <f>vlookup(A975,Price!A:B,2,false)</f>
        <v>#N/A</v>
      </c>
      <c r="C975" s="198"/>
      <c r="D975" s="198"/>
      <c r="E975" s="198"/>
      <c r="F975" s="198"/>
      <c r="G975" s="198"/>
      <c r="H975" s="198"/>
      <c r="I975" s="198"/>
      <c r="J975" s="198"/>
      <c r="K975" s="198"/>
      <c r="L975" s="198"/>
    </row>
    <row r="976">
      <c r="A976" s="198"/>
      <c r="B976" s="208" t="str">
        <f>vlookup(A976,Price!A:B,2,false)</f>
        <v>#N/A</v>
      </c>
      <c r="C976" s="198"/>
      <c r="D976" s="198"/>
      <c r="E976" s="198"/>
      <c r="F976" s="198"/>
      <c r="G976" s="198"/>
      <c r="H976" s="198"/>
      <c r="I976" s="198"/>
      <c r="J976" s="198"/>
      <c r="K976" s="198"/>
      <c r="L976" s="198"/>
    </row>
    <row r="977">
      <c r="A977" s="198"/>
      <c r="B977" s="208" t="str">
        <f>vlookup(A977,Price!A:B,2,false)</f>
        <v>#N/A</v>
      </c>
      <c r="C977" s="198"/>
      <c r="D977" s="198"/>
      <c r="E977" s="198"/>
      <c r="F977" s="198"/>
      <c r="G977" s="198"/>
      <c r="H977" s="198"/>
      <c r="I977" s="198"/>
      <c r="J977" s="198"/>
      <c r="K977" s="198"/>
      <c r="L977" s="198"/>
    </row>
    <row r="978">
      <c r="A978" s="198"/>
      <c r="B978" s="208" t="str">
        <f>vlookup(A978,Price!A:B,2,false)</f>
        <v>#N/A</v>
      </c>
      <c r="C978" s="198"/>
      <c r="D978" s="198"/>
      <c r="E978" s="198"/>
      <c r="F978" s="198"/>
      <c r="G978" s="198"/>
      <c r="H978" s="198"/>
      <c r="I978" s="198"/>
      <c r="J978" s="198"/>
      <c r="K978" s="198"/>
      <c r="L978" s="198"/>
    </row>
    <row r="979">
      <c r="A979" s="198"/>
      <c r="B979" s="208" t="str">
        <f>vlookup(A979,Price!A:B,2,false)</f>
        <v>#N/A</v>
      </c>
      <c r="C979" s="198"/>
      <c r="D979" s="198"/>
      <c r="E979" s="198"/>
      <c r="F979" s="198"/>
      <c r="G979" s="198"/>
      <c r="H979" s="198"/>
      <c r="I979" s="198"/>
      <c r="J979" s="198"/>
      <c r="K979" s="198"/>
      <c r="L979" s="198"/>
    </row>
    <row r="980">
      <c r="A980" s="198"/>
      <c r="B980" s="208" t="str">
        <f>vlookup(A980,Price!A:B,2,false)</f>
        <v>#N/A</v>
      </c>
      <c r="C980" s="198"/>
      <c r="D980" s="198"/>
      <c r="E980" s="198"/>
      <c r="F980" s="198"/>
      <c r="G980" s="198"/>
      <c r="H980" s="198"/>
      <c r="I980" s="198"/>
      <c r="J980" s="198"/>
      <c r="K980" s="198"/>
      <c r="L980" s="198"/>
    </row>
    <row r="981">
      <c r="A981" s="198"/>
      <c r="B981" s="208" t="str">
        <f>vlookup(A981,Price!A:B,2,false)</f>
        <v>#N/A</v>
      </c>
      <c r="C981" s="198"/>
      <c r="D981" s="198"/>
      <c r="E981" s="198"/>
      <c r="F981" s="198"/>
      <c r="G981" s="198"/>
      <c r="H981" s="198"/>
      <c r="I981" s="198"/>
      <c r="J981" s="198"/>
      <c r="K981" s="198"/>
      <c r="L981" s="198"/>
    </row>
    <row r="982">
      <c r="A982" s="198"/>
      <c r="B982" s="208" t="str">
        <f>vlookup(A982,Price!A:B,2,false)</f>
        <v>#N/A</v>
      </c>
      <c r="C982" s="198"/>
      <c r="D982" s="198"/>
      <c r="E982" s="198"/>
      <c r="F982" s="198"/>
      <c r="G982" s="198"/>
      <c r="H982" s="198"/>
      <c r="I982" s="198"/>
      <c r="J982" s="198"/>
      <c r="K982" s="198"/>
      <c r="L982" s="198"/>
    </row>
    <row r="983">
      <c r="A983" s="198"/>
      <c r="B983" s="208" t="str">
        <f>vlookup(A983,Price!A:B,2,false)</f>
        <v>#N/A</v>
      </c>
      <c r="C983" s="198"/>
      <c r="D983" s="198"/>
      <c r="E983" s="198"/>
      <c r="F983" s="198"/>
      <c r="G983" s="198"/>
      <c r="H983" s="198"/>
      <c r="I983" s="198"/>
      <c r="J983" s="198"/>
      <c r="K983" s="198"/>
      <c r="L983" s="198"/>
    </row>
    <row r="984">
      <c r="A984" s="198"/>
      <c r="B984" s="208" t="str">
        <f>vlookup(A984,Price!A:B,2,false)</f>
        <v>#N/A</v>
      </c>
      <c r="C984" s="198"/>
      <c r="D984" s="198"/>
      <c r="E984" s="198"/>
      <c r="F984" s="198"/>
      <c r="G984" s="198"/>
      <c r="H984" s="198"/>
      <c r="I984" s="198"/>
      <c r="J984" s="198"/>
      <c r="K984" s="198"/>
      <c r="L984" s="198"/>
    </row>
    <row r="985">
      <c r="A985" s="198"/>
      <c r="B985" s="208" t="str">
        <f>vlookup(A985,Price!A:B,2,false)</f>
        <v>#N/A</v>
      </c>
      <c r="C985" s="198"/>
      <c r="D985" s="198"/>
      <c r="E985" s="198"/>
      <c r="F985" s="198"/>
      <c r="G985" s="198"/>
      <c r="H985" s="198"/>
      <c r="I985" s="198"/>
      <c r="J985" s="198"/>
      <c r="K985" s="198"/>
      <c r="L985" s="198"/>
    </row>
    <row r="986">
      <c r="A986" s="198"/>
      <c r="B986" s="208" t="str">
        <f>vlookup(A986,Price!A:B,2,false)</f>
        <v>#N/A</v>
      </c>
      <c r="C986" s="198"/>
      <c r="D986" s="198"/>
      <c r="E986" s="198"/>
      <c r="F986" s="198"/>
      <c r="G986" s="198"/>
      <c r="H986" s="198"/>
      <c r="I986" s="198"/>
      <c r="J986" s="198"/>
      <c r="K986" s="198"/>
      <c r="L986" s="198"/>
    </row>
    <row r="987">
      <c r="A987" s="198"/>
      <c r="B987" s="208" t="str">
        <f>vlookup(A987,Price!A:B,2,false)</f>
        <v>#N/A</v>
      </c>
      <c r="C987" s="198"/>
      <c r="D987" s="198"/>
      <c r="E987" s="198"/>
      <c r="F987" s="198"/>
      <c r="G987" s="198"/>
      <c r="H987" s="198"/>
      <c r="I987" s="198"/>
      <c r="J987" s="198"/>
      <c r="K987" s="198"/>
      <c r="L987" s="198"/>
    </row>
    <row r="988">
      <c r="A988" s="198"/>
      <c r="B988" s="208" t="str">
        <f>vlookup(A988,Price!A:B,2,false)</f>
        <v>#N/A</v>
      </c>
      <c r="C988" s="198"/>
      <c r="D988" s="198"/>
      <c r="E988" s="198"/>
      <c r="F988" s="198"/>
      <c r="G988" s="198"/>
      <c r="H988" s="198"/>
      <c r="I988" s="198"/>
      <c r="J988" s="198"/>
      <c r="K988" s="198"/>
      <c r="L988" s="198"/>
    </row>
    <row r="989">
      <c r="A989" s="198"/>
      <c r="B989" s="208" t="str">
        <f>vlookup(A989,Price!A:B,2,false)</f>
        <v>#N/A</v>
      </c>
      <c r="C989" s="198"/>
      <c r="D989" s="198"/>
      <c r="E989" s="198"/>
      <c r="F989" s="198"/>
      <c r="G989" s="198"/>
      <c r="H989" s="198"/>
      <c r="I989" s="198"/>
      <c r="J989" s="198"/>
      <c r="K989" s="198"/>
      <c r="L989" s="198"/>
    </row>
    <row r="990">
      <c r="A990" s="198"/>
      <c r="B990" s="208" t="str">
        <f>vlookup(A990,Price!A:B,2,false)</f>
        <v>#N/A</v>
      </c>
      <c r="C990" s="198"/>
      <c r="D990" s="198"/>
      <c r="E990" s="198"/>
      <c r="F990" s="198"/>
      <c r="G990" s="198"/>
      <c r="H990" s="198"/>
      <c r="I990" s="198"/>
      <c r="J990" s="198"/>
      <c r="K990" s="198"/>
      <c r="L990" s="198"/>
    </row>
    <row r="991">
      <c r="A991" s="198"/>
      <c r="B991" s="208" t="str">
        <f>vlookup(A991,Price!A:B,2,false)</f>
        <v>#N/A</v>
      </c>
      <c r="C991" s="198"/>
      <c r="D991" s="198"/>
      <c r="E991" s="198"/>
      <c r="F991" s="198"/>
      <c r="G991" s="198"/>
      <c r="H991" s="198"/>
      <c r="I991" s="198"/>
      <c r="J991" s="198"/>
      <c r="K991" s="198"/>
      <c r="L991" s="198"/>
    </row>
    <row r="992">
      <c r="A992" s="198"/>
      <c r="B992" s="208" t="str">
        <f>vlookup(A992,Price!A:B,2,false)</f>
        <v>#N/A</v>
      </c>
      <c r="C992" s="198"/>
      <c r="D992" s="198"/>
      <c r="E992" s="198"/>
      <c r="F992" s="198"/>
      <c r="G992" s="198"/>
      <c r="H992" s="198"/>
      <c r="I992" s="198"/>
      <c r="J992" s="198"/>
      <c r="K992" s="198"/>
      <c r="L992" s="198"/>
    </row>
    <row r="993">
      <c r="A993" s="198"/>
      <c r="B993" s="208" t="str">
        <f>vlookup(A993,Price!A:B,2,false)</f>
        <v>#N/A</v>
      </c>
      <c r="C993" s="198"/>
      <c r="D993" s="198"/>
      <c r="E993" s="198"/>
      <c r="F993" s="198"/>
      <c r="G993" s="198"/>
      <c r="H993" s="198"/>
      <c r="I993" s="198"/>
      <c r="J993" s="198"/>
      <c r="K993" s="198"/>
      <c r="L993" s="198"/>
    </row>
    <row r="994">
      <c r="A994" s="198"/>
      <c r="B994" s="208" t="str">
        <f>vlookup(A994,Price!A:B,2,false)</f>
        <v>#N/A</v>
      </c>
      <c r="C994" s="198"/>
      <c r="D994" s="198"/>
      <c r="E994" s="198"/>
      <c r="F994" s="198"/>
      <c r="G994" s="198"/>
      <c r="H994" s="198"/>
      <c r="I994" s="198"/>
      <c r="J994" s="198"/>
      <c r="K994" s="198"/>
      <c r="L994" s="198"/>
    </row>
    <row r="995">
      <c r="A995" s="198"/>
      <c r="B995" s="208" t="str">
        <f>vlookup(A995,Price!A:B,2,false)</f>
        <v>#N/A</v>
      </c>
      <c r="C995" s="198"/>
      <c r="D995" s="198"/>
      <c r="E995" s="198"/>
      <c r="F995" s="198"/>
      <c r="G995" s="198"/>
      <c r="H995" s="198"/>
      <c r="I995" s="198"/>
      <c r="J995" s="198"/>
      <c r="K995" s="198"/>
      <c r="L995" s="198"/>
    </row>
    <row r="996">
      <c r="A996" s="198"/>
      <c r="B996" s="208" t="str">
        <f>vlookup(A996,Price!A:B,2,false)</f>
        <v>#N/A</v>
      </c>
      <c r="C996" s="198"/>
      <c r="D996" s="198"/>
      <c r="E996" s="198"/>
      <c r="F996" s="198"/>
      <c r="G996" s="198"/>
      <c r="H996" s="198"/>
      <c r="I996" s="198"/>
      <c r="J996" s="198"/>
      <c r="K996" s="198"/>
      <c r="L996" s="198"/>
    </row>
    <row r="997">
      <c r="A997" s="198"/>
      <c r="B997" s="208" t="str">
        <f>vlookup(A997,Price!A:B,2,false)</f>
        <v>#N/A</v>
      </c>
      <c r="C997" s="198"/>
      <c r="D997" s="198"/>
      <c r="E997" s="198"/>
      <c r="F997" s="198"/>
      <c r="G997" s="198"/>
      <c r="H997" s="198"/>
      <c r="I997" s="198"/>
      <c r="J997" s="198"/>
      <c r="K997" s="198"/>
      <c r="L997" s="198"/>
    </row>
    <row r="998">
      <c r="A998" s="198"/>
      <c r="B998" s="208" t="str">
        <f>vlookup(A998,Price!A:B,2,false)</f>
        <v>#N/A</v>
      </c>
      <c r="C998" s="198"/>
      <c r="D998" s="198"/>
      <c r="E998" s="198"/>
      <c r="F998" s="198"/>
      <c r="G998" s="198"/>
      <c r="H998" s="198"/>
      <c r="I998" s="198"/>
      <c r="J998" s="198"/>
      <c r="K998" s="198"/>
      <c r="L998" s="198"/>
    </row>
    <row r="999">
      <c r="A999" s="198"/>
      <c r="B999" s="208" t="str">
        <f>vlookup(A999,Price!A:B,2,false)</f>
        <v>#N/A</v>
      </c>
      <c r="C999" s="198"/>
      <c r="D999" s="198"/>
      <c r="E999" s="198"/>
      <c r="F999" s="198"/>
      <c r="G999" s="198"/>
      <c r="H999" s="198"/>
      <c r="I999" s="198"/>
      <c r="J999" s="198"/>
      <c r="K999" s="198"/>
      <c r="L999" s="198"/>
    </row>
    <row r="1000">
      <c r="A1000" s="198"/>
      <c r="B1000" s="208" t="str">
        <f>vlookup(A1000,Price!A:B,2,false)</f>
        <v>#N/A</v>
      </c>
      <c r="C1000" s="198"/>
      <c r="D1000" s="198"/>
      <c r="E1000" s="198"/>
      <c r="F1000" s="198"/>
      <c r="G1000" s="198"/>
      <c r="H1000" s="198"/>
      <c r="I1000" s="198"/>
      <c r="J1000" s="198"/>
      <c r="K1000" s="198"/>
      <c r="L1000" s="198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98" t="s">
        <v>532</v>
      </c>
      <c r="B1" s="198" t="s">
        <v>533</v>
      </c>
      <c r="C1" s="205" t="s">
        <v>534</v>
      </c>
      <c r="D1" s="198" t="s">
        <v>535</v>
      </c>
      <c r="E1" s="198" t="s">
        <v>536</v>
      </c>
      <c r="F1" s="198" t="s">
        <v>537</v>
      </c>
      <c r="G1" s="198" t="s">
        <v>538</v>
      </c>
      <c r="H1" s="198" t="s">
        <v>539</v>
      </c>
      <c r="I1" s="198" t="s">
        <v>540</v>
      </c>
      <c r="J1" s="206" t="s">
        <v>541</v>
      </c>
      <c r="K1" s="206" t="s">
        <v>542</v>
      </c>
      <c r="L1" s="198" t="s">
        <v>536</v>
      </c>
    </row>
    <row r="2">
      <c r="A2" s="207" t="s">
        <v>54</v>
      </c>
      <c r="B2" s="208">
        <f>vlookup(A2,Price!A:B,2,false)</f>
        <v>3819.675532</v>
      </c>
      <c r="C2" s="209"/>
      <c r="D2" s="210">
        <v>0.0</v>
      </c>
      <c r="E2" s="211">
        <f t="shared" ref="E2:E41" si="1">C2-D2</f>
        <v>0</v>
      </c>
      <c r="F2" s="212">
        <f>iferror(vlookup(A2,'Transfer Pricing Playground'!A:P,16,false))</f>
        <v>0.02928207375</v>
      </c>
      <c r="G2" s="213">
        <f t="shared" ref="G2:G41" si="2">E2*F2/52.14</f>
        <v>0</v>
      </c>
      <c r="H2" s="212"/>
      <c r="I2" s="210">
        <f t="shared" ref="I2:I41" si="3">C2*H2/52.14</f>
        <v>0</v>
      </c>
      <c r="J2" s="214">
        <f t="shared" ref="J2:J41" si="4">I2-G2</f>
        <v>0</v>
      </c>
      <c r="K2" s="215">
        <f t="shared" ref="K2:K41" si="5">J2*B2</f>
        <v>0</v>
      </c>
      <c r="L2" s="216">
        <f t="shared" ref="L2:L41" si="6">C2*B2</f>
        <v>0</v>
      </c>
    </row>
    <row r="3">
      <c r="A3" s="207" t="s">
        <v>53</v>
      </c>
      <c r="B3" s="208">
        <f>vlookup(A3,Price!A:B,2,false)</f>
        <v>46314.63028</v>
      </c>
      <c r="C3" s="209"/>
      <c r="D3" s="210">
        <v>0.0</v>
      </c>
      <c r="E3" s="211">
        <f t="shared" si="1"/>
        <v>0</v>
      </c>
      <c r="F3" s="212">
        <f>iferror(vlookup(A3,'Transfer Pricing Playground'!A:P,16,false))</f>
        <v>0.01013263943</v>
      </c>
      <c r="G3" s="213">
        <f t="shared" si="2"/>
        <v>0</v>
      </c>
      <c r="H3" s="212"/>
      <c r="I3" s="210">
        <f t="shared" si="3"/>
        <v>0</v>
      </c>
      <c r="J3" s="214">
        <f t="shared" si="4"/>
        <v>0</v>
      </c>
      <c r="K3" s="215">
        <f t="shared" si="5"/>
        <v>0</v>
      </c>
      <c r="L3" s="216">
        <f t="shared" si="6"/>
        <v>0</v>
      </c>
    </row>
    <row r="4">
      <c r="A4" s="207" t="s">
        <v>59</v>
      </c>
      <c r="B4" s="208">
        <f>vlookup(A4,Price!A:B,2,false)</f>
        <v>39.51861627</v>
      </c>
      <c r="C4" s="209"/>
      <c r="D4" s="210">
        <v>0.0</v>
      </c>
      <c r="E4" s="211">
        <f t="shared" si="1"/>
        <v>0</v>
      </c>
      <c r="F4" s="212">
        <f>iferror(vlookup(A4,'Transfer Pricing Playground'!A:P,16,false))</f>
        <v>0</v>
      </c>
      <c r="G4" s="213">
        <f t="shared" si="2"/>
        <v>0</v>
      </c>
      <c r="H4" s="212"/>
      <c r="I4" s="210">
        <f t="shared" si="3"/>
        <v>0</v>
      </c>
      <c r="J4" s="214">
        <f t="shared" si="4"/>
        <v>0</v>
      </c>
      <c r="K4" s="215">
        <f t="shared" si="5"/>
        <v>0</v>
      </c>
      <c r="L4" s="216">
        <f t="shared" si="6"/>
        <v>0</v>
      </c>
    </row>
    <row r="5">
      <c r="A5" s="207" t="s">
        <v>67</v>
      </c>
      <c r="B5" s="208">
        <f>vlookup(A5,Price!A:B,2,false)</f>
        <v>4.960176782</v>
      </c>
      <c r="C5" s="209"/>
      <c r="D5" s="210">
        <v>0.0</v>
      </c>
      <c r="E5" s="211">
        <f t="shared" si="1"/>
        <v>0</v>
      </c>
      <c r="F5" s="212">
        <f>iferror(vlookup(A5,'Transfer Pricing Playground'!A:P,16,false))</f>
        <v>0.1339</v>
      </c>
      <c r="G5" s="213">
        <f t="shared" si="2"/>
        <v>0</v>
      </c>
      <c r="H5" s="212"/>
      <c r="I5" s="210">
        <f t="shared" si="3"/>
        <v>0</v>
      </c>
      <c r="J5" s="214">
        <f t="shared" si="4"/>
        <v>0</v>
      </c>
      <c r="K5" s="215">
        <f t="shared" si="5"/>
        <v>0</v>
      </c>
      <c r="L5" s="216">
        <f t="shared" si="6"/>
        <v>0</v>
      </c>
    </row>
    <row r="6">
      <c r="A6" s="207" t="s">
        <v>70</v>
      </c>
      <c r="B6" s="208">
        <f>vlookup(A6,Price!A:B,2,false)</f>
        <v>173.1638356</v>
      </c>
      <c r="C6" s="209"/>
      <c r="D6" s="210">
        <v>0.0</v>
      </c>
      <c r="E6" s="211">
        <f t="shared" si="1"/>
        <v>0</v>
      </c>
      <c r="F6" s="212">
        <f>iferror(vlookup(A6,'Transfer Pricing Playground'!A:P,16,false))</f>
        <v>0.0385</v>
      </c>
      <c r="G6" s="213">
        <f t="shared" si="2"/>
        <v>0</v>
      </c>
      <c r="H6" s="212"/>
      <c r="I6" s="210">
        <f t="shared" si="3"/>
        <v>0</v>
      </c>
      <c r="J6" s="214">
        <f t="shared" si="4"/>
        <v>0</v>
      </c>
      <c r="K6" s="215">
        <f t="shared" si="5"/>
        <v>0</v>
      </c>
      <c r="L6" s="216">
        <f t="shared" si="6"/>
        <v>0</v>
      </c>
    </row>
    <row r="7">
      <c r="A7" s="207" t="s">
        <v>61</v>
      </c>
      <c r="B7" s="208">
        <f>vlookup(A7,Price!A:B,2,false)</f>
        <v>18.51308692</v>
      </c>
      <c r="C7" s="209"/>
      <c r="D7" s="210">
        <v>0.0</v>
      </c>
      <c r="E7" s="211">
        <f t="shared" si="1"/>
        <v>0</v>
      </c>
      <c r="F7" s="212">
        <f>iferror(vlookup(A7,'Transfer Pricing Playground'!A:P,16,false))</f>
        <v>0.01234602303</v>
      </c>
      <c r="G7" s="213">
        <f t="shared" si="2"/>
        <v>0</v>
      </c>
      <c r="H7" s="212"/>
      <c r="I7" s="210">
        <f t="shared" si="3"/>
        <v>0</v>
      </c>
      <c r="J7" s="214">
        <f t="shared" si="4"/>
        <v>0</v>
      </c>
      <c r="K7" s="215">
        <f t="shared" si="5"/>
        <v>0</v>
      </c>
      <c r="L7" s="216">
        <f t="shared" si="6"/>
        <v>0</v>
      </c>
    </row>
    <row r="8">
      <c r="A8" s="217" t="s">
        <v>323</v>
      </c>
      <c r="B8" s="208">
        <f>vlookup(A8,Price!A:B,2,false)</f>
        <v>1</v>
      </c>
      <c r="C8" s="209"/>
      <c r="D8" s="210">
        <v>0.0</v>
      </c>
      <c r="E8" s="211">
        <f t="shared" si="1"/>
        <v>0</v>
      </c>
      <c r="F8" s="212" t="str">
        <f>iferror(vlookup(A8,'Transfer Pricing Playground'!A:P,16,false))</f>
        <v/>
      </c>
      <c r="G8" s="213">
        <f t="shared" si="2"/>
        <v>0</v>
      </c>
      <c r="H8" s="212"/>
      <c r="I8" s="210">
        <f t="shared" si="3"/>
        <v>0</v>
      </c>
      <c r="J8" s="214">
        <f t="shared" si="4"/>
        <v>0</v>
      </c>
      <c r="K8" s="215">
        <f t="shared" si="5"/>
        <v>0</v>
      </c>
      <c r="L8" s="216">
        <f t="shared" si="6"/>
        <v>0</v>
      </c>
    </row>
    <row r="9">
      <c r="A9" s="207" t="s">
        <v>95</v>
      </c>
      <c r="B9" s="208">
        <f>vlookup(A9,Price!A:B,2,false)</f>
        <v>35192.45221</v>
      </c>
      <c r="C9" s="209"/>
      <c r="D9" s="210">
        <v>0.0</v>
      </c>
      <c r="E9" s="211">
        <f t="shared" si="1"/>
        <v>0</v>
      </c>
      <c r="F9" s="212">
        <f>iferror(vlookup(A9,'Transfer Pricing Playground'!A:P,16,false))</f>
        <v>0</v>
      </c>
      <c r="G9" s="213">
        <f t="shared" si="2"/>
        <v>0</v>
      </c>
      <c r="H9" s="212"/>
      <c r="I9" s="210">
        <f t="shared" si="3"/>
        <v>0</v>
      </c>
      <c r="J9" s="214">
        <f t="shared" si="4"/>
        <v>0</v>
      </c>
      <c r="K9" s="215">
        <f t="shared" si="5"/>
        <v>0</v>
      </c>
      <c r="L9" s="216">
        <f t="shared" si="6"/>
        <v>0</v>
      </c>
    </row>
    <row r="10">
      <c r="A10" s="207" t="s">
        <v>74</v>
      </c>
      <c r="B10" s="208">
        <f>vlookup(A10,Price!A:B,2,false)</f>
        <v>1.078602899</v>
      </c>
      <c r="C10" s="209"/>
      <c r="D10" s="210">
        <v>0.0</v>
      </c>
      <c r="E10" s="211">
        <f t="shared" si="1"/>
        <v>0</v>
      </c>
      <c r="F10" s="212">
        <f>iferror(vlookup(A10,'Transfer Pricing Playground'!A:P,16,false))</f>
        <v>0.0097</v>
      </c>
      <c r="G10" s="213">
        <f t="shared" si="2"/>
        <v>0</v>
      </c>
      <c r="H10" s="212"/>
      <c r="I10" s="210">
        <f t="shared" si="3"/>
        <v>0</v>
      </c>
      <c r="J10" s="214">
        <f t="shared" si="4"/>
        <v>0</v>
      </c>
      <c r="K10" s="215">
        <f t="shared" si="5"/>
        <v>0</v>
      </c>
      <c r="L10" s="216">
        <f t="shared" si="6"/>
        <v>0</v>
      </c>
    </row>
    <row r="11">
      <c r="A11" s="207" t="s">
        <v>69</v>
      </c>
      <c r="B11" s="208">
        <f>vlookup(A11,Price!A:B,2,false)</f>
        <v>14.44022362</v>
      </c>
      <c r="C11" s="209"/>
      <c r="D11" s="210">
        <v>0.0</v>
      </c>
      <c r="E11" s="211">
        <f t="shared" si="1"/>
        <v>0</v>
      </c>
      <c r="F11" s="212">
        <f>iferror(vlookup(A11,'Transfer Pricing Playground'!A:P,16,false))</f>
        <v>0.0228</v>
      </c>
      <c r="G11" s="213">
        <f t="shared" si="2"/>
        <v>0</v>
      </c>
      <c r="H11" s="212"/>
      <c r="I11" s="210">
        <f t="shared" si="3"/>
        <v>0</v>
      </c>
      <c r="J11" s="214">
        <f t="shared" si="4"/>
        <v>0</v>
      </c>
      <c r="K11" s="215">
        <f t="shared" si="5"/>
        <v>0</v>
      </c>
      <c r="L11" s="216">
        <f t="shared" si="6"/>
        <v>0</v>
      </c>
    </row>
    <row r="12">
      <c r="A12" s="207" t="s">
        <v>90</v>
      </c>
      <c r="B12" s="208">
        <f>vlookup(A12,Price!A:B,2,false)</f>
        <v>14.44190837</v>
      </c>
      <c r="C12" s="209"/>
      <c r="D12" s="210">
        <v>0.0</v>
      </c>
      <c r="E12" s="211">
        <f t="shared" si="1"/>
        <v>0</v>
      </c>
      <c r="F12" s="212">
        <f>iferror(vlookup(A12,'Transfer Pricing Playground'!A:P,16,false))</f>
        <v>0</v>
      </c>
      <c r="G12" s="213">
        <f t="shared" si="2"/>
        <v>0</v>
      </c>
      <c r="H12" s="212"/>
      <c r="I12" s="210">
        <f t="shared" si="3"/>
        <v>0</v>
      </c>
      <c r="J12" s="214">
        <f t="shared" si="4"/>
        <v>0</v>
      </c>
      <c r="K12" s="215">
        <f t="shared" si="5"/>
        <v>0</v>
      </c>
      <c r="L12" s="216">
        <f t="shared" si="6"/>
        <v>0</v>
      </c>
    </row>
    <row r="13">
      <c r="A13" s="207" t="s">
        <v>87</v>
      </c>
      <c r="B13" s="208">
        <f>vlookup(A13,Price!A:B,2,false)</f>
        <v>5.23640161</v>
      </c>
      <c r="C13" s="209"/>
      <c r="D13" s="210">
        <v>0.0</v>
      </c>
      <c r="E13" s="211">
        <f t="shared" si="1"/>
        <v>0</v>
      </c>
      <c r="F13" s="212">
        <f>iferror(vlookup(A13,'Transfer Pricing Playground'!A:P,16,false))</f>
        <v>0.0396</v>
      </c>
      <c r="G13" s="213">
        <f t="shared" si="2"/>
        <v>0</v>
      </c>
      <c r="H13" s="212"/>
      <c r="I13" s="210">
        <f t="shared" si="3"/>
        <v>0</v>
      </c>
      <c r="J13" s="214">
        <f t="shared" si="4"/>
        <v>0</v>
      </c>
      <c r="K13" s="215">
        <f t="shared" si="5"/>
        <v>0</v>
      </c>
      <c r="L13" s="216">
        <f t="shared" si="6"/>
        <v>0</v>
      </c>
    </row>
    <row r="14">
      <c r="A14" s="207" t="s">
        <v>79</v>
      </c>
      <c r="B14" s="208">
        <f>vlookup(A14,Price!A:B,2,false)</f>
        <v>3.165969505</v>
      </c>
      <c r="C14" s="209"/>
      <c r="D14" s="210">
        <v>0.0</v>
      </c>
      <c r="E14" s="211">
        <f t="shared" si="1"/>
        <v>0</v>
      </c>
      <c r="F14" s="212">
        <f>iferror(vlookup(A14,'Transfer Pricing Playground'!A:P,16,false))</f>
        <v>0.0595</v>
      </c>
      <c r="G14" s="213">
        <f t="shared" si="2"/>
        <v>0</v>
      </c>
      <c r="H14" s="212"/>
      <c r="I14" s="210">
        <f t="shared" si="3"/>
        <v>0</v>
      </c>
      <c r="J14" s="214">
        <f t="shared" si="4"/>
        <v>0</v>
      </c>
      <c r="K14" s="215">
        <f t="shared" si="5"/>
        <v>0</v>
      </c>
      <c r="L14" s="216">
        <f t="shared" si="6"/>
        <v>0</v>
      </c>
    </row>
    <row r="15">
      <c r="A15" s="207" t="s">
        <v>93</v>
      </c>
      <c r="B15" s="208">
        <f>vlookup(A15,Price!A:B,2,false)</f>
        <v>1.235585033</v>
      </c>
      <c r="C15" s="209"/>
      <c r="D15" s="210">
        <v>0.0</v>
      </c>
      <c r="E15" s="211">
        <f t="shared" si="1"/>
        <v>0</v>
      </c>
      <c r="F15" s="212">
        <f>iferror(vlookup(A15,'Transfer Pricing Playground'!A:P,16,false))</f>
        <v>0.0048</v>
      </c>
      <c r="G15" s="213">
        <f t="shared" si="2"/>
        <v>0</v>
      </c>
      <c r="H15" s="212"/>
      <c r="I15" s="210">
        <f t="shared" si="3"/>
        <v>0</v>
      </c>
      <c r="J15" s="214">
        <f t="shared" si="4"/>
        <v>0</v>
      </c>
      <c r="K15" s="215">
        <f t="shared" si="5"/>
        <v>0</v>
      </c>
      <c r="L15" s="216">
        <f t="shared" si="6"/>
        <v>0</v>
      </c>
    </row>
    <row r="16">
      <c r="A16" s="207" t="s">
        <v>81</v>
      </c>
      <c r="B16" s="208">
        <f>vlookup(A16,Price!A:B,2,false)</f>
        <v>187.58</v>
      </c>
      <c r="C16" s="209"/>
      <c r="D16" s="210">
        <v>0.0</v>
      </c>
      <c r="E16" s="211">
        <f t="shared" si="1"/>
        <v>0</v>
      </c>
      <c r="F16" s="212">
        <f>iferror(vlookup(A16,'Transfer Pricing Playground'!A:P,16,false))</f>
        <v>0.0453</v>
      </c>
      <c r="G16" s="213">
        <f t="shared" si="2"/>
        <v>0</v>
      </c>
      <c r="H16" s="212"/>
      <c r="I16" s="210">
        <f t="shared" si="3"/>
        <v>0</v>
      </c>
      <c r="J16" s="214">
        <f t="shared" si="4"/>
        <v>0</v>
      </c>
      <c r="K16" s="215">
        <f t="shared" si="5"/>
        <v>0</v>
      </c>
      <c r="L16" s="216">
        <f t="shared" si="6"/>
        <v>0</v>
      </c>
    </row>
    <row r="17">
      <c r="A17" s="207" t="s">
        <v>94</v>
      </c>
      <c r="B17" s="208">
        <f>vlookup(A17,Price!A:B,2,false)</f>
        <v>2.57</v>
      </c>
      <c r="C17" s="209"/>
      <c r="D17" s="210">
        <v>0.0</v>
      </c>
      <c r="E17" s="211">
        <f t="shared" si="1"/>
        <v>0</v>
      </c>
      <c r="F17" s="212">
        <f>iferror(vlookup(A17,'Transfer Pricing Playground'!A:P,16,false))</f>
        <v>0</v>
      </c>
      <c r="G17" s="213">
        <f t="shared" si="2"/>
        <v>0</v>
      </c>
      <c r="H17" s="212"/>
      <c r="I17" s="210">
        <f t="shared" si="3"/>
        <v>0</v>
      </c>
      <c r="J17" s="214">
        <f t="shared" si="4"/>
        <v>0</v>
      </c>
      <c r="K17" s="215">
        <f t="shared" si="5"/>
        <v>0</v>
      </c>
      <c r="L17" s="216">
        <f t="shared" si="6"/>
        <v>0</v>
      </c>
    </row>
    <row r="18">
      <c r="A18" s="207" t="s">
        <v>83</v>
      </c>
      <c r="B18" s="208">
        <f>vlookup(A18,Price!A:B,2,false)</f>
        <v>30.31</v>
      </c>
      <c r="C18" s="209"/>
      <c r="D18" s="210">
        <v>0.0</v>
      </c>
      <c r="E18" s="211">
        <f t="shared" si="1"/>
        <v>0</v>
      </c>
      <c r="F18" s="212">
        <f>iferror(vlookup(A18,'Transfer Pricing Playground'!A:P,16,false))</f>
        <v>0</v>
      </c>
      <c r="G18" s="213">
        <f t="shared" si="2"/>
        <v>0</v>
      </c>
      <c r="H18" s="212"/>
      <c r="I18" s="210">
        <f t="shared" si="3"/>
        <v>0</v>
      </c>
      <c r="J18" s="214">
        <f t="shared" si="4"/>
        <v>0</v>
      </c>
      <c r="K18" s="215">
        <f t="shared" si="5"/>
        <v>0</v>
      </c>
      <c r="L18" s="216">
        <f t="shared" si="6"/>
        <v>0</v>
      </c>
    </row>
    <row r="19">
      <c r="A19" s="207" t="s">
        <v>248</v>
      </c>
      <c r="B19" s="208">
        <f>vlookup(A19,Price!A:B,2,false)</f>
        <v>208.14</v>
      </c>
      <c r="C19" s="209"/>
      <c r="D19" s="210">
        <v>0.0</v>
      </c>
      <c r="E19" s="211">
        <f t="shared" si="1"/>
        <v>0</v>
      </c>
      <c r="F19" s="212" t="str">
        <f>iferror(vlookup(A19,'Transfer Pricing Playground'!A:P,16,false))</f>
        <v/>
      </c>
      <c r="G19" s="213">
        <f t="shared" si="2"/>
        <v>0</v>
      </c>
      <c r="H19" s="212"/>
      <c r="I19" s="210">
        <f t="shared" si="3"/>
        <v>0</v>
      </c>
      <c r="J19" s="214">
        <f t="shared" si="4"/>
        <v>0</v>
      </c>
      <c r="K19" s="215">
        <f t="shared" si="5"/>
        <v>0</v>
      </c>
      <c r="L19" s="216">
        <f t="shared" si="6"/>
        <v>0</v>
      </c>
    </row>
    <row r="20">
      <c r="A20" s="207" t="s">
        <v>244</v>
      </c>
      <c r="B20" s="208">
        <f>vlookup(A20,Price!A:B,2,false)</f>
        <v>0.146055</v>
      </c>
      <c r="C20" s="209"/>
      <c r="D20" s="210">
        <v>0.0</v>
      </c>
      <c r="E20" s="211">
        <f t="shared" si="1"/>
        <v>0</v>
      </c>
      <c r="F20" s="212" t="str">
        <f>iferror(vlookup(A20,'Transfer Pricing Playground'!A:P,16,false))</f>
        <v/>
      </c>
      <c r="G20" s="213">
        <f t="shared" si="2"/>
        <v>0</v>
      </c>
      <c r="H20" s="212"/>
      <c r="I20" s="210">
        <f t="shared" si="3"/>
        <v>0</v>
      </c>
      <c r="J20" s="214">
        <f t="shared" si="4"/>
        <v>0</v>
      </c>
      <c r="K20" s="215">
        <f t="shared" si="5"/>
        <v>0</v>
      </c>
      <c r="L20" s="216">
        <f t="shared" si="6"/>
        <v>0</v>
      </c>
    </row>
    <row r="21">
      <c r="A21" s="207" t="s">
        <v>101</v>
      </c>
      <c r="B21" s="208">
        <f>vlookup(A21,Price!A:B,2,false)</f>
        <v>0.6678409518</v>
      </c>
      <c r="C21" s="209"/>
      <c r="D21" s="210">
        <v>0.0</v>
      </c>
      <c r="E21" s="211">
        <f t="shared" si="1"/>
        <v>0</v>
      </c>
      <c r="F21" s="212">
        <f>iferror(vlookup(A21,'Transfer Pricing Playground'!A:P,16,false))</f>
        <v>0</v>
      </c>
      <c r="G21" s="213">
        <f t="shared" si="2"/>
        <v>0</v>
      </c>
      <c r="H21" s="212"/>
      <c r="I21" s="210">
        <f t="shared" si="3"/>
        <v>0</v>
      </c>
      <c r="J21" s="214">
        <f t="shared" si="4"/>
        <v>0</v>
      </c>
      <c r="K21" s="215">
        <f t="shared" si="5"/>
        <v>0</v>
      </c>
      <c r="L21" s="216">
        <f t="shared" si="6"/>
        <v>0</v>
      </c>
    </row>
    <row r="22">
      <c r="A22" s="207" t="s">
        <v>246</v>
      </c>
      <c r="B22" s="208">
        <f>vlookup(A22,Price!A:B,2,false)</f>
        <v>0.341427</v>
      </c>
      <c r="C22" s="209"/>
      <c r="D22" s="210">
        <v>0.0</v>
      </c>
      <c r="E22" s="211">
        <f t="shared" si="1"/>
        <v>0</v>
      </c>
      <c r="F22" s="212" t="str">
        <f>iferror(vlookup(A22,'Transfer Pricing Playground'!A:P,16,false))</f>
        <v/>
      </c>
      <c r="G22" s="213">
        <f t="shared" si="2"/>
        <v>0</v>
      </c>
      <c r="H22" s="212"/>
      <c r="I22" s="210">
        <f t="shared" si="3"/>
        <v>0</v>
      </c>
      <c r="J22" s="214">
        <f t="shared" si="4"/>
        <v>0</v>
      </c>
      <c r="K22" s="215">
        <f t="shared" si="5"/>
        <v>0</v>
      </c>
      <c r="L22" s="216">
        <f t="shared" si="6"/>
        <v>0</v>
      </c>
    </row>
    <row r="23">
      <c r="A23" s="207" t="s">
        <v>211</v>
      </c>
      <c r="B23" s="208">
        <f>vlookup(A23,Price!A:B,2,false)</f>
        <v>104.1704915</v>
      </c>
      <c r="C23" s="209"/>
      <c r="D23" s="210">
        <v>0.0</v>
      </c>
      <c r="E23" s="211">
        <f t="shared" si="1"/>
        <v>0</v>
      </c>
      <c r="F23" s="212" t="str">
        <f>iferror(vlookup(A23,'Transfer Pricing Playground'!A:P,16,false))</f>
        <v/>
      </c>
      <c r="G23" s="213">
        <f t="shared" si="2"/>
        <v>0</v>
      </c>
      <c r="H23" s="212"/>
      <c r="I23" s="210">
        <f t="shared" si="3"/>
        <v>0</v>
      </c>
      <c r="J23" s="214">
        <f t="shared" si="4"/>
        <v>0</v>
      </c>
      <c r="K23" s="215">
        <f t="shared" si="5"/>
        <v>0</v>
      </c>
      <c r="L23" s="216">
        <f t="shared" si="6"/>
        <v>0</v>
      </c>
    </row>
    <row r="24">
      <c r="A24" s="207" t="s">
        <v>80</v>
      </c>
      <c r="B24" s="208">
        <f>vlookup(A24,Price!A:B,2,false)</f>
        <v>0.7482698139</v>
      </c>
      <c r="C24" s="209"/>
      <c r="D24" s="210">
        <v>0.0</v>
      </c>
      <c r="E24" s="211">
        <f t="shared" si="1"/>
        <v>0</v>
      </c>
      <c r="F24" s="212">
        <f>iferror(vlookup(A24,'Transfer Pricing Playground'!A:P,16,false))</f>
        <v>0.0169</v>
      </c>
      <c r="G24" s="213">
        <f t="shared" si="2"/>
        <v>0</v>
      </c>
      <c r="H24" s="212"/>
      <c r="I24" s="210">
        <f t="shared" si="3"/>
        <v>0</v>
      </c>
      <c r="J24" s="214">
        <f t="shared" si="4"/>
        <v>0</v>
      </c>
      <c r="K24" s="215">
        <f t="shared" si="5"/>
        <v>0</v>
      </c>
      <c r="L24" s="216">
        <f t="shared" si="6"/>
        <v>0</v>
      </c>
    </row>
    <row r="25">
      <c r="A25" s="207" t="s">
        <v>88</v>
      </c>
      <c r="B25" s="208">
        <f>vlookup(A25,Price!A:B,2,false)</f>
        <v>3.991734421</v>
      </c>
      <c r="C25" s="209"/>
      <c r="D25" s="210">
        <v>0.0</v>
      </c>
      <c r="E25" s="211">
        <f t="shared" si="1"/>
        <v>0</v>
      </c>
      <c r="F25" s="212">
        <f>iferror(vlookup(A25,'Transfer Pricing Playground'!A:P,16,false))</f>
        <v>0</v>
      </c>
      <c r="G25" s="213">
        <f t="shared" si="2"/>
        <v>0</v>
      </c>
      <c r="H25" s="212"/>
      <c r="I25" s="210">
        <f t="shared" si="3"/>
        <v>0</v>
      </c>
      <c r="J25" s="214">
        <f t="shared" si="4"/>
        <v>0</v>
      </c>
      <c r="K25" s="215">
        <f t="shared" si="5"/>
        <v>0</v>
      </c>
      <c r="L25" s="216">
        <f t="shared" si="6"/>
        <v>0</v>
      </c>
    </row>
    <row r="26">
      <c r="A26" s="207" t="s">
        <v>106</v>
      </c>
      <c r="B26" s="208">
        <f>vlookup(A26,Price!A:B,2,false)</f>
        <v>0.9224738405</v>
      </c>
      <c r="C26" s="209"/>
      <c r="D26" s="210">
        <v>0.0</v>
      </c>
      <c r="E26" s="211">
        <f t="shared" si="1"/>
        <v>0</v>
      </c>
      <c r="F26" s="212">
        <f>iferror(vlookup(A26,'Transfer Pricing Playground'!A:P,16,false))</f>
        <v>0</v>
      </c>
      <c r="G26" s="213">
        <f t="shared" si="2"/>
        <v>0</v>
      </c>
      <c r="H26" s="212"/>
      <c r="I26" s="210">
        <f t="shared" si="3"/>
        <v>0</v>
      </c>
      <c r="J26" s="214">
        <f t="shared" si="4"/>
        <v>0</v>
      </c>
      <c r="K26" s="215">
        <f t="shared" si="5"/>
        <v>0</v>
      </c>
      <c r="L26" s="216">
        <f t="shared" si="6"/>
        <v>0</v>
      </c>
    </row>
    <row r="27">
      <c r="A27" s="207" t="s">
        <v>105</v>
      </c>
      <c r="B27" s="208">
        <f>vlookup(A27,Price!A:B,2,false)</f>
        <v>3.47</v>
      </c>
      <c r="C27" s="209"/>
      <c r="D27" s="210">
        <v>0.0</v>
      </c>
      <c r="E27" s="211">
        <f t="shared" si="1"/>
        <v>0</v>
      </c>
      <c r="F27" s="212">
        <f>iferror(vlookup(A27,'Transfer Pricing Playground'!A:P,16,false))</f>
        <v>0</v>
      </c>
      <c r="G27" s="213">
        <f t="shared" si="2"/>
        <v>0</v>
      </c>
      <c r="H27" s="212"/>
      <c r="I27" s="210">
        <f t="shared" si="3"/>
        <v>0</v>
      </c>
      <c r="J27" s="214">
        <f t="shared" si="4"/>
        <v>0</v>
      </c>
      <c r="K27" s="215">
        <f t="shared" si="5"/>
        <v>0</v>
      </c>
      <c r="L27" s="216">
        <f t="shared" si="6"/>
        <v>0</v>
      </c>
    </row>
    <row r="28">
      <c r="A28" s="207" t="s">
        <v>108</v>
      </c>
      <c r="B28" s="208">
        <f>vlookup(A28,Price!A:B,2,false)</f>
        <v>1.12</v>
      </c>
      <c r="C28" s="209"/>
      <c r="D28" s="210">
        <v>0.0</v>
      </c>
      <c r="E28" s="211">
        <f t="shared" si="1"/>
        <v>0</v>
      </c>
      <c r="F28" s="212">
        <f>iferror(vlookup(A28,'Transfer Pricing Playground'!A:P,16,false))</f>
        <v>0</v>
      </c>
      <c r="G28" s="213">
        <f t="shared" si="2"/>
        <v>0</v>
      </c>
      <c r="H28" s="212"/>
      <c r="I28" s="210">
        <f t="shared" si="3"/>
        <v>0</v>
      </c>
      <c r="J28" s="214">
        <f t="shared" si="4"/>
        <v>0</v>
      </c>
      <c r="K28" s="215">
        <f t="shared" si="5"/>
        <v>0</v>
      </c>
      <c r="L28" s="216">
        <f t="shared" si="6"/>
        <v>0</v>
      </c>
    </row>
    <row r="29">
      <c r="A29" s="207" t="s">
        <v>107</v>
      </c>
      <c r="B29" s="208">
        <f>vlookup(A29,Price!A:B,2,false)</f>
        <v>88.74747431</v>
      </c>
      <c r="C29" s="209"/>
      <c r="D29" s="210">
        <v>0.0</v>
      </c>
      <c r="E29" s="211">
        <f t="shared" si="1"/>
        <v>0</v>
      </c>
      <c r="F29" s="212">
        <f>iferror(vlookup(A29,'Transfer Pricing Playground'!A:P,16,false))</f>
        <v>0</v>
      </c>
      <c r="G29" s="213">
        <f t="shared" si="2"/>
        <v>0</v>
      </c>
      <c r="H29" s="212"/>
      <c r="I29" s="210">
        <f t="shared" si="3"/>
        <v>0</v>
      </c>
      <c r="J29" s="214">
        <f t="shared" si="4"/>
        <v>0</v>
      </c>
      <c r="K29" s="215">
        <f t="shared" si="5"/>
        <v>0</v>
      </c>
      <c r="L29" s="216">
        <f t="shared" si="6"/>
        <v>0</v>
      </c>
    </row>
    <row r="30">
      <c r="A30" s="207" t="s">
        <v>96</v>
      </c>
      <c r="B30" s="208">
        <f>vlookup(A30,Price!A:B,2,false)</f>
        <v>35357.36619</v>
      </c>
      <c r="C30" s="209"/>
      <c r="D30" s="210">
        <v>0.0</v>
      </c>
      <c r="E30" s="211">
        <f t="shared" si="1"/>
        <v>0</v>
      </c>
      <c r="F30" s="212">
        <f>iferror(vlookup(A30,'Transfer Pricing Playground'!A:P,16,false))</f>
        <v>0</v>
      </c>
      <c r="G30" s="213">
        <f t="shared" si="2"/>
        <v>0</v>
      </c>
      <c r="H30" s="212"/>
      <c r="I30" s="210">
        <f t="shared" si="3"/>
        <v>0</v>
      </c>
      <c r="J30" s="214">
        <f t="shared" si="4"/>
        <v>0</v>
      </c>
      <c r="K30" s="215">
        <f t="shared" si="5"/>
        <v>0</v>
      </c>
      <c r="L30" s="216">
        <f t="shared" si="6"/>
        <v>0</v>
      </c>
    </row>
    <row r="31">
      <c r="A31" s="207" t="s">
        <v>109</v>
      </c>
      <c r="B31" s="208">
        <f>vlookup(A31,Price!A:B,2,false)</f>
        <v>2294.480115</v>
      </c>
      <c r="C31" s="209"/>
      <c r="D31" s="210">
        <v>0.0</v>
      </c>
      <c r="E31" s="211">
        <f t="shared" si="1"/>
        <v>0</v>
      </c>
      <c r="F31" s="212">
        <f>iferror(vlookup(A31,'Transfer Pricing Playground'!A:P,16,false))</f>
        <v>0</v>
      </c>
      <c r="G31" s="213">
        <f t="shared" si="2"/>
        <v>0</v>
      </c>
      <c r="H31" s="212"/>
      <c r="I31" s="210">
        <f t="shared" si="3"/>
        <v>0</v>
      </c>
      <c r="J31" s="214">
        <f t="shared" si="4"/>
        <v>0</v>
      </c>
      <c r="K31" s="215">
        <f t="shared" si="5"/>
        <v>0</v>
      </c>
      <c r="L31" s="216">
        <f t="shared" si="6"/>
        <v>0</v>
      </c>
    </row>
    <row r="32">
      <c r="A32" s="207" t="s">
        <v>113</v>
      </c>
      <c r="B32" s="208">
        <f>vlookup(A32,Price!A:B,2,false)</f>
        <v>15.06</v>
      </c>
      <c r="C32" s="209"/>
      <c r="D32" s="210">
        <v>0.0</v>
      </c>
      <c r="E32" s="211">
        <f t="shared" si="1"/>
        <v>0</v>
      </c>
      <c r="F32" s="212">
        <f>iferror(vlookup(A32,'Transfer Pricing Playground'!A:P,16,false))</f>
        <v>0</v>
      </c>
      <c r="G32" s="213">
        <f t="shared" si="2"/>
        <v>0</v>
      </c>
      <c r="H32" s="212"/>
      <c r="I32" s="210">
        <f t="shared" si="3"/>
        <v>0</v>
      </c>
      <c r="J32" s="214">
        <f t="shared" si="4"/>
        <v>0</v>
      </c>
      <c r="K32" s="215">
        <f t="shared" si="5"/>
        <v>0</v>
      </c>
      <c r="L32" s="216">
        <f t="shared" si="6"/>
        <v>0</v>
      </c>
    </row>
    <row r="33">
      <c r="A33" s="207" t="s">
        <v>112</v>
      </c>
      <c r="B33" s="208">
        <f>vlookup(A33,Price!A:B,2,false)</f>
        <v>0.9086764428</v>
      </c>
      <c r="C33" s="209"/>
      <c r="D33" s="210">
        <v>0.0</v>
      </c>
      <c r="E33" s="211">
        <f t="shared" si="1"/>
        <v>0</v>
      </c>
      <c r="F33" s="212">
        <f>iferror(vlookup(A33,'Transfer Pricing Playground'!A:P,16,false))</f>
        <v>0</v>
      </c>
      <c r="G33" s="213">
        <f t="shared" si="2"/>
        <v>0</v>
      </c>
      <c r="H33" s="212"/>
      <c r="I33" s="210">
        <f t="shared" si="3"/>
        <v>0</v>
      </c>
      <c r="J33" s="214">
        <f t="shared" si="4"/>
        <v>0</v>
      </c>
      <c r="K33" s="215">
        <f t="shared" si="5"/>
        <v>0</v>
      </c>
      <c r="L33" s="216">
        <f t="shared" si="6"/>
        <v>0</v>
      </c>
    </row>
    <row r="34">
      <c r="A34" s="207" t="s">
        <v>111</v>
      </c>
      <c r="B34" s="208">
        <f>vlookup(A34,Price!A:B,2,false)</f>
        <v>0.0968507155</v>
      </c>
      <c r="C34" s="209"/>
      <c r="D34" s="210">
        <v>0.0</v>
      </c>
      <c r="E34" s="211">
        <f t="shared" si="1"/>
        <v>0</v>
      </c>
      <c r="F34" s="212">
        <f>iferror(vlookup(A34,'Transfer Pricing Playground'!A:P,16,false))</f>
        <v>0</v>
      </c>
      <c r="G34" s="213">
        <f t="shared" si="2"/>
        <v>0</v>
      </c>
      <c r="H34" s="212"/>
      <c r="I34" s="210">
        <f t="shared" si="3"/>
        <v>0</v>
      </c>
      <c r="J34" s="214">
        <f t="shared" si="4"/>
        <v>0</v>
      </c>
      <c r="K34" s="215">
        <f t="shared" si="5"/>
        <v>0</v>
      </c>
      <c r="L34" s="216">
        <f t="shared" si="6"/>
        <v>0</v>
      </c>
    </row>
    <row r="35">
      <c r="A35" s="207" t="s">
        <v>196</v>
      </c>
      <c r="B35" s="208">
        <f>vlookup(A35,Price!A:B,2,false)</f>
        <v>1.02</v>
      </c>
      <c r="C35" s="209"/>
      <c r="D35" s="210">
        <v>0.0</v>
      </c>
      <c r="E35" s="211">
        <f t="shared" si="1"/>
        <v>0</v>
      </c>
      <c r="F35" s="212" t="str">
        <f>iferror(vlookup(A35,'Transfer Pricing Playground'!A:P,16,false))</f>
        <v/>
      </c>
      <c r="G35" s="213">
        <f t="shared" si="2"/>
        <v>0</v>
      </c>
      <c r="H35" s="212"/>
      <c r="I35" s="210">
        <f t="shared" si="3"/>
        <v>0</v>
      </c>
      <c r="J35" s="214">
        <f t="shared" si="4"/>
        <v>0</v>
      </c>
      <c r="K35" s="215">
        <f t="shared" si="5"/>
        <v>0</v>
      </c>
      <c r="L35" s="216">
        <f t="shared" si="6"/>
        <v>0</v>
      </c>
    </row>
    <row r="36">
      <c r="A36" s="207" t="s">
        <v>57</v>
      </c>
      <c r="B36" s="208">
        <f>vlookup(A36,Price!A:B,2,false)</f>
        <v>2.097607594</v>
      </c>
      <c r="C36" s="209"/>
      <c r="D36" s="210">
        <v>0.0</v>
      </c>
      <c r="E36" s="211">
        <f t="shared" si="1"/>
        <v>0</v>
      </c>
      <c r="F36" s="212">
        <f>iferror(vlookup(A36,'Transfer Pricing Playground'!A:P,16,false))</f>
        <v>0.08060448646</v>
      </c>
      <c r="G36" s="213">
        <f t="shared" si="2"/>
        <v>0</v>
      </c>
      <c r="H36" s="212"/>
      <c r="I36" s="210">
        <f t="shared" si="3"/>
        <v>0</v>
      </c>
      <c r="J36" s="214">
        <f t="shared" si="4"/>
        <v>0</v>
      </c>
      <c r="K36" s="215">
        <f t="shared" si="5"/>
        <v>0</v>
      </c>
      <c r="L36" s="216">
        <f t="shared" si="6"/>
        <v>0</v>
      </c>
    </row>
    <row r="37">
      <c r="A37" s="207" t="s">
        <v>114</v>
      </c>
      <c r="B37" s="208">
        <f>vlookup(A37,Price!A:B,2,false)</f>
        <v>0.4084922851</v>
      </c>
      <c r="C37" s="209"/>
      <c r="D37" s="210">
        <v>0.0</v>
      </c>
      <c r="E37" s="211">
        <f t="shared" si="1"/>
        <v>0</v>
      </c>
      <c r="F37" s="212">
        <f>iferror(vlookup(A37,'Transfer Pricing Playground'!A:P,16,false))</f>
        <v>0</v>
      </c>
      <c r="G37" s="213">
        <f t="shared" si="2"/>
        <v>0</v>
      </c>
      <c r="H37" s="212"/>
      <c r="I37" s="210">
        <f t="shared" si="3"/>
        <v>0</v>
      </c>
      <c r="J37" s="214">
        <f t="shared" si="4"/>
        <v>0</v>
      </c>
      <c r="K37" s="215">
        <f t="shared" si="5"/>
        <v>0</v>
      </c>
      <c r="L37" s="216">
        <f t="shared" si="6"/>
        <v>0</v>
      </c>
    </row>
    <row r="38">
      <c r="A38" s="207" t="s">
        <v>117</v>
      </c>
      <c r="B38" s="208">
        <f>vlookup(A38,Price!A:B,2,false)</f>
        <v>5.37</v>
      </c>
      <c r="C38" s="209"/>
      <c r="D38" s="210">
        <v>0.0</v>
      </c>
      <c r="E38" s="211">
        <f t="shared" si="1"/>
        <v>0</v>
      </c>
      <c r="F38" s="212">
        <f>iferror(vlookup(A38,'Transfer Pricing Playground'!A:P,16,false))</f>
        <v>0</v>
      </c>
      <c r="G38" s="213">
        <f t="shared" si="2"/>
        <v>0</v>
      </c>
      <c r="H38" s="212"/>
      <c r="I38" s="210">
        <f t="shared" si="3"/>
        <v>0</v>
      </c>
      <c r="J38" s="214">
        <f t="shared" si="4"/>
        <v>0</v>
      </c>
      <c r="K38" s="215">
        <f t="shared" si="5"/>
        <v>0</v>
      </c>
      <c r="L38" s="216">
        <f t="shared" si="6"/>
        <v>0</v>
      </c>
    </row>
    <row r="39">
      <c r="A39" s="207" t="s">
        <v>103</v>
      </c>
      <c r="B39" s="208">
        <f>vlookup(A39,Price!A:B,2,false)</f>
        <v>17.65911299</v>
      </c>
      <c r="C39" s="209"/>
      <c r="D39" s="210">
        <v>0.0</v>
      </c>
      <c r="E39" s="211">
        <f t="shared" si="1"/>
        <v>0</v>
      </c>
      <c r="F39" s="212">
        <f>iferror(vlookup(A39,'Transfer Pricing Playground'!A:P,16,false))</f>
        <v>0</v>
      </c>
      <c r="G39" s="213">
        <f t="shared" si="2"/>
        <v>0</v>
      </c>
      <c r="H39" s="212"/>
      <c r="I39" s="210">
        <f t="shared" si="3"/>
        <v>0</v>
      </c>
      <c r="J39" s="214">
        <f t="shared" si="4"/>
        <v>0</v>
      </c>
      <c r="K39" s="215">
        <f t="shared" si="5"/>
        <v>0</v>
      </c>
      <c r="L39" s="216">
        <f t="shared" si="6"/>
        <v>0</v>
      </c>
    </row>
    <row r="40">
      <c r="A40" s="207" t="s">
        <v>77</v>
      </c>
      <c r="B40" s="208">
        <f>vlookup(A40,Price!A:B,2,false)</f>
        <v>2.358615111</v>
      </c>
      <c r="C40" s="209"/>
      <c r="D40" s="210">
        <v>0.0</v>
      </c>
      <c r="E40" s="211">
        <f t="shared" si="1"/>
        <v>0</v>
      </c>
      <c r="F40" s="212">
        <f>iferror(vlookup(A40,'Transfer Pricing Playground'!A:P,16,false))</f>
        <v>0</v>
      </c>
      <c r="G40" s="213">
        <f t="shared" si="2"/>
        <v>0</v>
      </c>
      <c r="H40" s="212"/>
      <c r="I40" s="210">
        <f t="shared" si="3"/>
        <v>0</v>
      </c>
      <c r="J40" s="214">
        <f t="shared" si="4"/>
        <v>0</v>
      </c>
      <c r="K40" s="215">
        <f t="shared" si="5"/>
        <v>0</v>
      </c>
      <c r="L40" s="216">
        <f t="shared" si="6"/>
        <v>0</v>
      </c>
    </row>
    <row r="41">
      <c r="A41" s="207" t="s">
        <v>243</v>
      </c>
      <c r="B41" s="208">
        <f>vlookup(A41,Price!A:B,2,false)</f>
        <v>1.362562138</v>
      </c>
      <c r="C41" s="209"/>
      <c r="D41" s="210">
        <v>0.0</v>
      </c>
      <c r="E41" s="211">
        <f t="shared" si="1"/>
        <v>0</v>
      </c>
      <c r="F41" s="212" t="str">
        <f>iferror(vlookup(A41,'Transfer Pricing Playground'!A:P,16,false))</f>
        <v/>
      </c>
      <c r="G41" s="213">
        <f t="shared" si="2"/>
        <v>0</v>
      </c>
      <c r="H41" s="212"/>
      <c r="I41" s="210">
        <f t="shared" si="3"/>
        <v>0</v>
      </c>
      <c r="J41" s="214">
        <f t="shared" si="4"/>
        <v>0</v>
      </c>
      <c r="K41" s="215">
        <f t="shared" si="5"/>
        <v>0</v>
      </c>
      <c r="L41" s="216">
        <f t="shared" si="6"/>
        <v>0</v>
      </c>
    </row>
    <row r="42">
      <c r="A42" s="198"/>
      <c r="B42" s="208" t="str">
        <f>vlookup(A42,Price!A:B,2,false)</f>
        <v>#N/A</v>
      </c>
      <c r="C42" s="198"/>
      <c r="D42" s="198"/>
      <c r="E42" s="198"/>
      <c r="F42" s="198"/>
      <c r="G42" s="198"/>
      <c r="H42" s="198"/>
      <c r="I42" s="198"/>
      <c r="J42" s="198"/>
      <c r="K42" s="215">
        <f t="shared" ref="K42:L42" si="7">sum(K2:K41)</f>
        <v>0</v>
      </c>
      <c r="L42" s="216">
        <f t="shared" si="7"/>
        <v>0</v>
      </c>
    </row>
    <row r="43">
      <c r="A43" s="198"/>
      <c r="B43" s="208" t="str">
        <f>vlookup(A43,Price!A:B,2,false)</f>
        <v>#N/A</v>
      </c>
      <c r="C43" s="198"/>
      <c r="D43" s="198"/>
      <c r="E43" s="198"/>
      <c r="F43" s="198"/>
      <c r="G43" s="198"/>
      <c r="H43" s="198"/>
      <c r="I43" s="198"/>
      <c r="J43" s="198"/>
      <c r="K43" s="198"/>
      <c r="L43" s="198"/>
    </row>
    <row r="44">
      <c r="A44" s="198"/>
      <c r="B44" s="208" t="str">
        <f>vlookup(A44,Price!A:B,2,false)</f>
        <v>#N/A</v>
      </c>
      <c r="C44" s="198"/>
      <c r="D44" s="198"/>
      <c r="E44" s="198"/>
      <c r="F44" s="198"/>
      <c r="G44" s="198"/>
      <c r="H44" s="198"/>
      <c r="I44" s="198"/>
      <c r="J44" s="198"/>
      <c r="K44" s="198"/>
      <c r="L44" s="198"/>
    </row>
    <row r="45">
      <c r="A45" s="198"/>
      <c r="B45" s="208" t="str">
        <f>vlookup(A45,Price!A:B,2,false)</f>
        <v>#N/A</v>
      </c>
      <c r="C45" s="198"/>
      <c r="D45" s="198"/>
      <c r="E45" s="198"/>
      <c r="F45" s="198"/>
      <c r="G45" s="198"/>
      <c r="H45" s="198"/>
      <c r="I45" s="198"/>
      <c r="J45" s="198"/>
      <c r="K45" s="198"/>
      <c r="L45" s="198"/>
    </row>
    <row r="46">
      <c r="A46" s="198"/>
      <c r="B46" s="208" t="str">
        <f>vlookup(A46,Price!A:B,2,false)</f>
        <v>#N/A</v>
      </c>
      <c r="C46" s="198"/>
      <c r="D46" s="198"/>
      <c r="E46" s="198"/>
      <c r="F46" s="198"/>
      <c r="G46" s="198"/>
      <c r="H46" s="198"/>
      <c r="I46" s="198"/>
      <c r="J46" s="198"/>
      <c r="K46" s="198"/>
      <c r="L46" s="198"/>
    </row>
    <row r="47">
      <c r="A47" s="198"/>
      <c r="B47" s="208" t="str">
        <f>vlookup(A47,Price!A:B,2,false)</f>
        <v>#N/A</v>
      </c>
      <c r="C47" s="198"/>
      <c r="D47" s="198"/>
      <c r="E47" s="198"/>
      <c r="F47" s="198"/>
      <c r="G47" s="198"/>
      <c r="H47" s="198"/>
      <c r="I47" s="198"/>
      <c r="J47" s="198"/>
      <c r="K47" s="198"/>
      <c r="L47" s="198"/>
    </row>
    <row r="48">
      <c r="A48" s="198"/>
      <c r="B48" s="208" t="str">
        <f>vlookup(A48,Price!A:B,2,false)</f>
        <v>#N/A</v>
      </c>
      <c r="C48" s="198"/>
      <c r="D48" s="198"/>
      <c r="E48" s="198"/>
      <c r="F48" s="198"/>
      <c r="G48" s="198"/>
      <c r="H48" s="198"/>
      <c r="I48" s="198"/>
      <c r="J48" s="198"/>
      <c r="K48" s="198"/>
      <c r="L48" s="198"/>
    </row>
    <row r="49">
      <c r="A49" s="198"/>
      <c r="B49" s="208" t="str">
        <f>vlookup(A49,Price!A:B,2,false)</f>
        <v>#N/A</v>
      </c>
      <c r="C49" s="198"/>
      <c r="D49" s="198"/>
      <c r="E49" s="198"/>
      <c r="F49" s="198"/>
      <c r="G49" s="198"/>
      <c r="H49" s="198"/>
      <c r="I49" s="198"/>
      <c r="J49" s="198"/>
      <c r="K49" s="198"/>
      <c r="L49" s="198"/>
    </row>
    <row r="50">
      <c r="A50" s="198"/>
      <c r="B50" s="208" t="str">
        <f>vlookup(A50,Price!A:B,2,false)</f>
        <v>#N/A</v>
      </c>
      <c r="C50" s="198"/>
      <c r="D50" s="198"/>
      <c r="E50" s="198"/>
      <c r="F50" s="198"/>
      <c r="G50" s="198"/>
      <c r="H50" s="198"/>
      <c r="I50" s="198"/>
      <c r="J50" s="198"/>
      <c r="K50" s="198"/>
      <c r="L50" s="198"/>
    </row>
    <row r="51">
      <c r="A51" s="198"/>
      <c r="B51" s="208" t="str">
        <f>vlookup(A51,Price!A:B,2,false)</f>
        <v>#N/A</v>
      </c>
      <c r="C51" s="198"/>
      <c r="D51" s="198"/>
      <c r="E51" s="198"/>
      <c r="F51" s="198"/>
      <c r="G51" s="198"/>
      <c r="H51" s="198"/>
      <c r="I51" s="198"/>
      <c r="J51" s="198"/>
      <c r="K51" s="198"/>
      <c r="L51" s="198"/>
    </row>
    <row r="52">
      <c r="A52" s="198"/>
      <c r="B52" s="208" t="str">
        <f>vlookup(A52,Price!A:B,2,false)</f>
        <v>#N/A</v>
      </c>
      <c r="C52" s="198"/>
      <c r="D52" s="198"/>
      <c r="E52" s="198"/>
      <c r="F52" s="198"/>
      <c r="G52" s="198"/>
      <c r="H52" s="198"/>
      <c r="I52" s="198"/>
      <c r="J52" s="198"/>
      <c r="K52" s="198"/>
      <c r="L52" s="198"/>
    </row>
    <row r="53">
      <c r="A53" s="198"/>
      <c r="B53" s="208" t="str">
        <f>vlookup(A53,Price!A:B,2,false)</f>
        <v>#N/A</v>
      </c>
      <c r="C53" s="198"/>
      <c r="D53" s="198"/>
      <c r="E53" s="198"/>
      <c r="F53" s="198"/>
      <c r="G53" s="198"/>
      <c r="H53" s="198"/>
      <c r="I53" s="198"/>
      <c r="J53" s="198"/>
      <c r="K53" s="198"/>
      <c r="L53" s="198"/>
    </row>
    <row r="54">
      <c r="A54" s="198"/>
      <c r="B54" s="208" t="str">
        <f>vlookup(A54,Price!A:B,2,false)</f>
        <v>#N/A</v>
      </c>
      <c r="C54" s="198"/>
      <c r="D54" s="198"/>
      <c r="E54" s="198"/>
      <c r="F54" s="198"/>
      <c r="G54" s="198"/>
      <c r="H54" s="198"/>
      <c r="I54" s="198"/>
      <c r="J54" s="198"/>
      <c r="K54" s="198"/>
      <c r="L54" s="198"/>
    </row>
    <row r="55">
      <c r="A55" s="198"/>
      <c r="B55" s="208" t="str">
        <f>vlookup(A55,Price!A:B,2,false)</f>
        <v>#N/A</v>
      </c>
      <c r="C55" s="198"/>
      <c r="D55" s="198"/>
      <c r="E55" s="198"/>
      <c r="F55" s="198"/>
      <c r="G55" s="198"/>
      <c r="H55" s="198"/>
      <c r="I55" s="198"/>
      <c r="J55" s="198"/>
      <c r="K55" s="198"/>
      <c r="L55" s="198"/>
    </row>
    <row r="56">
      <c r="A56" s="198"/>
      <c r="B56" s="208" t="str">
        <f>vlookup(A56,Price!A:B,2,false)</f>
        <v>#N/A</v>
      </c>
      <c r="C56" s="198"/>
      <c r="D56" s="198"/>
      <c r="E56" s="198"/>
      <c r="F56" s="198"/>
      <c r="G56" s="198"/>
      <c r="H56" s="198"/>
      <c r="I56" s="198"/>
      <c r="J56" s="198"/>
      <c r="K56" s="198"/>
      <c r="L56" s="198"/>
    </row>
    <row r="57">
      <c r="A57" s="198"/>
      <c r="B57" s="208" t="str">
        <f>vlookup(A57,Price!A:B,2,false)</f>
        <v>#N/A</v>
      </c>
      <c r="C57" s="198"/>
      <c r="D57" s="198"/>
      <c r="E57" s="198"/>
      <c r="F57" s="198"/>
      <c r="G57" s="198"/>
      <c r="H57" s="198"/>
      <c r="I57" s="198"/>
      <c r="J57" s="198"/>
      <c r="K57" s="198"/>
      <c r="L57" s="198"/>
    </row>
    <row r="58">
      <c r="A58" s="198"/>
      <c r="B58" s="208" t="str">
        <f>vlookup(A58,Price!A:B,2,false)</f>
        <v>#N/A</v>
      </c>
      <c r="C58" s="198"/>
      <c r="D58" s="198"/>
      <c r="E58" s="198"/>
      <c r="F58" s="198"/>
      <c r="G58" s="198"/>
      <c r="H58" s="198"/>
      <c r="I58" s="198"/>
      <c r="J58" s="198"/>
      <c r="K58" s="198"/>
      <c r="L58" s="198"/>
    </row>
    <row r="59">
      <c r="A59" s="198"/>
      <c r="B59" s="208" t="str">
        <f>vlookup(A59,Price!A:B,2,false)</f>
        <v>#N/A</v>
      </c>
      <c r="C59" s="198"/>
      <c r="D59" s="198"/>
      <c r="E59" s="198"/>
      <c r="F59" s="198"/>
      <c r="G59" s="198"/>
      <c r="H59" s="198"/>
      <c r="I59" s="198"/>
      <c r="J59" s="198"/>
      <c r="K59" s="198"/>
      <c r="L59" s="198"/>
    </row>
    <row r="60">
      <c r="A60" s="198"/>
      <c r="B60" s="208" t="str">
        <f>vlookup(A60,Price!A:B,2,false)</f>
        <v>#N/A</v>
      </c>
      <c r="C60" s="198"/>
      <c r="D60" s="198"/>
      <c r="E60" s="198"/>
      <c r="F60" s="198"/>
      <c r="G60" s="198"/>
      <c r="H60" s="198"/>
      <c r="I60" s="198"/>
      <c r="J60" s="198"/>
      <c r="K60" s="198"/>
      <c r="L60" s="198"/>
    </row>
    <row r="61">
      <c r="A61" s="198"/>
      <c r="B61" s="208" t="str">
        <f>vlookup(A61,Price!A:B,2,false)</f>
        <v>#N/A</v>
      </c>
      <c r="C61" s="198"/>
      <c r="D61" s="198"/>
      <c r="E61" s="198"/>
      <c r="F61" s="198"/>
      <c r="G61" s="198"/>
      <c r="H61" s="198"/>
      <c r="I61" s="198"/>
      <c r="J61" s="198"/>
      <c r="K61" s="198"/>
      <c r="L61" s="198"/>
    </row>
    <row r="62">
      <c r="A62" s="198"/>
      <c r="B62" s="208" t="str">
        <f>vlookup(A62,Price!A:B,2,false)</f>
        <v>#N/A</v>
      </c>
      <c r="C62" s="198"/>
      <c r="D62" s="198"/>
      <c r="E62" s="198"/>
      <c r="F62" s="198"/>
      <c r="G62" s="198"/>
      <c r="H62" s="198"/>
      <c r="I62" s="198"/>
      <c r="J62" s="198"/>
      <c r="K62" s="198"/>
      <c r="L62" s="198"/>
    </row>
    <row r="63">
      <c r="A63" s="198"/>
      <c r="B63" s="208" t="str">
        <f>vlookup(A63,Price!A:B,2,false)</f>
        <v>#N/A</v>
      </c>
      <c r="C63" s="198"/>
      <c r="D63" s="198"/>
      <c r="E63" s="198"/>
      <c r="F63" s="198"/>
      <c r="G63" s="198"/>
      <c r="H63" s="198"/>
      <c r="I63" s="198"/>
      <c r="J63" s="198"/>
      <c r="K63" s="198"/>
      <c r="L63" s="198"/>
    </row>
    <row r="64">
      <c r="A64" s="198"/>
      <c r="B64" s="208" t="str">
        <f>vlookup(A64,Price!A:B,2,false)</f>
        <v>#N/A</v>
      </c>
      <c r="C64" s="198"/>
      <c r="D64" s="198"/>
      <c r="E64" s="198"/>
      <c r="F64" s="198"/>
      <c r="G64" s="198"/>
      <c r="H64" s="198"/>
      <c r="I64" s="198"/>
      <c r="J64" s="198"/>
      <c r="K64" s="198"/>
      <c r="L64" s="198"/>
    </row>
    <row r="65">
      <c r="A65" s="198"/>
      <c r="B65" s="208" t="str">
        <f>vlookup(A65,Price!A:B,2,false)</f>
        <v>#N/A</v>
      </c>
      <c r="C65" s="198"/>
      <c r="D65" s="198"/>
      <c r="E65" s="198"/>
      <c r="F65" s="198"/>
      <c r="G65" s="198"/>
      <c r="H65" s="198"/>
      <c r="I65" s="198"/>
      <c r="J65" s="198"/>
      <c r="K65" s="198"/>
      <c r="L65" s="198"/>
    </row>
    <row r="66">
      <c r="A66" s="198"/>
      <c r="B66" s="208" t="str">
        <f>vlookup(A66,Price!A:B,2,false)</f>
        <v>#N/A</v>
      </c>
      <c r="C66" s="198"/>
      <c r="D66" s="198"/>
      <c r="E66" s="198"/>
      <c r="F66" s="198"/>
      <c r="G66" s="198"/>
      <c r="H66" s="198"/>
      <c r="I66" s="198"/>
      <c r="J66" s="198"/>
      <c r="K66" s="198"/>
      <c r="L66" s="198"/>
    </row>
    <row r="67">
      <c r="A67" s="198"/>
      <c r="B67" s="208" t="str">
        <f>vlookup(A67,Price!A:B,2,false)</f>
        <v>#N/A</v>
      </c>
      <c r="C67" s="198"/>
      <c r="D67" s="198"/>
      <c r="E67" s="198"/>
      <c r="F67" s="198"/>
      <c r="G67" s="198"/>
      <c r="H67" s="198"/>
      <c r="I67" s="198"/>
      <c r="J67" s="198"/>
      <c r="K67" s="198"/>
      <c r="L67" s="198"/>
    </row>
    <row r="68">
      <c r="A68" s="198"/>
      <c r="B68" s="208" t="str">
        <f>vlookup(A68,Price!A:B,2,false)</f>
        <v>#N/A</v>
      </c>
      <c r="C68" s="198"/>
      <c r="D68" s="198"/>
      <c r="E68" s="198"/>
      <c r="F68" s="198"/>
      <c r="G68" s="198"/>
      <c r="H68" s="198"/>
      <c r="I68" s="198"/>
      <c r="J68" s="198"/>
      <c r="K68" s="198"/>
      <c r="L68" s="198"/>
    </row>
    <row r="69">
      <c r="A69" s="198"/>
      <c r="B69" s="208" t="str">
        <f>vlookup(A69,Price!A:B,2,false)</f>
        <v>#N/A</v>
      </c>
      <c r="C69" s="198"/>
      <c r="D69" s="198"/>
      <c r="E69" s="198"/>
      <c r="F69" s="198"/>
      <c r="G69" s="198"/>
      <c r="H69" s="198"/>
      <c r="I69" s="198"/>
      <c r="J69" s="198"/>
      <c r="K69" s="198"/>
      <c r="L69" s="198"/>
    </row>
    <row r="70">
      <c r="A70" s="198"/>
      <c r="B70" s="208" t="str">
        <f>vlookup(A70,Price!A:B,2,false)</f>
        <v>#N/A</v>
      </c>
      <c r="C70" s="198"/>
      <c r="D70" s="198"/>
      <c r="E70" s="198"/>
      <c r="F70" s="198"/>
      <c r="G70" s="198"/>
      <c r="H70" s="198"/>
      <c r="I70" s="198"/>
      <c r="J70" s="198"/>
      <c r="K70" s="198"/>
      <c r="L70" s="198"/>
    </row>
    <row r="71">
      <c r="A71" s="198"/>
      <c r="B71" s="208" t="str">
        <f>vlookup(A71,Price!A:B,2,false)</f>
        <v>#N/A</v>
      </c>
      <c r="C71" s="198"/>
      <c r="D71" s="198"/>
      <c r="E71" s="198"/>
      <c r="F71" s="198"/>
      <c r="G71" s="198"/>
      <c r="H71" s="198"/>
      <c r="I71" s="198"/>
      <c r="J71" s="198"/>
      <c r="K71" s="198"/>
      <c r="L71" s="198"/>
    </row>
    <row r="72">
      <c r="A72" s="198"/>
      <c r="B72" s="208" t="str">
        <f>vlookup(A72,Price!A:B,2,false)</f>
        <v>#N/A</v>
      </c>
      <c r="C72" s="198"/>
      <c r="D72" s="198"/>
      <c r="E72" s="198"/>
      <c r="F72" s="198"/>
      <c r="G72" s="198"/>
      <c r="H72" s="198"/>
      <c r="I72" s="198"/>
      <c r="J72" s="198"/>
      <c r="K72" s="198"/>
      <c r="L72" s="198"/>
    </row>
    <row r="73">
      <c r="A73" s="198"/>
      <c r="B73" s="208" t="str">
        <f>vlookup(A73,Price!A:B,2,false)</f>
        <v>#N/A</v>
      </c>
      <c r="C73" s="198"/>
      <c r="D73" s="198"/>
      <c r="E73" s="198"/>
      <c r="F73" s="198"/>
      <c r="G73" s="198"/>
      <c r="H73" s="198"/>
      <c r="I73" s="198"/>
      <c r="J73" s="198"/>
      <c r="K73" s="198"/>
      <c r="L73" s="198"/>
    </row>
    <row r="74">
      <c r="A74" s="198"/>
      <c r="B74" s="208" t="str">
        <f>vlookup(A74,Price!A:B,2,false)</f>
        <v>#N/A</v>
      </c>
      <c r="C74" s="198"/>
      <c r="D74" s="198"/>
      <c r="E74" s="198"/>
      <c r="F74" s="198"/>
      <c r="G74" s="198"/>
      <c r="H74" s="198"/>
      <c r="I74" s="198"/>
      <c r="J74" s="198"/>
      <c r="K74" s="198"/>
      <c r="L74" s="198"/>
    </row>
    <row r="75">
      <c r="A75" s="198"/>
      <c r="B75" s="208" t="str">
        <f>vlookup(A75,Price!A:B,2,false)</f>
        <v>#N/A</v>
      </c>
      <c r="C75" s="198"/>
      <c r="D75" s="198"/>
      <c r="E75" s="198"/>
      <c r="F75" s="198"/>
      <c r="G75" s="198"/>
      <c r="H75" s="198"/>
      <c r="I75" s="198"/>
      <c r="J75" s="198"/>
      <c r="K75" s="198"/>
      <c r="L75" s="198"/>
    </row>
    <row r="76">
      <c r="A76" s="198"/>
      <c r="B76" s="208" t="str">
        <f>vlookup(A76,Price!A:B,2,false)</f>
        <v>#N/A</v>
      </c>
      <c r="C76" s="198"/>
      <c r="D76" s="198"/>
      <c r="E76" s="198"/>
      <c r="F76" s="198"/>
      <c r="G76" s="198"/>
      <c r="H76" s="198"/>
      <c r="I76" s="198"/>
      <c r="J76" s="198"/>
      <c r="K76" s="198"/>
      <c r="L76" s="198"/>
    </row>
    <row r="77">
      <c r="A77" s="198"/>
      <c r="B77" s="208" t="str">
        <f>vlookup(A77,Price!A:B,2,false)</f>
        <v>#N/A</v>
      </c>
      <c r="C77" s="198"/>
      <c r="D77" s="198"/>
      <c r="E77" s="198"/>
      <c r="F77" s="198"/>
      <c r="G77" s="198"/>
      <c r="H77" s="198"/>
      <c r="I77" s="198"/>
      <c r="J77" s="198"/>
      <c r="K77" s="198"/>
      <c r="L77" s="198"/>
    </row>
    <row r="78">
      <c r="A78" s="198"/>
      <c r="B78" s="208" t="str">
        <f>vlookup(A78,Price!A:B,2,false)</f>
        <v>#N/A</v>
      </c>
      <c r="C78" s="198"/>
      <c r="D78" s="198"/>
      <c r="E78" s="198"/>
      <c r="F78" s="198"/>
      <c r="G78" s="198"/>
      <c r="H78" s="198"/>
      <c r="I78" s="198"/>
      <c r="J78" s="198"/>
      <c r="K78" s="198"/>
      <c r="L78" s="198"/>
    </row>
    <row r="79">
      <c r="A79" s="198"/>
      <c r="B79" s="208" t="str">
        <f>vlookup(A79,Price!A:B,2,false)</f>
        <v>#N/A</v>
      </c>
      <c r="C79" s="198"/>
      <c r="D79" s="198"/>
      <c r="E79" s="198"/>
      <c r="F79" s="198"/>
      <c r="G79" s="198"/>
      <c r="H79" s="198"/>
      <c r="I79" s="198"/>
      <c r="J79" s="198"/>
      <c r="K79" s="198"/>
      <c r="L79" s="198"/>
    </row>
    <row r="80">
      <c r="A80" s="198"/>
      <c r="B80" s="208" t="str">
        <f>vlookup(A80,Price!A:B,2,false)</f>
        <v>#N/A</v>
      </c>
      <c r="C80" s="198"/>
      <c r="D80" s="198"/>
      <c r="E80" s="198"/>
      <c r="F80" s="198"/>
      <c r="G80" s="198"/>
      <c r="H80" s="198"/>
      <c r="I80" s="198"/>
      <c r="J80" s="198"/>
      <c r="K80" s="198"/>
      <c r="L80" s="198"/>
    </row>
    <row r="81">
      <c r="A81" s="198"/>
      <c r="B81" s="208" t="str">
        <f>vlookup(A81,Price!A:B,2,false)</f>
        <v>#N/A</v>
      </c>
      <c r="C81" s="198"/>
      <c r="D81" s="198"/>
      <c r="E81" s="198"/>
      <c r="F81" s="198"/>
      <c r="G81" s="198"/>
      <c r="H81" s="198"/>
      <c r="I81" s="198"/>
      <c r="J81" s="198"/>
      <c r="K81" s="198"/>
      <c r="L81" s="198"/>
    </row>
    <row r="82">
      <c r="A82" s="198"/>
      <c r="B82" s="208" t="str">
        <f>vlookup(A82,Price!A:B,2,false)</f>
        <v>#N/A</v>
      </c>
      <c r="C82" s="198"/>
      <c r="D82" s="198"/>
      <c r="E82" s="198"/>
      <c r="F82" s="198"/>
      <c r="G82" s="198"/>
      <c r="H82" s="198"/>
      <c r="I82" s="198"/>
      <c r="J82" s="198"/>
      <c r="K82" s="198"/>
      <c r="L82" s="198"/>
    </row>
    <row r="83">
      <c r="A83" s="198"/>
      <c r="B83" s="208" t="str">
        <f>vlookup(A83,Price!A:B,2,false)</f>
        <v>#N/A</v>
      </c>
      <c r="C83" s="198"/>
      <c r="D83" s="198"/>
      <c r="E83" s="198"/>
      <c r="F83" s="198"/>
      <c r="G83" s="198"/>
      <c r="H83" s="198"/>
      <c r="I83" s="198"/>
      <c r="J83" s="198"/>
      <c r="K83" s="198"/>
      <c r="L83" s="198"/>
    </row>
    <row r="84">
      <c r="A84" s="198"/>
      <c r="B84" s="208" t="str">
        <f>vlookup(A84,Price!A:B,2,false)</f>
        <v>#N/A</v>
      </c>
      <c r="C84" s="198"/>
      <c r="D84" s="198"/>
      <c r="E84" s="198"/>
      <c r="F84" s="198"/>
      <c r="G84" s="198"/>
      <c r="H84" s="198"/>
      <c r="I84" s="198"/>
      <c r="J84" s="198"/>
      <c r="K84" s="198"/>
      <c r="L84" s="198"/>
    </row>
    <row r="85">
      <c r="A85" s="198"/>
      <c r="B85" s="208" t="str">
        <f>vlookup(A85,Price!A:B,2,false)</f>
        <v>#N/A</v>
      </c>
      <c r="C85" s="198"/>
      <c r="D85" s="198"/>
      <c r="E85" s="198"/>
      <c r="F85" s="198"/>
      <c r="G85" s="198"/>
      <c r="H85" s="198"/>
      <c r="I85" s="198"/>
      <c r="J85" s="198"/>
      <c r="K85" s="198"/>
      <c r="L85" s="198"/>
    </row>
    <row r="86">
      <c r="A86" s="198"/>
      <c r="B86" s="208" t="str">
        <f>vlookup(A86,Price!A:B,2,false)</f>
        <v>#N/A</v>
      </c>
      <c r="C86" s="198"/>
      <c r="D86" s="198"/>
      <c r="E86" s="198"/>
      <c r="F86" s="198"/>
      <c r="G86" s="198"/>
      <c r="H86" s="198"/>
      <c r="I86" s="198"/>
      <c r="J86" s="198"/>
      <c r="K86" s="198"/>
      <c r="L86" s="198"/>
    </row>
    <row r="87">
      <c r="A87" s="198"/>
      <c r="B87" s="208" t="str">
        <f>vlookup(A87,Price!A:B,2,false)</f>
        <v>#N/A</v>
      </c>
      <c r="C87" s="198"/>
      <c r="D87" s="198"/>
      <c r="E87" s="198"/>
      <c r="F87" s="198"/>
      <c r="G87" s="198"/>
      <c r="H87" s="198"/>
      <c r="I87" s="198"/>
      <c r="J87" s="198"/>
      <c r="K87" s="198"/>
      <c r="L87" s="198"/>
    </row>
    <row r="88">
      <c r="A88" s="198"/>
      <c r="B88" s="208" t="str">
        <f>vlookup(A88,Price!A:B,2,false)</f>
        <v>#N/A</v>
      </c>
      <c r="C88" s="198"/>
      <c r="D88" s="198"/>
      <c r="E88" s="198"/>
      <c r="F88" s="198"/>
      <c r="G88" s="198"/>
      <c r="H88" s="198"/>
      <c r="I88" s="198"/>
      <c r="J88" s="198"/>
      <c r="K88" s="198"/>
      <c r="L88" s="198"/>
    </row>
    <row r="89">
      <c r="A89" s="198"/>
      <c r="B89" s="208" t="str">
        <f>vlookup(A89,Price!A:B,2,false)</f>
        <v>#N/A</v>
      </c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>
      <c r="A90" s="198"/>
      <c r="B90" s="208" t="str">
        <f>vlookup(A90,Price!A:B,2,false)</f>
        <v>#N/A</v>
      </c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1">
      <c r="A91" s="198"/>
      <c r="B91" s="208" t="str">
        <f>vlookup(A91,Price!A:B,2,false)</f>
        <v>#N/A</v>
      </c>
      <c r="C91" s="198"/>
      <c r="D91" s="198"/>
      <c r="E91" s="198"/>
      <c r="F91" s="198"/>
      <c r="G91" s="198"/>
      <c r="H91" s="198"/>
      <c r="I91" s="198"/>
      <c r="J91" s="198"/>
      <c r="K91" s="198"/>
      <c r="L91" s="198"/>
    </row>
    <row r="92">
      <c r="A92" s="198"/>
      <c r="B92" s="208" t="str">
        <f>vlookup(A92,Price!A:B,2,false)</f>
        <v>#N/A</v>
      </c>
      <c r="C92" s="198"/>
      <c r="D92" s="198"/>
      <c r="E92" s="198"/>
      <c r="F92" s="198"/>
      <c r="G92" s="198"/>
      <c r="H92" s="198"/>
      <c r="I92" s="198"/>
      <c r="J92" s="198"/>
      <c r="K92" s="198"/>
      <c r="L92" s="198"/>
    </row>
    <row r="93">
      <c r="A93" s="198"/>
      <c r="B93" s="208" t="str">
        <f>vlookup(A93,Price!A:B,2,false)</f>
        <v>#N/A</v>
      </c>
      <c r="C93" s="198"/>
      <c r="D93" s="198"/>
      <c r="E93" s="198"/>
      <c r="F93" s="198"/>
      <c r="G93" s="198"/>
      <c r="H93" s="198"/>
      <c r="I93" s="198"/>
      <c r="J93" s="198"/>
      <c r="K93" s="198"/>
      <c r="L93" s="198"/>
    </row>
    <row r="94">
      <c r="A94" s="198"/>
      <c r="B94" s="208" t="str">
        <f>vlookup(A94,Price!A:B,2,false)</f>
        <v>#N/A</v>
      </c>
      <c r="C94" s="198"/>
      <c r="D94" s="198"/>
      <c r="E94" s="198"/>
      <c r="F94" s="198"/>
      <c r="G94" s="198"/>
      <c r="H94" s="198"/>
      <c r="I94" s="198"/>
      <c r="J94" s="198"/>
      <c r="K94" s="198"/>
      <c r="L94" s="198"/>
    </row>
    <row r="95">
      <c r="A95" s="198"/>
      <c r="B95" s="208" t="str">
        <f>vlookup(A95,Price!A:B,2,false)</f>
        <v>#N/A</v>
      </c>
      <c r="C95" s="198"/>
      <c r="D95" s="198"/>
      <c r="E95" s="198"/>
      <c r="F95" s="198"/>
      <c r="G95" s="198"/>
      <c r="H95" s="198"/>
      <c r="I95" s="198"/>
      <c r="J95" s="198"/>
      <c r="K95" s="198"/>
      <c r="L95" s="198"/>
    </row>
    <row r="96">
      <c r="A96" s="198"/>
      <c r="B96" s="208" t="str">
        <f>vlookup(A96,Price!A:B,2,false)</f>
        <v>#N/A</v>
      </c>
      <c r="C96" s="198"/>
      <c r="D96" s="198"/>
      <c r="E96" s="198"/>
      <c r="F96" s="198"/>
      <c r="G96" s="198"/>
      <c r="H96" s="198"/>
      <c r="I96" s="198"/>
      <c r="J96" s="198"/>
      <c r="K96" s="198"/>
      <c r="L96" s="198"/>
    </row>
    <row r="97">
      <c r="A97" s="198"/>
      <c r="B97" s="208" t="str">
        <f>vlookup(A97,Price!A:B,2,false)</f>
        <v>#N/A</v>
      </c>
      <c r="C97" s="198"/>
      <c r="D97" s="198"/>
      <c r="E97" s="198"/>
      <c r="F97" s="198"/>
      <c r="G97" s="198"/>
      <c r="H97" s="198"/>
      <c r="I97" s="198"/>
      <c r="J97" s="198"/>
      <c r="K97" s="198"/>
      <c r="L97" s="198"/>
    </row>
    <row r="98">
      <c r="A98" s="198"/>
      <c r="B98" s="208" t="str">
        <f>vlookup(A98,Price!A:B,2,false)</f>
        <v>#N/A</v>
      </c>
      <c r="C98" s="198"/>
      <c r="D98" s="198"/>
      <c r="E98" s="198"/>
      <c r="F98" s="198"/>
      <c r="G98" s="198"/>
      <c r="H98" s="198"/>
      <c r="I98" s="198"/>
      <c r="J98" s="198"/>
      <c r="K98" s="198"/>
      <c r="L98" s="198"/>
    </row>
    <row r="99">
      <c r="A99" s="198"/>
      <c r="B99" s="208" t="str">
        <f>vlookup(A99,Price!A:B,2,false)</f>
        <v>#N/A</v>
      </c>
      <c r="C99" s="198"/>
      <c r="D99" s="198"/>
      <c r="E99" s="198"/>
      <c r="F99" s="198"/>
      <c r="G99" s="198"/>
      <c r="H99" s="198"/>
      <c r="I99" s="198"/>
      <c r="J99" s="198"/>
      <c r="K99" s="198"/>
      <c r="L99" s="198"/>
    </row>
    <row r="100">
      <c r="A100" s="198"/>
      <c r="B100" s="208" t="str">
        <f>vlookup(A100,Price!A:B,2,false)</f>
        <v>#N/A</v>
      </c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</row>
    <row r="101">
      <c r="A101" s="198"/>
      <c r="B101" s="208" t="str">
        <f>vlookup(A101,Price!A:B,2,false)</f>
        <v>#N/A</v>
      </c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</row>
    <row r="102">
      <c r="A102" s="198"/>
      <c r="B102" s="208" t="str">
        <f>vlookup(A102,Price!A:B,2,false)</f>
        <v>#N/A</v>
      </c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</row>
    <row r="103">
      <c r="A103" s="198"/>
      <c r="B103" s="208" t="str">
        <f>vlookup(A103,Price!A:B,2,false)</f>
        <v>#N/A</v>
      </c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</row>
    <row r="104">
      <c r="A104" s="198"/>
      <c r="B104" s="208" t="str">
        <f>vlookup(A104,Price!A:B,2,false)</f>
        <v>#N/A</v>
      </c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</row>
    <row r="105">
      <c r="A105" s="198"/>
      <c r="B105" s="208" t="str">
        <f>vlookup(A105,Price!A:B,2,false)</f>
        <v>#N/A</v>
      </c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</row>
    <row r="106">
      <c r="A106" s="198"/>
      <c r="B106" s="208" t="str">
        <f>vlookup(A106,Price!A:B,2,false)</f>
        <v>#N/A</v>
      </c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</row>
    <row r="107">
      <c r="A107" s="198"/>
      <c r="B107" s="208" t="str">
        <f>vlookup(A107,Price!A:B,2,false)</f>
        <v>#N/A</v>
      </c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</row>
    <row r="108">
      <c r="A108" s="198"/>
      <c r="B108" s="208" t="str">
        <f>vlookup(A108,Price!A:B,2,false)</f>
        <v>#N/A</v>
      </c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</row>
    <row r="109">
      <c r="A109" s="198"/>
      <c r="B109" s="208" t="str">
        <f>vlookup(A109,Price!A:B,2,false)</f>
        <v>#N/A</v>
      </c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</row>
    <row r="110">
      <c r="A110" s="198"/>
      <c r="B110" s="208" t="str">
        <f>vlookup(A110,Price!A:B,2,false)</f>
        <v>#N/A</v>
      </c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</row>
    <row r="111">
      <c r="A111" s="198"/>
      <c r="B111" s="208" t="str">
        <f>vlookup(A111,Price!A:B,2,false)</f>
        <v>#N/A</v>
      </c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</row>
    <row r="112">
      <c r="A112" s="198"/>
      <c r="B112" s="208" t="str">
        <f>vlookup(A112,Price!A:B,2,false)</f>
        <v>#N/A</v>
      </c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</row>
    <row r="113">
      <c r="A113" s="198"/>
      <c r="B113" s="208" t="str">
        <f>vlookup(A113,Price!A:B,2,false)</f>
        <v>#N/A</v>
      </c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</row>
    <row r="114">
      <c r="A114" s="198"/>
      <c r="B114" s="208" t="str">
        <f>vlookup(A114,Price!A:B,2,false)</f>
        <v>#N/A</v>
      </c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</row>
    <row r="115">
      <c r="A115" s="198"/>
      <c r="B115" s="208" t="str">
        <f>vlookup(A115,Price!A:B,2,false)</f>
        <v>#N/A</v>
      </c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</row>
    <row r="116">
      <c r="A116" s="198"/>
      <c r="B116" s="208" t="str">
        <f>vlookup(A116,Price!A:B,2,false)</f>
        <v>#N/A</v>
      </c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</row>
    <row r="117">
      <c r="A117" s="198"/>
      <c r="B117" s="208" t="str">
        <f>vlookup(A117,Price!A:B,2,false)</f>
        <v>#N/A</v>
      </c>
      <c r="C117" s="198"/>
      <c r="D117" s="198"/>
      <c r="E117" s="198"/>
      <c r="F117" s="198"/>
      <c r="G117" s="198"/>
      <c r="H117" s="198"/>
      <c r="I117" s="198"/>
      <c r="J117" s="198"/>
      <c r="K117" s="198"/>
      <c r="L117" s="198"/>
    </row>
    <row r="118">
      <c r="A118" s="198"/>
      <c r="B118" s="208" t="str">
        <f>vlookup(A118,Price!A:B,2,false)</f>
        <v>#N/A</v>
      </c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</row>
    <row r="119">
      <c r="A119" s="198"/>
      <c r="B119" s="208" t="str">
        <f>vlookup(A119,Price!A:B,2,false)</f>
        <v>#N/A</v>
      </c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</row>
    <row r="120">
      <c r="A120" s="198"/>
      <c r="B120" s="208" t="str">
        <f>vlookup(A120,Price!A:B,2,false)</f>
        <v>#N/A</v>
      </c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</row>
    <row r="121">
      <c r="A121" s="198"/>
      <c r="B121" s="208" t="str">
        <f>vlookup(A121,Price!A:B,2,false)</f>
        <v>#N/A</v>
      </c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</row>
    <row r="122">
      <c r="A122" s="198"/>
      <c r="B122" s="208" t="str">
        <f>vlookup(A122,Price!A:B,2,false)</f>
        <v>#N/A</v>
      </c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</row>
    <row r="123">
      <c r="A123" s="198"/>
      <c r="B123" s="208" t="str">
        <f>vlookup(A123,Price!A:B,2,false)</f>
        <v>#N/A</v>
      </c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</row>
    <row r="124">
      <c r="A124" s="198"/>
      <c r="B124" s="208" t="str">
        <f>vlookup(A124,Price!A:B,2,false)</f>
        <v>#N/A</v>
      </c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</row>
    <row r="125">
      <c r="A125" s="198"/>
      <c r="B125" s="208" t="str">
        <f>vlookup(A125,Price!A:B,2,false)</f>
        <v>#N/A</v>
      </c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</row>
    <row r="126">
      <c r="A126" s="198"/>
      <c r="B126" s="208" t="str">
        <f>vlookup(A126,Price!A:B,2,false)</f>
        <v>#N/A</v>
      </c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</row>
    <row r="127">
      <c r="A127" s="198"/>
      <c r="B127" s="208" t="str">
        <f>vlookup(A127,Price!A:B,2,false)</f>
        <v>#N/A</v>
      </c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</row>
    <row r="128">
      <c r="A128" s="198"/>
      <c r="B128" s="208" t="str">
        <f>vlookup(A128,Price!A:B,2,false)</f>
        <v>#N/A</v>
      </c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</row>
    <row r="129">
      <c r="A129" s="198"/>
      <c r="B129" s="208" t="str">
        <f>vlookup(A129,Price!A:B,2,false)</f>
        <v>#N/A</v>
      </c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</row>
    <row r="130">
      <c r="A130" s="198"/>
      <c r="B130" s="208" t="str">
        <f>vlookup(A130,Price!A:B,2,false)</f>
        <v>#N/A</v>
      </c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</row>
    <row r="131">
      <c r="A131" s="198"/>
      <c r="B131" s="208" t="str">
        <f>vlookup(A131,Price!A:B,2,false)</f>
        <v>#N/A</v>
      </c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</row>
    <row r="132">
      <c r="A132" s="198"/>
      <c r="B132" s="208" t="str">
        <f>vlookup(A132,Price!A:B,2,false)</f>
        <v>#N/A</v>
      </c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</row>
    <row r="133">
      <c r="A133" s="198"/>
      <c r="B133" s="208" t="str">
        <f>vlookup(A133,Price!A:B,2,false)</f>
        <v>#N/A</v>
      </c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</row>
    <row r="134">
      <c r="A134" s="198"/>
      <c r="B134" s="208" t="str">
        <f>vlookup(A134,Price!A:B,2,false)</f>
        <v>#N/A</v>
      </c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</row>
    <row r="135">
      <c r="A135" s="198"/>
      <c r="B135" s="208" t="str">
        <f>vlookup(A135,Price!A:B,2,false)</f>
        <v>#N/A</v>
      </c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</row>
    <row r="136">
      <c r="A136" s="198"/>
      <c r="B136" s="208" t="str">
        <f>vlookup(A136,Price!A:B,2,false)</f>
        <v>#N/A</v>
      </c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</row>
    <row r="137">
      <c r="A137" s="198"/>
      <c r="B137" s="208" t="str">
        <f>vlookup(A137,Price!A:B,2,false)</f>
        <v>#N/A</v>
      </c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</row>
    <row r="138">
      <c r="A138" s="198"/>
      <c r="B138" s="208" t="str">
        <f>vlookup(A138,Price!A:B,2,false)</f>
        <v>#N/A</v>
      </c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</row>
    <row r="139">
      <c r="A139" s="198"/>
      <c r="B139" s="208" t="str">
        <f>vlookup(A139,Price!A:B,2,false)</f>
        <v>#N/A</v>
      </c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</row>
    <row r="140">
      <c r="A140" s="198"/>
      <c r="B140" s="208" t="str">
        <f>vlookup(A140,Price!A:B,2,false)</f>
        <v>#N/A</v>
      </c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</row>
    <row r="141">
      <c r="A141" s="198"/>
      <c r="B141" s="208" t="str">
        <f>vlookup(A141,Price!A:B,2,false)</f>
        <v>#N/A</v>
      </c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</row>
    <row r="142">
      <c r="A142" s="198"/>
      <c r="B142" s="208" t="str">
        <f>vlookup(A142,Price!A:B,2,false)</f>
        <v>#N/A</v>
      </c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</row>
    <row r="143">
      <c r="A143" s="198"/>
      <c r="B143" s="208" t="str">
        <f>vlookup(A143,Price!A:B,2,false)</f>
        <v>#N/A</v>
      </c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</row>
    <row r="144">
      <c r="A144" s="198"/>
      <c r="B144" s="208" t="str">
        <f>vlookup(A144,Price!A:B,2,false)</f>
        <v>#N/A</v>
      </c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</row>
    <row r="145">
      <c r="A145" s="198"/>
      <c r="B145" s="208" t="str">
        <f>vlookup(A145,Price!A:B,2,false)</f>
        <v>#N/A</v>
      </c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</row>
    <row r="146">
      <c r="A146" s="198"/>
      <c r="B146" s="208" t="str">
        <f>vlookup(A146,Price!A:B,2,false)</f>
        <v>#N/A</v>
      </c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</row>
    <row r="147">
      <c r="A147" s="198"/>
      <c r="B147" s="208" t="str">
        <f>vlookup(A147,Price!A:B,2,false)</f>
        <v>#N/A</v>
      </c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</row>
    <row r="148">
      <c r="A148" s="198"/>
      <c r="B148" s="208" t="str">
        <f>vlookup(A148,Price!A:B,2,false)</f>
        <v>#N/A</v>
      </c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</row>
    <row r="149">
      <c r="A149" s="198"/>
      <c r="B149" s="208" t="str">
        <f>vlookup(A149,Price!A:B,2,false)</f>
        <v>#N/A</v>
      </c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</row>
    <row r="150">
      <c r="A150" s="198"/>
      <c r="B150" s="208" t="str">
        <f>vlookup(A150,Price!A:B,2,false)</f>
        <v>#N/A</v>
      </c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</row>
    <row r="151">
      <c r="A151" s="198"/>
      <c r="B151" s="208" t="str">
        <f>vlookup(A151,Price!A:B,2,false)</f>
        <v>#N/A</v>
      </c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</row>
    <row r="152">
      <c r="A152" s="198"/>
      <c r="B152" s="208" t="str">
        <f>vlookup(A152,Price!A:B,2,false)</f>
        <v>#N/A</v>
      </c>
      <c r="C152" s="198"/>
      <c r="D152" s="198"/>
      <c r="E152" s="198"/>
      <c r="F152" s="198"/>
      <c r="G152" s="198"/>
      <c r="H152" s="198"/>
      <c r="I152" s="198"/>
      <c r="J152" s="198"/>
      <c r="K152" s="198"/>
      <c r="L152" s="198"/>
    </row>
    <row r="153">
      <c r="A153" s="198"/>
      <c r="B153" s="208" t="str">
        <f>vlookup(A153,Price!A:B,2,false)</f>
        <v>#N/A</v>
      </c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</row>
    <row r="154">
      <c r="A154" s="198"/>
      <c r="B154" s="208" t="str">
        <f>vlookup(A154,Price!A:B,2,false)</f>
        <v>#N/A</v>
      </c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</row>
    <row r="155">
      <c r="A155" s="198"/>
      <c r="B155" s="208" t="str">
        <f>vlookup(A155,Price!A:B,2,false)</f>
        <v>#N/A</v>
      </c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</row>
    <row r="156">
      <c r="A156" s="198"/>
      <c r="B156" s="208" t="str">
        <f>vlookup(A156,Price!A:B,2,false)</f>
        <v>#N/A</v>
      </c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</row>
    <row r="157">
      <c r="A157" s="198"/>
      <c r="B157" s="208" t="str">
        <f>vlookup(A157,Price!A:B,2,false)</f>
        <v>#N/A</v>
      </c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</row>
    <row r="158">
      <c r="A158" s="198"/>
      <c r="B158" s="208" t="str">
        <f>vlookup(A158,Price!A:B,2,false)</f>
        <v>#N/A</v>
      </c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</row>
    <row r="159">
      <c r="A159" s="198"/>
      <c r="B159" s="208" t="str">
        <f>vlookup(A159,Price!A:B,2,false)</f>
        <v>#N/A</v>
      </c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</row>
    <row r="160">
      <c r="A160" s="198"/>
      <c r="B160" s="208" t="str">
        <f>vlookup(A160,Price!A:B,2,false)</f>
        <v>#N/A</v>
      </c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</row>
    <row r="161">
      <c r="A161" s="198"/>
      <c r="B161" s="208" t="str">
        <f>vlookup(A161,Price!A:B,2,false)</f>
        <v>#N/A</v>
      </c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</row>
    <row r="162">
      <c r="A162" s="198"/>
      <c r="B162" s="208" t="str">
        <f>vlookup(A162,Price!A:B,2,false)</f>
        <v>#N/A</v>
      </c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</row>
    <row r="163">
      <c r="A163" s="198"/>
      <c r="B163" s="208" t="str">
        <f>vlookup(A163,Price!A:B,2,false)</f>
        <v>#N/A</v>
      </c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</row>
    <row r="164">
      <c r="A164" s="198"/>
      <c r="B164" s="208" t="str">
        <f>vlookup(A164,Price!A:B,2,false)</f>
        <v>#N/A</v>
      </c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</row>
    <row r="165">
      <c r="A165" s="198"/>
      <c r="B165" s="208" t="str">
        <f>vlookup(A165,Price!A:B,2,false)</f>
        <v>#N/A</v>
      </c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</row>
    <row r="166">
      <c r="A166" s="198"/>
      <c r="B166" s="208" t="str">
        <f>vlookup(A166,Price!A:B,2,false)</f>
        <v>#N/A</v>
      </c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</row>
    <row r="167">
      <c r="A167" s="198"/>
      <c r="B167" s="208" t="str">
        <f>vlookup(A167,Price!A:B,2,false)</f>
        <v>#N/A</v>
      </c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</row>
    <row r="168">
      <c r="A168" s="198"/>
      <c r="B168" s="208" t="str">
        <f>vlookup(A168,Price!A:B,2,false)</f>
        <v>#N/A</v>
      </c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</row>
    <row r="169">
      <c r="A169" s="198"/>
      <c r="B169" s="208" t="str">
        <f>vlookup(A169,Price!A:B,2,false)</f>
        <v>#N/A</v>
      </c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</row>
    <row r="170">
      <c r="A170" s="198"/>
      <c r="B170" s="208" t="str">
        <f>vlookup(A170,Price!A:B,2,false)</f>
        <v>#N/A</v>
      </c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</row>
    <row r="171">
      <c r="A171" s="198"/>
      <c r="B171" s="208" t="str">
        <f>vlookup(A171,Price!A:B,2,false)</f>
        <v>#N/A</v>
      </c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</row>
    <row r="172">
      <c r="A172" s="198"/>
      <c r="B172" s="208" t="str">
        <f>vlookup(A172,Price!A:B,2,false)</f>
        <v>#N/A</v>
      </c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</row>
    <row r="173">
      <c r="A173" s="198"/>
      <c r="B173" s="208" t="str">
        <f>vlookup(A173,Price!A:B,2,false)</f>
        <v>#N/A</v>
      </c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</row>
    <row r="174">
      <c r="A174" s="198"/>
      <c r="B174" s="208" t="str">
        <f>vlookup(A174,Price!A:B,2,false)</f>
        <v>#N/A</v>
      </c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</row>
    <row r="175">
      <c r="A175" s="198"/>
      <c r="B175" s="208" t="str">
        <f>vlookup(A175,Price!A:B,2,false)</f>
        <v>#N/A</v>
      </c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</row>
    <row r="176">
      <c r="A176" s="198"/>
      <c r="B176" s="208" t="str">
        <f>vlookup(A176,Price!A:B,2,false)</f>
        <v>#N/A</v>
      </c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</row>
    <row r="177">
      <c r="A177" s="198"/>
      <c r="B177" s="208" t="str">
        <f>vlookup(A177,Price!A:B,2,false)</f>
        <v>#N/A</v>
      </c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</row>
    <row r="178">
      <c r="A178" s="198"/>
      <c r="B178" s="208" t="str">
        <f>vlookup(A178,Price!A:B,2,false)</f>
        <v>#N/A</v>
      </c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</row>
    <row r="179">
      <c r="A179" s="198"/>
      <c r="B179" s="208" t="str">
        <f>vlookup(A179,Price!A:B,2,false)</f>
        <v>#N/A</v>
      </c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</row>
    <row r="180">
      <c r="A180" s="198"/>
      <c r="B180" s="208" t="str">
        <f>vlookup(A180,Price!A:B,2,false)</f>
        <v>#N/A</v>
      </c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</row>
    <row r="181">
      <c r="A181" s="198"/>
      <c r="B181" s="208" t="str">
        <f>vlookup(A181,Price!A:B,2,false)</f>
        <v>#N/A</v>
      </c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</row>
    <row r="182">
      <c r="A182" s="198"/>
      <c r="B182" s="208" t="str">
        <f>vlookup(A182,Price!A:B,2,false)</f>
        <v>#N/A</v>
      </c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</row>
    <row r="183">
      <c r="A183" s="198"/>
      <c r="B183" s="208" t="str">
        <f>vlookup(A183,Price!A:B,2,false)</f>
        <v>#N/A</v>
      </c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</row>
    <row r="184">
      <c r="A184" s="198"/>
      <c r="B184" s="208" t="str">
        <f>vlookup(A184,Price!A:B,2,false)</f>
        <v>#N/A</v>
      </c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</row>
    <row r="185">
      <c r="A185" s="198"/>
      <c r="B185" s="208" t="str">
        <f>vlookup(A185,Price!A:B,2,false)</f>
        <v>#N/A</v>
      </c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</row>
    <row r="186">
      <c r="A186" s="198"/>
      <c r="B186" s="208" t="str">
        <f>vlookup(A186,Price!A:B,2,false)</f>
        <v>#N/A</v>
      </c>
      <c r="C186" s="198"/>
      <c r="D186" s="198"/>
      <c r="E186" s="198"/>
      <c r="F186" s="198"/>
      <c r="G186" s="198"/>
      <c r="H186" s="198"/>
      <c r="I186" s="198"/>
      <c r="J186" s="198"/>
      <c r="K186" s="198"/>
      <c r="L186" s="198"/>
    </row>
    <row r="187">
      <c r="A187" s="198"/>
      <c r="B187" s="208" t="str">
        <f>vlookup(A187,Price!A:B,2,false)</f>
        <v>#N/A</v>
      </c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</row>
    <row r="188">
      <c r="A188" s="198"/>
      <c r="B188" s="208" t="str">
        <f>vlookup(A188,Price!A:B,2,false)</f>
        <v>#N/A</v>
      </c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</row>
    <row r="189">
      <c r="A189" s="198"/>
      <c r="B189" s="208" t="str">
        <f>vlookup(A189,Price!A:B,2,false)</f>
        <v>#N/A</v>
      </c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</row>
    <row r="190">
      <c r="A190" s="198"/>
      <c r="B190" s="208" t="str">
        <f>vlookup(A190,Price!A:B,2,false)</f>
        <v>#N/A</v>
      </c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</row>
    <row r="191">
      <c r="A191" s="198"/>
      <c r="B191" s="208" t="str">
        <f>vlookup(A191,Price!A:B,2,false)</f>
        <v>#N/A</v>
      </c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</row>
    <row r="192">
      <c r="A192" s="198"/>
      <c r="B192" s="208" t="str">
        <f>vlookup(A192,Price!A:B,2,false)</f>
        <v>#N/A</v>
      </c>
      <c r="C192" s="198"/>
      <c r="D192" s="198"/>
      <c r="E192" s="198"/>
      <c r="F192" s="198"/>
      <c r="G192" s="198"/>
      <c r="H192" s="198"/>
      <c r="I192" s="198"/>
      <c r="J192" s="198"/>
      <c r="K192" s="198"/>
      <c r="L192" s="198"/>
    </row>
    <row r="193">
      <c r="A193" s="198"/>
      <c r="B193" s="208" t="str">
        <f>vlookup(A193,Price!A:B,2,false)</f>
        <v>#N/A</v>
      </c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</row>
    <row r="194">
      <c r="A194" s="198"/>
      <c r="B194" s="208" t="str">
        <f>vlookup(A194,Price!A:B,2,false)</f>
        <v>#N/A</v>
      </c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</row>
    <row r="195">
      <c r="A195" s="198"/>
      <c r="B195" s="208" t="str">
        <f>vlookup(A195,Price!A:B,2,false)</f>
        <v>#N/A</v>
      </c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</row>
    <row r="196">
      <c r="A196" s="198"/>
      <c r="B196" s="208" t="str">
        <f>vlookup(A196,Price!A:B,2,false)</f>
        <v>#N/A</v>
      </c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</row>
    <row r="197">
      <c r="A197" s="198"/>
      <c r="B197" s="208" t="str">
        <f>vlookup(A197,Price!A:B,2,false)</f>
        <v>#N/A</v>
      </c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</row>
    <row r="198">
      <c r="A198" s="198"/>
      <c r="B198" s="208" t="str">
        <f>vlookup(A198,Price!A:B,2,false)</f>
        <v>#N/A</v>
      </c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</row>
    <row r="199">
      <c r="A199" s="198"/>
      <c r="B199" s="208" t="str">
        <f>vlookup(A199,Price!A:B,2,false)</f>
        <v>#N/A</v>
      </c>
      <c r="C199" s="198"/>
      <c r="D199" s="198"/>
      <c r="E199" s="198"/>
      <c r="F199" s="198"/>
      <c r="G199" s="198"/>
      <c r="H199" s="198"/>
      <c r="I199" s="198"/>
      <c r="J199" s="198"/>
      <c r="K199" s="198"/>
      <c r="L199" s="198"/>
    </row>
    <row r="200">
      <c r="A200" s="198"/>
      <c r="B200" s="208" t="str">
        <f>vlookup(A200,Price!A:B,2,false)</f>
        <v>#N/A</v>
      </c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</row>
    <row r="201">
      <c r="A201" s="198"/>
      <c r="B201" s="208" t="str">
        <f>vlookup(A201,Price!A:B,2,false)</f>
        <v>#N/A</v>
      </c>
      <c r="C201" s="198"/>
      <c r="D201" s="198"/>
      <c r="E201" s="198"/>
      <c r="F201" s="198"/>
      <c r="G201" s="198"/>
      <c r="H201" s="198"/>
      <c r="I201" s="198"/>
      <c r="J201" s="198"/>
      <c r="K201" s="198"/>
      <c r="L201" s="198"/>
    </row>
    <row r="202">
      <c r="A202" s="198"/>
      <c r="B202" s="208" t="str">
        <f>vlookup(A202,Price!A:B,2,false)</f>
        <v>#N/A</v>
      </c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</row>
    <row r="203">
      <c r="A203" s="198"/>
      <c r="B203" s="208" t="str">
        <f>vlookup(A203,Price!A:B,2,false)</f>
        <v>#N/A</v>
      </c>
      <c r="C203" s="198"/>
      <c r="D203" s="198"/>
      <c r="E203" s="198"/>
      <c r="F203" s="198"/>
      <c r="G203" s="198"/>
      <c r="H203" s="198"/>
      <c r="I203" s="198"/>
      <c r="J203" s="198"/>
      <c r="K203" s="198"/>
      <c r="L203" s="198"/>
    </row>
    <row r="204">
      <c r="A204" s="198"/>
      <c r="B204" s="208" t="str">
        <f>vlookup(A204,Price!A:B,2,false)</f>
        <v>#N/A</v>
      </c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</row>
    <row r="205">
      <c r="A205" s="198"/>
      <c r="B205" s="208" t="str">
        <f>vlookup(A205,Price!A:B,2,false)</f>
        <v>#N/A</v>
      </c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</row>
    <row r="206">
      <c r="A206" s="198"/>
      <c r="B206" s="208" t="str">
        <f>vlookup(A206,Price!A:B,2,false)</f>
        <v>#N/A</v>
      </c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</row>
    <row r="207">
      <c r="A207" s="198"/>
      <c r="B207" s="208" t="str">
        <f>vlookup(A207,Price!A:B,2,false)</f>
        <v>#N/A</v>
      </c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</row>
    <row r="208">
      <c r="A208" s="198"/>
      <c r="B208" s="208" t="str">
        <f>vlookup(A208,Price!A:B,2,false)</f>
        <v>#N/A</v>
      </c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</row>
    <row r="209">
      <c r="A209" s="198"/>
      <c r="B209" s="208" t="str">
        <f>vlookup(A209,Price!A:B,2,false)</f>
        <v>#N/A</v>
      </c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</row>
    <row r="210">
      <c r="A210" s="198"/>
      <c r="B210" s="208" t="str">
        <f>vlookup(A210,Price!A:B,2,false)</f>
        <v>#N/A</v>
      </c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</row>
    <row r="211">
      <c r="A211" s="198"/>
      <c r="B211" s="208" t="str">
        <f>vlookup(A211,Price!A:B,2,false)</f>
        <v>#N/A</v>
      </c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</row>
    <row r="212">
      <c r="A212" s="198"/>
      <c r="B212" s="208" t="str">
        <f>vlookup(A212,Price!A:B,2,false)</f>
        <v>#N/A</v>
      </c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</row>
    <row r="213">
      <c r="A213" s="198"/>
      <c r="B213" s="208" t="str">
        <f>vlookup(A213,Price!A:B,2,false)</f>
        <v>#N/A</v>
      </c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</row>
    <row r="214">
      <c r="A214" s="198"/>
      <c r="B214" s="208" t="str">
        <f>vlookup(A214,Price!A:B,2,false)</f>
        <v>#N/A</v>
      </c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</row>
    <row r="215">
      <c r="A215" s="198"/>
      <c r="B215" s="208" t="str">
        <f>vlookup(A215,Price!A:B,2,false)</f>
        <v>#N/A</v>
      </c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</row>
    <row r="216">
      <c r="A216" s="198"/>
      <c r="B216" s="208" t="str">
        <f>vlookup(A216,Price!A:B,2,false)</f>
        <v>#N/A</v>
      </c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</row>
    <row r="217">
      <c r="A217" s="198"/>
      <c r="B217" s="208" t="str">
        <f>vlookup(A217,Price!A:B,2,false)</f>
        <v>#N/A</v>
      </c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</row>
    <row r="218">
      <c r="A218" s="198"/>
      <c r="B218" s="208" t="str">
        <f>vlookup(A218,Price!A:B,2,false)</f>
        <v>#N/A</v>
      </c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</row>
    <row r="219">
      <c r="A219" s="198"/>
      <c r="B219" s="208" t="str">
        <f>vlookup(A219,Price!A:B,2,false)</f>
        <v>#N/A</v>
      </c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</row>
    <row r="220">
      <c r="A220" s="198"/>
      <c r="B220" s="208" t="str">
        <f>vlookup(A220,Price!A:B,2,false)</f>
        <v>#N/A</v>
      </c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</row>
    <row r="221">
      <c r="A221" s="198"/>
      <c r="B221" s="208" t="str">
        <f>vlookup(A221,Price!A:B,2,false)</f>
        <v>#N/A</v>
      </c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</row>
    <row r="222">
      <c r="A222" s="198"/>
      <c r="B222" s="208" t="str">
        <f>vlookup(A222,Price!A:B,2,false)</f>
        <v>#N/A</v>
      </c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</row>
    <row r="223">
      <c r="A223" s="198"/>
      <c r="B223" s="208" t="str">
        <f>vlookup(A223,Price!A:B,2,false)</f>
        <v>#N/A</v>
      </c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</row>
    <row r="224">
      <c r="A224" s="198"/>
      <c r="B224" s="208" t="str">
        <f>vlookup(A224,Price!A:B,2,false)</f>
        <v>#N/A</v>
      </c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</row>
    <row r="225">
      <c r="A225" s="198"/>
      <c r="B225" s="208" t="str">
        <f>vlookup(A225,Price!A:B,2,false)</f>
        <v>#N/A</v>
      </c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</row>
    <row r="226">
      <c r="A226" s="198"/>
      <c r="B226" s="208" t="str">
        <f>vlookup(A226,Price!A:B,2,false)</f>
        <v>#N/A</v>
      </c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</row>
    <row r="227">
      <c r="A227" s="198"/>
      <c r="B227" s="208" t="str">
        <f>vlookup(A227,Price!A:B,2,false)</f>
        <v>#N/A</v>
      </c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</row>
    <row r="228">
      <c r="A228" s="198"/>
      <c r="B228" s="208" t="str">
        <f>vlookup(A228,Price!A:B,2,false)</f>
        <v>#N/A</v>
      </c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</row>
    <row r="229">
      <c r="A229" s="198"/>
      <c r="B229" s="208" t="str">
        <f>vlookup(A229,Price!A:B,2,false)</f>
        <v>#N/A</v>
      </c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</row>
    <row r="230">
      <c r="A230" s="198"/>
      <c r="B230" s="208" t="str">
        <f>vlookup(A230,Price!A:B,2,false)</f>
        <v>#N/A</v>
      </c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</row>
    <row r="231">
      <c r="A231" s="198"/>
      <c r="B231" s="208" t="str">
        <f>vlookup(A231,Price!A:B,2,false)</f>
        <v>#N/A</v>
      </c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</row>
    <row r="232">
      <c r="A232" s="198"/>
      <c r="B232" s="208" t="str">
        <f>vlookup(A232,Price!A:B,2,false)</f>
        <v>#N/A</v>
      </c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</row>
    <row r="233">
      <c r="A233" s="198"/>
      <c r="B233" s="208" t="str">
        <f>vlookup(A233,Price!A:B,2,false)</f>
        <v>#N/A</v>
      </c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</row>
    <row r="234">
      <c r="A234" s="198"/>
      <c r="B234" s="208" t="str">
        <f>vlookup(A234,Price!A:B,2,false)</f>
        <v>#N/A</v>
      </c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</row>
    <row r="235">
      <c r="A235" s="198"/>
      <c r="B235" s="208" t="str">
        <f>vlookup(A235,Price!A:B,2,false)</f>
        <v>#N/A</v>
      </c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</row>
    <row r="236">
      <c r="A236" s="198"/>
      <c r="B236" s="208" t="str">
        <f>vlookup(A236,Price!A:B,2,false)</f>
        <v>#N/A</v>
      </c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</row>
    <row r="237">
      <c r="A237" s="198"/>
      <c r="B237" s="208" t="str">
        <f>vlookup(A237,Price!A:B,2,false)</f>
        <v>#N/A</v>
      </c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</row>
    <row r="238">
      <c r="A238" s="198"/>
      <c r="B238" s="208" t="str">
        <f>vlookup(A238,Price!A:B,2,false)</f>
        <v>#N/A</v>
      </c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</row>
    <row r="239">
      <c r="A239" s="198"/>
      <c r="B239" s="208" t="str">
        <f>vlookup(A239,Price!A:B,2,false)</f>
        <v>#N/A</v>
      </c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</row>
    <row r="240">
      <c r="A240" s="198"/>
      <c r="B240" s="208" t="str">
        <f>vlookup(A240,Price!A:B,2,false)</f>
        <v>#N/A</v>
      </c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</row>
    <row r="241">
      <c r="A241" s="198"/>
      <c r="B241" s="208" t="str">
        <f>vlookup(A241,Price!A:B,2,false)</f>
        <v>#N/A</v>
      </c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</row>
    <row r="242">
      <c r="A242" s="198"/>
      <c r="B242" s="208" t="str">
        <f>vlookup(A242,Price!A:B,2,false)</f>
        <v>#N/A</v>
      </c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</row>
    <row r="243">
      <c r="A243" s="198"/>
      <c r="B243" s="208" t="str">
        <f>vlookup(A243,Price!A:B,2,false)</f>
        <v>#N/A</v>
      </c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</row>
    <row r="244">
      <c r="A244" s="198"/>
      <c r="B244" s="208" t="str">
        <f>vlookup(A244,Price!A:B,2,false)</f>
        <v>#N/A</v>
      </c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</row>
    <row r="245">
      <c r="A245" s="198"/>
      <c r="B245" s="208" t="str">
        <f>vlookup(A245,Price!A:B,2,false)</f>
        <v>#N/A</v>
      </c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</row>
    <row r="246">
      <c r="A246" s="198"/>
      <c r="B246" s="208" t="str">
        <f>vlookup(A246,Price!A:B,2,false)</f>
        <v>#N/A</v>
      </c>
      <c r="C246" s="198"/>
      <c r="D246" s="198"/>
      <c r="E246" s="198"/>
      <c r="F246" s="198"/>
      <c r="G246" s="198"/>
      <c r="H246" s="198"/>
      <c r="I246" s="198"/>
      <c r="J246" s="198"/>
      <c r="K246" s="198"/>
      <c r="L246" s="198"/>
    </row>
    <row r="247">
      <c r="A247" s="198"/>
      <c r="B247" s="208" t="str">
        <f>vlookup(A247,Price!A:B,2,false)</f>
        <v>#N/A</v>
      </c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</row>
    <row r="248">
      <c r="A248" s="198"/>
      <c r="B248" s="208" t="str">
        <f>vlookup(A248,Price!A:B,2,false)</f>
        <v>#N/A</v>
      </c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</row>
    <row r="249">
      <c r="A249" s="198"/>
      <c r="B249" s="208" t="str">
        <f>vlookup(A249,Price!A:B,2,false)</f>
        <v>#N/A</v>
      </c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</row>
    <row r="250">
      <c r="A250" s="198"/>
      <c r="B250" s="208" t="str">
        <f>vlookup(A250,Price!A:B,2,false)</f>
        <v>#N/A</v>
      </c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</row>
    <row r="251">
      <c r="A251" s="198"/>
      <c r="B251" s="208" t="str">
        <f>vlookup(A251,Price!A:B,2,false)</f>
        <v>#N/A</v>
      </c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</row>
    <row r="252">
      <c r="A252" s="198"/>
      <c r="B252" s="208" t="str">
        <f>vlookup(A252,Price!A:B,2,false)</f>
        <v>#N/A</v>
      </c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</row>
    <row r="253">
      <c r="A253" s="198"/>
      <c r="B253" s="208" t="str">
        <f>vlookup(A253,Price!A:B,2,false)</f>
        <v>#N/A</v>
      </c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</row>
    <row r="254">
      <c r="A254" s="198"/>
      <c r="B254" s="208" t="str">
        <f>vlookup(A254,Price!A:B,2,false)</f>
        <v>#N/A</v>
      </c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</row>
    <row r="255">
      <c r="A255" s="198"/>
      <c r="B255" s="208" t="str">
        <f>vlookup(A255,Price!A:B,2,false)</f>
        <v>#N/A</v>
      </c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</row>
    <row r="256">
      <c r="A256" s="198"/>
      <c r="B256" s="208" t="str">
        <f>vlookup(A256,Price!A:B,2,false)</f>
        <v>#N/A</v>
      </c>
      <c r="C256" s="198"/>
      <c r="D256" s="198"/>
      <c r="E256" s="198"/>
      <c r="F256" s="198"/>
      <c r="G256" s="198"/>
      <c r="H256" s="198"/>
      <c r="I256" s="198"/>
      <c r="J256" s="198"/>
      <c r="K256" s="198"/>
      <c r="L256" s="198"/>
    </row>
    <row r="257">
      <c r="A257" s="198"/>
      <c r="B257" s="208" t="str">
        <f>vlookup(A257,Price!A:B,2,false)</f>
        <v>#N/A</v>
      </c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</row>
    <row r="258">
      <c r="A258" s="198"/>
      <c r="B258" s="208" t="str">
        <f>vlookup(A258,Price!A:B,2,false)</f>
        <v>#N/A</v>
      </c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</row>
    <row r="259">
      <c r="A259" s="198"/>
      <c r="B259" s="208" t="str">
        <f>vlookup(A259,Price!A:B,2,false)</f>
        <v>#N/A</v>
      </c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</row>
    <row r="260">
      <c r="A260" s="198"/>
      <c r="B260" s="208" t="str">
        <f>vlookup(A260,Price!A:B,2,false)</f>
        <v>#N/A</v>
      </c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</row>
    <row r="261">
      <c r="A261" s="198"/>
      <c r="B261" s="208" t="str">
        <f>vlookup(A261,Price!A:B,2,false)</f>
        <v>#N/A</v>
      </c>
      <c r="C261" s="198"/>
      <c r="D261" s="198"/>
      <c r="E261" s="198"/>
      <c r="F261" s="198"/>
      <c r="G261" s="198"/>
      <c r="H261" s="198"/>
      <c r="I261" s="198"/>
      <c r="J261" s="198"/>
      <c r="K261" s="198"/>
      <c r="L261" s="198"/>
    </row>
    <row r="262">
      <c r="A262" s="198"/>
      <c r="B262" s="208" t="str">
        <f>vlookup(A262,Price!A:B,2,false)</f>
        <v>#N/A</v>
      </c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</row>
    <row r="263">
      <c r="A263" s="198"/>
      <c r="B263" s="208" t="str">
        <f>vlookup(A263,Price!A:B,2,false)</f>
        <v>#N/A</v>
      </c>
      <c r="C263" s="198"/>
      <c r="D263" s="198"/>
      <c r="E263" s="198"/>
      <c r="F263" s="198"/>
      <c r="G263" s="198"/>
      <c r="H263" s="198"/>
      <c r="I263" s="198"/>
      <c r="J263" s="198"/>
      <c r="K263" s="198"/>
      <c r="L263" s="198"/>
    </row>
    <row r="264">
      <c r="A264" s="198"/>
      <c r="B264" s="208" t="str">
        <f>vlookup(A264,Price!A:B,2,false)</f>
        <v>#N/A</v>
      </c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</row>
    <row r="265">
      <c r="A265" s="198"/>
      <c r="B265" s="208" t="str">
        <f>vlookup(A265,Price!A:B,2,false)</f>
        <v>#N/A</v>
      </c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</row>
    <row r="266">
      <c r="A266" s="198"/>
      <c r="B266" s="208" t="str">
        <f>vlookup(A266,Price!A:B,2,false)</f>
        <v>#N/A</v>
      </c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</row>
    <row r="267">
      <c r="A267" s="198"/>
      <c r="B267" s="208" t="str">
        <f>vlookup(A267,Price!A:B,2,false)</f>
        <v>#N/A</v>
      </c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</row>
    <row r="268">
      <c r="A268" s="198"/>
      <c r="B268" s="208" t="str">
        <f>vlookup(A268,Price!A:B,2,false)</f>
        <v>#N/A</v>
      </c>
      <c r="C268" s="198"/>
      <c r="D268" s="198"/>
      <c r="E268" s="198"/>
      <c r="F268" s="198"/>
      <c r="G268" s="198"/>
      <c r="H268" s="198"/>
      <c r="I268" s="198"/>
      <c r="J268" s="198"/>
      <c r="K268" s="198"/>
      <c r="L268" s="198"/>
    </row>
    <row r="269">
      <c r="A269" s="198"/>
      <c r="B269" s="208" t="str">
        <f>vlookup(A269,Price!A:B,2,false)</f>
        <v>#N/A</v>
      </c>
      <c r="C269" s="198"/>
      <c r="D269" s="198"/>
      <c r="E269" s="198"/>
      <c r="F269" s="198"/>
      <c r="G269" s="198"/>
      <c r="H269" s="198"/>
      <c r="I269" s="198"/>
      <c r="J269" s="198"/>
      <c r="K269" s="198"/>
      <c r="L269" s="198"/>
    </row>
    <row r="270">
      <c r="A270" s="198"/>
      <c r="B270" s="208" t="str">
        <f>vlookup(A270,Price!A:B,2,false)</f>
        <v>#N/A</v>
      </c>
      <c r="C270" s="198"/>
      <c r="D270" s="198"/>
      <c r="E270" s="198"/>
      <c r="F270" s="198"/>
      <c r="G270" s="198"/>
      <c r="H270" s="198"/>
      <c r="I270" s="198"/>
      <c r="J270" s="198"/>
      <c r="K270" s="198"/>
      <c r="L270" s="198"/>
    </row>
    <row r="271">
      <c r="A271" s="198"/>
      <c r="B271" s="208" t="str">
        <f>vlookup(A271,Price!A:B,2,false)</f>
        <v>#N/A</v>
      </c>
      <c r="C271" s="198"/>
      <c r="D271" s="198"/>
      <c r="E271" s="198"/>
      <c r="F271" s="198"/>
      <c r="G271" s="198"/>
      <c r="H271" s="198"/>
      <c r="I271" s="198"/>
      <c r="J271" s="198"/>
      <c r="K271" s="198"/>
      <c r="L271" s="198"/>
    </row>
    <row r="272">
      <c r="A272" s="198"/>
      <c r="B272" s="208" t="str">
        <f>vlookup(A272,Price!A:B,2,false)</f>
        <v>#N/A</v>
      </c>
      <c r="C272" s="198"/>
      <c r="D272" s="198"/>
      <c r="E272" s="198"/>
      <c r="F272" s="198"/>
      <c r="G272" s="198"/>
      <c r="H272" s="198"/>
      <c r="I272" s="198"/>
      <c r="J272" s="198"/>
      <c r="K272" s="198"/>
      <c r="L272" s="198"/>
    </row>
    <row r="273">
      <c r="A273" s="198"/>
      <c r="B273" s="208" t="str">
        <f>vlookup(A273,Price!A:B,2,false)</f>
        <v>#N/A</v>
      </c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</row>
    <row r="274">
      <c r="A274" s="198"/>
      <c r="B274" s="208" t="str">
        <f>vlookup(A274,Price!A:B,2,false)</f>
        <v>#N/A</v>
      </c>
      <c r="C274" s="198"/>
      <c r="D274" s="198"/>
      <c r="E274" s="198"/>
      <c r="F274" s="198"/>
      <c r="G274" s="198"/>
      <c r="H274" s="198"/>
      <c r="I274" s="198"/>
      <c r="J274" s="198"/>
      <c r="K274" s="198"/>
      <c r="L274" s="198"/>
    </row>
    <row r="275">
      <c r="A275" s="198"/>
      <c r="B275" s="208" t="str">
        <f>vlookup(A275,Price!A:B,2,false)</f>
        <v>#N/A</v>
      </c>
      <c r="C275" s="198"/>
      <c r="D275" s="198"/>
      <c r="E275" s="198"/>
      <c r="F275" s="198"/>
      <c r="G275" s="198"/>
      <c r="H275" s="198"/>
      <c r="I275" s="198"/>
      <c r="J275" s="198"/>
      <c r="K275" s="198"/>
      <c r="L275" s="198"/>
    </row>
    <row r="276">
      <c r="A276" s="198"/>
      <c r="B276" s="208" t="str">
        <f>vlookup(A276,Price!A:B,2,false)</f>
        <v>#N/A</v>
      </c>
      <c r="C276" s="198"/>
      <c r="D276" s="198"/>
      <c r="E276" s="198"/>
      <c r="F276" s="198"/>
      <c r="G276" s="198"/>
      <c r="H276" s="198"/>
      <c r="I276" s="198"/>
      <c r="J276" s="198"/>
      <c r="K276" s="198"/>
      <c r="L276" s="198"/>
    </row>
    <row r="277">
      <c r="A277" s="198"/>
      <c r="B277" s="208" t="str">
        <f>vlookup(A277,Price!A:B,2,false)</f>
        <v>#N/A</v>
      </c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</row>
    <row r="278">
      <c r="A278" s="198"/>
      <c r="B278" s="208" t="str">
        <f>vlookup(A278,Price!A:B,2,false)</f>
        <v>#N/A</v>
      </c>
      <c r="C278" s="198"/>
      <c r="D278" s="198"/>
      <c r="E278" s="198"/>
      <c r="F278" s="198"/>
      <c r="G278" s="198"/>
      <c r="H278" s="198"/>
      <c r="I278" s="198"/>
      <c r="J278" s="198"/>
      <c r="K278" s="198"/>
      <c r="L278" s="198"/>
    </row>
    <row r="279">
      <c r="A279" s="198"/>
      <c r="B279" s="208" t="str">
        <f>vlookup(A279,Price!A:B,2,false)</f>
        <v>#N/A</v>
      </c>
      <c r="C279" s="198"/>
      <c r="D279" s="198"/>
      <c r="E279" s="198"/>
      <c r="F279" s="198"/>
      <c r="G279" s="198"/>
      <c r="H279" s="198"/>
      <c r="I279" s="198"/>
      <c r="J279" s="198"/>
      <c r="K279" s="198"/>
      <c r="L279" s="198"/>
    </row>
    <row r="280">
      <c r="A280" s="198"/>
      <c r="B280" s="208" t="str">
        <f>vlookup(A280,Price!A:B,2,false)</f>
        <v>#N/A</v>
      </c>
      <c r="C280" s="198"/>
      <c r="D280" s="198"/>
      <c r="E280" s="198"/>
      <c r="F280" s="198"/>
      <c r="G280" s="198"/>
      <c r="H280" s="198"/>
      <c r="I280" s="198"/>
      <c r="J280" s="198"/>
      <c r="K280" s="198"/>
      <c r="L280" s="198"/>
    </row>
    <row r="281">
      <c r="A281" s="198"/>
      <c r="B281" s="208" t="str">
        <f>vlookup(A281,Price!A:B,2,false)</f>
        <v>#N/A</v>
      </c>
      <c r="C281" s="198"/>
      <c r="D281" s="198"/>
      <c r="E281" s="198"/>
      <c r="F281" s="198"/>
      <c r="G281" s="198"/>
      <c r="H281" s="198"/>
      <c r="I281" s="198"/>
      <c r="J281" s="198"/>
      <c r="K281" s="198"/>
      <c r="L281" s="198"/>
    </row>
    <row r="282">
      <c r="A282" s="198"/>
      <c r="B282" s="208" t="str">
        <f>vlookup(A282,Price!A:B,2,false)</f>
        <v>#N/A</v>
      </c>
      <c r="C282" s="198"/>
      <c r="D282" s="198"/>
      <c r="E282" s="198"/>
      <c r="F282" s="198"/>
      <c r="G282" s="198"/>
      <c r="H282" s="198"/>
      <c r="I282" s="198"/>
      <c r="J282" s="198"/>
      <c r="K282" s="198"/>
      <c r="L282" s="198"/>
    </row>
    <row r="283">
      <c r="A283" s="198"/>
      <c r="B283" s="208" t="str">
        <f>vlookup(A283,Price!A:B,2,false)</f>
        <v>#N/A</v>
      </c>
      <c r="C283" s="198"/>
      <c r="D283" s="198"/>
      <c r="E283" s="198"/>
      <c r="F283" s="198"/>
      <c r="G283" s="198"/>
      <c r="H283" s="198"/>
      <c r="I283" s="198"/>
      <c r="J283" s="198"/>
      <c r="K283" s="198"/>
      <c r="L283" s="198"/>
    </row>
    <row r="284">
      <c r="A284" s="198"/>
      <c r="B284" s="208" t="str">
        <f>vlookup(A284,Price!A:B,2,false)</f>
        <v>#N/A</v>
      </c>
      <c r="C284" s="198"/>
      <c r="D284" s="198"/>
      <c r="E284" s="198"/>
      <c r="F284" s="198"/>
      <c r="G284" s="198"/>
      <c r="H284" s="198"/>
      <c r="I284" s="198"/>
      <c r="J284" s="198"/>
      <c r="K284" s="198"/>
      <c r="L284" s="198"/>
    </row>
    <row r="285">
      <c r="A285" s="198"/>
      <c r="B285" s="208" t="str">
        <f>vlookup(A285,Price!A:B,2,false)</f>
        <v>#N/A</v>
      </c>
      <c r="C285" s="198"/>
      <c r="D285" s="198"/>
      <c r="E285" s="198"/>
      <c r="F285" s="198"/>
      <c r="G285" s="198"/>
      <c r="H285" s="198"/>
      <c r="I285" s="198"/>
      <c r="J285" s="198"/>
      <c r="K285" s="198"/>
      <c r="L285" s="198"/>
    </row>
    <row r="286">
      <c r="A286" s="198"/>
      <c r="B286" s="208" t="str">
        <f>vlookup(A286,Price!A:B,2,false)</f>
        <v>#N/A</v>
      </c>
      <c r="C286" s="198"/>
      <c r="D286" s="198"/>
      <c r="E286" s="198"/>
      <c r="F286" s="198"/>
      <c r="G286" s="198"/>
      <c r="H286" s="198"/>
      <c r="I286" s="198"/>
      <c r="J286" s="198"/>
      <c r="K286" s="198"/>
      <c r="L286" s="198"/>
    </row>
    <row r="287">
      <c r="A287" s="198"/>
      <c r="B287" s="208" t="str">
        <f>vlookup(A287,Price!A:B,2,false)</f>
        <v>#N/A</v>
      </c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</row>
    <row r="288">
      <c r="A288" s="198"/>
      <c r="B288" s="208" t="str">
        <f>vlookup(A288,Price!A:B,2,false)</f>
        <v>#N/A</v>
      </c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</row>
    <row r="289">
      <c r="A289" s="198"/>
      <c r="B289" s="208" t="str">
        <f>vlookup(A289,Price!A:B,2,false)</f>
        <v>#N/A</v>
      </c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</row>
    <row r="290">
      <c r="A290" s="198"/>
      <c r="B290" s="208" t="str">
        <f>vlookup(A290,Price!A:B,2,false)</f>
        <v>#N/A</v>
      </c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</row>
    <row r="291">
      <c r="A291" s="198"/>
      <c r="B291" s="208" t="str">
        <f>vlookup(A291,Price!A:B,2,false)</f>
        <v>#N/A</v>
      </c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</row>
    <row r="292">
      <c r="A292" s="198"/>
      <c r="B292" s="208" t="str">
        <f>vlookup(A292,Price!A:B,2,false)</f>
        <v>#N/A</v>
      </c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</row>
    <row r="293">
      <c r="A293" s="198"/>
      <c r="B293" s="208" t="str">
        <f>vlookup(A293,Price!A:B,2,false)</f>
        <v>#N/A</v>
      </c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</row>
    <row r="294">
      <c r="A294" s="198"/>
      <c r="B294" s="208" t="str">
        <f>vlookup(A294,Price!A:B,2,false)</f>
        <v>#N/A</v>
      </c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</row>
    <row r="295">
      <c r="A295" s="198"/>
      <c r="B295" s="208" t="str">
        <f>vlookup(A295,Price!A:B,2,false)</f>
        <v>#N/A</v>
      </c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</row>
    <row r="296">
      <c r="A296" s="198"/>
      <c r="B296" s="208" t="str">
        <f>vlookup(A296,Price!A:B,2,false)</f>
        <v>#N/A</v>
      </c>
      <c r="C296" s="198"/>
      <c r="D296" s="198"/>
      <c r="E296" s="198"/>
      <c r="F296" s="198"/>
      <c r="G296" s="198"/>
      <c r="H296" s="198"/>
      <c r="I296" s="198"/>
      <c r="J296" s="198"/>
      <c r="K296" s="198"/>
      <c r="L296" s="198"/>
    </row>
    <row r="297">
      <c r="A297" s="198"/>
      <c r="B297" s="208" t="str">
        <f>vlookup(A297,Price!A:B,2,false)</f>
        <v>#N/A</v>
      </c>
      <c r="C297" s="198"/>
      <c r="D297" s="198"/>
      <c r="E297" s="198"/>
      <c r="F297" s="198"/>
      <c r="G297" s="198"/>
      <c r="H297" s="198"/>
      <c r="I297" s="198"/>
      <c r="J297" s="198"/>
      <c r="K297" s="198"/>
      <c r="L297" s="198"/>
    </row>
    <row r="298">
      <c r="A298" s="198"/>
      <c r="B298" s="208" t="str">
        <f>vlookup(A298,Price!A:B,2,false)</f>
        <v>#N/A</v>
      </c>
      <c r="C298" s="198"/>
      <c r="D298" s="198"/>
      <c r="E298" s="198"/>
      <c r="F298" s="198"/>
      <c r="G298" s="198"/>
      <c r="H298" s="198"/>
      <c r="I298" s="198"/>
      <c r="J298" s="198"/>
      <c r="K298" s="198"/>
      <c r="L298" s="198"/>
    </row>
    <row r="299">
      <c r="A299" s="198"/>
      <c r="B299" s="208" t="str">
        <f>vlookup(A299,Price!A:B,2,false)</f>
        <v>#N/A</v>
      </c>
      <c r="C299" s="198"/>
      <c r="D299" s="198"/>
      <c r="E299" s="198"/>
      <c r="F299" s="198"/>
      <c r="G299" s="198"/>
      <c r="H299" s="198"/>
      <c r="I299" s="198"/>
      <c r="J299" s="198"/>
      <c r="K299" s="198"/>
      <c r="L299" s="198"/>
    </row>
    <row r="300">
      <c r="A300" s="198"/>
      <c r="B300" s="208" t="str">
        <f>vlookup(A300,Price!A:B,2,false)</f>
        <v>#N/A</v>
      </c>
      <c r="C300" s="198"/>
      <c r="D300" s="198"/>
      <c r="E300" s="198"/>
      <c r="F300" s="198"/>
      <c r="G300" s="198"/>
      <c r="H300" s="198"/>
      <c r="I300" s="198"/>
      <c r="J300" s="198"/>
      <c r="K300" s="198"/>
      <c r="L300" s="198"/>
    </row>
    <row r="301">
      <c r="A301" s="198"/>
      <c r="B301" s="208" t="str">
        <f>vlookup(A301,Price!A:B,2,false)</f>
        <v>#N/A</v>
      </c>
      <c r="C301" s="198"/>
      <c r="D301" s="198"/>
      <c r="E301" s="198"/>
      <c r="F301" s="198"/>
      <c r="G301" s="198"/>
      <c r="H301" s="198"/>
      <c r="I301" s="198"/>
      <c r="J301" s="198"/>
      <c r="K301" s="198"/>
      <c r="L301" s="198"/>
    </row>
    <row r="302">
      <c r="A302" s="198"/>
      <c r="B302" s="208" t="str">
        <f>vlookup(A302,Price!A:B,2,false)</f>
        <v>#N/A</v>
      </c>
      <c r="C302" s="198"/>
      <c r="D302" s="198"/>
      <c r="E302" s="198"/>
      <c r="F302" s="198"/>
      <c r="G302" s="198"/>
      <c r="H302" s="198"/>
      <c r="I302" s="198"/>
      <c r="J302" s="198"/>
      <c r="K302" s="198"/>
      <c r="L302" s="198"/>
    </row>
    <row r="303">
      <c r="A303" s="198"/>
      <c r="B303" s="208" t="str">
        <f>vlookup(A303,Price!A:B,2,false)</f>
        <v>#N/A</v>
      </c>
      <c r="C303" s="198"/>
      <c r="D303" s="198"/>
      <c r="E303" s="198"/>
      <c r="F303" s="198"/>
      <c r="G303" s="198"/>
      <c r="H303" s="198"/>
      <c r="I303" s="198"/>
      <c r="J303" s="198"/>
      <c r="K303" s="198"/>
      <c r="L303" s="198"/>
    </row>
    <row r="304">
      <c r="A304" s="198"/>
      <c r="B304" s="208" t="str">
        <f>vlookup(A304,Price!A:B,2,false)</f>
        <v>#N/A</v>
      </c>
      <c r="C304" s="198"/>
      <c r="D304" s="198"/>
      <c r="E304" s="198"/>
      <c r="F304" s="198"/>
      <c r="G304" s="198"/>
      <c r="H304" s="198"/>
      <c r="I304" s="198"/>
      <c r="J304" s="198"/>
      <c r="K304" s="198"/>
      <c r="L304" s="198"/>
    </row>
    <row r="305">
      <c r="A305" s="198"/>
      <c r="B305" s="208" t="str">
        <f>vlookup(A305,Price!A:B,2,false)</f>
        <v>#N/A</v>
      </c>
      <c r="C305" s="198"/>
      <c r="D305" s="198"/>
      <c r="E305" s="198"/>
      <c r="F305" s="198"/>
      <c r="G305" s="198"/>
      <c r="H305" s="198"/>
      <c r="I305" s="198"/>
      <c r="J305" s="198"/>
      <c r="K305" s="198"/>
      <c r="L305" s="198"/>
    </row>
    <row r="306">
      <c r="A306" s="198"/>
      <c r="B306" s="208" t="str">
        <f>vlookup(A306,Price!A:B,2,false)</f>
        <v>#N/A</v>
      </c>
      <c r="C306" s="198"/>
      <c r="D306" s="198"/>
      <c r="E306" s="198"/>
      <c r="F306" s="198"/>
      <c r="G306" s="198"/>
      <c r="H306" s="198"/>
      <c r="I306" s="198"/>
      <c r="J306" s="198"/>
      <c r="K306" s="198"/>
      <c r="L306" s="198"/>
    </row>
    <row r="307">
      <c r="A307" s="198"/>
      <c r="B307" s="208" t="str">
        <f>vlookup(A307,Price!A:B,2,false)</f>
        <v>#N/A</v>
      </c>
      <c r="C307" s="198"/>
      <c r="D307" s="198"/>
      <c r="E307" s="198"/>
      <c r="F307" s="198"/>
      <c r="G307" s="198"/>
      <c r="H307" s="198"/>
      <c r="I307" s="198"/>
      <c r="J307" s="198"/>
      <c r="K307" s="198"/>
      <c r="L307" s="198"/>
    </row>
    <row r="308">
      <c r="A308" s="198"/>
      <c r="B308" s="208" t="str">
        <f>vlookup(A308,Price!A:B,2,false)</f>
        <v>#N/A</v>
      </c>
      <c r="C308" s="198"/>
      <c r="D308" s="198"/>
      <c r="E308" s="198"/>
      <c r="F308" s="198"/>
      <c r="G308" s="198"/>
      <c r="H308" s="198"/>
      <c r="I308" s="198"/>
      <c r="J308" s="198"/>
      <c r="K308" s="198"/>
      <c r="L308" s="198"/>
    </row>
    <row r="309">
      <c r="A309" s="198"/>
      <c r="B309" s="208" t="str">
        <f>vlookup(A309,Price!A:B,2,false)</f>
        <v>#N/A</v>
      </c>
      <c r="C309" s="198"/>
      <c r="D309" s="198"/>
      <c r="E309" s="198"/>
      <c r="F309" s="198"/>
      <c r="G309" s="198"/>
      <c r="H309" s="198"/>
      <c r="I309" s="198"/>
      <c r="J309" s="198"/>
      <c r="K309" s="198"/>
      <c r="L309" s="198"/>
    </row>
    <row r="310">
      <c r="A310" s="198"/>
      <c r="B310" s="208" t="str">
        <f>vlookup(A310,Price!A:B,2,false)</f>
        <v>#N/A</v>
      </c>
      <c r="C310" s="198"/>
      <c r="D310" s="198"/>
      <c r="E310" s="198"/>
      <c r="F310" s="198"/>
      <c r="G310" s="198"/>
      <c r="H310" s="198"/>
      <c r="I310" s="198"/>
      <c r="J310" s="198"/>
      <c r="K310" s="198"/>
      <c r="L310" s="198"/>
    </row>
    <row r="311">
      <c r="A311" s="198"/>
      <c r="B311" s="208" t="str">
        <f>vlookup(A311,Price!A:B,2,false)</f>
        <v>#N/A</v>
      </c>
      <c r="C311" s="198"/>
      <c r="D311" s="198"/>
      <c r="E311" s="198"/>
      <c r="F311" s="198"/>
      <c r="G311" s="198"/>
      <c r="H311" s="198"/>
      <c r="I311" s="198"/>
      <c r="J311" s="198"/>
      <c r="K311" s="198"/>
      <c r="L311" s="198"/>
    </row>
    <row r="312">
      <c r="A312" s="198"/>
      <c r="B312" s="208" t="str">
        <f>vlookup(A312,Price!A:B,2,false)</f>
        <v>#N/A</v>
      </c>
      <c r="C312" s="198"/>
      <c r="D312" s="198"/>
      <c r="E312" s="198"/>
      <c r="F312" s="198"/>
      <c r="G312" s="198"/>
      <c r="H312" s="198"/>
      <c r="I312" s="198"/>
      <c r="J312" s="198"/>
      <c r="K312" s="198"/>
      <c r="L312" s="198"/>
    </row>
    <row r="313">
      <c r="A313" s="198"/>
      <c r="B313" s="208" t="str">
        <f>vlookup(A313,Price!A:B,2,false)</f>
        <v>#N/A</v>
      </c>
      <c r="C313" s="198"/>
      <c r="D313" s="198"/>
      <c r="E313" s="198"/>
      <c r="F313" s="198"/>
      <c r="G313" s="198"/>
      <c r="H313" s="198"/>
      <c r="I313" s="198"/>
      <c r="J313" s="198"/>
      <c r="K313" s="198"/>
      <c r="L313" s="198"/>
    </row>
    <row r="314">
      <c r="A314" s="198"/>
      <c r="B314" s="208" t="str">
        <f>vlookup(A314,Price!A:B,2,false)</f>
        <v>#N/A</v>
      </c>
      <c r="C314" s="198"/>
      <c r="D314" s="198"/>
      <c r="E314" s="198"/>
      <c r="F314" s="198"/>
      <c r="G314" s="198"/>
      <c r="H314" s="198"/>
      <c r="I314" s="198"/>
      <c r="J314" s="198"/>
      <c r="K314" s="198"/>
      <c r="L314" s="198"/>
    </row>
    <row r="315">
      <c r="A315" s="198"/>
      <c r="B315" s="208" t="str">
        <f>vlookup(A315,Price!A:B,2,false)</f>
        <v>#N/A</v>
      </c>
      <c r="C315" s="198"/>
      <c r="D315" s="198"/>
      <c r="E315" s="198"/>
      <c r="F315" s="198"/>
      <c r="G315" s="198"/>
      <c r="H315" s="198"/>
      <c r="I315" s="198"/>
      <c r="J315" s="198"/>
      <c r="K315" s="198"/>
      <c r="L315" s="198"/>
    </row>
    <row r="316">
      <c r="A316" s="198"/>
      <c r="B316" s="208" t="str">
        <f>vlookup(A316,Price!A:B,2,false)</f>
        <v>#N/A</v>
      </c>
      <c r="C316" s="198"/>
      <c r="D316" s="198"/>
      <c r="E316" s="198"/>
      <c r="F316" s="198"/>
      <c r="G316" s="198"/>
      <c r="H316" s="198"/>
      <c r="I316" s="198"/>
      <c r="J316" s="198"/>
      <c r="K316" s="198"/>
      <c r="L316" s="198"/>
    </row>
    <row r="317">
      <c r="A317" s="198"/>
      <c r="B317" s="208" t="str">
        <f>vlookup(A317,Price!A:B,2,false)</f>
        <v>#N/A</v>
      </c>
      <c r="C317" s="198"/>
      <c r="D317" s="198"/>
      <c r="E317" s="198"/>
      <c r="F317" s="198"/>
      <c r="G317" s="198"/>
      <c r="H317" s="198"/>
      <c r="I317" s="198"/>
      <c r="J317" s="198"/>
      <c r="K317" s="198"/>
      <c r="L317" s="198"/>
    </row>
    <row r="318">
      <c r="A318" s="198"/>
      <c r="B318" s="208" t="str">
        <f>vlookup(A318,Price!A:B,2,false)</f>
        <v>#N/A</v>
      </c>
      <c r="C318" s="198"/>
      <c r="D318" s="198"/>
      <c r="E318" s="198"/>
      <c r="F318" s="198"/>
      <c r="G318" s="198"/>
      <c r="H318" s="198"/>
      <c r="I318" s="198"/>
      <c r="J318" s="198"/>
      <c r="K318" s="198"/>
      <c r="L318" s="198"/>
    </row>
    <row r="319">
      <c r="A319" s="198"/>
      <c r="B319" s="208" t="str">
        <f>vlookup(A319,Price!A:B,2,false)</f>
        <v>#N/A</v>
      </c>
      <c r="C319" s="198"/>
      <c r="D319" s="198"/>
      <c r="E319" s="198"/>
      <c r="F319" s="198"/>
      <c r="G319" s="198"/>
      <c r="H319" s="198"/>
      <c r="I319" s="198"/>
      <c r="J319" s="198"/>
      <c r="K319" s="198"/>
      <c r="L319" s="198"/>
    </row>
    <row r="320">
      <c r="A320" s="198"/>
      <c r="B320" s="208" t="str">
        <f>vlookup(A320,Price!A:B,2,false)</f>
        <v>#N/A</v>
      </c>
      <c r="C320" s="198"/>
      <c r="D320" s="198"/>
      <c r="E320" s="198"/>
      <c r="F320" s="198"/>
      <c r="G320" s="198"/>
      <c r="H320" s="198"/>
      <c r="I320" s="198"/>
      <c r="J320" s="198"/>
      <c r="K320" s="198"/>
      <c r="L320" s="198"/>
    </row>
    <row r="321">
      <c r="A321" s="198"/>
      <c r="B321" s="208" t="str">
        <f>vlookup(A321,Price!A:B,2,false)</f>
        <v>#N/A</v>
      </c>
      <c r="C321" s="198"/>
      <c r="D321" s="198"/>
      <c r="E321" s="198"/>
      <c r="F321" s="198"/>
      <c r="G321" s="198"/>
      <c r="H321" s="198"/>
      <c r="I321" s="198"/>
      <c r="J321" s="198"/>
      <c r="K321" s="198"/>
      <c r="L321" s="198"/>
    </row>
    <row r="322">
      <c r="A322" s="198"/>
      <c r="B322" s="208" t="str">
        <f>vlookup(A322,Price!A:B,2,false)</f>
        <v>#N/A</v>
      </c>
      <c r="C322" s="198"/>
      <c r="D322" s="198"/>
      <c r="E322" s="198"/>
      <c r="F322" s="198"/>
      <c r="G322" s="198"/>
      <c r="H322" s="198"/>
      <c r="I322" s="198"/>
      <c r="J322" s="198"/>
      <c r="K322" s="198"/>
      <c r="L322" s="198"/>
    </row>
    <row r="323">
      <c r="A323" s="198"/>
      <c r="B323" s="208" t="str">
        <f>vlookup(A323,Price!A:B,2,false)</f>
        <v>#N/A</v>
      </c>
      <c r="C323" s="198"/>
      <c r="D323" s="198"/>
      <c r="E323" s="198"/>
      <c r="F323" s="198"/>
      <c r="G323" s="198"/>
      <c r="H323" s="198"/>
      <c r="I323" s="198"/>
      <c r="J323" s="198"/>
      <c r="K323" s="198"/>
      <c r="L323" s="198"/>
    </row>
    <row r="324">
      <c r="A324" s="198"/>
      <c r="B324" s="208" t="str">
        <f>vlookup(A324,Price!A:B,2,false)</f>
        <v>#N/A</v>
      </c>
      <c r="C324" s="198"/>
      <c r="D324" s="198"/>
      <c r="E324" s="198"/>
      <c r="F324" s="198"/>
      <c r="G324" s="198"/>
      <c r="H324" s="198"/>
      <c r="I324" s="198"/>
      <c r="J324" s="198"/>
      <c r="K324" s="198"/>
      <c r="L324" s="198"/>
    </row>
    <row r="325">
      <c r="A325" s="198"/>
      <c r="B325" s="208" t="str">
        <f>vlookup(A325,Price!A:B,2,false)</f>
        <v>#N/A</v>
      </c>
      <c r="C325" s="198"/>
      <c r="D325" s="198"/>
      <c r="E325" s="198"/>
      <c r="F325" s="198"/>
      <c r="G325" s="198"/>
      <c r="H325" s="198"/>
      <c r="I325" s="198"/>
      <c r="J325" s="198"/>
      <c r="K325" s="198"/>
      <c r="L325" s="198"/>
    </row>
    <row r="326">
      <c r="A326" s="198"/>
      <c r="B326" s="208" t="str">
        <f>vlookup(A326,Price!A:B,2,false)</f>
        <v>#N/A</v>
      </c>
      <c r="C326" s="198"/>
      <c r="D326" s="198"/>
      <c r="E326" s="198"/>
      <c r="F326" s="198"/>
      <c r="G326" s="198"/>
      <c r="H326" s="198"/>
      <c r="I326" s="198"/>
      <c r="J326" s="198"/>
      <c r="K326" s="198"/>
      <c r="L326" s="198"/>
    </row>
    <row r="327">
      <c r="A327" s="198"/>
      <c r="B327" s="208" t="str">
        <f>vlookup(A327,Price!A:B,2,false)</f>
        <v>#N/A</v>
      </c>
      <c r="C327" s="198"/>
      <c r="D327" s="198"/>
      <c r="E327" s="198"/>
      <c r="F327" s="198"/>
      <c r="G327" s="198"/>
      <c r="H327" s="198"/>
      <c r="I327" s="198"/>
      <c r="J327" s="198"/>
      <c r="K327" s="198"/>
      <c r="L327" s="198"/>
    </row>
    <row r="328">
      <c r="A328" s="198"/>
      <c r="B328" s="208" t="str">
        <f>vlookup(A328,Price!A:B,2,false)</f>
        <v>#N/A</v>
      </c>
      <c r="C328" s="198"/>
      <c r="D328" s="198"/>
      <c r="E328" s="198"/>
      <c r="F328" s="198"/>
      <c r="G328" s="198"/>
      <c r="H328" s="198"/>
      <c r="I328" s="198"/>
      <c r="J328" s="198"/>
      <c r="K328" s="198"/>
      <c r="L328" s="198"/>
    </row>
    <row r="329">
      <c r="A329" s="198"/>
      <c r="B329" s="208" t="str">
        <f>vlookup(A329,Price!A:B,2,false)</f>
        <v>#N/A</v>
      </c>
      <c r="C329" s="198"/>
      <c r="D329" s="198"/>
      <c r="E329" s="198"/>
      <c r="F329" s="198"/>
      <c r="G329" s="198"/>
      <c r="H329" s="198"/>
      <c r="I329" s="198"/>
      <c r="J329" s="198"/>
      <c r="K329" s="198"/>
      <c r="L329" s="198"/>
    </row>
    <row r="330">
      <c r="A330" s="198"/>
      <c r="B330" s="208" t="str">
        <f>vlookup(A330,Price!A:B,2,false)</f>
        <v>#N/A</v>
      </c>
      <c r="C330" s="198"/>
      <c r="D330" s="198"/>
      <c r="E330" s="198"/>
      <c r="F330" s="198"/>
      <c r="G330" s="198"/>
      <c r="H330" s="198"/>
      <c r="I330" s="198"/>
      <c r="J330" s="198"/>
      <c r="K330" s="198"/>
      <c r="L330" s="198"/>
    </row>
    <row r="331">
      <c r="A331" s="198"/>
      <c r="B331" s="208" t="str">
        <f>vlookup(A331,Price!A:B,2,false)</f>
        <v>#N/A</v>
      </c>
      <c r="C331" s="198"/>
      <c r="D331" s="198"/>
      <c r="E331" s="198"/>
      <c r="F331" s="198"/>
      <c r="G331" s="198"/>
      <c r="H331" s="198"/>
      <c r="I331" s="198"/>
      <c r="J331" s="198"/>
      <c r="K331" s="198"/>
      <c r="L331" s="198"/>
    </row>
    <row r="332">
      <c r="A332" s="198"/>
      <c r="B332" s="208" t="str">
        <f>vlookup(A332,Price!A:B,2,false)</f>
        <v>#N/A</v>
      </c>
      <c r="C332" s="198"/>
      <c r="D332" s="198"/>
      <c r="E332" s="198"/>
      <c r="F332" s="198"/>
      <c r="G332" s="198"/>
      <c r="H332" s="198"/>
      <c r="I332" s="198"/>
      <c r="J332" s="198"/>
      <c r="K332" s="198"/>
      <c r="L332" s="198"/>
    </row>
    <row r="333">
      <c r="A333" s="198"/>
      <c r="B333" s="208" t="str">
        <f>vlookup(A333,Price!A:B,2,false)</f>
        <v>#N/A</v>
      </c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</row>
    <row r="334">
      <c r="A334" s="198"/>
      <c r="B334" s="208" t="str">
        <f>vlookup(A334,Price!A:B,2,false)</f>
        <v>#N/A</v>
      </c>
      <c r="C334" s="198"/>
      <c r="D334" s="198"/>
      <c r="E334" s="198"/>
      <c r="F334" s="198"/>
      <c r="G334" s="198"/>
      <c r="H334" s="198"/>
      <c r="I334" s="198"/>
      <c r="J334" s="198"/>
      <c r="K334" s="198"/>
      <c r="L334" s="198"/>
    </row>
    <row r="335">
      <c r="A335" s="198"/>
      <c r="B335" s="208" t="str">
        <f>vlookup(A335,Price!A:B,2,false)</f>
        <v>#N/A</v>
      </c>
      <c r="C335" s="198"/>
      <c r="D335" s="198"/>
      <c r="E335" s="198"/>
      <c r="F335" s="198"/>
      <c r="G335" s="198"/>
      <c r="H335" s="198"/>
      <c r="I335" s="198"/>
      <c r="J335" s="198"/>
      <c r="K335" s="198"/>
      <c r="L335" s="198"/>
    </row>
    <row r="336">
      <c r="A336" s="198"/>
      <c r="B336" s="208" t="str">
        <f>vlookup(A336,Price!A:B,2,false)</f>
        <v>#N/A</v>
      </c>
      <c r="C336" s="198"/>
      <c r="D336" s="198"/>
      <c r="E336" s="198"/>
      <c r="F336" s="198"/>
      <c r="G336" s="198"/>
      <c r="H336" s="198"/>
      <c r="I336" s="198"/>
      <c r="J336" s="198"/>
      <c r="K336" s="198"/>
      <c r="L336" s="198"/>
    </row>
    <row r="337">
      <c r="A337" s="198"/>
      <c r="B337" s="208" t="str">
        <f>vlookup(A337,Price!A:B,2,false)</f>
        <v>#N/A</v>
      </c>
      <c r="C337" s="198"/>
      <c r="D337" s="198"/>
      <c r="E337" s="198"/>
      <c r="F337" s="198"/>
      <c r="G337" s="198"/>
      <c r="H337" s="198"/>
      <c r="I337" s="198"/>
      <c r="J337" s="198"/>
      <c r="K337" s="198"/>
      <c r="L337" s="198"/>
    </row>
    <row r="338">
      <c r="A338" s="198"/>
      <c r="B338" s="208" t="str">
        <f>vlookup(A338,Price!A:B,2,false)</f>
        <v>#N/A</v>
      </c>
      <c r="C338" s="198"/>
      <c r="D338" s="198"/>
      <c r="E338" s="198"/>
      <c r="F338" s="198"/>
      <c r="G338" s="198"/>
      <c r="H338" s="198"/>
      <c r="I338" s="198"/>
      <c r="J338" s="198"/>
      <c r="K338" s="198"/>
      <c r="L338" s="198"/>
    </row>
    <row r="339">
      <c r="A339" s="198"/>
      <c r="B339" s="208" t="str">
        <f>vlookup(A339,Price!A:B,2,false)</f>
        <v>#N/A</v>
      </c>
      <c r="C339" s="198"/>
      <c r="D339" s="198"/>
      <c r="E339" s="198"/>
      <c r="F339" s="198"/>
      <c r="G339" s="198"/>
      <c r="H339" s="198"/>
      <c r="I339" s="198"/>
      <c r="J339" s="198"/>
      <c r="K339" s="198"/>
      <c r="L339" s="198"/>
    </row>
    <row r="340">
      <c r="A340" s="198"/>
      <c r="B340" s="208" t="str">
        <f>vlookup(A340,Price!A:B,2,false)</f>
        <v>#N/A</v>
      </c>
      <c r="C340" s="198"/>
      <c r="D340" s="198"/>
      <c r="E340" s="198"/>
      <c r="F340" s="198"/>
      <c r="G340" s="198"/>
      <c r="H340" s="198"/>
      <c r="I340" s="198"/>
      <c r="J340" s="198"/>
      <c r="K340" s="198"/>
      <c r="L340" s="198"/>
    </row>
    <row r="341">
      <c r="A341" s="198"/>
      <c r="B341" s="208" t="str">
        <f>vlookup(A341,Price!A:B,2,false)</f>
        <v>#N/A</v>
      </c>
      <c r="C341" s="198"/>
      <c r="D341" s="198"/>
      <c r="E341" s="198"/>
      <c r="F341" s="198"/>
      <c r="G341" s="198"/>
      <c r="H341" s="198"/>
      <c r="I341" s="198"/>
      <c r="J341" s="198"/>
      <c r="K341" s="198"/>
      <c r="L341" s="198"/>
    </row>
    <row r="342">
      <c r="A342" s="198"/>
      <c r="B342" s="208" t="str">
        <f>vlookup(A342,Price!A:B,2,false)</f>
        <v>#N/A</v>
      </c>
      <c r="C342" s="198"/>
      <c r="D342" s="198"/>
      <c r="E342" s="198"/>
      <c r="F342" s="198"/>
      <c r="G342" s="198"/>
      <c r="H342" s="198"/>
      <c r="I342" s="198"/>
      <c r="J342" s="198"/>
      <c r="K342" s="198"/>
      <c r="L342" s="198"/>
    </row>
    <row r="343">
      <c r="A343" s="198"/>
      <c r="B343" s="208" t="str">
        <f>vlookup(A343,Price!A:B,2,false)</f>
        <v>#N/A</v>
      </c>
      <c r="C343" s="198"/>
      <c r="D343" s="198"/>
      <c r="E343" s="198"/>
      <c r="F343" s="198"/>
      <c r="G343" s="198"/>
      <c r="H343" s="198"/>
      <c r="I343" s="198"/>
      <c r="J343" s="198"/>
      <c r="K343" s="198"/>
      <c r="L343" s="198"/>
    </row>
    <row r="344">
      <c r="A344" s="198"/>
      <c r="B344" s="208" t="str">
        <f>vlookup(A344,Price!A:B,2,false)</f>
        <v>#N/A</v>
      </c>
      <c r="C344" s="198"/>
      <c r="D344" s="198"/>
      <c r="E344" s="198"/>
      <c r="F344" s="198"/>
      <c r="G344" s="198"/>
      <c r="H344" s="198"/>
      <c r="I344" s="198"/>
      <c r="J344" s="198"/>
      <c r="K344" s="198"/>
      <c r="L344" s="198"/>
    </row>
    <row r="345">
      <c r="A345" s="198"/>
      <c r="B345" s="208" t="str">
        <f>vlookup(A345,Price!A:B,2,false)</f>
        <v>#N/A</v>
      </c>
      <c r="C345" s="198"/>
      <c r="D345" s="198"/>
      <c r="E345" s="198"/>
      <c r="F345" s="198"/>
      <c r="G345" s="198"/>
      <c r="H345" s="198"/>
      <c r="I345" s="198"/>
      <c r="J345" s="198"/>
      <c r="K345" s="198"/>
      <c r="L345" s="198"/>
    </row>
    <row r="346">
      <c r="A346" s="198"/>
      <c r="B346" s="208" t="str">
        <f>vlookup(A346,Price!A:B,2,false)</f>
        <v>#N/A</v>
      </c>
      <c r="C346" s="198"/>
      <c r="D346" s="198"/>
      <c r="E346" s="198"/>
      <c r="F346" s="198"/>
      <c r="G346" s="198"/>
      <c r="H346" s="198"/>
      <c r="I346" s="198"/>
      <c r="J346" s="198"/>
      <c r="K346" s="198"/>
      <c r="L346" s="198"/>
    </row>
    <row r="347">
      <c r="A347" s="198"/>
      <c r="B347" s="208" t="str">
        <f>vlookup(A347,Price!A:B,2,false)</f>
        <v>#N/A</v>
      </c>
      <c r="C347" s="198"/>
      <c r="D347" s="198"/>
      <c r="E347" s="198"/>
      <c r="F347" s="198"/>
      <c r="G347" s="198"/>
      <c r="H347" s="198"/>
      <c r="I347" s="198"/>
      <c r="J347" s="198"/>
      <c r="K347" s="198"/>
      <c r="L347" s="198"/>
    </row>
    <row r="348">
      <c r="A348" s="198"/>
      <c r="B348" s="208" t="str">
        <f>vlookup(A348,Price!A:B,2,false)</f>
        <v>#N/A</v>
      </c>
      <c r="C348" s="198"/>
      <c r="D348" s="198"/>
      <c r="E348" s="198"/>
      <c r="F348" s="198"/>
      <c r="G348" s="198"/>
      <c r="H348" s="198"/>
      <c r="I348" s="198"/>
      <c r="J348" s="198"/>
      <c r="K348" s="198"/>
      <c r="L348" s="198"/>
    </row>
    <row r="349">
      <c r="A349" s="198"/>
      <c r="B349" s="208" t="str">
        <f>vlookup(A349,Price!A:B,2,false)</f>
        <v>#N/A</v>
      </c>
      <c r="C349" s="198"/>
      <c r="D349" s="198"/>
      <c r="E349" s="198"/>
      <c r="F349" s="198"/>
      <c r="G349" s="198"/>
      <c r="H349" s="198"/>
      <c r="I349" s="198"/>
      <c r="J349" s="198"/>
      <c r="K349" s="198"/>
      <c r="L349" s="198"/>
    </row>
    <row r="350">
      <c r="A350" s="198"/>
      <c r="B350" s="208" t="str">
        <f>vlookup(A350,Price!A:B,2,false)</f>
        <v>#N/A</v>
      </c>
      <c r="C350" s="198"/>
      <c r="D350" s="198"/>
      <c r="E350" s="198"/>
      <c r="F350" s="198"/>
      <c r="G350" s="198"/>
      <c r="H350" s="198"/>
      <c r="I350" s="198"/>
      <c r="J350" s="198"/>
      <c r="K350" s="198"/>
      <c r="L350" s="198"/>
    </row>
    <row r="351">
      <c r="A351" s="198"/>
      <c r="B351" s="208" t="str">
        <f>vlookup(A351,Price!A:B,2,false)</f>
        <v>#N/A</v>
      </c>
      <c r="C351" s="198"/>
      <c r="D351" s="198"/>
      <c r="E351" s="198"/>
      <c r="F351" s="198"/>
      <c r="G351" s="198"/>
      <c r="H351" s="198"/>
      <c r="I351" s="198"/>
      <c r="J351" s="198"/>
      <c r="K351" s="198"/>
      <c r="L351" s="198"/>
    </row>
    <row r="352">
      <c r="A352" s="198"/>
      <c r="B352" s="208" t="str">
        <f>vlookup(A352,Price!A:B,2,false)</f>
        <v>#N/A</v>
      </c>
      <c r="C352" s="198"/>
      <c r="D352" s="198"/>
      <c r="E352" s="198"/>
      <c r="F352" s="198"/>
      <c r="G352" s="198"/>
      <c r="H352" s="198"/>
      <c r="I352" s="198"/>
      <c r="J352" s="198"/>
      <c r="K352" s="198"/>
      <c r="L352" s="198"/>
    </row>
    <row r="353">
      <c r="A353" s="198"/>
      <c r="B353" s="208" t="str">
        <f>vlookup(A353,Price!A:B,2,false)</f>
        <v>#N/A</v>
      </c>
      <c r="C353" s="198"/>
      <c r="D353" s="198"/>
      <c r="E353" s="198"/>
      <c r="F353" s="198"/>
      <c r="G353" s="198"/>
      <c r="H353" s="198"/>
      <c r="I353" s="198"/>
      <c r="J353" s="198"/>
      <c r="K353" s="198"/>
      <c r="L353" s="198"/>
    </row>
    <row r="354">
      <c r="A354" s="198"/>
      <c r="B354" s="208" t="str">
        <f>vlookup(A354,Price!A:B,2,false)</f>
        <v>#N/A</v>
      </c>
      <c r="C354" s="198"/>
      <c r="D354" s="198"/>
      <c r="E354" s="198"/>
      <c r="F354" s="198"/>
      <c r="G354" s="198"/>
      <c r="H354" s="198"/>
      <c r="I354" s="198"/>
      <c r="J354" s="198"/>
      <c r="K354" s="198"/>
      <c r="L354" s="198"/>
    </row>
    <row r="355">
      <c r="A355" s="198"/>
      <c r="B355" s="208" t="str">
        <f>vlookup(A355,Price!A:B,2,false)</f>
        <v>#N/A</v>
      </c>
      <c r="C355" s="198"/>
      <c r="D355" s="198"/>
      <c r="E355" s="198"/>
      <c r="F355" s="198"/>
      <c r="G355" s="198"/>
      <c r="H355" s="198"/>
      <c r="I355" s="198"/>
      <c r="J355" s="198"/>
      <c r="K355" s="198"/>
      <c r="L355" s="198"/>
    </row>
    <row r="356">
      <c r="A356" s="198"/>
      <c r="B356" s="208" t="str">
        <f>vlookup(A356,Price!A:B,2,false)</f>
        <v>#N/A</v>
      </c>
      <c r="C356" s="198"/>
      <c r="D356" s="198"/>
      <c r="E356" s="198"/>
      <c r="F356" s="198"/>
      <c r="G356" s="198"/>
      <c r="H356" s="198"/>
      <c r="I356" s="198"/>
      <c r="J356" s="198"/>
      <c r="K356" s="198"/>
      <c r="L356" s="198"/>
    </row>
    <row r="357">
      <c r="A357" s="198"/>
      <c r="B357" s="208" t="str">
        <f>vlookup(A357,Price!A:B,2,false)</f>
        <v>#N/A</v>
      </c>
      <c r="C357" s="198"/>
      <c r="D357" s="198"/>
      <c r="E357" s="198"/>
      <c r="F357" s="198"/>
      <c r="G357" s="198"/>
      <c r="H357" s="198"/>
      <c r="I357" s="198"/>
      <c r="J357" s="198"/>
      <c r="K357" s="198"/>
      <c r="L357" s="198"/>
    </row>
    <row r="358">
      <c r="A358" s="198"/>
      <c r="B358" s="208" t="str">
        <f>vlookup(A358,Price!A:B,2,false)</f>
        <v>#N/A</v>
      </c>
      <c r="C358" s="198"/>
      <c r="D358" s="198"/>
      <c r="E358" s="198"/>
      <c r="F358" s="198"/>
      <c r="G358" s="198"/>
      <c r="H358" s="198"/>
      <c r="I358" s="198"/>
      <c r="J358" s="198"/>
      <c r="K358" s="198"/>
      <c r="L358" s="198"/>
    </row>
    <row r="359">
      <c r="A359" s="198"/>
      <c r="B359" s="208" t="str">
        <f>vlookup(A359,Price!A:B,2,false)</f>
        <v>#N/A</v>
      </c>
      <c r="C359" s="198"/>
      <c r="D359" s="198"/>
      <c r="E359" s="198"/>
      <c r="F359" s="198"/>
      <c r="G359" s="198"/>
      <c r="H359" s="198"/>
      <c r="I359" s="198"/>
      <c r="J359" s="198"/>
      <c r="K359" s="198"/>
      <c r="L359" s="198"/>
    </row>
    <row r="360">
      <c r="A360" s="198"/>
      <c r="B360" s="208" t="str">
        <f>vlookup(A360,Price!A:B,2,false)</f>
        <v>#N/A</v>
      </c>
      <c r="C360" s="198"/>
      <c r="D360" s="198"/>
      <c r="E360" s="198"/>
      <c r="F360" s="198"/>
      <c r="G360" s="198"/>
      <c r="H360" s="198"/>
      <c r="I360" s="198"/>
      <c r="J360" s="198"/>
      <c r="K360" s="198"/>
      <c r="L360" s="198"/>
    </row>
    <row r="361">
      <c r="A361" s="198"/>
      <c r="B361" s="208" t="str">
        <f>vlookup(A361,Price!A:B,2,false)</f>
        <v>#N/A</v>
      </c>
      <c r="C361" s="198"/>
      <c r="D361" s="198"/>
      <c r="E361" s="198"/>
      <c r="F361" s="198"/>
      <c r="G361" s="198"/>
      <c r="H361" s="198"/>
      <c r="I361" s="198"/>
      <c r="J361" s="198"/>
      <c r="K361" s="198"/>
      <c r="L361" s="198"/>
    </row>
    <row r="362">
      <c r="A362" s="198"/>
      <c r="B362" s="208" t="str">
        <f>vlookup(A362,Price!A:B,2,false)</f>
        <v>#N/A</v>
      </c>
      <c r="C362" s="198"/>
      <c r="D362" s="198"/>
      <c r="E362" s="198"/>
      <c r="F362" s="198"/>
      <c r="G362" s="198"/>
      <c r="H362" s="198"/>
      <c r="I362" s="198"/>
      <c r="J362" s="198"/>
      <c r="K362" s="198"/>
      <c r="L362" s="198"/>
    </row>
    <row r="363">
      <c r="A363" s="198"/>
      <c r="B363" s="208" t="str">
        <f>vlookup(A363,Price!A:B,2,false)</f>
        <v>#N/A</v>
      </c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</row>
    <row r="364">
      <c r="A364" s="198"/>
      <c r="B364" s="208" t="str">
        <f>vlookup(A364,Price!A:B,2,false)</f>
        <v>#N/A</v>
      </c>
      <c r="C364" s="198"/>
      <c r="D364" s="198"/>
      <c r="E364" s="198"/>
      <c r="F364" s="198"/>
      <c r="G364" s="198"/>
      <c r="H364" s="198"/>
      <c r="I364" s="198"/>
      <c r="J364" s="198"/>
      <c r="K364" s="198"/>
      <c r="L364" s="198"/>
    </row>
    <row r="365">
      <c r="A365" s="198"/>
      <c r="B365" s="208" t="str">
        <f>vlookup(A365,Price!A:B,2,false)</f>
        <v>#N/A</v>
      </c>
      <c r="C365" s="198"/>
      <c r="D365" s="198"/>
      <c r="E365" s="198"/>
      <c r="F365" s="198"/>
      <c r="G365" s="198"/>
      <c r="H365" s="198"/>
      <c r="I365" s="198"/>
      <c r="J365" s="198"/>
      <c r="K365" s="198"/>
      <c r="L365" s="198"/>
    </row>
    <row r="366">
      <c r="A366" s="198"/>
      <c r="B366" s="208" t="str">
        <f>vlookup(A366,Price!A:B,2,false)</f>
        <v>#N/A</v>
      </c>
      <c r="C366" s="198"/>
      <c r="D366" s="198"/>
      <c r="E366" s="198"/>
      <c r="F366" s="198"/>
      <c r="G366" s="198"/>
      <c r="H366" s="198"/>
      <c r="I366" s="198"/>
      <c r="J366" s="198"/>
      <c r="K366" s="198"/>
      <c r="L366" s="198"/>
    </row>
    <row r="367">
      <c r="A367" s="198"/>
      <c r="B367" s="208" t="str">
        <f>vlookup(A367,Price!A:B,2,false)</f>
        <v>#N/A</v>
      </c>
      <c r="C367" s="198"/>
      <c r="D367" s="198"/>
      <c r="E367" s="198"/>
      <c r="F367" s="198"/>
      <c r="G367" s="198"/>
      <c r="H367" s="198"/>
      <c r="I367" s="198"/>
      <c r="J367" s="198"/>
      <c r="K367" s="198"/>
      <c r="L367" s="198"/>
    </row>
    <row r="368">
      <c r="A368" s="198"/>
      <c r="B368" s="208" t="str">
        <f>vlookup(A368,Price!A:B,2,false)</f>
        <v>#N/A</v>
      </c>
      <c r="C368" s="198"/>
      <c r="D368" s="198"/>
      <c r="E368" s="198"/>
      <c r="F368" s="198"/>
      <c r="G368" s="198"/>
      <c r="H368" s="198"/>
      <c r="I368" s="198"/>
      <c r="J368" s="198"/>
      <c r="K368" s="198"/>
      <c r="L368" s="198"/>
    </row>
    <row r="369">
      <c r="A369" s="198"/>
      <c r="B369" s="208" t="str">
        <f>vlookup(A369,Price!A:B,2,false)</f>
        <v>#N/A</v>
      </c>
      <c r="C369" s="198"/>
      <c r="D369" s="198"/>
      <c r="E369" s="198"/>
      <c r="F369" s="198"/>
      <c r="G369" s="198"/>
      <c r="H369" s="198"/>
      <c r="I369" s="198"/>
      <c r="J369" s="198"/>
      <c r="K369" s="198"/>
      <c r="L369" s="198"/>
    </row>
    <row r="370">
      <c r="A370" s="198"/>
      <c r="B370" s="208" t="str">
        <f>vlookup(A370,Price!A:B,2,false)</f>
        <v>#N/A</v>
      </c>
      <c r="C370" s="198"/>
      <c r="D370" s="198"/>
      <c r="E370" s="198"/>
      <c r="F370" s="198"/>
      <c r="G370" s="198"/>
      <c r="H370" s="198"/>
      <c r="I370" s="198"/>
      <c r="J370" s="198"/>
      <c r="K370" s="198"/>
      <c r="L370" s="198"/>
    </row>
    <row r="371">
      <c r="A371" s="198"/>
      <c r="B371" s="208" t="str">
        <f>vlookup(A371,Price!A:B,2,false)</f>
        <v>#N/A</v>
      </c>
      <c r="C371" s="198"/>
      <c r="D371" s="198"/>
      <c r="E371" s="198"/>
      <c r="F371" s="198"/>
      <c r="G371" s="198"/>
      <c r="H371" s="198"/>
      <c r="I371" s="198"/>
      <c r="J371" s="198"/>
      <c r="K371" s="198"/>
      <c r="L371" s="198"/>
    </row>
    <row r="372">
      <c r="A372" s="198"/>
      <c r="B372" s="208" t="str">
        <f>vlookup(A372,Price!A:B,2,false)</f>
        <v>#N/A</v>
      </c>
      <c r="C372" s="198"/>
      <c r="D372" s="198"/>
      <c r="E372" s="198"/>
      <c r="F372" s="198"/>
      <c r="G372" s="198"/>
      <c r="H372" s="198"/>
      <c r="I372" s="198"/>
      <c r="J372" s="198"/>
      <c r="K372" s="198"/>
      <c r="L372" s="198"/>
    </row>
    <row r="373">
      <c r="A373" s="198"/>
      <c r="B373" s="208" t="str">
        <f>vlookup(A373,Price!A:B,2,false)</f>
        <v>#N/A</v>
      </c>
      <c r="C373" s="198"/>
      <c r="D373" s="198"/>
      <c r="E373" s="198"/>
      <c r="F373" s="198"/>
      <c r="G373" s="198"/>
      <c r="H373" s="198"/>
      <c r="I373" s="198"/>
      <c r="J373" s="198"/>
      <c r="K373" s="198"/>
      <c r="L373" s="198"/>
    </row>
    <row r="374">
      <c r="A374" s="198"/>
      <c r="B374" s="208" t="str">
        <f>vlookup(A374,Price!A:B,2,false)</f>
        <v>#N/A</v>
      </c>
      <c r="C374" s="198"/>
      <c r="D374" s="198"/>
      <c r="E374" s="198"/>
      <c r="F374" s="198"/>
      <c r="G374" s="198"/>
      <c r="H374" s="198"/>
      <c r="I374" s="198"/>
      <c r="J374" s="198"/>
      <c r="K374" s="198"/>
      <c r="L374" s="198"/>
    </row>
    <row r="375">
      <c r="A375" s="198"/>
      <c r="B375" s="208" t="str">
        <f>vlookup(A375,Price!A:B,2,false)</f>
        <v>#N/A</v>
      </c>
      <c r="C375" s="198"/>
      <c r="D375" s="198"/>
      <c r="E375" s="198"/>
      <c r="F375" s="198"/>
      <c r="G375" s="198"/>
      <c r="H375" s="198"/>
      <c r="I375" s="198"/>
      <c r="J375" s="198"/>
      <c r="K375" s="198"/>
      <c r="L375" s="198"/>
    </row>
    <row r="376">
      <c r="A376" s="198"/>
      <c r="B376" s="208" t="str">
        <f>vlookup(A376,Price!A:B,2,false)</f>
        <v>#N/A</v>
      </c>
      <c r="C376" s="198"/>
      <c r="D376" s="198"/>
      <c r="E376" s="198"/>
      <c r="F376" s="198"/>
      <c r="G376" s="198"/>
      <c r="H376" s="198"/>
      <c r="I376" s="198"/>
      <c r="J376" s="198"/>
      <c r="K376" s="198"/>
      <c r="L376" s="198"/>
    </row>
    <row r="377">
      <c r="A377" s="198"/>
      <c r="B377" s="208" t="str">
        <f>vlookup(A377,Price!A:B,2,false)</f>
        <v>#N/A</v>
      </c>
      <c r="C377" s="198"/>
      <c r="D377" s="198"/>
      <c r="E377" s="198"/>
      <c r="F377" s="198"/>
      <c r="G377" s="198"/>
      <c r="H377" s="198"/>
      <c r="I377" s="198"/>
      <c r="J377" s="198"/>
      <c r="K377" s="198"/>
      <c r="L377" s="198"/>
    </row>
    <row r="378">
      <c r="A378" s="198"/>
      <c r="B378" s="208" t="str">
        <f>vlookup(A378,Price!A:B,2,false)</f>
        <v>#N/A</v>
      </c>
      <c r="C378" s="198"/>
      <c r="D378" s="198"/>
      <c r="E378" s="198"/>
      <c r="F378" s="198"/>
      <c r="G378" s="198"/>
      <c r="H378" s="198"/>
      <c r="I378" s="198"/>
      <c r="J378" s="198"/>
      <c r="K378" s="198"/>
      <c r="L378" s="198"/>
    </row>
    <row r="379">
      <c r="A379" s="198"/>
      <c r="B379" s="208" t="str">
        <f>vlookup(A379,Price!A:B,2,false)</f>
        <v>#N/A</v>
      </c>
      <c r="C379" s="198"/>
      <c r="D379" s="198"/>
      <c r="E379" s="198"/>
      <c r="F379" s="198"/>
      <c r="G379" s="198"/>
      <c r="H379" s="198"/>
      <c r="I379" s="198"/>
      <c r="J379" s="198"/>
      <c r="K379" s="198"/>
      <c r="L379" s="198"/>
    </row>
    <row r="380">
      <c r="A380" s="198"/>
      <c r="B380" s="208" t="str">
        <f>vlookup(A380,Price!A:B,2,false)</f>
        <v>#N/A</v>
      </c>
      <c r="C380" s="198"/>
      <c r="D380" s="198"/>
      <c r="E380" s="198"/>
      <c r="F380" s="198"/>
      <c r="G380" s="198"/>
      <c r="H380" s="198"/>
      <c r="I380" s="198"/>
      <c r="J380" s="198"/>
      <c r="K380" s="198"/>
      <c r="L380" s="198"/>
    </row>
    <row r="381">
      <c r="A381" s="198"/>
      <c r="B381" s="208" t="str">
        <f>vlookup(A381,Price!A:B,2,false)</f>
        <v>#N/A</v>
      </c>
      <c r="C381" s="198"/>
      <c r="D381" s="198"/>
      <c r="E381" s="198"/>
      <c r="F381" s="198"/>
      <c r="G381" s="198"/>
      <c r="H381" s="198"/>
      <c r="I381" s="198"/>
      <c r="J381" s="198"/>
      <c r="K381" s="198"/>
      <c r="L381" s="198"/>
    </row>
    <row r="382">
      <c r="A382" s="198"/>
      <c r="B382" s="208" t="str">
        <f>vlookup(A382,Price!A:B,2,false)</f>
        <v>#N/A</v>
      </c>
      <c r="C382" s="198"/>
      <c r="D382" s="198"/>
      <c r="E382" s="198"/>
      <c r="F382" s="198"/>
      <c r="G382" s="198"/>
      <c r="H382" s="198"/>
      <c r="I382" s="198"/>
      <c r="J382" s="198"/>
      <c r="K382" s="198"/>
      <c r="L382" s="198"/>
    </row>
    <row r="383">
      <c r="A383" s="198"/>
      <c r="B383" s="208" t="str">
        <f>vlookup(A383,Price!A:B,2,false)</f>
        <v>#N/A</v>
      </c>
      <c r="C383" s="198"/>
      <c r="D383" s="198"/>
      <c r="E383" s="198"/>
      <c r="F383" s="198"/>
      <c r="G383" s="198"/>
      <c r="H383" s="198"/>
      <c r="I383" s="198"/>
      <c r="J383" s="198"/>
      <c r="K383" s="198"/>
      <c r="L383" s="198"/>
    </row>
    <row r="384">
      <c r="A384" s="198"/>
      <c r="B384" s="208" t="str">
        <f>vlookup(A384,Price!A:B,2,false)</f>
        <v>#N/A</v>
      </c>
      <c r="C384" s="198"/>
      <c r="D384" s="198"/>
      <c r="E384" s="198"/>
      <c r="F384" s="198"/>
      <c r="G384" s="198"/>
      <c r="H384" s="198"/>
      <c r="I384" s="198"/>
      <c r="J384" s="198"/>
      <c r="K384" s="198"/>
      <c r="L384" s="198"/>
    </row>
    <row r="385">
      <c r="A385" s="198"/>
      <c r="B385" s="208" t="str">
        <f>vlookup(A385,Price!A:B,2,false)</f>
        <v>#N/A</v>
      </c>
      <c r="C385" s="198"/>
      <c r="D385" s="198"/>
      <c r="E385" s="198"/>
      <c r="F385" s="198"/>
      <c r="G385" s="198"/>
      <c r="H385" s="198"/>
      <c r="I385" s="198"/>
      <c r="J385" s="198"/>
      <c r="K385" s="198"/>
      <c r="L385" s="198"/>
    </row>
    <row r="386">
      <c r="A386" s="198"/>
      <c r="B386" s="208" t="str">
        <f>vlookup(A386,Price!A:B,2,false)</f>
        <v>#N/A</v>
      </c>
      <c r="C386" s="198"/>
      <c r="D386" s="198"/>
      <c r="E386" s="198"/>
      <c r="F386" s="198"/>
      <c r="G386" s="198"/>
      <c r="H386" s="198"/>
      <c r="I386" s="198"/>
      <c r="J386" s="198"/>
      <c r="K386" s="198"/>
      <c r="L386" s="198"/>
    </row>
    <row r="387">
      <c r="A387" s="198"/>
      <c r="B387" s="208" t="str">
        <f>vlookup(A387,Price!A:B,2,false)</f>
        <v>#N/A</v>
      </c>
      <c r="C387" s="198"/>
      <c r="D387" s="198"/>
      <c r="E387" s="198"/>
      <c r="F387" s="198"/>
      <c r="G387" s="198"/>
      <c r="H387" s="198"/>
      <c r="I387" s="198"/>
      <c r="J387" s="198"/>
      <c r="K387" s="198"/>
      <c r="L387" s="198"/>
    </row>
    <row r="388">
      <c r="A388" s="198"/>
      <c r="B388" s="208" t="str">
        <f>vlookup(A388,Price!A:B,2,false)</f>
        <v>#N/A</v>
      </c>
      <c r="C388" s="198"/>
      <c r="D388" s="198"/>
      <c r="E388" s="198"/>
      <c r="F388" s="198"/>
      <c r="G388" s="198"/>
      <c r="H388" s="198"/>
      <c r="I388" s="198"/>
      <c r="J388" s="198"/>
      <c r="K388" s="198"/>
      <c r="L388" s="198"/>
    </row>
    <row r="389">
      <c r="A389" s="198"/>
      <c r="B389" s="208" t="str">
        <f>vlookup(A389,Price!A:B,2,false)</f>
        <v>#N/A</v>
      </c>
      <c r="C389" s="198"/>
      <c r="D389" s="198"/>
      <c r="E389" s="198"/>
      <c r="F389" s="198"/>
      <c r="G389" s="198"/>
      <c r="H389" s="198"/>
      <c r="I389" s="198"/>
      <c r="J389" s="198"/>
      <c r="K389" s="198"/>
      <c r="L389" s="198"/>
    </row>
    <row r="390">
      <c r="A390" s="198"/>
      <c r="B390" s="208" t="str">
        <f>vlookup(A390,Price!A:B,2,false)</f>
        <v>#N/A</v>
      </c>
      <c r="C390" s="198"/>
      <c r="D390" s="198"/>
      <c r="E390" s="198"/>
      <c r="F390" s="198"/>
      <c r="G390" s="198"/>
      <c r="H390" s="198"/>
      <c r="I390" s="198"/>
      <c r="J390" s="198"/>
      <c r="K390" s="198"/>
      <c r="L390" s="198"/>
    </row>
    <row r="391">
      <c r="A391" s="198"/>
      <c r="B391" s="208" t="str">
        <f>vlookup(A391,Price!A:B,2,false)</f>
        <v>#N/A</v>
      </c>
      <c r="C391" s="198"/>
      <c r="D391" s="198"/>
      <c r="E391" s="198"/>
      <c r="F391" s="198"/>
      <c r="G391" s="198"/>
      <c r="H391" s="198"/>
      <c r="I391" s="198"/>
      <c r="J391" s="198"/>
      <c r="K391" s="198"/>
      <c r="L391" s="198"/>
    </row>
    <row r="392">
      <c r="A392" s="198"/>
      <c r="B392" s="208" t="str">
        <f>vlookup(A392,Price!A:B,2,false)</f>
        <v>#N/A</v>
      </c>
      <c r="C392" s="198"/>
      <c r="D392" s="198"/>
      <c r="E392" s="198"/>
      <c r="F392" s="198"/>
      <c r="G392" s="198"/>
      <c r="H392" s="198"/>
      <c r="I392" s="198"/>
      <c r="J392" s="198"/>
      <c r="K392" s="198"/>
      <c r="L392" s="198"/>
    </row>
    <row r="393">
      <c r="A393" s="198"/>
      <c r="B393" s="208" t="str">
        <f>vlookup(A393,Price!A:B,2,false)</f>
        <v>#N/A</v>
      </c>
      <c r="C393" s="198"/>
      <c r="D393" s="198"/>
      <c r="E393" s="198"/>
      <c r="F393" s="198"/>
      <c r="G393" s="198"/>
      <c r="H393" s="198"/>
      <c r="I393" s="198"/>
      <c r="J393" s="198"/>
      <c r="K393" s="198"/>
      <c r="L393" s="198"/>
    </row>
    <row r="394">
      <c r="A394" s="198"/>
      <c r="B394" s="208" t="str">
        <f>vlookup(A394,Price!A:B,2,false)</f>
        <v>#N/A</v>
      </c>
      <c r="C394" s="198"/>
      <c r="D394" s="198"/>
      <c r="E394" s="198"/>
      <c r="F394" s="198"/>
      <c r="G394" s="198"/>
      <c r="H394" s="198"/>
      <c r="I394" s="198"/>
      <c r="J394" s="198"/>
      <c r="K394" s="198"/>
      <c r="L394" s="198"/>
    </row>
    <row r="395">
      <c r="A395" s="198"/>
      <c r="B395" s="208" t="str">
        <f>vlookup(A395,Price!A:B,2,false)</f>
        <v>#N/A</v>
      </c>
      <c r="C395" s="198"/>
      <c r="D395" s="198"/>
      <c r="E395" s="198"/>
      <c r="F395" s="198"/>
      <c r="G395" s="198"/>
      <c r="H395" s="198"/>
      <c r="I395" s="198"/>
      <c r="J395" s="198"/>
      <c r="K395" s="198"/>
      <c r="L395" s="198"/>
    </row>
    <row r="396">
      <c r="A396" s="198"/>
      <c r="B396" s="208" t="str">
        <f>vlookup(A396,Price!A:B,2,false)</f>
        <v>#N/A</v>
      </c>
      <c r="C396" s="198"/>
      <c r="D396" s="198"/>
      <c r="E396" s="198"/>
      <c r="F396" s="198"/>
      <c r="G396" s="198"/>
      <c r="H396" s="198"/>
      <c r="I396" s="198"/>
      <c r="J396" s="198"/>
      <c r="K396" s="198"/>
      <c r="L396" s="198"/>
    </row>
    <row r="397">
      <c r="A397" s="198"/>
      <c r="B397" s="208" t="str">
        <f>vlookup(A397,Price!A:B,2,false)</f>
        <v>#N/A</v>
      </c>
      <c r="C397" s="198"/>
      <c r="D397" s="198"/>
      <c r="E397" s="198"/>
      <c r="F397" s="198"/>
      <c r="G397" s="198"/>
      <c r="H397" s="198"/>
      <c r="I397" s="198"/>
      <c r="J397" s="198"/>
      <c r="K397" s="198"/>
      <c r="L397" s="198"/>
    </row>
    <row r="398">
      <c r="A398" s="198"/>
      <c r="B398" s="208" t="str">
        <f>vlookup(A398,Price!A:B,2,false)</f>
        <v>#N/A</v>
      </c>
      <c r="C398" s="198"/>
      <c r="D398" s="198"/>
      <c r="E398" s="198"/>
      <c r="F398" s="198"/>
      <c r="G398" s="198"/>
      <c r="H398" s="198"/>
      <c r="I398" s="198"/>
      <c r="J398" s="198"/>
      <c r="K398" s="198"/>
      <c r="L398" s="198"/>
    </row>
    <row r="399">
      <c r="A399" s="198"/>
      <c r="B399" s="208" t="str">
        <f>vlookup(A399,Price!A:B,2,false)</f>
        <v>#N/A</v>
      </c>
      <c r="C399" s="198"/>
      <c r="D399" s="198"/>
      <c r="E399" s="198"/>
      <c r="F399" s="198"/>
      <c r="G399" s="198"/>
      <c r="H399" s="198"/>
      <c r="I399" s="198"/>
      <c r="J399" s="198"/>
      <c r="K399" s="198"/>
      <c r="L399" s="198"/>
    </row>
    <row r="400">
      <c r="A400" s="198"/>
      <c r="B400" s="208" t="str">
        <f>vlookup(A400,Price!A:B,2,false)</f>
        <v>#N/A</v>
      </c>
      <c r="C400" s="198"/>
      <c r="D400" s="198"/>
      <c r="E400" s="198"/>
      <c r="F400" s="198"/>
      <c r="G400" s="198"/>
      <c r="H400" s="198"/>
      <c r="I400" s="198"/>
      <c r="J400" s="198"/>
      <c r="K400" s="198"/>
      <c r="L400" s="198"/>
    </row>
    <row r="401">
      <c r="A401" s="198"/>
      <c r="B401" s="208" t="str">
        <f>vlookup(A401,Price!A:B,2,false)</f>
        <v>#N/A</v>
      </c>
      <c r="C401" s="198"/>
      <c r="D401" s="198"/>
      <c r="E401" s="198"/>
      <c r="F401" s="198"/>
      <c r="G401" s="198"/>
      <c r="H401" s="198"/>
      <c r="I401" s="198"/>
      <c r="J401" s="198"/>
      <c r="K401" s="198"/>
      <c r="L401" s="198"/>
    </row>
    <row r="402">
      <c r="A402" s="198"/>
      <c r="B402" s="208" t="str">
        <f>vlookup(A402,Price!A:B,2,false)</f>
        <v>#N/A</v>
      </c>
      <c r="C402" s="198"/>
      <c r="D402" s="198"/>
      <c r="E402" s="198"/>
      <c r="F402" s="198"/>
      <c r="G402" s="198"/>
      <c r="H402" s="198"/>
      <c r="I402" s="198"/>
      <c r="J402" s="198"/>
      <c r="K402" s="198"/>
      <c r="L402" s="198"/>
    </row>
    <row r="403">
      <c r="A403" s="198"/>
      <c r="B403" s="208" t="str">
        <f>vlookup(A403,Price!A:B,2,false)</f>
        <v>#N/A</v>
      </c>
      <c r="C403" s="198"/>
      <c r="D403" s="198"/>
      <c r="E403" s="198"/>
      <c r="F403" s="198"/>
      <c r="G403" s="198"/>
      <c r="H403" s="198"/>
      <c r="I403" s="198"/>
      <c r="J403" s="198"/>
      <c r="K403" s="198"/>
      <c r="L403" s="198"/>
    </row>
    <row r="404">
      <c r="A404" s="198"/>
      <c r="B404" s="208" t="str">
        <f>vlookup(A404,Price!A:B,2,false)</f>
        <v>#N/A</v>
      </c>
      <c r="C404" s="198"/>
      <c r="D404" s="198"/>
      <c r="E404" s="198"/>
      <c r="F404" s="198"/>
      <c r="G404" s="198"/>
      <c r="H404" s="198"/>
      <c r="I404" s="198"/>
      <c r="J404" s="198"/>
      <c r="K404" s="198"/>
      <c r="L404" s="198"/>
    </row>
    <row r="405">
      <c r="A405" s="198"/>
      <c r="B405" s="208" t="str">
        <f>vlookup(A405,Price!A:B,2,false)</f>
        <v>#N/A</v>
      </c>
      <c r="C405" s="198"/>
      <c r="D405" s="198"/>
      <c r="E405" s="198"/>
      <c r="F405" s="198"/>
      <c r="G405" s="198"/>
      <c r="H405" s="198"/>
      <c r="I405" s="198"/>
      <c r="J405" s="198"/>
      <c r="K405" s="198"/>
      <c r="L405" s="198"/>
    </row>
    <row r="406">
      <c r="A406" s="198"/>
      <c r="B406" s="208" t="str">
        <f>vlookup(A406,Price!A:B,2,false)</f>
        <v>#N/A</v>
      </c>
      <c r="C406" s="198"/>
      <c r="D406" s="198"/>
      <c r="E406" s="198"/>
      <c r="F406" s="198"/>
      <c r="G406" s="198"/>
      <c r="H406" s="198"/>
      <c r="I406" s="198"/>
      <c r="J406" s="198"/>
      <c r="K406" s="198"/>
      <c r="L406" s="198"/>
    </row>
    <row r="407">
      <c r="A407" s="198"/>
      <c r="B407" s="208" t="str">
        <f>vlookup(A407,Price!A:B,2,false)</f>
        <v>#N/A</v>
      </c>
      <c r="C407" s="198"/>
      <c r="D407" s="198"/>
      <c r="E407" s="198"/>
      <c r="F407" s="198"/>
      <c r="G407" s="198"/>
      <c r="H407" s="198"/>
      <c r="I407" s="198"/>
      <c r="J407" s="198"/>
      <c r="K407" s="198"/>
      <c r="L407" s="198"/>
    </row>
    <row r="408">
      <c r="A408" s="198"/>
      <c r="B408" s="208" t="str">
        <f>vlookup(A408,Price!A:B,2,false)</f>
        <v>#N/A</v>
      </c>
      <c r="C408" s="198"/>
      <c r="D408" s="198"/>
      <c r="E408" s="198"/>
      <c r="F408" s="198"/>
      <c r="G408" s="198"/>
      <c r="H408" s="198"/>
      <c r="I408" s="198"/>
      <c r="J408" s="198"/>
      <c r="K408" s="198"/>
      <c r="L408" s="198"/>
    </row>
    <row r="409">
      <c r="A409" s="198"/>
      <c r="B409" s="208" t="str">
        <f>vlookup(A409,Price!A:B,2,false)</f>
        <v>#N/A</v>
      </c>
      <c r="C409" s="198"/>
      <c r="D409" s="198"/>
      <c r="E409" s="198"/>
      <c r="F409" s="198"/>
      <c r="G409" s="198"/>
      <c r="H409" s="198"/>
      <c r="I409" s="198"/>
      <c r="J409" s="198"/>
      <c r="K409" s="198"/>
      <c r="L409" s="198"/>
    </row>
    <row r="410">
      <c r="A410" s="198"/>
      <c r="B410" s="208" t="str">
        <f>vlookup(A410,Price!A:B,2,false)</f>
        <v>#N/A</v>
      </c>
      <c r="C410" s="198"/>
      <c r="D410" s="198"/>
      <c r="E410" s="198"/>
      <c r="F410" s="198"/>
      <c r="G410" s="198"/>
      <c r="H410" s="198"/>
      <c r="I410" s="198"/>
      <c r="J410" s="198"/>
      <c r="K410" s="198"/>
      <c r="L410" s="198"/>
    </row>
    <row r="411">
      <c r="A411" s="198"/>
      <c r="B411" s="208" t="str">
        <f>vlookup(A411,Price!A:B,2,false)</f>
        <v>#N/A</v>
      </c>
      <c r="C411" s="198"/>
      <c r="D411" s="198"/>
      <c r="E411" s="198"/>
      <c r="F411" s="198"/>
      <c r="G411" s="198"/>
      <c r="H411" s="198"/>
      <c r="I411" s="198"/>
      <c r="J411" s="198"/>
      <c r="K411" s="198"/>
      <c r="L411" s="198"/>
    </row>
    <row r="412">
      <c r="A412" s="198"/>
      <c r="B412" s="208" t="str">
        <f>vlookup(A412,Price!A:B,2,false)</f>
        <v>#N/A</v>
      </c>
      <c r="C412" s="198"/>
      <c r="D412" s="198"/>
      <c r="E412" s="198"/>
      <c r="F412" s="198"/>
      <c r="G412" s="198"/>
      <c r="H412" s="198"/>
      <c r="I412" s="198"/>
      <c r="J412" s="198"/>
      <c r="K412" s="198"/>
      <c r="L412" s="198"/>
    </row>
    <row r="413">
      <c r="A413" s="198"/>
      <c r="B413" s="208" t="str">
        <f>vlookup(A413,Price!A:B,2,false)</f>
        <v>#N/A</v>
      </c>
      <c r="C413" s="198"/>
      <c r="D413" s="198"/>
      <c r="E413" s="198"/>
      <c r="F413" s="198"/>
      <c r="G413" s="198"/>
      <c r="H413" s="198"/>
      <c r="I413" s="198"/>
      <c r="J413" s="198"/>
      <c r="K413" s="198"/>
      <c r="L413" s="198"/>
    </row>
    <row r="414">
      <c r="A414" s="198"/>
      <c r="B414" s="208" t="str">
        <f>vlookup(A414,Price!A:B,2,false)</f>
        <v>#N/A</v>
      </c>
      <c r="C414" s="198"/>
      <c r="D414" s="198"/>
      <c r="E414" s="198"/>
      <c r="F414" s="198"/>
      <c r="G414" s="198"/>
      <c r="H414" s="198"/>
      <c r="I414" s="198"/>
      <c r="J414" s="198"/>
      <c r="K414" s="198"/>
      <c r="L414" s="198"/>
    </row>
    <row r="415">
      <c r="A415" s="198"/>
      <c r="B415" s="208" t="str">
        <f>vlookup(A415,Price!A:B,2,false)</f>
        <v>#N/A</v>
      </c>
      <c r="C415" s="198"/>
      <c r="D415" s="198"/>
      <c r="E415" s="198"/>
      <c r="F415" s="198"/>
      <c r="G415" s="198"/>
      <c r="H415" s="198"/>
      <c r="I415" s="198"/>
      <c r="J415" s="198"/>
      <c r="K415" s="198"/>
      <c r="L415" s="198"/>
    </row>
    <row r="416">
      <c r="A416" s="198"/>
      <c r="B416" s="208" t="str">
        <f>vlookup(A416,Price!A:B,2,false)</f>
        <v>#N/A</v>
      </c>
      <c r="C416" s="198"/>
      <c r="D416" s="198"/>
      <c r="E416" s="198"/>
      <c r="F416" s="198"/>
      <c r="G416" s="198"/>
      <c r="H416" s="198"/>
      <c r="I416" s="198"/>
      <c r="J416" s="198"/>
      <c r="K416" s="198"/>
      <c r="L416" s="198"/>
    </row>
    <row r="417">
      <c r="A417" s="198"/>
      <c r="B417" s="208" t="str">
        <f>vlookup(A417,Price!A:B,2,false)</f>
        <v>#N/A</v>
      </c>
      <c r="C417" s="198"/>
      <c r="D417" s="198"/>
      <c r="E417" s="198"/>
      <c r="F417" s="198"/>
      <c r="G417" s="198"/>
      <c r="H417" s="198"/>
      <c r="I417" s="198"/>
      <c r="J417" s="198"/>
      <c r="K417" s="198"/>
      <c r="L417" s="198"/>
    </row>
    <row r="418">
      <c r="A418" s="198"/>
      <c r="B418" s="208" t="str">
        <f>vlookup(A418,Price!A:B,2,false)</f>
        <v>#N/A</v>
      </c>
      <c r="C418" s="198"/>
      <c r="D418" s="198"/>
      <c r="E418" s="198"/>
      <c r="F418" s="198"/>
      <c r="G418" s="198"/>
      <c r="H418" s="198"/>
      <c r="I418" s="198"/>
      <c r="J418" s="198"/>
      <c r="K418" s="198"/>
      <c r="L418" s="198"/>
    </row>
    <row r="419">
      <c r="A419" s="198"/>
      <c r="B419" s="208" t="str">
        <f>vlookup(A419,Price!A:B,2,false)</f>
        <v>#N/A</v>
      </c>
      <c r="C419" s="198"/>
      <c r="D419" s="198"/>
      <c r="E419" s="198"/>
      <c r="F419" s="198"/>
      <c r="G419" s="198"/>
      <c r="H419" s="198"/>
      <c r="I419" s="198"/>
      <c r="J419" s="198"/>
      <c r="K419" s="198"/>
      <c r="L419" s="198"/>
    </row>
    <row r="420">
      <c r="A420" s="198"/>
      <c r="B420" s="208" t="str">
        <f>vlookup(A420,Price!A:B,2,false)</f>
        <v>#N/A</v>
      </c>
      <c r="C420" s="198"/>
      <c r="D420" s="198"/>
      <c r="E420" s="198"/>
      <c r="F420" s="198"/>
      <c r="G420" s="198"/>
      <c r="H420" s="198"/>
      <c r="I420" s="198"/>
      <c r="J420" s="198"/>
      <c r="K420" s="198"/>
      <c r="L420" s="198"/>
    </row>
    <row r="421">
      <c r="A421" s="198"/>
      <c r="B421" s="208" t="str">
        <f>vlookup(A421,Price!A:B,2,false)</f>
        <v>#N/A</v>
      </c>
      <c r="C421" s="198"/>
      <c r="D421" s="198"/>
      <c r="E421" s="198"/>
      <c r="F421" s="198"/>
      <c r="G421" s="198"/>
      <c r="H421" s="198"/>
      <c r="I421" s="198"/>
      <c r="J421" s="198"/>
      <c r="K421" s="198"/>
      <c r="L421" s="198"/>
    </row>
    <row r="422">
      <c r="A422" s="198"/>
      <c r="B422" s="208" t="str">
        <f>vlookup(A422,Price!A:B,2,false)</f>
        <v>#N/A</v>
      </c>
      <c r="C422" s="198"/>
      <c r="D422" s="198"/>
      <c r="E422" s="198"/>
      <c r="F422" s="198"/>
      <c r="G422" s="198"/>
      <c r="H422" s="198"/>
      <c r="I422" s="198"/>
      <c r="J422" s="198"/>
      <c r="K422" s="198"/>
      <c r="L422" s="198"/>
    </row>
    <row r="423">
      <c r="A423" s="198"/>
      <c r="B423" s="208" t="str">
        <f>vlookup(A423,Price!A:B,2,false)</f>
        <v>#N/A</v>
      </c>
      <c r="C423" s="198"/>
      <c r="D423" s="198"/>
      <c r="E423" s="198"/>
      <c r="F423" s="198"/>
      <c r="G423" s="198"/>
      <c r="H423" s="198"/>
      <c r="I423" s="198"/>
      <c r="J423" s="198"/>
      <c r="K423" s="198"/>
      <c r="L423" s="198"/>
    </row>
    <row r="424">
      <c r="A424" s="198"/>
      <c r="B424" s="208" t="str">
        <f>vlookup(A424,Price!A:B,2,false)</f>
        <v>#N/A</v>
      </c>
      <c r="C424" s="198"/>
      <c r="D424" s="198"/>
      <c r="E424" s="198"/>
      <c r="F424" s="198"/>
      <c r="G424" s="198"/>
      <c r="H424" s="198"/>
      <c r="I424" s="198"/>
      <c r="J424" s="198"/>
      <c r="K424" s="198"/>
      <c r="L424" s="198"/>
    </row>
    <row r="425">
      <c r="A425" s="198"/>
      <c r="B425" s="208" t="str">
        <f>vlookup(A425,Price!A:B,2,false)</f>
        <v>#N/A</v>
      </c>
      <c r="C425" s="198"/>
      <c r="D425" s="198"/>
      <c r="E425" s="198"/>
      <c r="F425" s="198"/>
      <c r="G425" s="198"/>
      <c r="H425" s="198"/>
      <c r="I425" s="198"/>
      <c r="J425" s="198"/>
      <c r="K425" s="198"/>
      <c r="L425" s="198"/>
    </row>
    <row r="426">
      <c r="A426" s="198"/>
      <c r="B426" s="208" t="str">
        <f>vlookup(A426,Price!A:B,2,false)</f>
        <v>#N/A</v>
      </c>
      <c r="C426" s="198"/>
      <c r="D426" s="198"/>
      <c r="E426" s="198"/>
      <c r="F426" s="198"/>
      <c r="G426" s="198"/>
      <c r="H426" s="198"/>
      <c r="I426" s="198"/>
      <c r="J426" s="198"/>
      <c r="K426" s="198"/>
      <c r="L426" s="198"/>
    </row>
    <row r="427">
      <c r="A427" s="198"/>
      <c r="B427" s="208" t="str">
        <f>vlookup(A427,Price!A:B,2,false)</f>
        <v>#N/A</v>
      </c>
      <c r="C427" s="198"/>
      <c r="D427" s="198"/>
      <c r="E427" s="198"/>
      <c r="F427" s="198"/>
      <c r="G427" s="198"/>
      <c r="H427" s="198"/>
      <c r="I427" s="198"/>
      <c r="J427" s="198"/>
      <c r="K427" s="198"/>
      <c r="L427" s="198"/>
    </row>
    <row r="428">
      <c r="A428" s="198"/>
      <c r="B428" s="208" t="str">
        <f>vlookup(A428,Price!A:B,2,false)</f>
        <v>#N/A</v>
      </c>
      <c r="C428" s="198"/>
      <c r="D428" s="198"/>
      <c r="E428" s="198"/>
      <c r="F428" s="198"/>
      <c r="G428" s="198"/>
      <c r="H428" s="198"/>
      <c r="I428" s="198"/>
      <c r="J428" s="198"/>
      <c r="K428" s="198"/>
      <c r="L428" s="198"/>
    </row>
    <row r="429">
      <c r="A429" s="198"/>
      <c r="B429" s="208" t="str">
        <f>vlookup(A429,Price!A:B,2,false)</f>
        <v>#N/A</v>
      </c>
      <c r="C429" s="198"/>
      <c r="D429" s="198"/>
      <c r="E429" s="198"/>
      <c r="F429" s="198"/>
      <c r="G429" s="198"/>
      <c r="H429" s="198"/>
      <c r="I429" s="198"/>
      <c r="J429" s="198"/>
      <c r="K429" s="198"/>
      <c r="L429" s="198"/>
    </row>
    <row r="430">
      <c r="A430" s="198"/>
      <c r="B430" s="208" t="str">
        <f>vlookup(A430,Price!A:B,2,false)</f>
        <v>#N/A</v>
      </c>
      <c r="C430" s="198"/>
      <c r="D430" s="198"/>
      <c r="E430" s="198"/>
      <c r="F430" s="198"/>
      <c r="G430" s="198"/>
      <c r="H430" s="198"/>
      <c r="I430" s="198"/>
      <c r="J430" s="198"/>
      <c r="K430" s="198"/>
      <c r="L430" s="198"/>
    </row>
    <row r="431">
      <c r="A431" s="198"/>
      <c r="B431" s="208" t="str">
        <f>vlookup(A431,Price!A:B,2,false)</f>
        <v>#N/A</v>
      </c>
      <c r="C431" s="198"/>
      <c r="D431" s="198"/>
      <c r="E431" s="198"/>
      <c r="F431" s="198"/>
      <c r="G431" s="198"/>
      <c r="H431" s="198"/>
      <c r="I431" s="198"/>
      <c r="J431" s="198"/>
      <c r="K431" s="198"/>
      <c r="L431" s="198"/>
    </row>
    <row r="432">
      <c r="A432" s="198"/>
      <c r="B432" s="208" t="str">
        <f>vlookup(A432,Price!A:B,2,false)</f>
        <v>#N/A</v>
      </c>
      <c r="C432" s="198"/>
      <c r="D432" s="198"/>
      <c r="E432" s="198"/>
      <c r="F432" s="198"/>
      <c r="G432" s="198"/>
      <c r="H432" s="198"/>
      <c r="I432" s="198"/>
      <c r="J432" s="198"/>
      <c r="K432" s="198"/>
      <c r="L432" s="198"/>
    </row>
    <row r="433">
      <c r="A433" s="198"/>
      <c r="B433" s="208" t="str">
        <f>vlookup(A433,Price!A:B,2,false)</f>
        <v>#N/A</v>
      </c>
      <c r="C433" s="198"/>
      <c r="D433" s="198"/>
      <c r="E433" s="198"/>
      <c r="F433" s="198"/>
      <c r="G433" s="198"/>
      <c r="H433" s="198"/>
      <c r="I433" s="198"/>
      <c r="J433" s="198"/>
      <c r="K433" s="198"/>
      <c r="L433" s="198"/>
    </row>
    <row r="434">
      <c r="A434" s="198"/>
      <c r="B434" s="208" t="str">
        <f>vlookup(A434,Price!A:B,2,false)</f>
        <v>#N/A</v>
      </c>
      <c r="C434" s="198"/>
      <c r="D434" s="198"/>
      <c r="E434" s="198"/>
      <c r="F434" s="198"/>
      <c r="G434" s="198"/>
      <c r="H434" s="198"/>
      <c r="I434" s="198"/>
      <c r="J434" s="198"/>
      <c r="K434" s="198"/>
      <c r="L434" s="198"/>
    </row>
    <row r="435">
      <c r="A435" s="198"/>
      <c r="B435" s="208" t="str">
        <f>vlookup(A435,Price!A:B,2,false)</f>
        <v>#N/A</v>
      </c>
      <c r="C435" s="198"/>
      <c r="D435" s="198"/>
      <c r="E435" s="198"/>
      <c r="F435" s="198"/>
      <c r="G435" s="198"/>
      <c r="H435" s="198"/>
      <c r="I435" s="198"/>
      <c r="J435" s="198"/>
      <c r="K435" s="198"/>
      <c r="L435" s="198"/>
    </row>
    <row r="436">
      <c r="A436" s="198"/>
      <c r="B436" s="208" t="str">
        <f>vlookup(A436,Price!A:B,2,false)</f>
        <v>#N/A</v>
      </c>
      <c r="C436" s="198"/>
      <c r="D436" s="198"/>
      <c r="E436" s="198"/>
      <c r="F436" s="198"/>
      <c r="G436" s="198"/>
      <c r="H436" s="198"/>
      <c r="I436" s="198"/>
      <c r="J436" s="198"/>
      <c r="K436" s="198"/>
      <c r="L436" s="198"/>
    </row>
    <row r="437">
      <c r="A437" s="198"/>
      <c r="B437" s="208" t="str">
        <f>vlookup(A437,Price!A:B,2,false)</f>
        <v>#N/A</v>
      </c>
      <c r="C437" s="198"/>
      <c r="D437" s="198"/>
      <c r="E437" s="198"/>
      <c r="F437" s="198"/>
      <c r="G437" s="198"/>
      <c r="H437" s="198"/>
      <c r="I437" s="198"/>
      <c r="J437" s="198"/>
      <c r="K437" s="198"/>
      <c r="L437" s="198"/>
    </row>
    <row r="438">
      <c r="A438" s="198"/>
      <c r="B438" s="208" t="str">
        <f>vlookup(A438,Price!A:B,2,false)</f>
        <v>#N/A</v>
      </c>
      <c r="C438" s="198"/>
      <c r="D438" s="198"/>
      <c r="E438" s="198"/>
      <c r="F438" s="198"/>
      <c r="G438" s="198"/>
      <c r="H438" s="198"/>
      <c r="I438" s="198"/>
      <c r="J438" s="198"/>
      <c r="K438" s="198"/>
      <c r="L438" s="198"/>
    </row>
    <row r="439">
      <c r="A439" s="198"/>
      <c r="B439" s="208" t="str">
        <f>vlookup(A439,Price!A:B,2,false)</f>
        <v>#N/A</v>
      </c>
      <c r="C439" s="198"/>
      <c r="D439" s="198"/>
      <c r="E439" s="198"/>
      <c r="F439" s="198"/>
      <c r="G439" s="198"/>
      <c r="H439" s="198"/>
      <c r="I439" s="198"/>
      <c r="J439" s="198"/>
      <c r="K439" s="198"/>
      <c r="L439" s="198"/>
    </row>
    <row r="440">
      <c r="A440" s="198"/>
      <c r="B440" s="208" t="str">
        <f>vlookup(A440,Price!A:B,2,false)</f>
        <v>#N/A</v>
      </c>
      <c r="C440" s="198"/>
      <c r="D440" s="198"/>
      <c r="E440" s="198"/>
      <c r="F440" s="198"/>
      <c r="G440" s="198"/>
      <c r="H440" s="198"/>
      <c r="I440" s="198"/>
      <c r="J440" s="198"/>
      <c r="K440" s="198"/>
      <c r="L440" s="198"/>
    </row>
    <row r="441">
      <c r="A441" s="198"/>
      <c r="B441" s="208" t="str">
        <f>vlookup(A441,Price!A:B,2,false)</f>
        <v>#N/A</v>
      </c>
      <c r="C441" s="198"/>
      <c r="D441" s="198"/>
      <c r="E441" s="198"/>
      <c r="F441" s="198"/>
      <c r="G441" s="198"/>
      <c r="H441" s="198"/>
      <c r="I441" s="198"/>
      <c r="J441" s="198"/>
      <c r="K441" s="198"/>
      <c r="L441" s="198"/>
    </row>
    <row r="442">
      <c r="A442" s="198"/>
      <c r="B442" s="208" t="str">
        <f>vlookup(A442,Price!A:B,2,false)</f>
        <v>#N/A</v>
      </c>
      <c r="C442" s="198"/>
      <c r="D442" s="198"/>
      <c r="E442" s="198"/>
      <c r="F442" s="198"/>
      <c r="G442" s="198"/>
      <c r="H442" s="198"/>
      <c r="I442" s="198"/>
      <c r="J442" s="198"/>
      <c r="K442" s="198"/>
      <c r="L442" s="198"/>
    </row>
    <row r="443">
      <c r="A443" s="198"/>
      <c r="B443" s="208" t="str">
        <f>vlookup(A443,Price!A:B,2,false)</f>
        <v>#N/A</v>
      </c>
      <c r="C443" s="198"/>
      <c r="D443" s="198"/>
      <c r="E443" s="198"/>
      <c r="F443" s="198"/>
      <c r="G443" s="198"/>
      <c r="H443" s="198"/>
      <c r="I443" s="198"/>
      <c r="J443" s="198"/>
      <c r="K443" s="198"/>
      <c r="L443" s="198"/>
    </row>
    <row r="444">
      <c r="A444" s="198"/>
      <c r="B444" s="208" t="str">
        <f>vlookup(A444,Price!A:B,2,false)</f>
        <v>#N/A</v>
      </c>
      <c r="C444" s="198"/>
      <c r="D444" s="198"/>
      <c r="E444" s="198"/>
      <c r="F444" s="198"/>
      <c r="G444" s="198"/>
      <c r="H444" s="198"/>
      <c r="I444" s="198"/>
      <c r="J444" s="198"/>
      <c r="K444" s="198"/>
      <c r="L444" s="198"/>
    </row>
    <row r="445">
      <c r="A445" s="198"/>
      <c r="B445" s="208" t="str">
        <f>vlookup(A445,Price!A:B,2,false)</f>
        <v>#N/A</v>
      </c>
      <c r="C445" s="198"/>
      <c r="D445" s="198"/>
      <c r="E445" s="198"/>
      <c r="F445" s="198"/>
      <c r="G445" s="198"/>
      <c r="H445" s="198"/>
      <c r="I445" s="198"/>
      <c r="J445" s="198"/>
      <c r="K445" s="198"/>
      <c r="L445" s="198"/>
    </row>
    <row r="446">
      <c r="A446" s="198"/>
      <c r="B446" s="208" t="str">
        <f>vlookup(A446,Price!A:B,2,false)</f>
        <v>#N/A</v>
      </c>
      <c r="C446" s="198"/>
      <c r="D446" s="198"/>
      <c r="E446" s="198"/>
      <c r="F446" s="198"/>
      <c r="G446" s="198"/>
      <c r="H446" s="198"/>
      <c r="I446" s="198"/>
      <c r="J446" s="198"/>
      <c r="K446" s="198"/>
      <c r="L446" s="198"/>
    </row>
    <row r="447">
      <c r="A447" s="198"/>
      <c r="B447" s="208" t="str">
        <f>vlookup(A447,Price!A:B,2,false)</f>
        <v>#N/A</v>
      </c>
      <c r="C447" s="198"/>
      <c r="D447" s="198"/>
      <c r="E447" s="198"/>
      <c r="F447" s="198"/>
      <c r="G447" s="198"/>
      <c r="H447" s="198"/>
      <c r="I447" s="198"/>
      <c r="J447" s="198"/>
      <c r="K447" s="198"/>
      <c r="L447" s="198"/>
    </row>
    <row r="448">
      <c r="A448" s="198"/>
      <c r="B448" s="208" t="str">
        <f>vlookup(A448,Price!A:B,2,false)</f>
        <v>#N/A</v>
      </c>
      <c r="C448" s="198"/>
      <c r="D448" s="198"/>
      <c r="E448" s="198"/>
      <c r="F448" s="198"/>
      <c r="G448" s="198"/>
      <c r="H448" s="198"/>
      <c r="I448" s="198"/>
      <c r="J448" s="198"/>
      <c r="K448" s="198"/>
      <c r="L448" s="198"/>
    </row>
    <row r="449">
      <c r="A449" s="198"/>
      <c r="B449" s="208" t="str">
        <f>vlookup(A449,Price!A:B,2,false)</f>
        <v>#N/A</v>
      </c>
      <c r="C449" s="198"/>
      <c r="D449" s="198"/>
      <c r="E449" s="198"/>
      <c r="F449" s="198"/>
      <c r="G449" s="198"/>
      <c r="H449" s="198"/>
      <c r="I449" s="198"/>
      <c r="J449" s="198"/>
      <c r="K449" s="198"/>
      <c r="L449" s="198"/>
    </row>
    <row r="450">
      <c r="A450" s="198"/>
      <c r="B450" s="208" t="str">
        <f>vlookup(A450,Price!A:B,2,false)</f>
        <v>#N/A</v>
      </c>
      <c r="C450" s="198"/>
      <c r="D450" s="198"/>
      <c r="E450" s="198"/>
      <c r="F450" s="198"/>
      <c r="G450" s="198"/>
      <c r="H450" s="198"/>
      <c r="I450" s="198"/>
      <c r="J450" s="198"/>
      <c r="K450" s="198"/>
      <c r="L450" s="198"/>
    </row>
    <row r="451">
      <c r="A451" s="198"/>
      <c r="B451" s="208" t="str">
        <f>vlookup(A451,Price!A:B,2,false)</f>
        <v>#N/A</v>
      </c>
      <c r="C451" s="198"/>
      <c r="D451" s="198"/>
      <c r="E451" s="198"/>
      <c r="F451" s="198"/>
      <c r="G451" s="198"/>
      <c r="H451" s="198"/>
      <c r="I451" s="198"/>
      <c r="J451" s="198"/>
      <c r="K451" s="198"/>
      <c r="L451" s="198"/>
    </row>
    <row r="452">
      <c r="A452" s="198"/>
      <c r="B452" s="208" t="str">
        <f>vlookup(A452,Price!A:B,2,false)</f>
        <v>#N/A</v>
      </c>
      <c r="C452" s="198"/>
      <c r="D452" s="198"/>
      <c r="E452" s="198"/>
      <c r="F452" s="198"/>
      <c r="G452" s="198"/>
      <c r="H452" s="198"/>
      <c r="I452" s="198"/>
      <c r="J452" s="198"/>
      <c r="K452" s="198"/>
      <c r="L452" s="198"/>
    </row>
    <row r="453">
      <c r="A453" s="198"/>
      <c r="B453" s="208" t="str">
        <f>vlookup(A453,Price!A:B,2,false)</f>
        <v>#N/A</v>
      </c>
      <c r="C453" s="198"/>
      <c r="D453" s="198"/>
      <c r="E453" s="198"/>
      <c r="F453" s="198"/>
      <c r="G453" s="198"/>
      <c r="H453" s="198"/>
      <c r="I453" s="198"/>
      <c r="J453" s="198"/>
      <c r="K453" s="198"/>
      <c r="L453" s="198"/>
    </row>
    <row r="454">
      <c r="A454" s="198"/>
      <c r="B454" s="208" t="str">
        <f>vlookup(A454,Price!A:B,2,false)</f>
        <v>#N/A</v>
      </c>
      <c r="C454" s="198"/>
      <c r="D454" s="198"/>
      <c r="E454" s="198"/>
      <c r="F454" s="198"/>
      <c r="G454" s="198"/>
      <c r="H454" s="198"/>
      <c r="I454" s="198"/>
      <c r="J454" s="198"/>
      <c r="K454" s="198"/>
      <c r="L454" s="198"/>
    </row>
    <row r="455">
      <c r="A455" s="198"/>
      <c r="B455" s="208" t="str">
        <f>vlookup(A455,Price!A:B,2,false)</f>
        <v>#N/A</v>
      </c>
      <c r="C455" s="198"/>
      <c r="D455" s="198"/>
      <c r="E455" s="198"/>
      <c r="F455" s="198"/>
      <c r="G455" s="198"/>
      <c r="H455" s="198"/>
      <c r="I455" s="198"/>
      <c r="J455" s="198"/>
      <c r="K455" s="198"/>
      <c r="L455" s="198"/>
    </row>
    <row r="456">
      <c r="A456" s="198"/>
      <c r="B456" s="208" t="str">
        <f>vlookup(A456,Price!A:B,2,false)</f>
        <v>#N/A</v>
      </c>
      <c r="C456" s="198"/>
      <c r="D456" s="198"/>
      <c r="E456" s="198"/>
      <c r="F456" s="198"/>
      <c r="G456" s="198"/>
      <c r="H456" s="198"/>
      <c r="I456" s="198"/>
      <c r="J456" s="198"/>
      <c r="K456" s="198"/>
      <c r="L456" s="198"/>
    </row>
    <row r="457">
      <c r="A457" s="198"/>
      <c r="B457" s="208" t="str">
        <f>vlookup(A457,Price!A:B,2,false)</f>
        <v>#N/A</v>
      </c>
      <c r="C457" s="198"/>
      <c r="D457" s="198"/>
      <c r="E457" s="198"/>
      <c r="F457" s="198"/>
      <c r="G457" s="198"/>
      <c r="H457" s="198"/>
      <c r="I457" s="198"/>
      <c r="J457" s="198"/>
      <c r="K457" s="198"/>
      <c r="L457" s="198"/>
    </row>
    <row r="458">
      <c r="A458" s="198"/>
      <c r="B458" s="208" t="str">
        <f>vlookup(A458,Price!A:B,2,false)</f>
        <v>#N/A</v>
      </c>
      <c r="C458" s="198"/>
      <c r="D458" s="198"/>
      <c r="E458" s="198"/>
      <c r="F458" s="198"/>
      <c r="G458" s="198"/>
      <c r="H458" s="198"/>
      <c r="I458" s="198"/>
      <c r="J458" s="198"/>
      <c r="K458" s="198"/>
      <c r="L458" s="198"/>
    </row>
    <row r="459">
      <c r="A459" s="198"/>
      <c r="B459" s="208" t="str">
        <f>vlookup(A459,Price!A:B,2,false)</f>
        <v>#N/A</v>
      </c>
      <c r="C459" s="198"/>
      <c r="D459" s="198"/>
      <c r="E459" s="198"/>
      <c r="F459" s="198"/>
      <c r="G459" s="198"/>
      <c r="H459" s="198"/>
      <c r="I459" s="198"/>
      <c r="J459" s="198"/>
      <c r="K459" s="198"/>
      <c r="L459" s="198"/>
    </row>
    <row r="460">
      <c r="A460" s="198"/>
      <c r="B460" s="208" t="str">
        <f>vlookup(A460,Price!A:B,2,false)</f>
        <v>#N/A</v>
      </c>
      <c r="C460" s="198"/>
      <c r="D460" s="198"/>
      <c r="E460" s="198"/>
      <c r="F460" s="198"/>
      <c r="G460" s="198"/>
      <c r="H460" s="198"/>
      <c r="I460" s="198"/>
      <c r="J460" s="198"/>
      <c r="K460" s="198"/>
      <c r="L460" s="198"/>
    </row>
    <row r="461">
      <c r="A461" s="198"/>
      <c r="B461" s="208" t="str">
        <f>vlookup(A461,Price!A:B,2,false)</f>
        <v>#N/A</v>
      </c>
      <c r="C461" s="198"/>
      <c r="D461" s="198"/>
      <c r="E461" s="198"/>
      <c r="F461" s="198"/>
      <c r="G461" s="198"/>
      <c r="H461" s="198"/>
      <c r="I461" s="198"/>
      <c r="J461" s="198"/>
      <c r="K461" s="198"/>
      <c r="L461" s="198"/>
    </row>
    <row r="462">
      <c r="A462" s="198"/>
      <c r="B462" s="208" t="str">
        <f>vlookup(A462,Price!A:B,2,false)</f>
        <v>#N/A</v>
      </c>
      <c r="C462" s="198"/>
      <c r="D462" s="198"/>
      <c r="E462" s="198"/>
      <c r="F462" s="198"/>
      <c r="G462" s="198"/>
      <c r="H462" s="198"/>
      <c r="I462" s="198"/>
      <c r="J462" s="198"/>
      <c r="K462" s="198"/>
      <c r="L462" s="198"/>
    </row>
    <row r="463">
      <c r="A463" s="198"/>
      <c r="B463" s="208" t="str">
        <f>vlookup(A463,Price!A:B,2,false)</f>
        <v>#N/A</v>
      </c>
      <c r="C463" s="198"/>
      <c r="D463" s="198"/>
      <c r="E463" s="198"/>
      <c r="F463" s="198"/>
      <c r="G463" s="198"/>
      <c r="H463" s="198"/>
      <c r="I463" s="198"/>
      <c r="J463" s="198"/>
      <c r="K463" s="198"/>
      <c r="L463" s="198"/>
    </row>
    <row r="464">
      <c r="A464" s="198"/>
      <c r="B464" s="208" t="str">
        <f>vlookup(A464,Price!A:B,2,false)</f>
        <v>#N/A</v>
      </c>
      <c r="C464" s="198"/>
      <c r="D464" s="198"/>
      <c r="E464" s="198"/>
      <c r="F464" s="198"/>
      <c r="G464" s="198"/>
      <c r="H464" s="198"/>
      <c r="I464" s="198"/>
      <c r="J464" s="198"/>
      <c r="K464" s="198"/>
      <c r="L464" s="198"/>
    </row>
    <row r="465">
      <c r="A465" s="198"/>
      <c r="B465" s="208" t="str">
        <f>vlookup(A465,Price!A:B,2,false)</f>
        <v>#N/A</v>
      </c>
      <c r="C465" s="198"/>
      <c r="D465" s="198"/>
      <c r="E465" s="198"/>
      <c r="F465" s="198"/>
      <c r="G465" s="198"/>
      <c r="H465" s="198"/>
      <c r="I465" s="198"/>
      <c r="J465" s="198"/>
      <c r="K465" s="198"/>
      <c r="L465" s="198"/>
    </row>
    <row r="466">
      <c r="A466" s="198"/>
      <c r="B466" s="208" t="str">
        <f>vlookup(A466,Price!A:B,2,false)</f>
        <v>#N/A</v>
      </c>
      <c r="C466" s="198"/>
      <c r="D466" s="198"/>
      <c r="E466" s="198"/>
      <c r="F466" s="198"/>
      <c r="G466" s="198"/>
      <c r="H466" s="198"/>
      <c r="I466" s="198"/>
      <c r="J466" s="198"/>
      <c r="K466" s="198"/>
      <c r="L466" s="198"/>
    </row>
    <row r="467">
      <c r="A467" s="198"/>
      <c r="B467" s="208" t="str">
        <f>vlookup(A467,Price!A:B,2,false)</f>
        <v>#N/A</v>
      </c>
      <c r="C467" s="198"/>
      <c r="D467" s="198"/>
      <c r="E467" s="198"/>
      <c r="F467" s="198"/>
      <c r="G467" s="198"/>
      <c r="H467" s="198"/>
      <c r="I467" s="198"/>
      <c r="J467" s="198"/>
      <c r="K467" s="198"/>
      <c r="L467" s="198"/>
    </row>
    <row r="468">
      <c r="A468" s="198"/>
      <c r="B468" s="208" t="str">
        <f>vlookup(A468,Price!A:B,2,false)</f>
        <v>#N/A</v>
      </c>
      <c r="C468" s="198"/>
      <c r="D468" s="198"/>
      <c r="E468" s="198"/>
      <c r="F468" s="198"/>
      <c r="G468" s="198"/>
      <c r="H468" s="198"/>
      <c r="I468" s="198"/>
      <c r="J468" s="198"/>
      <c r="K468" s="198"/>
      <c r="L468" s="198"/>
    </row>
    <row r="469">
      <c r="A469" s="198"/>
      <c r="B469" s="208" t="str">
        <f>vlookup(A469,Price!A:B,2,false)</f>
        <v>#N/A</v>
      </c>
      <c r="C469" s="198"/>
      <c r="D469" s="198"/>
      <c r="E469" s="198"/>
      <c r="F469" s="198"/>
      <c r="G469" s="198"/>
      <c r="H469" s="198"/>
      <c r="I469" s="198"/>
      <c r="J469" s="198"/>
      <c r="K469" s="198"/>
      <c r="L469" s="198"/>
    </row>
    <row r="470">
      <c r="A470" s="198"/>
      <c r="B470" s="208" t="str">
        <f>vlookup(A470,Price!A:B,2,false)</f>
        <v>#N/A</v>
      </c>
      <c r="C470" s="198"/>
      <c r="D470" s="198"/>
      <c r="E470" s="198"/>
      <c r="F470" s="198"/>
      <c r="G470" s="198"/>
      <c r="H470" s="198"/>
      <c r="I470" s="198"/>
      <c r="J470" s="198"/>
      <c r="K470" s="198"/>
      <c r="L470" s="198"/>
    </row>
    <row r="471">
      <c r="A471" s="198"/>
      <c r="B471" s="208" t="str">
        <f>vlookup(A471,Price!A:B,2,false)</f>
        <v>#N/A</v>
      </c>
      <c r="C471" s="198"/>
      <c r="D471" s="198"/>
      <c r="E471" s="198"/>
      <c r="F471" s="198"/>
      <c r="G471" s="198"/>
      <c r="H471" s="198"/>
      <c r="I471" s="198"/>
      <c r="J471" s="198"/>
      <c r="K471" s="198"/>
      <c r="L471" s="198"/>
    </row>
    <row r="472">
      <c r="A472" s="198"/>
      <c r="B472" s="208" t="str">
        <f>vlookup(A472,Price!A:B,2,false)</f>
        <v>#N/A</v>
      </c>
      <c r="C472" s="198"/>
      <c r="D472" s="198"/>
      <c r="E472" s="198"/>
      <c r="F472" s="198"/>
      <c r="G472" s="198"/>
      <c r="H472" s="198"/>
      <c r="I472" s="198"/>
      <c r="J472" s="198"/>
      <c r="K472" s="198"/>
      <c r="L472" s="198"/>
    </row>
    <row r="473">
      <c r="A473" s="198"/>
      <c r="B473" s="208" t="str">
        <f>vlookup(A473,Price!A:B,2,false)</f>
        <v>#N/A</v>
      </c>
      <c r="C473" s="198"/>
      <c r="D473" s="198"/>
      <c r="E473" s="198"/>
      <c r="F473" s="198"/>
      <c r="G473" s="198"/>
      <c r="H473" s="198"/>
      <c r="I473" s="198"/>
      <c r="J473" s="198"/>
      <c r="K473" s="198"/>
      <c r="L473" s="198"/>
    </row>
    <row r="474">
      <c r="A474" s="198"/>
      <c r="B474" s="208" t="str">
        <f>vlookup(A474,Price!A:B,2,false)</f>
        <v>#N/A</v>
      </c>
      <c r="C474" s="198"/>
      <c r="D474" s="198"/>
      <c r="E474" s="198"/>
      <c r="F474" s="198"/>
      <c r="G474" s="198"/>
      <c r="H474" s="198"/>
      <c r="I474" s="198"/>
      <c r="J474" s="198"/>
      <c r="K474" s="198"/>
      <c r="L474" s="198"/>
    </row>
    <row r="475">
      <c r="A475" s="198"/>
      <c r="B475" s="208" t="str">
        <f>vlookup(A475,Price!A:B,2,false)</f>
        <v>#N/A</v>
      </c>
      <c r="C475" s="198"/>
      <c r="D475" s="198"/>
      <c r="E475" s="198"/>
      <c r="F475" s="198"/>
      <c r="G475" s="198"/>
      <c r="H475" s="198"/>
      <c r="I475" s="198"/>
      <c r="J475" s="198"/>
      <c r="K475" s="198"/>
      <c r="L475" s="198"/>
    </row>
    <row r="476">
      <c r="A476" s="198"/>
      <c r="B476" s="208" t="str">
        <f>vlookup(A476,Price!A:B,2,false)</f>
        <v>#N/A</v>
      </c>
      <c r="C476" s="198"/>
      <c r="D476" s="198"/>
      <c r="E476" s="198"/>
      <c r="F476" s="198"/>
      <c r="G476" s="198"/>
      <c r="H476" s="198"/>
      <c r="I476" s="198"/>
      <c r="J476" s="198"/>
      <c r="K476" s="198"/>
      <c r="L476" s="198"/>
    </row>
    <row r="477">
      <c r="A477" s="198"/>
      <c r="B477" s="208" t="str">
        <f>vlookup(A477,Price!A:B,2,false)</f>
        <v>#N/A</v>
      </c>
      <c r="C477" s="198"/>
      <c r="D477" s="198"/>
      <c r="E477" s="198"/>
      <c r="F477" s="198"/>
      <c r="G477" s="198"/>
      <c r="H477" s="198"/>
      <c r="I477" s="198"/>
      <c r="J477" s="198"/>
      <c r="K477" s="198"/>
      <c r="L477" s="198"/>
    </row>
    <row r="478">
      <c r="A478" s="198"/>
      <c r="B478" s="208" t="str">
        <f>vlookup(A478,Price!A:B,2,false)</f>
        <v>#N/A</v>
      </c>
      <c r="C478" s="198"/>
      <c r="D478" s="198"/>
      <c r="E478" s="198"/>
      <c r="F478" s="198"/>
      <c r="G478" s="198"/>
      <c r="H478" s="198"/>
      <c r="I478" s="198"/>
      <c r="J478" s="198"/>
      <c r="K478" s="198"/>
      <c r="L478" s="198"/>
    </row>
    <row r="479">
      <c r="A479" s="198"/>
      <c r="B479" s="208" t="str">
        <f>vlookup(A479,Price!A:B,2,false)</f>
        <v>#N/A</v>
      </c>
      <c r="C479" s="198"/>
      <c r="D479" s="198"/>
      <c r="E479" s="198"/>
      <c r="F479" s="198"/>
      <c r="G479" s="198"/>
      <c r="H479" s="198"/>
      <c r="I479" s="198"/>
      <c r="J479" s="198"/>
      <c r="K479" s="198"/>
      <c r="L479" s="198"/>
    </row>
    <row r="480">
      <c r="A480" s="198"/>
      <c r="B480" s="208" t="str">
        <f>vlookup(A480,Price!A:B,2,false)</f>
        <v>#N/A</v>
      </c>
      <c r="C480" s="198"/>
      <c r="D480" s="198"/>
      <c r="E480" s="198"/>
      <c r="F480" s="198"/>
      <c r="G480" s="198"/>
      <c r="H480" s="198"/>
      <c r="I480" s="198"/>
      <c r="J480" s="198"/>
      <c r="K480" s="198"/>
      <c r="L480" s="198"/>
    </row>
    <row r="481">
      <c r="A481" s="198"/>
      <c r="B481" s="208" t="str">
        <f>vlookup(A481,Price!A:B,2,false)</f>
        <v>#N/A</v>
      </c>
      <c r="C481" s="198"/>
      <c r="D481" s="198"/>
      <c r="E481" s="198"/>
      <c r="F481" s="198"/>
      <c r="G481" s="198"/>
      <c r="H481" s="198"/>
      <c r="I481" s="198"/>
      <c r="J481" s="198"/>
      <c r="K481" s="198"/>
      <c r="L481" s="198"/>
    </row>
    <row r="482">
      <c r="A482" s="198"/>
      <c r="B482" s="208" t="str">
        <f>vlookup(A482,Price!A:B,2,false)</f>
        <v>#N/A</v>
      </c>
      <c r="C482" s="198"/>
      <c r="D482" s="198"/>
      <c r="E482" s="198"/>
      <c r="F482" s="198"/>
      <c r="G482" s="198"/>
      <c r="H482" s="198"/>
      <c r="I482" s="198"/>
      <c r="J482" s="198"/>
      <c r="K482" s="198"/>
      <c r="L482" s="198"/>
    </row>
    <row r="483">
      <c r="A483" s="198"/>
      <c r="B483" s="208" t="str">
        <f>vlookup(A483,Price!A:B,2,false)</f>
        <v>#N/A</v>
      </c>
      <c r="C483" s="198"/>
      <c r="D483" s="198"/>
      <c r="E483" s="198"/>
      <c r="F483" s="198"/>
      <c r="G483" s="198"/>
      <c r="H483" s="198"/>
      <c r="I483" s="198"/>
      <c r="J483" s="198"/>
      <c r="K483" s="198"/>
      <c r="L483" s="198"/>
    </row>
    <row r="484">
      <c r="A484" s="198"/>
      <c r="B484" s="208" t="str">
        <f>vlookup(A484,Price!A:B,2,false)</f>
        <v>#N/A</v>
      </c>
      <c r="C484" s="198"/>
      <c r="D484" s="198"/>
      <c r="E484" s="198"/>
      <c r="F484" s="198"/>
      <c r="G484" s="198"/>
      <c r="H484" s="198"/>
      <c r="I484" s="198"/>
      <c r="J484" s="198"/>
      <c r="K484" s="198"/>
      <c r="L484" s="198"/>
    </row>
    <row r="485">
      <c r="A485" s="198"/>
      <c r="B485" s="208" t="str">
        <f>vlookup(A485,Price!A:B,2,false)</f>
        <v>#N/A</v>
      </c>
      <c r="C485" s="198"/>
      <c r="D485" s="198"/>
      <c r="E485" s="198"/>
      <c r="F485" s="198"/>
      <c r="G485" s="198"/>
      <c r="H485" s="198"/>
      <c r="I485" s="198"/>
      <c r="J485" s="198"/>
      <c r="K485" s="198"/>
      <c r="L485" s="198"/>
    </row>
    <row r="486">
      <c r="A486" s="198"/>
      <c r="B486" s="208" t="str">
        <f>vlookup(A486,Price!A:B,2,false)</f>
        <v>#N/A</v>
      </c>
      <c r="C486" s="198"/>
      <c r="D486" s="198"/>
      <c r="E486" s="198"/>
      <c r="F486" s="198"/>
      <c r="G486" s="198"/>
      <c r="H486" s="198"/>
      <c r="I486" s="198"/>
      <c r="J486" s="198"/>
      <c r="K486" s="198"/>
      <c r="L486" s="198"/>
    </row>
    <row r="487">
      <c r="A487" s="198"/>
      <c r="B487" s="208" t="str">
        <f>vlookup(A487,Price!A:B,2,false)</f>
        <v>#N/A</v>
      </c>
      <c r="C487" s="198"/>
      <c r="D487" s="198"/>
      <c r="E487" s="198"/>
      <c r="F487" s="198"/>
      <c r="G487" s="198"/>
      <c r="H487" s="198"/>
      <c r="I487" s="198"/>
      <c r="J487" s="198"/>
      <c r="K487" s="198"/>
      <c r="L487" s="198"/>
    </row>
    <row r="488">
      <c r="A488" s="198"/>
      <c r="B488" s="208" t="str">
        <f>vlookup(A488,Price!A:B,2,false)</f>
        <v>#N/A</v>
      </c>
      <c r="C488" s="198"/>
      <c r="D488" s="198"/>
      <c r="E488" s="198"/>
      <c r="F488" s="198"/>
      <c r="G488" s="198"/>
      <c r="H488" s="198"/>
      <c r="I488" s="198"/>
      <c r="J488" s="198"/>
      <c r="K488" s="198"/>
      <c r="L488" s="198"/>
    </row>
    <row r="489">
      <c r="A489" s="198"/>
      <c r="B489" s="208" t="str">
        <f>vlookup(A489,Price!A:B,2,false)</f>
        <v>#N/A</v>
      </c>
      <c r="C489" s="198"/>
      <c r="D489" s="198"/>
      <c r="E489" s="198"/>
      <c r="F489" s="198"/>
      <c r="G489" s="198"/>
      <c r="H489" s="198"/>
      <c r="I489" s="198"/>
      <c r="J489" s="198"/>
      <c r="K489" s="198"/>
      <c r="L489" s="198"/>
    </row>
    <row r="490">
      <c r="A490" s="198"/>
      <c r="B490" s="208" t="str">
        <f>vlookup(A490,Price!A:B,2,false)</f>
        <v>#N/A</v>
      </c>
      <c r="C490" s="198"/>
      <c r="D490" s="198"/>
      <c r="E490" s="198"/>
      <c r="F490" s="198"/>
      <c r="G490" s="198"/>
      <c r="H490" s="198"/>
      <c r="I490" s="198"/>
      <c r="J490" s="198"/>
      <c r="K490" s="198"/>
      <c r="L490" s="198"/>
    </row>
    <row r="491">
      <c r="A491" s="198"/>
      <c r="B491" s="208" t="str">
        <f>vlookup(A491,Price!A:B,2,false)</f>
        <v>#N/A</v>
      </c>
      <c r="C491" s="198"/>
      <c r="D491" s="198"/>
      <c r="E491" s="198"/>
      <c r="F491" s="198"/>
      <c r="G491" s="198"/>
      <c r="H491" s="198"/>
      <c r="I491" s="198"/>
      <c r="J491" s="198"/>
      <c r="K491" s="198"/>
      <c r="L491" s="198"/>
    </row>
    <row r="492">
      <c r="A492" s="198"/>
      <c r="B492" s="208" t="str">
        <f>vlookup(A492,Price!A:B,2,false)</f>
        <v>#N/A</v>
      </c>
      <c r="C492" s="198"/>
      <c r="D492" s="198"/>
      <c r="E492" s="198"/>
      <c r="F492" s="198"/>
      <c r="G492" s="198"/>
      <c r="H492" s="198"/>
      <c r="I492" s="198"/>
      <c r="J492" s="198"/>
      <c r="K492" s="198"/>
      <c r="L492" s="198"/>
    </row>
    <row r="493">
      <c r="A493" s="198"/>
      <c r="B493" s="208" t="str">
        <f>vlookup(A493,Price!A:B,2,false)</f>
        <v>#N/A</v>
      </c>
      <c r="C493" s="198"/>
      <c r="D493" s="198"/>
      <c r="E493" s="198"/>
      <c r="F493" s="198"/>
      <c r="G493" s="198"/>
      <c r="H493" s="198"/>
      <c r="I493" s="198"/>
      <c r="J493" s="198"/>
      <c r="K493" s="198"/>
      <c r="L493" s="198"/>
    </row>
    <row r="494">
      <c r="A494" s="198"/>
      <c r="B494" s="208" t="str">
        <f>vlookup(A494,Price!A:B,2,false)</f>
        <v>#N/A</v>
      </c>
      <c r="C494" s="198"/>
      <c r="D494" s="198"/>
      <c r="E494" s="198"/>
      <c r="F494" s="198"/>
      <c r="G494" s="198"/>
      <c r="H494" s="198"/>
      <c r="I494" s="198"/>
      <c r="J494" s="198"/>
      <c r="K494" s="198"/>
      <c r="L494" s="198"/>
    </row>
    <row r="495">
      <c r="A495" s="198"/>
      <c r="B495" s="208" t="str">
        <f>vlookup(A495,Price!A:B,2,false)</f>
        <v>#N/A</v>
      </c>
      <c r="C495" s="198"/>
      <c r="D495" s="198"/>
      <c r="E495" s="198"/>
      <c r="F495" s="198"/>
      <c r="G495" s="198"/>
      <c r="H495" s="198"/>
      <c r="I495" s="198"/>
      <c r="J495" s="198"/>
      <c r="K495" s="198"/>
      <c r="L495" s="198"/>
    </row>
    <row r="496">
      <c r="A496" s="198"/>
      <c r="B496" s="208" t="str">
        <f>vlookup(A496,Price!A:B,2,false)</f>
        <v>#N/A</v>
      </c>
      <c r="C496" s="198"/>
      <c r="D496" s="198"/>
      <c r="E496" s="198"/>
      <c r="F496" s="198"/>
      <c r="G496" s="198"/>
      <c r="H496" s="198"/>
      <c r="I496" s="198"/>
      <c r="J496" s="198"/>
      <c r="K496" s="198"/>
      <c r="L496" s="198"/>
    </row>
    <row r="497">
      <c r="A497" s="198"/>
      <c r="B497" s="208" t="str">
        <f>vlookup(A497,Price!A:B,2,false)</f>
        <v>#N/A</v>
      </c>
      <c r="C497" s="198"/>
      <c r="D497" s="198"/>
      <c r="E497" s="198"/>
      <c r="F497" s="198"/>
      <c r="G497" s="198"/>
      <c r="H497" s="198"/>
      <c r="I497" s="198"/>
      <c r="J497" s="198"/>
      <c r="K497" s="198"/>
      <c r="L497" s="198"/>
    </row>
    <row r="498">
      <c r="A498" s="198"/>
      <c r="B498" s="208" t="str">
        <f>vlookup(A498,Price!A:B,2,false)</f>
        <v>#N/A</v>
      </c>
      <c r="C498" s="198"/>
      <c r="D498" s="198"/>
      <c r="E498" s="198"/>
      <c r="F498" s="198"/>
      <c r="G498" s="198"/>
      <c r="H498" s="198"/>
      <c r="I498" s="198"/>
      <c r="J498" s="198"/>
      <c r="K498" s="198"/>
      <c r="L498" s="198"/>
    </row>
    <row r="499">
      <c r="A499" s="198"/>
      <c r="B499" s="208" t="str">
        <f>vlookup(A499,Price!A:B,2,false)</f>
        <v>#N/A</v>
      </c>
      <c r="C499" s="198"/>
      <c r="D499" s="198"/>
      <c r="E499" s="198"/>
      <c r="F499" s="198"/>
      <c r="G499" s="198"/>
      <c r="H499" s="198"/>
      <c r="I499" s="198"/>
      <c r="J499" s="198"/>
      <c r="K499" s="198"/>
      <c r="L499" s="198"/>
    </row>
    <row r="500">
      <c r="A500" s="198"/>
      <c r="B500" s="208" t="str">
        <f>vlookup(A500,Price!A:B,2,false)</f>
        <v>#N/A</v>
      </c>
      <c r="C500" s="198"/>
      <c r="D500" s="198"/>
      <c r="E500" s="198"/>
      <c r="F500" s="198"/>
      <c r="G500" s="198"/>
      <c r="H500" s="198"/>
      <c r="I500" s="198"/>
      <c r="J500" s="198"/>
      <c r="K500" s="198"/>
      <c r="L500" s="198"/>
    </row>
    <row r="501">
      <c r="A501" s="198"/>
      <c r="B501" s="208" t="str">
        <f>vlookup(A501,Price!A:B,2,false)</f>
        <v>#N/A</v>
      </c>
      <c r="C501" s="198"/>
      <c r="D501" s="198"/>
      <c r="E501" s="198"/>
      <c r="F501" s="198"/>
      <c r="G501" s="198"/>
      <c r="H501" s="198"/>
      <c r="I501" s="198"/>
      <c r="J501" s="198"/>
      <c r="K501" s="198"/>
      <c r="L501" s="198"/>
    </row>
    <row r="502">
      <c r="A502" s="198"/>
      <c r="B502" s="208" t="str">
        <f>vlookup(A502,Price!A:B,2,false)</f>
        <v>#N/A</v>
      </c>
      <c r="C502" s="198"/>
      <c r="D502" s="198"/>
      <c r="E502" s="198"/>
      <c r="F502" s="198"/>
      <c r="G502" s="198"/>
      <c r="H502" s="198"/>
      <c r="I502" s="198"/>
      <c r="J502" s="198"/>
      <c r="K502" s="198"/>
      <c r="L502" s="198"/>
    </row>
    <row r="503">
      <c r="A503" s="198"/>
      <c r="B503" s="208" t="str">
        <f>vlookup(A503,Price!A:B,2,false)</f>
        <v>#N/A</v>
      </c>
      <c r="C503" s="198"/>
      <c r="D503" s="198"/>
      <c r="E503" s="198"/>
      <c r="F503" s="198"/>
      <c r="G503" s="198"/>
      <c r="H503" s="198"/>
      <c r="I503" s="198"/>
      <c r="J503" s="198"/>
      <c r="K503" s="198"/>
      <c r="L503" s="198"/>
    </row>
    <row r="504">
      <c r="A504" s="198"/>
      <c r="B504" s="208" t="str">
        <f>vlookup(A504,Price!A:B,2,false)</f>
        <v>#N/A</v>
      </c>
      <c r="C504" s="198"/>
      <c r="D504" s="198"/>
      <c r="E504" s="198"/>
      <c r="F504" s="198"/>
      <c r="G504" s="198"/>
      <c r="H504" s="198"/>
      <c r="I504" s="198"/>
      <c r="J504" s="198"/>
      <c r="K504" s="198"/>
      <c r="L504" s="198"/>
    </row>
    <row r="505">
      <c r="A505" s="198"/>
      <c r="B505" s="208" t="str">
        <f>vlookup(A505,Price!A:B,2,false)</f>
        <v>#N/A</v>
      </c>
      <c r="C505" s="198"/>
      <c r="D505" s="198"/>
      <c r="E505" s="198"/>
      <c r="F505" s="198"/>
      <c r="G505" s="198"/>
      <c r="H505" s="198"/>
      <c r="I505" s="198"/>
      <c r="J505" s="198"/>
      <c r="K505" s="198"/>
      <c r="L505" s="198"/>
    </row>
    <row r="506">
      <c r="A506" s="198"/>
      <c r="B506" s="208" t="str">
        <f>vlookup(A506,Price!A:B,2,false)</f>
        <v>#N/A</v>
      </c>
      <c r="C506" s="198"/>
      <c r="D506" s="198"/>
      <c r="E506" s="198"/>
      <c r="F506" s="198"/>
      <c r="G506" s="198"/>
      <c r="H506" s="198"/>
      <c r="I506" s="198"/>
      <c r="J506" s="198"/>
      <c r="K506" s="198"/>
      <c r="L506" s="198"/>
    </row>
    <row r="507">
      <c r="A507" s="198"/>
      <c r="B507" s="208" t="str">
        <f>vlookup(A507,Price!A:B,2,false)</f>
        <v>#N/A</v>
      </c>
      <c r="C507" s="198"/>
      <c r="D507" s="198"/>
      <c r="E507" s="198"/>
      <c r="F507" s="198"/>
      <c r="G507" s="198"/>
      <c r="H507" s="198"/>
      <c r="I507" s="198"/>
      <c r="J507" s="198"/>
      <c r="K507" s="198"/>
      <c r="L507" s="198"/>
    </row>
    <row r="508">
      <c r="A508" s="198"/>
      <c r="B508" s="208" t="str">
        <f>vlookup(A508,Price!A:B,2,false)</f>
        <v>#N/A</v>
      </c>
      <c r="C508" s="198"/>
      <c r="D508" s="198"/>
      <c r="E508" s="198"/>
      <c r="F508" s="198"/>
      <c r="G508" s="198"/>
      <c r="H508" s="198"/>
      <c r="I508" s="198"/>
      <c r="J508" s="198"/>
      <c r="K508" s="198"/>
      <c r="L508" s="198"/>
    </row>
    <row r="509">
      <c r="A509" s="198"/>
      <c r="B509" s="208" t="str">
        <f>vlookup(A509,Price!A:B,2,false)</f>
        <v>#N/A</v>
      </c>
      <c r="C509" s="198"/>
      <c r="D509" s="198"/>
      <c r="E509" s="198"/>
      <c r="F509" s="198"/>
      <c r="G509" s="198"/>
      <c r="H509" s="198"/>
      <c r="I509" s="198"/>
      <c r="J509" s="198"/>
      <c r="K509" s="198"/>
      <c r="L509" s="198"/>
    </row>
    <row r="510">
      <c r="A510" s="198"/>
      <c r="B510" s="208" t="str">
        <f>vlookup(A510,Price!A:B,2,false)</f>
        <v>#N/A</v>
      </c>
      <c r="C510" s="198"/>
      <c r="D510" s="198"/>
      <c r="E510" s="198"/>
      <c r="F510" s="198"/>
      <c r="G510" s="198"/>
      <c r="H510" s="198"/>
      <c r="I510" s="198"/>
      <c r="J510" s="198"/>
      <c r="K510" s="198"/>
      <c r="L510" s="198"/>
    </row>
    <row r="511">
      <c r="A511" s="198"/>
      <c r="B511" s="208" t="str">
        <f>vlookup(A511,Price!A:B,2,false)</f>
        <v>#N/A</v>
      </c>
      <c r="C511" s="198"/>
      <c r="D511" s="198"/>
      <c r="E511" s="198"/>
      <c r="F511" s="198"/>
      <c r="G511" s="198"/>
      <c r="H511" s="198"/>
      <c r="I511" s="198"/>
      <c r="J511" s="198"/>
      <c r="K511" s="198"/>
      <c r="L511" s="198"/>
    </row>
    <row r="512">
      <c r="A512" s="198"/>
      <c r="B512" s="208" t="str">
        <f>vlookup(A512,Price!A:B,2,false)</f>
        <v>#N/A</v>
      </c>
      <c r="C512" s="198"/>
      <c r="D512" s="198"/>
      <c r="E512" s="198"/>
      <c r="F512" s="198"/>
      <c r="G512" s="198"/>
      <c r="H512" s="198"/>
      <c r="I512" s="198"/>
      <c r="J512" s="198"/>
      <c r="K512" s="198"/>
      <c r="L512" s="198"/>
    </row>
    <row r="513">
      <c r="A513" s="198"/>
      <c r="B513" s="208" t="str">
        <f>vlookup(A513,Price!A:B,2,false)</f>
        <v>#N/A</v>
      </c>
      <c r="C513" s="198"/>
      <c r="D513" s="198"/>
      <c r="E513" s="198"/>
      <c r="F513" s="198"/>
      <c r="G513" s="198"/>
      <c r="H513" s="198"/>
      <c r="I513" s="198"/>
      <c r="J513" s="198"/>
      <c r="K513" s="198"/>
      <c r="L513" s="198"/>
    </row>
    <row r="514">
      <c r="A514" s="198"/>
      <c r="B514" s="208" t="str">
        <f>vlookup(A514,Price!A:B,2,false)</f>
        <v>#N/A</v>
      </c>
      <c r="C514" s="198"/>
      <c r="D514" s="198"/>
      <c r="E514" s="198"/>
      <c r="F514" s="198"/>
      <c r="G514" s="198"/>
      <c r="H514" s="198"/>
      <c r="I514" s="198"/>
      <c r="J514" s="198"/>
      <c r="K514" s="198"/>
      <c r="L514" s="198"/>
    </row>
    <row r="515">
      <c r="A515" s="198"/>
      <c r="B515" s="208" t="str">
        <f>vlookup(A515,Price!A:B,2,false)</f>
        <v>#N/A</v>
      </c>
      <c r="C515" s="198"/>
      <c r="D515" s="198"/>
      <c r="E515" s="198"/>
      <c r="F515" s="198"/>
      <c r="G515" s="198"/>
      <c r="H515" s="198"/>
      <c r="I515" s="198"/>
      <c r="J515" s="198"/>
      <c r="K515" s="198"/>
      <c r="L515" s="198"/>
    </row>
    <row r="516">
      <c r="A516" s="198"/>
      <c r="B516" s="208" t="str">
        <f>vlookup(A516,Price!A:B,2,false)</f>
        <v>#N/A</v>
      </c>
      <c r="C516" s="198"/>
      <c r="D516" s="198"/>
      <c r="E516" s="198"/>
      <c r="F516" s="198"/>
      <c r="G516" s="198"/>
      <c r="H516" s="198"/>
      <c r="I516" s="198"/>
      <c r="J516" s="198"/>
      <c r="K516" s="198"/>
      <c r="L516" s="198"/>
    </row>
    <row r="517">
      <c r="A517" s="198"/>
      <c r="B517" s="208" t="str">
        <f>vlookup(A517,Price!A:B,2,false)</f>
        <v>#N/A</v>
      </c>
      <c r="C517" s="198"/>
      <c r="D517" s="198"/>
      <c r="E517" s="198"/>
      <c r="F517" s="198"/>
      <c r="G517" s="198"/>
      <c r="H517" s="198"/>
      <c r="I517" s="198"/>
      <c r="J517" s="198"/>
      <c r="K517" s="198"/>
      <c r="L517" s="198"/>
    </row>
    <row r="518">
      <c r="A518" s="198"/>
      <c r="B518" s="208" t="str">
        <f>vlookup(A518,Price!A:B,2,false)</f>
        <v>#N/A</v>
      </c>
      <c r="C518" s="198"/>
      <c r="D518" s="198"/>
      <c r="E518" s="198"/>
      <c r="F518" s="198"/>
      <c r="G518" s="198"/>
      <c r="H518" s="198"/>
      <c r="I518" s="198"/>
      <c r="J518" s="198"/>
      <c r="K518" s="198"/>
      <c r="L518" s="198"/>
    </row>
    <row r="519">
      <c r="A519" s="198"/>
      <c r="B519" s="208" t="str">
        <f>vlookup(A519,Price!A:B,2,false)</f>
        <v>#N/A</v>
      </c>
      <c r="C519" s="198"/>
      <c r="D519" s="198"/>
      <c r="E519" s="198"/>
      <c r="F519" s="198"/>
      <c r="G519" s="198"/>
      <c r="H519" s="198"/>
      <c r="I519" s="198"/>
      <c r="J519" s="198"/>
      <c r="K519" s="198"/>
      <c r="L519" s="198"/>
    </row>
    <row r="520">
      <c r="A520" s="198"/>
      <c r="B520" s="208" t="str">
        <f>vlookup(A520,Price!A:B,2,false)</f>
        <v>#N/A</v>
      </c>
      <c r="C520" s="198"/>
      <c r="D520" s="198"/>
      <c r="E520" s="198"/>
      <c r="F520" s="198"/>
      <c r="G520" s="198"/>
      <c r="H520" s="198"/>
      <c r="I520" s="198"/>
      <c r="J520" s="198"/>
      <c r="K520" s="198"/>
      <c r="L520" s="198"/>
    </row>
    <row r="521">
      <c r="A521" s="198"/>
      <c r="B521" s="208" t="str">
        <f>vlookup(A521,Price!A:B,2,false)</f>
        <v>#N/A</v>
      </c>
      <c r="C521" s="198"/>
      <c r="D521" s="198"/>
      <c r="E521" s="198"/>
      <c r="F521" s="198"/>
      <c r="G521" s="198"/>
      <c r="H521" s="198"/>
      <c r="I521" s="198"/>
      <c r="J521" s="198"/>
      <c r="K521" s="198"/>
      <c r="L521" s="198"/>
    </row>
    <row r="522">
      <c r="A522" s="198"/>
      <c r="B522" s="208" t="str">
        <f>vlookup(A522,Price!A:B,2,false)</f>
        <v>#N/A</v>
      </c>
      <c r="C522" s="198"/>
      <c r="D522" s="198"/>
      <c r="E522" s="198"/>
      <c r="F522" s="198"/>
      <c r="G522" s="198"/>
      <c r="H522" s="198"/>
      <c r="I522" s="198"/>
      <c r="J522" s="198"/>
      <c r="K522" s="198"/>
      <c r="L522" s="198"/>
    </row>
    <row r="523">
      <c r="A523" s="198"/>
      <c r="B523" s="208" t="str">
        <f>vlookup(A523,Price!A:B,2,false)</f>
        <v>#N/A</v>
      </c>
      <c r="C523" s="198"/>
      <c r="D523" s="198"/>
      <c r="E523" s="198"/>
      <c r="F523" s="198"/>
      <c r="G523" s="198"/>
      <c r="H523" s="198"/>
      <c r="I523" s="198"/>
      <c r="J523" s="198"/>
      <c r="K523" s="198"/>
      <c r="L523" s="198"/>
    </row>
    <row r="524">
      <c r="A524" s="198"/>
      <c r="B524" s="208" t="str">
        <f>vlookup(A524,Price!A:B,2,false)</f>
        <v>#N/A</v>
      </c>
      <c r="C524" s="198"/>
      <c r="D524" s="198"/>
      <c r="E524" s="198"/>
      <c r="F524" s="198"/>
      <c r="G524" s="198"/>
      <c r="H524" s="198"/>
      <c r="I524" s="198"/>
      <c r="J524" s="198"/>
      <c r="K524" s="198"/>
      <c r="L524" s="198"/>
    </row>
    <row r="525">
      <c r="A525" s="198"/>
      <c r="B525" s="208" t="str">
        <f>vlookup(A525,Price!A:B,2,false)</f>
        <v>#N/A</v>
      </c>
      <c r="C525" s="198"/>
      <c r="D525" s="198"/>
      <c r="E525" s="198"/>
      <c r="F525" s="198"/>
      <c r="G525" s="198"/>
      <c r="H525" s="198"/>
      <c r="I525" s="198"/>
      <c r="J525" s="198"/>
      <c r="K525" s="198"/>
      <c r="L525" s="198"/>
    </row>
    <row r="526">
      <c r="A526" s="198"/>
      <c r="B526" s="208" t="str">
        <f>vlookup(A526,Price!A:B,2,false)</f>
        <v>#N/A</v>
      </c>
      <c r="C526" s="198"/>
      <c r="D526" s="198"/>
      <c r="E526" s="198"/>
      <c r="F526" s="198"/>
      <c r="G526" s="198"/>
      <c r="H526" s="198"/>
      <c r="I526" s="198"/>
      <c r="J526" s="198"/>
      <c r="K526" s="198"/>
      <c r="L526" s="198"/>
    </row>
    <row r="527">
      <c r="A527" s="198"/>
      <c r="B527" s="208" t="str">
        <f>vlookup(A527,Price!A:B,2,false)</f>
        <v>#N/A</v>
      </c>
      <c r="C527" s="198"/>
      <c r="D527" s="198"/>
      <c r="E527" s="198"/>
      <c r="F527" s="198"/>
      <c r="G527" s="198"/>
      <c r="H527" s="198"/>
      <c r="I527" s="198"/>
      <c r="J527" s="198"/>
      <c r="K527" s="198"/>
      <c r="L527" s="198"/>
    </row>
    <row r="528">
      <c r="A528" s="198"/>
      <c r="B528" s="208" t="str">
        <f>vlookup(A528,Price!A:B,2,false)</f>
        <v>#N/A</v>
      </c>
      <c r="C528" s="198"/>
      <c r="D528" s="198"/>
      <c r="E528" s="198"/>
      <c r="F528" s="198"/>
      <c r="G528" s="198"/>
      <c r="H528" s="198"/>
      <c r="I528" s="198"/>
      <c r="J528" s="198"/>
      <c r="K528" s="198"/>
      <c r="L528" s="198"/>
    </row>
    <row r="529">
      <c r="A529" s="198"/>
      <c r="B529" s="208" t="str">
        <f>vlookup(A529,Price!A:B,2,false)</f>
        <v>#N/A</v>
      </c>
      <c r="C529" s="198"/>
      <c r="D529" s="198"/>
      <c r="E529" s="198"/>
      <c r="F529" s="198"/>
      <c r="G529" s="198"/>
      <c r="H529" s="198"/>
      <c r="I529" s="198"/>
      <c r="J529" s="198"/>
      <c r="K529" s="198"/>
      <c r="L529" s="198"/>
    </row>
    <row r="530">
      <c r="A530" s="198"/>
      <c r="B530" s="208" t="str">
        <f>vlookup(A530,Price!A:B,2,false)</f>
        <v>#N/A</v>
      </c>
      <c r="C530" s="198"/>
      <c r="D530" s="198"/>
      <c r="E530" s="198"/>
      <c r="F530" s="198"/>
      <c r="G530" s="198"/>
      <c r="H530" s="198"/>
      <c r="I530" s="198"/>
      <c r="J530" s="198"/>
      <c r="K530" s="198"/>
      <c r="L530" s="198"/>
    </row>
    <row r="531">
      <c r="A531" s="198"/>
      <c r="B531" s="208" t="str">
        <f>vlookup(A531,Price!A:B,2,false)</f>
        <v>#N/A</v>
      </c>
      <c r="C531" s="198"/>
      <c r="D531" s="198"/>
      <c r="E531" s="198"/>
      <c r="F531" s="198"/>
      <c r="G531" s="198"/>
      <c r="H531" s="198"/>
      <c r="I531" s="198"/>
      <c r="J531" s="198"/>
      <c r="K531" s="198"/>
      <c r="L531" s="198"/>
    </row>
    <row r="532">
      <c r="A532" s="198"/>
      <c r="B532" s="208" t="str">
        <f>vlookup(A532,Price!A:B,2,false)</f>
        <v>#N/A</v>
      </c>
      <c r="C532" s="198"/>
      <c r="D532" s="198"/>
      <c r="E532" s="198"/>
      <c r="F532" s="198"/>
      <c r="G532" s="198"/>
      <c r="H532" s="198"/>
      <c r="I532" s="198"/>
      <c r="J532" s="198"/>
      <c r="K532" s="198"/>
      <c r="L532" s="198"/>
    </row>
    <row r="533">
      <c r="A533" s="198"/>
      <c r="B533" s="208" t="str">
        <f>vlookup(A533,Price!A:B,2,false)</f>
        <v>#N/A</v>
      </c>
      <c r="C533" s="198"/>
      <c r="D533" s="198"/>
      <c r="E533" s="198"/>
      <c r="F533" s="198"/>
      <c r="G533" s="198"/>
      <c r="H533" s="198"/>
      <c r="I533" s="198"/>
      <c r="J533" s="198"/>
      <c r="K533" s="198"/>
      <c r="L533" s="198"/>
    </row>
    <row r="534">
      <c r="A534" s="198"/>
      <c r="B534" s="208" t="str">
        <f>vlookup(A534,Price!A:B,2,false)</f>
        <v>#N/A</v>
      </c>
      <c r="C534" s="198"/>
      <c r="D534" s="198"/>
      <c r="E534" s="198"/>
      <c r="F534" s="198"/>
      <c r="G534" s="198"/>
      <c r="H534" s="198"/>
      <c r="I534" s="198"/>
      <c r="J534" s="198"/>
      <c r="K534" s="198"/>
      <c r="L534" s="198"/>
    </row>
    <row r="535">
      <c r="A535" s="198"/>
      <c r="B535" s="208" t="str">
        <f>vlookup(A535,Price!A:B,2,false)</f>
        <v>#N/A</v>
      </c>
      <c r="C535" s="198"/>
      <c r="D535" s="198"/>
      <c r="E535" s="198"/>
      <c r="F535" s="198"/>
      <c r="G535" s="198"/>
      <c r="H535" s="198"/>
      <c r="I535" s="198"/>
      <c r="J535" s="198"/>
      <c r="K535" s="198"/>
      <c r="L535" s="198"/>
    </row>
    <row r="536">
      <c r="A536" s="198"/>
      <c r="B536" s="208" t="str">
        <f>vlookup(A536,Price!A:B,2,false)</f>
        <v>#N/A</v>
      </c>
      <c r="C536" s="198"/>
      <c r="D536" s="198"/>
      <c r="E536" s="198"/>
      <c r="F536" s="198"/>
      <c r="G536" s="198"/>
      <c r="H536" s="198"/>
      <c r="I536" s="198"/>
      <c r="J536" s="198"/>
      <c r="K536" s="198"/>
      <c r="L536" s="198"/>
    </row>
    <row r="537">
      <c r="A537" s="198"/>
      <c r="B537" s="208" t="str">
        <f>vlookup(A537,Price!A:B,2,false)</f>
        <v>#N/A</v>
      </c>
      <c r="C537" s="198"/>
      <c r="D537" s="198"/>
      <c r="E537" s="198"/>
      <c r="F537" s="198"/>
      <c r="G537" s="198"/>
      <c r="H537" s="198"/>
      <c r="I537" s="198"/>
      <c r="J537" s="198"/>
      <c r="K537" s="198"/>
      <c r="L537" s="198"/>
    </row>
    <row r="538">
      <c r="A538" s="198"/>
      <c r="B538" s="208" t="str">
        <f>vlookup(A538,Price!A:B,2,false)</f>
        <v>#N/A</v>
      </c>
      <c r="C538" s="198"/>
      <c r="D538" s="198"/>
      <c r="E538" s="198"/>
      <c r="F538" s="198"/>
      <c r="G538" s="198"/>
      <c r="H538" s="198"/>
      <c r="I538" s="198"/>
      <c r="J538" s="198"/>
      <c r="K538" s="198"/>
      <c r="L538" s="198"/>
    </row>
    <row r="539">
      <c r="A539" s="198"/>
      <c r="B539" s="208" t="str">
        <f>vlookup(A539,Price!A:B,2,false)</f>
        <v>#N/A</v>
      </c>
      <c r="C539" s="198"/>
      <c r="D539" s="198"/>
      <c r="E539" s="198"/>
      <c r="F539" s="198"/>
      <c r="G539" s="198"/>
      <c r="H539" s="198"/>
      <c r="I539" s="198"/>
      <c r="J539" s="198"/>
      <c r="K539" s="198"/>
      <c r="L539" s="198"/>
    </row>
    <row r="540">
      <c r="A540" s="198"/>
      <c r="B540" s="208" t="str">
        <f>vlookup(A540,Price!A:B,2,false)</f>
        <v>#N/A</v>
      </c>
      <c r="C540" s="198"/>
      <c r="D540" s="198"/>
      <c r="E540" s="198"/>
      <c r="F540" s="198"/>
      <c r="G540" s="198"/>
      <c r="H540" s="198"/>
      <c r="I540" s="198"/>
      <c r="J540" s="198"/>
      <c r="K540" s="198"/>
      <c r="L540" s="198"/>
    </row>
    <row r="541">
      <c r="A541" s="198"/>
      <c r="B541" s="208" t="str">
        <f>vlookup(A541,Price!A:B,2,false)</f>
        <v>#N/A</v>
      </c>
      <c r="C541" s="198"/>
      <c r="D541" s="198"/>
      <c r="E541" s="198"/>
      <c r="F541" s="198"/>
      <c r="G541" s="198"/>
      <c r="H541" s="198"/>
      <c r="I541" s="198"/>
      <c r="J541" s="198"/>
      <c r="K541" s="198"/>
      <c r="L541" s="198"/>
    </row>
    <row r="542">
      <c r="A542" s="198"/>
      <c r="B542" s="208" t="str">
        <f>vlookup(A542,Price!A:B,2,false)</f>
        <v>#N/A</v>
      </c>
      <c r="C542" s="198"/>
      <c r="D542" s="198"/>
      <c r="E542" s="198"/>
      <c r="F542" s="198"/>
      <c r="G542" s="198"/>
      <c r="H542" s="198"/>
      <c r="I542" s="198"/>
      <c r="J542" s="198"/>
      <c r="K542" s="198"/>
      <c r="L542" s="198"/>
    </row>
    <row r="543">
      <c r="A543" s="198"/>
      <c r="B543" s="208" t="str">
        <f>vlookup(A543,Price!A:B,2,false)</f>
        <v>#N/A</v>
      </c>
      <c r="C543" s="198"/>
      <c r="D543" s="198"/>
      <c r="E543" s="198"/>
      <c r="F543" s="198"/>
      <c r="G543" s="198"/>
      <c r="H543" s="198"/>
      <c r="I543" s="198"/>
      <c r="J543" s="198"/>
      <c r="K543" s="198"/>
      <c r="L543" s="198"/>
    </row>
    <row r="544">
      <c r="A544" s="198"/>
      <c r="B544" s="208" t="str">
        <f>vlookup(A544,Price!A:B,2,false)</f>
        <v>#N/A</v>
      </c>
      <c r="C544" s="198"/>
      <c r="D544" s="198"/>
      <c r="E544" s="198"/>
      <c r="F544" s="198"/>
      <c r="G544" s="198"/>
      <c r="H544" s="198"/>
      <c r="I544" s="198"/>
      <c r="J544" s="198"/>
      <c r="K544" s="198"/>
      <c r="L544" s="198"/>
    </row>
    <row r="545">
      <c r="A545" s="198"/>
      <c r="B545" s="208" t="str">
        <f>vlookup(A545,Price!A:B,2,false)</f>
        <v>#N/A</v>
      </c>
      <c r="C545" s="198"/>
      <c r="D545" s="198"/>
      <c r="E545" s="198"/>
      <c r="F545" s="198"/>
      <c r="G545" s="198"/>
      <c r="H545" s="198"/>
      <c r="I545" s="198"/>
      <c r="J545" s="198"/>
      <c r="K545" s="198"/>
      <c r="L545" s="198"/>
    </row>
    <row r="546">
      <c r="A546" s="198"/>
      <c r="B546" s="208" t="str">
        <f>vlookup(A546,Price!A:B,2,false)</f>
        <v>#N/A</v>
      </c>
      <c r="C546" s="198"/>
      <c r="D546" s="198"/>
      <c r="E546" s="198"/>
      <c r="F546" s="198"/>
      <c r="G546" s="198"/>
      <c r="H546" s="198"/>
      <c r="I546" s="198"/>
      <c r="J546" s="198"/>
      <c r="K546" s="198"/>
      <c r="L546" s="198"/>
    </row>
    <row r="547">
      <c r="A547" s="198"/>
      <c r="B547" s="208" t="str">
        <f>vlookup(A547,Price!A:B,2,false)</f>
        <v>#N/A</v>
      </c>
      <c r="C547" s="198"/>
      <c r="D547" s="198"/>
      <c r="E547" s="198"/>
      <c r="F547" s="198"/>
      <c r="G547" s="198"/>
      <c r="H547" s="198"/>
      <c r="I547" s="198"/>
      <c r="J547" s="198"/>
      <c r="K547" s="198"/>
      <c r="L547" s="198"/>
    </row>
    <row r="548">
      <c r="A548" s="198"/>
      <c r="B548" s="208" t="str">
        <f>vlookup(A548,Price!A:B,2,false)</f>
        <v>#N/A</v>
      </c>
      <c r="C548" s="198"/>
      <c r="D548" s="198"/>
      <c r="E548" s="198"/>
      <c r="F548" s="198"/>
      <c r="G548" s="198"/>
      <c r="H548" s="198"/>
      <c r="I548" s="198"/>
      <c r="J548" s="198"/>
      <c r="K548" s="198"/>
      <c r="L548" s="198"/>
    </row>
    <row r="549">
      <c r="A549" s="198"/>
      <c r="B549" s="208" t="str">
        <f>vlookup(A549,Price!A:B,2,false)</f>
        <v>#N/A</v>
      </c>
      <c r="C549" s="198"/>
      <c r="D549" s="198"/>
      <c r="E549" s="198"/>
      <c r="F549" s="198"/>
      <c r="G549" s="198"/>
      <c r="H549" s="198"/>
      <c r="I549" s="198"/>
      <c r="J549" s="198"/>
      <c r="K549" s="198"/>
      <c r="L549" s="198"/>
    </row>
    <row r="550">
      <c r="A550" s="198"/>
      <c r="B550" s="208" t="str">
        <f>vlookup(A550,Price!A:B,2,false)</f>
        <v>#N/A</v>
      </c>
      <c r="C550" s="198"/>
      <c r="D550" s="198"/>
      <c r="E550" s="198"/>
      <c r="F550" s="198"/>
      <c r="G550" s="198"/>
      <c r="H550" s="198"/>
      <c r="I550" s="198"/>
      <c r="J550" s="198"/>
      <c r="K550" s="198"/>
      <c r="L550" s="198"/>
    </row>
    <row r="551">
      <c r="A551" s="198"/>
      <c r="B551" s="208" t="str">
        <f>vlookup(A551,Price!A:B,2,false)</f>
        <v>#N/A</v>
      </c>
      <c r="C551" s="198"/>
      <c r="D551" s="198"/>
      <c r="E551" s="198"/>
      <c r="F551" s="198"/>
      <c r="G551" s="198"/>
      <c r="H551" s="198"/>
      <c r="I551" s="198"/>
      <c r="J551" s="198"/>
      <c r="K551" s="198"/>
      <c r="L551" s="198"/>
    </row>
    <row r="552">
      <c r="A552" s="198"/>
      <c r="B552" s="208" t="str">
        <f>vlookup(A552,Price!A:B,2,false)</f>
        <v>#N/A</v>
      </c>
      <c r="C552" s="198"/>
      <c r="D552" s="198"/>
      <c r="E552" s="198"/>
      <c r="F552" s="198"/>
      <c r="G552" s="198"/>
      <c r="H552" s="198"/>
      <c r="I552" s="198"/>
      <c r="J552" s="198"/>
      <c r="K552" s="198"/>
      <c r="L552" s="198"/>
    </row>
    <row r="553">
      <c r="A553" s="198"/>
      <c r="B553" s="208" t="str">
        <f>vlookup(A553,Price!A:B,2,false)</f>
        <v>#N/A</v>
      </c>
      <c r="C553" s="198"/>
      <c r="D553" s="198"/>
      <c r="E553" s="198"/>
      <c r="F553" s="198"/>
      <c r="G553" s="198"/>
      <c r="H553" s="198"/>
      <c r="I553" s="198"/>
      <c r="J553" s="198"/>
      <c r="K553" s="198"/>
      <c r="L553" s="198"/>
    </row>
    <row r="554">
      <c r="A554" s="198"/>
      <c r="B554" s="208" t="str">
        <f>vlookup(A554,Price!A:B,2,false)</f>
        <v>#N/A</v>
      </c>
      <c r="C554" s="198"/>
      <c r="D554" s="198"/>
      <c r="E554" s="198"/>
      <c r="F554" s="198"/>
      <c r="G554" s="198"/>
      <c r="H554" s="198"/>
      <c r="I554" s="198"/>
      <c r="J554" s="198"/>
      <c r="K554" s="198"/>
      <c r="L554" s="198"/>
    </row>
    <row r="555">
      <c r="A555" s="198"/>
      <c r="B555" s="208" t="str">
        <f>vlookup(A555,Price!A:B,2,false)</f>
        <v>#N/A</v>
      </c>
      <c r="C555" s="198"/>
      <c r="D555" s="198"/>
      <c r="E555" s="198"/>
      <c r="F555" s="198"/>
      <c r="G555" s="198"/>
      <c r="H555" s="198"/>
      <c r="I555" s="198"/>
      <c r="J555" s="198"/>
      <c r="K555" s="198"/>
      <c r="L555" s="198"/>
    </row>
    <row r="556">
      <c r="A556" s="198"/>
      <c r="B556" s="208" t="str">
        <f>vlookup(A556,Price!A:B,2,false)</f>
        <v>#N/A</v>
      </c>
      <c r="C556" s="198"/>
      <c r="D556" s="198"/>
      <c r="E556" s="198"/>
      <c r="F556" s="198"/>
      <c r="G556" s="198"/>
      <c r="H556" s="198"/>
      <c r="I556" s="198"/>
      <c r="J556" s="198"/>
      <c r="K556" s="198"/>
      <c r="L556" s="198"/>
    </row>
    <row r="557">
      <c r="A557" s="198"/>
      <c r="B557" s="208" t="str">
        <f>vlookup(A557,Price!A:B,2,false)</f>
        <v>#N/A</v>
      </c>
      <c r="C557" s="198"/>
      <c r="D557" s="198"/>
      <c r="E557" s="198"/>
      <c r="F557" s="198"/>
      <c r="G557" s="198"/>
      <c r="H557" s="198"/>
      <c r="I557" s="198"/>
      <c r="J557" s="198"/>
      <c r="K557" s="198"/>
      <c r="L557" s="198"/>
    </row>
    <row r="558">
      <c r="A558" s="198"/>
      <c r="B558" s="208" t="str">
        <f>vlookup(A558,Price!A:B,2,false)</f>
        <v>#N/A</v>
      </c>
      <c r="C558" s="198"/>
      <c r="D558" s="198"/>
      <c r="E558" s="198"/>
      <c r="F558" s="198"/>
      <c r="G558" s="198"/>
      <c r="H558" s="198"/>
      <c r="I558" s="198"/>
      <c r="J558" s="198"/>
      <c r="K558" s="198"/>
      <c r="L558" s="198"/>
    </row>
    <row r="559">
      <c r="A559" s="198"/>
      <c r="B559" s="208" t="str">
        <f>vlookup(A559,Price!A:B,2,false)</f>
        <v>#N/A</v>
      </c>
      <c r="C559" s="198"/>
      <c r="D559" s="198"/>
      <c r="E559" s="198"/>
      <c r="F559" s="198"/>
      <c r="G559" s="198"/>
      <c r="H559" s="198"/>
      <c r="I559" s="198"/>
      <c r="J559" s="198"/>
      <c r="K559" s="198"/>
      <c r="L559" s="198"/>
    </row>
    <row r="560">
      <c r="A560" s="198"/>
      <c r="B560" s="208" t="str">
        <f>vlookup(A560,Price!A:B,2,false)</f>
        <v>#N/A</v>
      </c>
      <c r="C560" s="198"/>
      <c r="D560" s="198"/>
      <c r="E560" s="198"/>
      <c r="F560" s="198"/>
      <c r="G560" s="198"/>
      <c r="H560" s="198"/>
      <c r="I560" s="198"/>
      <c r="J560" s="198"/>
      <c r="K560" s="198"/>
      <c r="L560" s="198"/>
    </row>
    <row r="561">
      <c r="A561" s="198"/>
      <c r="B561" s="208" t="str">
        <f>vlookup(A561,Price!A:B,2,false)</f>
        <v>#N/A</v>
      </c>
      <c r="C561" s="198"/>
      <c r="D561" s="198"/>
      <c r="E561" s="198"/>
      <c r="F561" s="198"/>
      <c r="G561" s="198"/>
      <c r="H561" s="198"/>
      <c r="I561" s="198"/>
      <c r="J561" s="198"/>
      <c r="K561" s="198"/>
      <c r="L561" s="198"/>
    </row>
    <row r="562">
      <c r="A562" s="198"/>
      <c r="B562" s="208" t="str">
        <f>vlookup(A562,Price!A:B,2,false)</f>
        <v>#N/A</v>
      </c>
      <c r="C562" s="198"/>
      <c r="D562" s="198"/>
      <c r="E562" s="198"/>
      <c r="F562" s="198"/>
      <c r="G562" s="198"/>
      <c r="H562" s="198"/>
      <c r="I562" s="198"/>
      <c r="J562" s="198"/>
      <c r="K562" s="198"/>
      <c r="L562" s="198"/>
    </row>
    <row r="563">
      <c r="A563" s="198"/>
      <c r="B563" s="208" t="str">
        <f>vlookup(A563,Price!A:B,2,false)</f>
        <v>#N/A</v>
      </c>
      <c r="C563" s="198"/>
      <c r="D563" s="198"/>
      <c r="E563" s="198"/>
      <c r="F563" s="198"/>
      <c r="G563" s="198"/>
      <c r="H563" s="198"/>
      <c r="I563" s="198"/>
      <c r="J563" s="198"/>
      <c r="K563" s="198"/>
      <c r="L563" s="198"/>
    </row>
    <row r="564">
      <c r="A564" s="198"/>
      <c r="B564" s="208" t="str">
        <f>vlookup(A564,Price!A:B,2,false)</f>
        <v>#N/A</v>
      </c>
      <c r="C564" s="198"/>
      <c r="D564" s="198"/>
      <c r="E564" s="198"/>
      <c r="F564" s="198"/>
      <c r="G564" s="198"/>
      <c r="H564" s="198"/>
      <c r="I564" s="198"/>
      <c r="J564" s="198"/>
      <c r="K564" s="198"/>
      <c r="L564" s="198"/>
    </row>
    <row r="565">
      <c r="A565" s="198"/>
      <c r="B565" s="208" t="str">
        <f>vlookup(A565,Price!A:B,2,false)</f>
        <v>#N/A</v>
      </c>
      <c r="C565" s="198"/>
      <c r="D565" s="198"/>
      <c r="E565" s="198"/>
      <c r="F565" s="198"/>
      <c r="G565" s="198"/>
      <c r="H565" s="198"/>
      <c r="I565" s="198"/>
      <c r="J565" s="198"/>
      <c r="K565" s="198"/>
      <c r="L565" s="198"/>
    </row>
    <row r="566">
      <c r="A566" s="198"/>
      <c r="B566" s="208" t="str">
        <f>vlookup(A566,Price!A:B,2,false)</f>
        <v>#N/A</v>
      </c>
      <c r="C566" s="198"/>
      <c r="D566" s="198"/>
      <c r="E566" s="198"/>
      <c r="F566" s="198"/>
      <c r="G566" s="198"/>
      <c r="H566" s="198"/>
      <c r="I566" s="198"/>
      <c r="J566" s="198"/>
      <c r="K566" s="198"/>
      <c r="L566" s="198"/>
    </row>
    <row r="567">
      <c r="A567" s="198"/>
      <c r="B567" s="208" t="str">
        <f>vlookup(A567,Price!A:B,2,false)</f>
        <v>#N/A</v>
      </c>
      <c r="C567" s="198"/>
      <c r="D567" s="198"/>
      <c r="E567" s="198"/>
      <c r="F567" s="198"/>
      <c r="G567" s="198"/>
      <c r="H567" s="198"/>
      <c r="I567" s="198"/>
      <c r="J567" s="198"/>
      <c r="K567" s="198"/>
      <c r="L567" s="198"/>
    </row>
    <row r="568">
      <c r="A568" s="198"/>
      <c r="B568" s="208" t="str">
        <f>vlookup(A568,Price!A:B,2,false)</f>
        <v>#N/A</v>
      </c>
      <c r="C568" s="198"/>
      <c r="D568" s="198"/>
      <c r="E568" s="198"/>
      <c r="F568" s="198"/>
      <c r="G568" s="198"/>
      <c r="H568" s="198"/>
      <c r="I568" s="198"/>
      <c r="J568" s="198"/>
      <c r="K568" s="198"/>
      <c r="L568" s="198"/>
    </row>
    <row r="569">
      <c r="A569" s="198"/>
      <c r="B569" s="208" t="str">
        <f>vlookup(A569,Price!A:B,2,false)</f>
        <v>#N/A</v>
      </c>
      <c r="C569" s="198"/>
      <c r="D569" s="198"/>
      <c r="E569" s="198"/>
      <c r="F569" s="198"/>
      <c r="G569" s="198"/>
      <c r="H569" s="198"/>
      <c r="I569" s="198"/>
      <c r="J569" s="198"/>
      <c r="K569" s="198"/>
      <c r="L569" s="198"/>
    </row>
    <row r="570">
      <c r="A570" s="198"/>
      <c r="B570" s="208" t="str">
        <f>vlookup(A570,Price!A:B,2,false)</f>
        <v>#N/A</v>
      </c>
      <c r="C570" s="198"/>
      <c r="D570" s="198"/>
      <c r="E570" s="198"/>
      <c r="F570" s="198"/>
      <c r="G570" s="198"/>
      <c r="H570" s="198"/>
      <c r="I570" s="198"/>
      <c r="J570" s="198"/>
      <c r="K570" s="198"/>
      <c r="L570" s="198"/>
    </row>
    <row r="571">
      <c r="A571" s="198"/>
      <c r="B571" s="208" t="str">
        <f>vlookup(A571,Price!A:B,2,false)</f>
        <v>#N/A</v>
      </c>
      <c r="C571" s="198"/>
      <c r="D571" s="198"/>
      <c r="E571" s="198"/>
      <c r="F571" s="198"/>
      <c r="G571" s="198"/>
      <c r="H571" s="198"/>
      <c r="I571" s="198"/>
      <c r="J571" s="198"/>
      <c r="K571" s="198"/>
      <c r="L571" s="198"/>
    </row>
    <row r="572">
      <c r="A572" s="198"/>
      <c r="B572" s="208" t="str">
        <f>vlookup(A572,Price!A:B,2,false)</f>
        <v>#N/A</v>
      </c>
      <c r="C572" s="198"/>
      <c r="D572" s="198"/>
      <c r="E572" s="198"/>
      <c r="F572" s="198"/>
      <c r="G572" s="198"/>
      <c r="H572" s="198"/>
      <c r="I572" s="198"/>
      <c r="J572" s="198"/>
      <c r="K572" s="198"/>
      <c r="L572" s="198"/>
    </row>
    <row r="573">
      <c r="A573" s="198"/>
      <c r="B573" s="208" t="str">
        <f>vlookup(A573,Price!A:B,2,false)</f>
        <v>#N/A</v>
      </c>
      <c r="C573" s="198"/>
      <c r="D573" s="198"/>
      <c r="E573" s="198"/>
      <c r="F573" s="198"/>
      <c r="G573" s="198"/>
      <c r="H573" s="198"/>
      <c r="I573" s="198"/>
      <c r="J573" s="198"/>
      <c r="K573" s="198"/>
      <c r="L573" s="198"/>
    </row>
    <row r="574">
      <c r="A574" s="198"/>
      <c r="B574" s="208" t="str">
        <f>vlookup(A574,Price!A:B,2,false)</f>
        <v>#N/A</v>
      </c>
      <c r="C574" s="198"/>
      <c r="D574" s="198"/>
      <c r="E574" s="198"/>
      <c r="F574" s="198"/>
      <c r="G574" s="198"/>
      <c r="H574" s="198"/>
      <c r="I574" s="198"/>
      <c r="J574" s="198"/>
      <c r="K574" s="198"/>
      <c r="L574" s="198"/>
    </row>
    <row r="575">
      <c r="A575" s="198"/>
      <c r="B575" s="208" t="str">
        <f>vlookup(A575,Price!A:B,2,false)</f>
        <v>#N/A</v>
      </c>
      <c r="C575" s="198"/>
      <c r="D575" s="198"/>
      <c r="E575" s="198"/>
      <c r="F575" s="198"/>
      <c r="G575" s="198"/>
      <c r="H575" s="198"/>
      <c r="I575" s="198"/>
      <c r="J575" s="198"/>
      <c r="K575" s="198"/>
      <c r="L575" s="198"/>
    </row>
    <row r="576">
      <c r="A576" s="198"/>
      <c r="B576" s="208" t="str">
        <f>vlookup(A576,Price!A:B,2,false)</f>
        <v>#N/A</v>
      </c>
      <c r="C576" s="198"/>
      <c r="D576" s="198"/>
      <c r="E576" s="198"/>
      <c r="F576" s="198"/>
      <c r="G576" s="198"/>
      <c r="H576" s="198"/>
      <c r="I576" s="198"/>
      <c r="J576" s="198"/>
      <c r="K576" s="198"/>
      <c r="L576" s="198"/>
    </row>
    <row r="577">
      <c r="A577" s="198"/>
      <c r="B577" s="208" t="str">
        <f>vlookup(A577,Price!A:B,2,false)</f>
        <v>#N/A</v>
      </c>
      <c r="C577" s="198"/>
      <c r="D577" s="198"/>
      <c r="E577" s="198"/>
      <c r="F577" s="198"/>
      <c r="G577" s="198"/>
      <c r="H577" s="198"/>
      <c r="I577" s="198"/>
      <c r="J577" s="198"/>
      <c r="K577" s="198"/>
      <c r="L577" s="198"/>
    </row>
    <row r="578">
      <c r="A578" s="198"/>
      <c r="B578" s="208" t="str">
        <f>vlookup(A578,Price!A:B,2,false)</f>
        <v>#N/A</v>
      </c>
      <c r="C578" s="198"/>
      <c r="D578" s="198"/>
      <c r="E578" s="198"/>
      <c r="F578" s="198"/>
      <c r="G578" s="198"/>
      <c r="H578" s="198"/>
      <c r="I578" s="198"/>
      <c r="J578" s="198"/>
      <c r="K578" s="198"/>
      <c r="L578" s="198"/>
    </row>
    <row r="579">
      <c r="A579" s="198"/>
      <c r="B579" s="208" t="str">
        <f>vlookup(A579,Price!A:B,2,false)</f>
        <v>#N/A</v>
      </c>
      <c r="C579" s="198"/>
      <c r="D579" s="198"/>
      <c r="E579" s="198"/>
      <c r="F579" s="198"/>
      <c r="G579" s="198"/>
      <c r="H579" s="198"/>
      <c r="I579" s="198"/>
      <c r="J579" s="198"/>
      <c r="K579" s="198"/>
      <c r="L579" s="198"/>
    </row>
    <row r="580">
      <c r="A580" s="198"/>
      <c r="B580" s="208" t="str">
        <f>vlookup(A580,Price!A:B,2,false)</f>
        <v>#N/A</v>
      </c>
      <c r="C580" s="198"/>
      <c r="D580" s="198"/>
      <c r="E580" s="198"/>
      <c r="F580" s="198"/>
      <c r="G580" s="198"/>
      <c r="H580" s="198"/>
      <c r="I580" s="198"/>
      <c r="J580" s="198"/>
      <c r="K580" s="198"/>
      <c r="L580" s="198"/>
    </row>
    <row r="581">
      <c r="A581" s="198"/>
      <c r="B581" s="208" t="str">
        <f>vlookup(A581,Price!A:B,2,false)</f>
        <v>#N/A</v>
      </c>
      <c r="C581" s="198"/>
      <c r="D581" s="198"/>
      <c r="E581" s="198"/>
      <c r="F581" s="198"/>
      <c r="G581" s="198"/>
      <c r="H581" s="198"/>
      <c r="I581" s="198"/>
      <c r="J581" s="198"/>
      <c r="K581" s="198"/>
      <c r="L581" s="198"/>
    </row>
    <row r="582">
      <c r="A582" s="198"/>
      <c r="B582" s="208" t="str">
        <f>vlookup(A582,Price!A:B,2,false)</f>
        <v>#N/A</v>
      </c>
      <c r="C582" s="198"/>
      <c r="D582" s="198"/>
      <c r="E582" s="198"/>
      <c r="F582" s="198"/>
      <c r="G582" s="198"/>
      <c r="H582" s="198"/>
      <c r="I582" s="198"/>
      <c r="J582" s="198"/>
      <c r="K582" s="198"/>
      <c r="L582" s="198"/>
    </row>
    <row r="583">
      <c r="A583" s="198"/>
      <c r="B583" s="208" t="str">
        <f>vlookup(A583,Price!A:B,2,false)</f>
        <v>#N/A</v>
      </c>
      <c r="C583" s="198"/>
      <c r="D583" s="198"/>
      <c r="E583" s="198"/>
      <c r="F583" s="198"/>
      <c r="G583" s="198"/>
      <c r="H583" s="198"/>
      <c r="I583" s="198"/>
      <c r="J583" s="198"/>
      <c r="K583" s="198"/>
      <c r="L583" s="198"/>
    </row>
    <row r="584">
      <c r="A584" s="198"/>
      <c r="B584" s="208" t="str">
        <f>vlookup(A584,Price!A:B,2,false)</f>
        <v>#N/A</v>
      </c>
      <c r="C584" s="198"/>
      <c r="D584" s="198"/>
      <c r="E584" s="198"/>
      <c r="F584" s="198"/>
      <c r="G584" s="198"/>
      <c r="H584" s="198"/>
      <c r="I584" s="198"/>
      <c r="J584" s="198"/>
      <c r="K584" s="198"/>
      <c r="L584" s="198"/>
    </row>
    <row r="585">
      <c r="A585" s="198"/>
      <c r="B585" s="208" t="str">
        <f>vlookup(A585,Price!A:B,2,false)</f>
        <v>#N/A</v>
      </c>
      <c r="C585" s="198"/>
      <c r="D585" s="198"/>
      <c r="E585" s="198"/>
      <c r="F585" s="198"/>
      <c r="G585" s="198"/>
      <c r="H585" s="198"/>
      <c r="I585" s="198"/>
      <c r="J585" s="198"/>
      <c r="K585" s="198"/>
      <c r="L585" s="198"/>
    </row>
    <row r="586">
      <c r="A586" s="198"/>
      <c r="B586" s="208" t="str">
        <f>vlookup(A586,Price!A:B,2,false)</f>
        <v>#N/A</v>
      </c>
      <c r="C586" s="198"/>
      <c r="D586" s="198"/>
      <c r="E586" s="198"/>
      <c r="F586" s="198"/>
      <c r="G586" s="198"/>
      <c r="H586" s="198"/>
      <c r="I586" s="198"/>
      <c r="J586" s="198"/>
      <c r="K586" s="198"/>
      <c r="L586" s="198"/>
    </row>
    <row r="587">
      <c r="A587" s="198"/>
      <c r="B587" s="208" t="str">
        <f>vlookup(A587,Price!A:B,2,false)</f>
        <v>#N/A</v>
      </c>
      <c r="C587" s="198"/>
      <c r="D587" s="198"/>
      <c r="E587" s="198"/>
      <c r="F587" s="198"/>
      <c r="G587" s="198"/>
      <c r="H587" s="198"/>
      <c r="I587" s="198"/>
      <c r="J587" s="198"/>
      <c r="K587" s="198"/>
      <c r="L587" s="198"/>
    </row>
    <row r="588">
      <c r="A588" s="198"/>
      <c r="B588" s="208" t="str">
        <f>vlookup(A588,Price!A:B,2,false)</f>
        <v>#N/A</v>
      </c>
      <c r="C588" s="198"/>
      <c r="D588" s="198"/>
      <c r="E588" s="198"/>
      <c r="F588" s="198"/>
      <c r="G588" s="198"/>
      <c r="H588" s="198"/>
      <c r="I588" s="198"/>
      <c r="J588" s="198"/>
      <c r="K588" s="198"/>
      <c r="L588" s="198"/>
    </row>
    <row r="589">
      <c r="A589" s="198"/>
      <c r="B589" s="208" t="str">
        <f>vlookup(A589,Price!A:B,2,false)</f>
        <v>#N/A</v>
      </c>
      <c r="C589" s="198"/>
      <c r="D589" s="198"/>
      <c r="E589" s="198"/>
      <c r="F589" s="198"/>
      <c r="G589" s="198"/>
      <c r="H589" s="198"/>
      <c r="I589" s="198"/>
      <c r="J589" s="198"/>
      <c r="K589" s="198"/>
      <c r="L589" s="198"/>
    </row>
    <row r="590">
      <c r="A590" s="198"/>
      <c r="B590" s="208" t="str">
        <f>vlookup(A590,Price!A:B,2,false)</f>
        <v>#N/A</v>
      </c>
      <c r="C590" s="198"/>
      <c r="D590" s="198"/>
      <c r="E590" s="198"/>
      <c r="F590" s="198"/>
      <c r="G590" s="198"/>
      <c r="H590" s="198"/>
      <c r="I590" s="198"/>
      <c r="J590" s="198"/>
      <c r="K590" s="198"/>
      <c r="L590" s="198"/>
    </row>
    <row r="591">
      <c r="A591" s="198"/>
      <c r="B591" s="208" t="str">
        <f>vlookup(A591,Price!A:B,2,false)</f>
        <v>#N/A</v>
      </c>
      <c r="C591" s="198"/>
      <c r="D591" s="198"/>
      <c r="E591" s="198"/>
      <c r="F591" s="198"/>
      <c r="G591" s="198"/>
      <c r="H591" s="198"/>
      <c r="I591" s="198"/>
      <c r="J591" s="198"/>
      <c r="K591" s="198"/>
      <c r="L591" s="198"/>
    </row>
    <row r="592">
      <c r="A592" s="198"/>
      <c r="B592" s="208" t="str">
        <f>vlookup(A592,Price!A:B,2,false)</f>
        <v>#N/A</v>
      </c>
      <c r="C592" s="198"/>
      <c r="D592" s="198"/>
      <c r="E592" s="198"/>
      <c r="F592" s="198"/>
      <c r="G592" s="198"/>
      <c r="H592" s="198"/>
      <c r="I592" s="198"/>
      <c r="J592" s="198"/>
      <c r="K592" s="198"/>
      <c r="L592" s="198"/>
    </row>
    <row r="593">
      <c r="A593" s="198"/>
      <c r="B593" s="208" t="str">
        <f>vlookup(A593,Price!A:B,2,false)</f>
        <v>#N/A</v>
      </c>
      <c r="C593" s="198"/>
      <c r="D593" s="198"/>
      <c r="E593" s="198"/>
      <c r="F593" s="198"/>
      <c r="G593" s="198"/>
      <c r="H593" s="198"/>
      <c r="I593" s="198"/>
      <c r="J593" s="198"/>
      <c r="K593" s="198"/>
      <c r="L593" s="198"/>
    </row>
    <row r="594">
      <c r="A594" s="198"/>
      <c r="B594" s="208" t="str">
        <f>vlookup(A594,Price!A:B,2,false)</f>
        <v>#N/A</v>
      </c>
      <c r="C594" s="198"/>
      <c r="D594" s="198"/>
      <c r="E594" s="198"/>
      <c r="F594" s="198"/>
      <c r="G594" s="198"/>
      <c r="H594" s="198"/>
      <c r="I594" s="198"/>
      <c r="J594" s="198"/>
      <c r="K594" s="198"/>
      <c r="L594" s="198"/>
    </row>
    <row r="595">
      <c r="A595" s="198"/>
      <c r="B595" s="208" t="str">
        <f>vlookup(A595,Price!A:B,2,false)</f>
        <v>#N/A</v>
      </c>
      <c r="C595" s="198"/>
      <c r="D595" s="198"/>
      <c r="E595" s="198"/>
      <c r="F595" s="198"/>
      <c r="G595" s="198"/>
      <c r="H595" s="198"/>
      <c r="I595" s="198"/>
      <c r="J595" s="198"/>
      <c r="K595" s="198"/>
      <c r="L595" s="198"/>
    </row>
    <row r="596">
      <c r="A596" s="198"/>
      <c r="B596" s="208" t="str">
        <f>vlookup(A596,Price!A:B,2,false)</f>
        <v>#N/A</v>
      </c>
      <c r="C596" s="198"/>
      <c r="D596" s="198"/>
      <c r="E596" s="198"/>
      <c r="F596" s="198"/>
      <c r="G596" s="198"/>
      <c r="H596" s="198"/>
      <c r="I596" s="198"/>
      <c r="J596" s="198"/>
      <c r="K596" s="198"/>
      <c r="L596" s="198"/>
    </row>
    <row r="597">
      <c r="A597" s="198"/>
      <c r="B597" s="208" t="str">
        <f>vlookup(A597,Price!A:B,2,false)</f>
        <v>#N/A</v>
      </c>
      <c r="C597" s="198"/>
      <c r="D597" s="198"/>
      <c r="E597" s="198"/>
      <c r="F597" s="198"/>
      <c r="G597" s="198"/>
      <c r="H597" s="198"/>
      <c r="I597" s="198"/>
      <c r="J597" s="198"/>
      <c r="K597" s="198"/>
      <c r="L597" s="198"/>
    </row>
    <row r="598">
      <c r="A598" s="198"/>
      <c r="B598" s="208" t="str">
        <f>vlookup(A598,Price!A:B,2,false)</f>
        <v>#N/A</v>
      </c>
      <c r="C598" s="198"/>
      <c r="D598" s="198"/>
      <c r="E598" s="198"/>
      <c r="F598" s="198"/>
      <c r="G598" s="198"/>
      <c r="H598" s="198"/>
      <c r="I598" s="198"/>
      <c r="J598" s="198"/>
      <c r="K598" s="198"/>
      <c r="L598" s="198"/>
    </row>
    <row r="599">
      <c r="A599" s="198"/>
      <c r="B599" s="208" t="str">
        <f>vlookup(A599,Price!A:B,2,false)</f>
        <v>#N/A</v>
      </c>
      <c r="C599" s="198"/>
      <c r="D599" s="198"/>
      <c r="E599" s="198"/>
      <c r="F599" s="198"/>
      <c r="G599" s="198"/>
      <c r="H599" s="198"/>
      <c r="I599" s="198"/>
      <c r="J599" s="198"/>
      <c r="K599" s="198"/>
      <c r="L599" s="198"/>
    </row>
    <row r="600">
      <c r="A600" s="198"/>
      <c r="B600" s="208" t="str">
        <f>vlookup(A600,Price!A:B,2,false)</f>
        <v>#N/A</v>
      </c>
      <c r="C600" s="198"/>
      <c r="D600" s="198"/>
      <c r="E600" s="198"/>
      <c r="F600" s="198"/>
      <c r="G600" s="198"/>
      <c r="H600" s="198"/>
      <c r="I600" s="198"/>
      <c r="J600" s="198"/>
      <c r="K600" s="198"/>
      <c r="L600" s="198"/>
    </row>
    <row r="601">
      <c r="A601" s="198"/>
      <c r="B601" s="208" t="str">
        <f>vlookup(A601,Price!A:B,2,false)</f>
        <v>#N/A</v>
      </c>
      <c r="C601" s="198"/>
      <c r="D601" s="198"/>
      <c r="E601" s="198"/>
      <c r="F601" s="198"/>
      <c r="G601" s="198"/>
      <c r="H601" s="198"/>
      <c r="I601" s="198"/>
      <c r="J601" s="198"/>
      <c r="K601" s="198"/>
      <c r="L601" s="198"/>
    </row>
    <row r="602">
      <c r="A602" s="198"/>
      <c r="B602" s="208" t="str">
        <f>vlookup(A602,Price!A:B,2,false)</f>
        <v>#N/A</v>
      </c>
      <c r="C602" s="198"/>
      <c r="D602" s="198"/>
      <c r="E602" s="198"/>
      <c r="F602" s="198"/>
      <c r="G602" s="198"/>
      <c r="H602" s="198"/>
      <c r="I602" s="198"/>
      <c r="J602" s="198"/>
      <c r="K602" s="198"/>
      <c r="L602" s="198"/>
    </row>
    <row r="603">
      <c r="A603" s="198"/>
      <c r="B603" s="208" t="str">
        <f>vlookup(A603,Price!A:B,2,false)</f>
        <v>#N/A</v>
      </c>
      <c r="C603" s="198"/>
      <c r="D603" s="198"/>
      <c r="E603" s="198"/>
      <c r="F603" s="198"/>
      <c r="G603" s="198"/>
      <c r="H603" s="198"/>
      <c r="I603" s="198"/>
      <c r="J603" s="198"/>
      <c r="K603" s="198"/>
      <c r="L603" s="198"/>
    </row>
    <row r="604">
      <c r="A604" s="198"/>
      <c r="B604" s="208" t="str">
        <f>vlookup(A604,Price!A:B,2,false)</f>
        <v>#N/A</v>
      </c>
      <c r="C604" s="198"/>
      <c r="D604" s="198"/>
      <c r="E604" s="198"/>
      <c r="F604" s="198"/>
      <c r="G604" s="198"/>
      <c r="H604" s="198"/>
      <c r="I604" s="198"/>
      <c r="J604" s="198"/>
      <c r="K604" s="198"/>
      <c r="L604" s="198"/>
    </row>
    <row r="605">
      <c r="A605" s="198"/>
      <c r="B605" s="208" t="str">
        <f>vlookup(A605,Price!A:B,2,false)</f>
        <v>#N/A</v>
      </c>
      <c r="C605" s="198"/>
      <c r="D605" s="198"/>
      <c r="E605" s="198"/>
      <c r="F605" s="198"/>
      <c r="G605" s="198"/>
      <c r="H605" s="198"/>
      <c r="I605" s="198"/>
      <c r="J605" s="198"/>
      <c r="K605" s="198"/>
      <c r="L605" s="198"/>
    </row>
    <row r="606">
      <c r="A606" s="198"/>
      <c r="B606" s="208" t="str">
        <f>vlookup(A606,Price!A:B,2,false)</f>
        <v>#N/A</v>
      </c>
      <c r="C606" s="198"/>
      <c r="D606" s="198"/>
      <c r="E606" s="198"/>
      <c r="F606" s="198"/>
      <c r="G606" s="198"/>
      <c r="H606" s="198"/>
      <c r="I606" s="198"/>
      <c r="J606" s="198"/>
      <c r="K606" s="198"/>
      <c r="L606" s="198"/>
    </row>
    <row r="607">
      <c r="A607" s="198"/>
      <c r="B607" s="208" t="str">
        <f>vlookup(A607,Price!A:B,2,false)</f>
        <v>#N/A</v>
      </c>
      <c r="C607" s="198"/>
      <c r="D607" s="198"/>
      <c r="E607" s="198"/>
      <c r="F607" s="198"/>
      <c r="G607" s="198"/>
      <c r="H607" s="198"/>
      <c r="I607" s="198"/>
      <c r="J607" s="198"/>
      <c r="K607" s="198"/>
      <c r="L607" s="198"/>
    </row>
    <row r="608">
      <c r="A608" s="198"/>
      <c r="B608" s="208" t="str">
        <f>vlookup(A608,Price!A:B,2,false)</f>
        <v>#N/A</v>
      </c>
      <c r="C608" s="198"/>
      <c r="D608" s="198"/>
      <c r="E608" s="198"/>
      <c r="F608" s="198"/>
      <c r="G608" s="198"/>
      <c r="H608" s="198"/>
      <c r="I608" s="198"/>
      <c r="J608" s="198"/>
      <c r="K608" s="198"/>
      <c r="L608" s="198"/>
    </row>
    <row r="609">
      <c r="A609" s="198"/>
      <c r="B609" s="208" t="str">
        <f>vlookup(A609,Price!A:B,2,false)</f>
        <v>#N/A</v>
      </c>
      <c r="C609" s="198"/>
      <c r="D609" s="198"/>
      <c r="E609" s="198"/>
      <c r="F609" s="198"/>
      <c r="G609" s="198"/>
      <c r="H609" s="198"/>
      <c r="I609" s="198"/>
      <c r="J609" s="198"/>
      <c r="K609" s="198"/>
      <c r="L609" s="198"/>
    </row>
    <row r="610">
      <c r="A610" s="198"/>
      <c r="B610" s="208" t="str">
        <f>vlookup(A610,Price!A:B,2,false)</f>
        <v>#N/A</v>
      </c>
      <c r="C610" s="198"/>
      <c r="D610" s="198"/>
      <c r="E610" s="198"/>
      <c r="F610" s="198"/>
      <c r="G610" s="198"/>
      <c r="H610" s="198"/>
      <c r="I610" s="198"/>
      <c r="J610" s="198"/>
      <c r="K610" s="198"/>
      <c r="L610" s="198"/>
    </row>
    <row r="611">
      <c r="A611" s="198"/>
      <c r="B611" s="208" t="str">
        <f>vlookup(A611,Price!A:B,2,false)</f>
        <v>#N/A</v>
      </c>
      <c r="C611" s="198"/>
      <c r="D611" s="198"/>
      <c r="E611" s="198"/>
      <c r="F611" s="198"/>
      <c r="G611" s="198"/>
      <c r="H611" s="198"/>
      <c r="I611" s="198"/>
      <c r="J611" s="198"/>
      <c r="K611" s="198"/>
      <c r="L611" s="198"/>
    </row>
    <row r="612">
      <c r="A612" s="198"/>
      <c r="B612" s="208" t="str">
        <f>vlookup(A612,Price!A:B,2,false)</f>
        <v>#N/A</v>
      </c>
      <c r="C612" s="198"/>
      <c r="D612" s="198"/>
      <c r="E612" s="198"/>
      <c r="F612" s="198"/>
      <c r="G612" s="198"/>
      <c r="H612" s="198"/>
      <c r="I612" s="198"/>
      <c r="J612" s="198"/>
      <c r="K612" s="198"/>
      <c r="L612" s="198"/>
    </row>
    <row r="613">
      <c r="A613" s="198"/>
      <c r="B613" s="208" t="str">
        <f>vlookup(A613,Price!A:B,2,false)</f>
        <v>#N/A</v>
      </c>
      <c r="C613" s="198"/>
      <c r="D613" s="198"/>
      <c r="E613" s="198"/>
      <c r="F613" s="198"/>
      <c r="G613" s="198"/>
      <c r="H613" s="198"/>
      <c r="I613" s="198"/>
      <c r="J613" s="198"/>
      <c r="K613" s="198"/>
      <c r="L613" s="198"/>
    </row>
    <row r="614">
      <c r="A614" s="198"/>
      <c r="B614" s="208" t="str">
        <f>vlookup(A614,Price!A:B,2,false)</f>
        <v>#N/A</v>
      </c>
      <c r="C614" s="198"/>
      <c r="D614" s="198"/>
      <c r="E614" s="198"/>
      <c r="F614" s="198"/>
      <c r="G614" s="198"/>
      <c r="H614" s="198"/>
      <c r="I614" s="198"/>
      <c r="J614" s="198"/>
      <c r="K614" s="198"/>
      <c r="L614" s="198"/>
    </row>
    <row r="615">
      <c r="A615" s="198"/>
      <c r="B615" s="208" t="str">
        <f>vlookup(A615,Price!A:B,2,false)</f>
        <v>#N/A</v>
      </c>
      <c r="C615" s="198"/>
      <c r="D615" s="198"/>
      <c r="E615" s="198"/>
      <c r="F615" s="198"/>
      <c r="G615" s="198"/>
      <c r="H615" s="198"/>
      <c r="I615" s="198"/>
      <c r="J615" s="198"/>
      <c r="K615" s="198"/>
      <c r="L615" s="198"/>
    </row>
    <row r="616">
      <c r="A616" s="198"/>
      <c r="B616" s="208" t="str">
        <f>vlookup(A616,Price!A:B,2,false)</f>
        <v>#N/A</v>
      </c>
      <c r="C616" s="198"/>
      <c r="D616" s="198"/>
      <c r="E616" s="198"/>
      <c r="F616" s="198"/>
      <c r="G616" s="198"/>
      <c r="H616" s="198"/>
      <c r="I616" s="198"/>
      <c r="J616" s="198"/>
      <c r="K616" s="198"/>
      <c r="L616" s="198"/>
    </row>
    <row r="617">
      <c r="A617" s="198"/>
      <c r="B617" s="208" t="str">
        <f>vlookup(A617,Price!A:B,2,false)</f>
        <v>#N/A</v>
      </c>
      <c r="C617" s="198"/>
      <c r="D617" s="198"/>
      <c r="E617" s="198"/>
      <c r="F617" s="198"/>
      <c r="G617" s="198"/>
      <c r="H617" s="198"/>
      <c r="I617" s="198"/>
      <c r="J617" s="198"/>
      <c r="K617" s="198"/>
      <c r="L617" s="198"/>
    </row>
    <row r="618">
      <c r="A618" s="198"/>
      <c r="B618" s="208" t="str">
        <f>vlookup(A618,Price!A:B,2,false)</f>
        <v>#N/A</v>
      </c>
      <c r="C618" s="198"/>
      <c r="D618" s="198"/>
      <c r="E618" s="198"/>
      <c r="F618" s="198"/>
      <c r="G618" s="198"/>
      <c r="H618" s="198"/>
      <c r="I618" s="198"/>
      <c r="J618" s="198"/>
      <c r="K618" s="198"/>
      <c r="L618" s="198"/>
    </row>
    <row r="619">
      <c r="A619" s="198"/>
      <c r="B619" s="208" t="str">
        <f>vlookup(A619,Price!A:B,2,false)</f>
        <v>#N/A</v>
      </c>
      <c r="C619" s="198"/>
      <c r="D619" s="198"/>
      <c r="E619" s="198"/>
      <c r="F619" s="198"/>
      <c r="G619" s="198"/>
      <c r="H619" s="198"/>
      <c r="I619" s="198"/>
      <c r="J619" s="198"/>
      <c r="K619" s="198"/>
      <c r="L619" s="198"/>
    </row>
    <row r="620">
      <c r="A620" s="198"/>
      <c r="B620" s="208" t="str">
        <f>vlookup(A620,Price!A:B,2,false)</f>
        <v>#N/A</v>
      </c>
      <c r="C620" s="198"/>
      <c r="D620" s="198"/>
      <c r="E620" s="198"/>
      <c r="F620" s="198"/>
      <c r="G620" s="198"/>
      <c r="H620" s="198"/>
      <c r="I620" s="198"/>
      <c r="J620" s="198"/>
      <c r="K620" s="198"/>
      <c r="L620" s="198"/>
    </row>
    <row r="621">
      <c r="A621" s="198"/>
      <c r="B621" s="208" t="str">
        <f>vlookup(A621,Price!A:B,2,false)</f>
        <v>#N/A</v>
      </c>
      <c r="C621" s="198"/>
      <c r="D621" s="198"/>
      <c r="E621" s="198"/>
      <c r="F621" s="198"/>
      <c r="G621" s="198"/>
      <c r="H621" s="198"/>
      <c r="I621" s="198"/>
      <c r="J621" s="198"/>
      <c r="K621" s="198"/>
      <c r="L621" s="198"/>
    </row>
    <row r="622">
      <c r="A622" s="198"/>
      <c r="B622" s="208" t="str">
        <f>vlookup(A622,Price!A:B,2,false)</f>
        <v>#N/A</v>
      </c>
      <c r="C622" s="198"/>
      <c r="D622" s="198"/>
      <c r="E622" s="198"/>
      <c r="F622" s="198"/>
      <c r="G622" s="198"/>
      <c r="H622" s="198"/>
      <c r="I622" s="198"/>
      <c r="J622" s="198"/>
      <c r="K622" s="198"/>
      <c r="L622" s="198"/>
    </row>
    <row r="623">
      <c r="A623" s="198"/>
      <c r="B623" s="208" t="str">
        <f>vlookup(A623,Price!A:B,2,false)</f>
        <v>#N/A</v>
      </c>
      <c r="C623" s="198"/>
      <c r="D623" s="198"/>
      <c r="E623" s="198"/>
      <c r="F623" s="198"/>
      <c r="G623" s="198"/>
      <c r="H623" s="198"/>
      <c r="I623" s="198"/>
      <c r="J623" s="198"/>
      <c r="K623" s="198"/>
      <c r="L623" s="198"/>
    </row>
    <row r="624">
      <c r="A624" s="198"/>
      <c r="B624" s="208" t="str">
        <f>vlookup(A624,Price!A:B,2,false)</f>
        <v>#N/A</v>
      </c>
      <c r="C624" s="198"/>
      <c r="D624" s="198"/>
      <c r="E624" s="198"/>
      <c r="F624" s="198"/>
      <c r="G624" s="198"/>
      <c r="H624" s="198"/>
      <c r="I624" s="198"/>
      <c r="J624" s="198"/>
      <c r="K624" s="198"/>
      <c r="L624" s="198"/>
    </row>
    <row r="625">
      <c r="A625" s="198"/>
      <c r="B625" s="208" t="str">
        <f>vlookup(A625,Price!A:B,2,false)</f>
        <v>#N/A</v>
      </c>
      <c r="C625" s="198"/>
      <c r="D625" s="198"/>
      <c r="E625" s="198"/>
      <c r="F625" s="198"/>
      <c r="G625" s="198"/>
      <c r="H625" s="198"/>
      <c r="I625" s="198"/>
      <c r="J625" s="198"/>
      <c r="K625" s="198"/>
      <c r="L625" s="198"/>
    </row>
    <row r="626">
      <c r="A626" s="198"/>
      <c r="B626" s="208" t="str">
        <f>vlookup(A626,Price!A:B,2,false)</f>
        <v>#N/A</v>
      </c>
      <c r="C626" s="198"/>
      <c r="D626" s="198"/>
      <c r="E626" s="198"/>
      <c r="F626" s="198"/>
      <c r="G626" s="198"/>
      <c r="H626" s="198"/>
      <c r="I626" s="198"/>
      <c r="J626" s="198"/>
      <c r="K626" s="198"/>
      <c r="L626" s="198"/>
    </row>
    <row r="627">
      <c r="A627" s="198"/>
      <c r="B627" s="208" t="str">
        <f>vlookup(A627,Price!A:B,2,false)</f>
        <v>#N/A</v>
      </c>
      <c r="C627" s="198"/>
      <c r="D627" s="198"/>
      <c r="E627" s="198"/>
      <c r="F627" s="198"/>
      <c r="G627" s="198"/>
      <c r="H627" s="198"/>
      <c r="I627" s="198"/>
      <c r="J627" s="198"/>
      <c r="K627" s="198"/>
      <c r="L627" s="198"/>
    </row>
    <row r="628">
      <c r="A628" s="198"/>
      <c r="B628" s="208" t="str">
        <f>vlookup(A628,Price!A:B,2,false)</f>
        <v>#N/A</v>
      </c>
      <c r="C628" s="198"/>
      <c r="D628" s="198"/>
      <c r="E628" s="198"/>
      <c r="F628" s="198"/>
      <c r="G628" s="198"/>
      <c r="H628" s="198"/>
      <c r="I628" s="198"/>
      <c r="J628" s="198"/>
      <c r="K628" s="198"/>
      <c r="L628" s="198"/>
    </row>
    <row r="629">
      <c r="A629" s="198"/>
      <c r="B629" s="208" t="str">
        <f>vlookup(A629,Price!A:B,2,false)</f>
        <v>#N/A</v>
      </c>
      <c r="C629" s="198"/>
      <c r="D629" s="198"/>
      <c r="E629" s="198"/>
      <c r="F629" s="198"/>
      <c r="G629" s="198"/>
      <c r="H629" s="198"/>
      <c r="I629" s="198"/>
      <c r="J629" s="198"/>
      <c r="K629" s="198"/>
      <c r="L629" s="198"/>
    </row>
    <row r="630">
      <c r="A630" s="198"/>
      <c r="B630" s="208" t="str">
        <f>vlookup(A630,Price!A:B,2,false)</f>
        <v>#N/A</v>
      </c>
      <c r="C630" s="198"/>
      <c r="D630" s="198"/>
      <c r="E630" s="198"/>
      <c r="F630" s="198"/>
      <c r="G630" s="198"/>
      <c r="H630" s="198"/>
      <c r="I630" s="198"/>
      <c r="J630" s="198"/>
      <c r="K630" s="198"/>
      <c r="L630" s="198"/>
    </row>
    <row r="631">
      <c r="A631" s="198"/>
      <c r="B631" s="208" t="str">
        <f>vlookup(A631,Price!A:B,2,false)</f>
        <v>#N/A</v>
      </c>
      <c r="C631" s="198"/>
      <c r="D631" s="198"/>
      <c r="E631" s="198"/>
      <c r="F631" s="198"/>
      <c r="G631" s="198"/>
      <c r="H631" s="198"/>
      <c r="I631" s="198"/>
      <c r="J631" s="198"/>
      <c r="K631" s="198"/>
      <c r="L631" s="198"/>
    </row>
    <row r="632">
      <c r="A632" s="198"/>
      <c r="B632" s="208" t="str">
        <f>vlookup(A632,Price!A:B,2,false)</f>
        <v>#N/A</v>
      </c>
      <c r="C632" s="198"/>
      <c r="D632" s="198"/>
      <c r="E632" s="198"/>
      <c r="F632" s="198"/>
      <c r="G632" s="198"/>
      <c r="H632" s="198"/>
      <c r="I632" s="198"/>
      <c r="J632" s="198"/>
      <c r="K632" s="198"/>
      <c r="L632" s="198"/>
    </row>
    <row r="633">
      <c r="A633" s="198"/>
      <c r="B633" s="208" t="str">
        <f>vlookup(A633,Price!A:B,2,false)</f>
        <v>#N/A</v>
      </c>
      <c r="C633" s="198"/>
      <c r="D633" s="198"/>
      <c r="E633" s="198"/>
      <c r="F633" s="198"/>
      <c r="G633" s="198"/>
      <c r="H633" s="198"/>
      <c r="I633" s="198"/>
      <c r="J633" s="198"/>
      <c r="K633" s="198"/>
      <c r="L633" s="198"/>
    </row>
    <row r="634">
      <c r="A634" s="198"/>
      <c r="B634" s="208" t="str">
        <f>vlookup(A634,Price!A:B,2,false)</f>
        <v>#N/A</v>
      </c>
      <c r="C634" s="198"/>
      <c r="D634" s="198"/>
      <c r="E634" s="198"/>
      <c r="F634" s="198"/>
      <c r="G634" s="198"/>
      <c r="H634" s="198"/>
      <c r="I634" s="198"/>
      <c r="J634" s="198"/>
      <c r="K634" s="198"/>
      <c r="L634" s="198"/>
    </row>
    <row r="635">
      <c r="A635" s="198"/>
      <c r="B635" s="208" t="str">
        <f>vlookup(A635,Price!A:B,2,false)</f>
        <v>#N/A</v>
      </c>
      <c r="C635" s="198"/>
      <c r="D635" s="198"/>
      <c r="E635" s="198"/>
      <c r="F635" s="198"/>
      <c r="G635" s="198"/>
      <c r="H635" s="198"/>
      <c r="I635" s="198"/>
      <c r="J635" s="198"/>
      <c r="K635" s="198"/>
      <c r="L635" s="198"/>
    </row>
    <row r="636">
      <c r="A636" s="198"/>
      <c r="B636" s="208" t="str">
        <f>vlookup(A636,Price!A:B,2,false)</f>
        <v>#N/A</v>
      </c>
      <c r="C636" s="198"/>
      <c r="D636" s="198"/>
      <c r="E636" s="198"/>
      <c r="F636" s="198"/>
      <c r="G636" s="198"/>
      <c r="H636" s="198"/>
      <c r="I636" s="198"/>
      <c r="J636" s="198"/>
      <c r="K636" s="198"/>
      <c r="L636" s="198"/>
    </row>
    <row r="637">
      <c r="A637" s="198"/>
      <c r="B637" s="208" t="str">
        <f>vlookup(A637,Price!A:B,2,false)</f>
        <v>#N/A</v>
      </c>
      <c r="C637" s="198"/>
      <c r="D637" s="198"/>
      <c r="E637" s="198"/>
      <c r="F637" s="198"/>
      <c r="G637" s="198"/>
      <c r="H637" s="198"/>
      <c r="I637" s="198"/>
      <c r="J637" s="198"/>
      <c r="K637" s="198"/>
      <c r="L637" s="198"/>
    </row>
    <row r="638">
      <c r="A638" s="198"/>
      <c r="B638" s="208" t="str">
        <f>vlookup(A638,Price!A:B,2,false)</f>
        <v>#N/A</v>
      </c>
      <c r="C638" s="198"/>
      <c r="D638" s="198"/>
      <c r="E638" s="198"/>
      <c r="F638" s="198"/>
      <c r="G638" s="198"/>
      <c r="H638" s="198"/>
      <c r="I638" s="198"/>
      <c r="J638" s="198"/>
      <c r="K638" s="198"/>
      <c r="L638" s="198"/>
    </row>
    <row r="639">
      <c r="A639" s="198"/>
      <c r="B639" s="208" t="str">
        <f>vlookup(A639,Price!A:B,2,false)</f>
        <v>#N/A</v>
      </c>
      <c r="C639" s="198"/>
      <c r="D639" s="198"/>
      <c r="E639" s="198"/>
      <c r="F639" s="198"/>
      <c r="G639" s="198"/>
      <c r="H639" s="198"/>
      <c r="I639" s="198"/>
      <c r="J639" s="198"/>
      <c r="K639" s="198"/>
      <c r="L639" s="198"/>
    </row>
    <row r="640">
      <c r="A640" s="198"/>
      <c r="B640" s="208" t="str">
        <f>vlookup(A640,Price!A:B,2,false)</f>
        <v>#N/A</v>
      </c>
      <c r="C640" s="198"/>
      <c r="D640" s="198"/>
      <c r="E640" s="198"/>
      <c r="F640" s="198"/>
      <c r="G640" s="198"/>
      <c r="H640" s="198"/>
      <c r="I640" s="198"/>
      <c r="J640" s="198"/>
      <c r="K640" s="198"/>
      <c r="L640" s="198"/>
    </row>
    <row r="641">
      <c r="A641" s="198"/>
      <c r="B641" s="208" t="str">
        <f>vlookup(A641,Price!A:B,2,false)</f>
        <v>#N/A</v>
      </c>
      <c r="C641" s="198"/>
      <c r="D641" s="198"/>
      <c r="E641" s="198"/>
      <c r="F641" s="198"/>
      <c r="G641" s="198"/>
      <c r="H641" s="198"/>
      <c r="I641" s="198"/>
      <c r="J641" s="198"/>
      <c r="K641" s="198"/>
      <c r="L641" s="198"/>
    </row>
    <row r="642">
      <c r="A642" s="198"/>
      <c r="B642" s="208" t="str">
        <f>vlookup(A642,Price!A:B,2,false)</f>
        <v>#N/A</v>
      </c>
      <c r="C642" s="198"/>
      <c r="D642" s="198"/>
      <c r="E642" s="198"/>
      <c r="F642" s="198"/>
      <c r="G642" s="198"/>
      <c r="H642" s="198"/>
      <c r="I642" s="198"/>
      <c r="J642" s="198"/>
      <c r="K642" s="198"/>
      <c r="L642" s="198"/>
    </row>
    <row r="643">
      <c r="A643" s="198"/>
      <c r="B643" s="208" t="str">
        <f>vlookup(A643,Price!A:B,2,false)</f>
        <v>#N/A</v>
      </c>
      <c r="C643" s="198"/>
      <c r="D643" s="198"/>
      <c r="E643" s="198"/>
      <c r="F643" s="198"/>
      <c r="G643" s="198"/>
      <c r="H643" s="198"/>
      <c r="I643" s="198"/>
      <c r="J643" s="198"/>
      <c r="K643" s="198"/>
      <c r="L643" s="198"/>
    </row>
    <row r="644">
      <c r="A644" s="198"/>
      <c r="B644" s="208" t="str">
        <f>vlookup(A644,Price!A:B,2,false)</f>
        <v>#N/A</v>
      </c>
      <c r="C644" s="198"/>
      <c r="D644" s="198"/>
      <c r="E644" s="198"/>
      <c r="F644" s="198"/>
      <c r="G644" s="198"/>
      <c r="H644" s="198"/>
      <c r="I644" s="198"/>
      <c r="J644" s="198"/>
      <c r="K644" s="198"/>
      <c r="L644" s="198"/>
    </row>
    <row r="645">
      <c r="A645" s="198"/>
      <c r="B645" s="208" t="str">
        <f>vlookup(A645,Price!A:B,2,false)</f>
        <v>#N/A</v>
      </c>
      <c r="C645" s="198"/>
      <c r="D645" s="198"/>
      <c r="E645" s="198"/>
      <c r="F645" s="198"/>
      <c r="G645" s="198"/>
      <c r="H645" s="198"/>
      <c r="I645" s="198"/>
      <c r="J645" s="198"/>
      <c r="K645" s="198"/>
      <c r="L645" s="198"/>
    </row>
    <row r="646">
      <c r="A646" s="198"/>
      <c r="B646" s="208" t="str">
        <f>vlookup(A646,Price!A:B,2,false)</f>
        <v>#N/A</v>
      </c>
      <c r="C646" s="198"/>
      <c r="D646" s="198"/>
      <c r="E646" s="198"/>
      <c r="F646" s="198"/>
      <c r="G646" s="198"/>
      <c r="H646" s="198"/>
      <c r="I646" s="198"/>
      <c r="J646" s="198"/>
      <c r="K646" s="198"/>
      <c r="L646" s="198"/>
    </row>
    <row r="647">
      <c r="A647" s="198"/>
      <c r="B647" s="208" t="str">
        <f>vlookup(A647,Price!A:B,2,false)</f>
        <v>#N/A</v>
      </c>
      <c r="C647" s="198"/>
      <c r="D647" s="198"/>
      <c r="E647" s="198"/>
      <c r="F647" s="198"/>
      <c r="G647" s="198"/>
      <c r="H647" s="198"/>
      <c r="I647" s="198"/>
      <c r="J647" s="198"/>
      <c r="K647" s="198"/>
      <c r="L647" s="198"/>
    </row>
    <row r="648">
      <c r="A648" s="198"/>
      <c r="B648" s="208" t="str">
        <f>vlookup(A648,Price!A:B,2,false)</f>
        <v>#N/A</v>
      </c>
      <c r="C648" s="198"/>
      <c r="D648" s="198"/>
      <c r="E648" s="198"/>
      <c r="F648" s="198"/>
      <c r="G648" s="198"/>
      <c r="H648" s="198"/>
      <c r="I648" s="198"/>
      <c r="J648" s="198"/>
      <c r="K648" s="198"/>
      <c r="L648" s="198"/>
    </row>
    <row r="649">
      <c r="A649" s="198"/>
      <c r="B649" s="208" t="str">
        <f>vlookup(A649,Price!A:B,2,false)</f>
        <v>#N/A</v>
      </c>
      <c r="C649" s="198"/>
      <c r="D649" s="198"/>
      <c r="E649" s="198"/>
      <c r="F649" s="198"/>
      <c r="G649" s="198"/>
      <c r="H649" s="198"/>
      <c r="I649" s="198"/>
      <c r="J649" s="198"/>
      <c r="K649" s="198"/>
      <c r="L649" s="198"/>
    </row>
    <row r="650">
      <c r="A650" s="198"/>
      <c r="B650" s="208" t="str">
        <f>vlookup(A650,Price!A:B,2,false)</f>
        <v>#N/A</v>
      </c>
      <c r="C650" s="198"/>
      <c r="D650" s="198"/>
      <c r="E650" s="198"/>
      <c r="F650" s="198"/>
      <c r="G650" s="198"/>
      <c r="H650" s="198"/>
      <c r="I650" s="198"/>
      <c r="J650" s="198"/>
      <c r="K650" s="198"/>
      <c r="L650" s="198"/>
    </row>
    <row r="651">
      <c r="A651" s="198"/>
      <c r="B651" s="208" t="str">
        <f>vlookup(A651,Price!A:B,2,false)</f>
        <v>#N/A</v>
      </c>
      <c r="C651" s="198"/>
      <c r="D651" s="198"/>
      <c r="E651" s="198"/>
      <c r="F651" s="198"/>
      <c r="G651" s="198"/>
      <c r="H651" s="198"/>
      <c r="I651" s="198"/>
      <c r="J651" s="198"/>
      <c r="K651" s="198"/>
      <c r="L651" s="198"/>
    </row>
    <row r="652">
      <c r="A652" s="198"/>
      <c r="B652" s="208" t="str">
        <f>vlookup(A652,Price!A:B,2,false)</f>
        <v>#N/A</v>
      </c>
      <c r="C652" s="198"/>
      <c r="D652" s="198"/>
      <c r="E652" s="198"/>
      <c r="F652" s="198"/>
      <c r="G652" s="198"/>
      <c r="H652" s="198"/>
      <c r="I652" s="198"/>
      <c r="J652" s="198"/>
      <c r="K652" s="198"/>
      <c r="L652" s="198"/>
    </row>
    <row r="653">
      <c r="A653" s="198"/>
      <c r="B653" s="208" t="str">
        <f>vlookup(A653,Price!A:B,2,false)</f>
        <v>#N/A</v>
      </c>
      <c r="C653" s="198"/>
      <c r="D653" s="198"/>
      <c r="E653" s="198"/>
      <c r="F653" s="198"/>
      <c r="G653" s="198"/>
      <c r="H653" s="198"/>
      <c r="I653" s="198"/>
      <c r="J653" s="198"/>
      <c r="K653" s="198"/>
      <c r="L653" s="198"/>
    </row>
    <row r="654">
      <c r="A654" s="198"/>
      <c r="B654" s="208" t="str">
        <f>vlookup(A654,Price!A:B,2,false)</f>
        <v>#N/A</v>
      </c>
      <c r="C654" s="198"/>
      <c r="D654" s="198"/>
      <c r="E654" s="198"/>
      <c r="F654" s="198"/>
      <c r="G654" s="198"/>
      <c r="H654" s="198"/>
      <c r="I654" s="198"/>
      <c r="J654" s="198"/>
      <c r="K654" s="198"/>
      <c r="L654" s="198"/>
    </row>
    <row r="655">
      <c r="A655" s="198"/>
      <c r="B655" s="208" t="str">
        <f>vlookup(A655,Price!A:B,2,false)</f>
        <v>#N/A</v>
      </c>
      <c r="C655" s="198"/>
      <c r="D655" s="198"/>
      <c r="E655" s="198"/>
      <c r="F655" s="198"/>
      <c r="G655" s="198"/>
      <c r="H655" s="198"/>
      <c r="I655" s="198"/>
      <c r="J655" s="198"/>
      <c r="K655" s="198"/>
      <c r="L655" s="198"/>
    </row>
    <row r="656">
      <c r="A656" s="198"/>
      <c r="B656" s="208" t="str">
        <f>vlookup(A656,Price!A:B,2,false)</f>
        <v>#N/A</v>
      </c>
      <c r="C656" s="198"/>
      <c r="D656" s="198"/>
      <c r="E656" s="198"/>
      <c r="F656" s="198"/>
      <c r="G656" s="198"/>
      <c r="H656" s="198"/>
      <c r="I656" s="198"/>
      <c r="J656" s="198"/>
      <c r="K656" s="198"/>
      <c r="L656" s="198"/>
    </row>
    <row r="657">
      <c r="A657" s="198"/>
      <c r="B657" s="208" t="str">
        <f>vlookup(A657,Price!A:B,2,false)</f>
        <v>#N/A</v>
      </c>
      <c r="C657" s="198"/>
      <c r="D657" s="198"/>
      <c r="E657" s="198"/>
      <c r="F657" s="198"/>
      <c r="G657" s="198"/>
      <c r="H657" s="198"/>
      <c r="I657" s="198"/>
      <c r="J657" s="198"/>
      <c r="K657" s="198"/>
      <c r="L657" s="198"/>
    </row>
    <row r="658">
      <c r="A658" s="198"/>
      <c r="B658" s="208" t="str">
        <f>vlookup(A658,Price!A:B,2,false)</f>
        <v>#N/A</v>
      </c>
      <c r="C658" s="198"/>
      <c r="D658" s="198"/>
      <c r="E658" s="198"/>
      <c r="F658" s="198"/>
      <c r="G658" s="198"/>
      <c r="H658" s="198"/>
      <c r="I658" s="198"/>
      <c r="J658" s="198"/>
      <c r="K658" s="198"/>
      <c r="L658" s="198"/>
    </row>
    <row r="659">
      <c r="A659" s="198"/>
      <c r="B659" s="208" t="str">
        <f>vlookup(A659,Price!A:B,2,false)</f>
        <v>#N/A</v>
      </c>
      <c r="C659" s="198"/>
      <c r="D659" s="198"/>
      <c r="E659" s="198"/>
      <c r="F659" s="198"/>
      <c r="G659" s="198"/>
      <c r="H659" s="198"/>
      <c r="I659" s="198"/>
      <c r="J659" s="198"/>
      <c r="K659" s="198"/>
      <c r="L659" s="198"/>
    </row>
    <row r="660">
      <c r="A660" s="198"/>
      <c r="B660" s="208" t="str">
        <f>vlookup(A660,Price!A:B,2,false)</f>
        <v>#N/A</v>
      </c>
      <c r="C660" s="198"/>
      <c r="D660" s="198"/>
      <c r="E660" s="198"/>
      <c r="F660" s="198"/>
      <c r="G660" s="198"/>
      <c r="H660" s="198"/>
      <c r="I660" s="198"/>
      <c r="J660" s="198"/>
      <c r="K660" s="198"/>
      <c r="L660" s="198"/>
    </row>
    <row r="661">
      <c r="A661" s="198"/>
      <c r="B661" s="208" t="str">
        <f>vlookup(A661,Price!A:B,2,false)</f>
        <v>#N/A</v>
      </c>
      <c r="C661" s="198"/>
      <c r="D661" s="198"/>
      <c r="E661" s="198"/>
      <c r="F661" s="198"/>
      <c r="G661" s="198"/>
      <c r="H661" s="198"/>
      <c r="I661" s="198"/>
      <c r="J661" s="198"/>
      <c r="K661" s="198"/>
      <c r="L661" s="198"/>
    </row>
    <row r="662">
      <c r="A662" s="198"/>
      <c r="B662" s="208" t="str">
        <f>vlookup(A662,Price!A:B,2,false)</f>
        <v>#N/A</v>
      </c>
      <c r="C662" s="198"/>
      <c r="D662" s="198"/>
      <c r="E662" s="198"/>
      <c r="F662" s="198"/>
      <c r="G662" s="198"/>
      <c r="H662" s="198"/>
      <c r="I662" s="198"/>
      <c r="J662" s="198"/>
      <c r="K662" s="198"/>
      <c r="L662" s="198"/>
    </row>
    <row r="663">
      <c r="A663" s="198"/>
      <c r="B663" s="208" t="str">
        <f>vlookup(A663,Price!A:B,2,false)</f>
        <v>#N/A</v>
      </c>
      <c r="C663" s="198"/>
      <c r="D663" s="198"/>
      <c r="E663" s="198"/>
      <c r="F663" s="198"/>
      <c r="G663" s="198"/>
      <c r="H663" s="198"/>
      <c r="I663" s="198"/>
      <c r="J663" s="198"/>
      <c r="K663" s="198"/>
      <c r="L663" s="198"/>
    </row>
    <row r="664">
      <c r="A664" s="198"/>
      <c r="B664" s="208" t="str">
        <f>vlookup(A664,Price!A:B,2,false)</f>
        <v>#N/A</v>
      </c>
      <c r="C664" s="198"/>
      <c r="D664" s="198"/>
      <c r="E664" s="198"/>
      <c r="F664" s="198"/>
      <c r="G664" s="198"/>
      <c r="H664" s="198"/>
      <c r="I664" s="198"/>
      <c r="J664" s="198"/>
      <c r="K664" s="198"/>
      <c r="L664" s="198"/>
    </row>
    <row r="665">
      <c r="A665" s="198"/>
      <c r="B665" s="208" t="str">
        <f>vlookup(A665,Price!A:B,2,false)</f>
        <v>#N/A</v>
      </c>
      <c r="C665" s="198"/>
      <c r="D665" s="198"/>
      <c r="E665" s="198"/>
      <c r="F665" s="198"/>
      <c r="G665" s="198"/>
      <c r="H665" s="198"/>
      <c r="I665" s="198"/>
      <c r="J665" s="198"/>
      <c r="K665" s="198"/>
      <c r="L665" s="198"/>
    </row>
    <row r="666">
      <c r="A666" s="198"/>
      <c r="B666" s="208" t="str">
        <f>vlookup(A666,Price!A:B,2,false)</f>
        <v>#N/A</v>
      </c>
      <c r="C666" s="198"/>
      <c r="D666" s="198"/>
      <c r="E666" s="198"/>
      <c r="F666" s="198"/>
      <c r="G666" s="198"/>
      <c r="H666" s="198"/>
      <c r="I666" s="198"/>
      <c r="J666" s="198"/>
      <c r="K666" s="198"/>
      <c r="L666" s="198"/>
    </row>
    <row r="667">
      <c r="A667" s="198"/>
      <c r="B667" s="208" t="str">
        <f>vlookup(A667,Price!A:B,2,false)</f>
        <v>#N/A</v>
      </c>
      <c r="C667" s="198"/>
      <c r="D667" s="198"/>
      <c r="E667" s="198"/>
      <c r="F667" s="198"/>
      <c r="G667" s="198"/>
      <c r="H667" s="198"/>
      <c r="I667" s="198"/>
      <c r="J667" s="198"/>
      <c r="K667" s="198"/>
      <c r="L667" s="198"/>
    </row>
    <row r="668">
      <c r="A668" s="198"/>
      <c r="B668" s="208" t="str">
        <f>vlookup(A668,Price!A:B,2,false)</f>
        <v>#N/A</v>
      </c>
      <c r="C668" s="198"/>
      <c r="D668" s="198"/>
      <c r="E668" s="198"/>
      <c r="F668" s="198"/>
      <c r="G668" s="198"/>
      <c r="H668" s="198"/>
      <c r="I668" s="198"/>
      <c r="J668" s="198"/>
      <c r="K668" s="198"/>
      <c r="L668" s="198"/>
    </row>
    <row r="669">
      <c r="A669" s="198"/>
      <c r="B669" s="208" t="str">
        <f>vlookup(A669,Price!A:B,2,false)</f>
        <v>#N/A</v>
      </c>
      <c r="C669" s="198"/>
      <c r="D669" s="198"/>
      <c r="E669" s="198"/>
      <c r="F669" s="198"/>
      <c r="G669" s="198"/>
      <c r="H669" s="198"/>
      <c r="I669" s="198"/>
      <c r="J669" s="198"/>
      <c r="K669" s="198"/>
      <c r="L669" s="198"/>
    </row>
    <row r="670">
      <c r="A670" s="198"/>
      <c r="B670" s="208" t="str">
        <f>vlookup(A670,Price!A:B,2,false)</f>
        <v>#N/A</v>
      </c>
      <c r="C670" s="198"/>
      <c r="D670" s="198"/>
      <c r="E670" s="198"/>
      <c r="F670" s="198"/>
      <c r="G670" s="198"/>
      <c r="H670" s="198"/>
      <c r="I670" s="198"/>
      <c r="J670" s="198"/>
      <c r="K670" s="198"/>
      <c r="L670" s="198"/>
    </row>
    <row r="671">
      <c r="A671" s="198"/>
      <c r="B671" s="208" t="str">
        <f>vlookup(A671,Price!A:B,2,false)</f>
        <v>#N/A</v>
      </c>
      <c r="C671" s="198"/>
      <c r="D671" s="198"/>
      <c r="E671" s="198"/>
      <c r="F671" s="198"/>
      <c r="G671" s="198"/>
      <c r="H671" s="198"/>
      <c r="I671" s="198"/>
      <c r="J671" s="198"/>
      <c r="K671" s="198"/>
      <c r="L671" s="198"/>
    </row>
    <row r="672">
      <c r="A672" s="198"/>
      <c r="B672" s="208" t="str">
        <f>vlookup(A672,Price!A:B,2,false)</f>
        <v>#N/A</v>
      </c>
      <c r="C672" s="198"/>
      <c r="D672" s="198"/>
      <c r="E672" s="198"/>
      <c r="F672" s="198"/>
      <c r="G672" s="198"/>
      <c r="H672" s="198"/>
      <c r="I672" s="198"/>
      <c r="J672" s="198"/>
      <c r="K672" s="198"/>
      <c r="L672" s="198"/>
    </row>
    <row r="673">
      <c r="A673" s="198"/>
      <c r="B673" s="208" t="str">
        <f>vlookup(A673,Price!A:B,2,false)</f>
        <v>#N/A</v>
      </c>
      <c r="C673" s="198"/>
      <c r="D673" s="198"/>
      <c r="E673" s="198"/>
      <c r="F673" s="198"/>
      <c r="G673" s="198"/>
      <c r="H673" s="198"/>
      <c r="I673" s="198"/>
      <c r="J673" s="198"/>
      <c r="K673" s="198"/>
      <c r="L673" s="198"/>
    </row>
    <row r="674">
      <c r="A674" s="198"/>
      <c r="B674" s="208" t="str">
        <f>vlookup(A674,Price!A:B,2,false)</f>
        <v>#N/A</v>
      </c>
      <c r="C674" s="198"/>
      <c r="D674" s="198"/>
      <c r="E674" s="198"/>
      <c r="F674" s="198"/>
      <c r="G674" s="198"/>
      <c r="H674" s="198"/>
      <c r="I674" s="198"/>
      <c r="J674" s="198"/>
      <c r="K674" s="198"/>
      <c r="L674" s="198"/>
    </row>
    <row r="675">
      <c r="A675" s="198"/>
      <c r="B675" s="208" t="str">
        <f>vlookup(A675,Price!A:B,2,false)</f>
        <v>#N/A</v>
      </c>
      <c r="C675" s="198"/>
      <c r="D675" s="198"/>
      <c r="E675" s="198"/>
      <c r="F675" s="198"/>
      <c r="G675" s="198"/>
      <c r="H675" s="198"/>
      <c r="I675" s="198"/>
      <c r="J675" s="198"/>
      <c r="K675" s="198"/>
      <c r="L675" s="198"/>
    </row>
    <row r="676">
      <c r="A676" s="198"/>
      <c r="B676" s="208" t="str">
        <f>vlookup(A676,Price!A:B,2,false)</f>
        <v>#N/A</v>
      </c>
      <c r="C676" s="198"/>
      <c r="D676" s="198"/>
      <c r="E676" s="198"/>
      <c r="F676" s="198"/>
      <c r="G676" s="198"/>
      <c r="H676" s="198"/>
      <c r="I676" s="198"/>
      <c r="J676" s="198"/>
      <c r="K676" s="198"/>
      <c r="L676" s="198"/>
    </row>
    <row r="677">
      <c r="A677" s="198"/>
      <c r="B677" s="208" t="str">
        <f>vlookup(A677,Price!A:B,2,false)</f>
        <v>#N/A</v>
      </c>
      <c r="C677" s="198"/>
      <c r="D677" s="198"/>
      <c r="E677" s="198"/>
      <c r="F677" s="198"/>
      <c r="G677" s="198"/>
      <c r="H677" s="198"/>
      <c r="I677" s="198"/>
      <c r="J677" s="198"/>
      <c r="K677" s="198"/>
      <c r="L677" s="198"/>
    </row>
    <row r="678">
      <c r="A678" s="198"/>
      <c r="B678" s="208" t="str">
        <f>vlookup(A678,Price!A:B,2,false)</f>
        <v>#N/A</v>
      </c>
      <c r="C678" s="198"/>
      <c r="D678" s="198"/>
      <c r="E678" s="198"/>
      <c r="F678" s="198"/>
      <c r="G678" s="198"/>
      <c r="H678" s="198"/>
      <c r="I678" s="198"/>
      <c r="J678" s="198"/>
      <c r="K678" s="198"/>
      <c r="L678" s="198"/>
    </row>
    <row r="679">
      <c r="A679" s="198"/>
      <c r="B679" s="208" t="str">
        <f>vlookup(A679,Price!A:B,2,false)</f>
        <v>#N/A</v>
      </c>
      <c r="C679" s="198"/>
      <c r="D679" s="198"/>
      <c r="E679" s="198"/>
      <c r="F679" s="198"/>
      <c r="G679" s="198"/>
      <c r="H679" s="198"/>
      <c r="I679" s="198"/>
      <c r="J679" s="198"/>
      <c r="K679" s="198"/>
      <c r="L679" s="198"/>
    </row>
    <row r="680">
      <c r="A680" s="198"/>
      <c r="B680" s="208" t="str">
        <f>vlookup(A680,Price!A:B,2,false)</f>
        <v>#N/A</v>
      </c>
      <c r="C680" s="198"/>
      <c r="D680" s="198"/>
      <c r="E680" s="198"/>
      <c r="F680" s="198"/>
      <c r="G680" s="198"/>
      <c r="H680" s="198"/>
      <c r="I680" s="198"/>
      <c r="J680" s="198"/>
      <c r="K680" s="198"/>
      <c r="L680" s="198"/>
    </row>
    <row r="681">
      <c r="A681" s="198"/>
      <c r="B681" s="208" t="str">
        <f>vlookup(A681,Price!A:B,2,false)</f>
        <v>#N/A</v>
      </c>
      <c r="C681" s="198"/>
      <c r="D681" s="198"/>
      <c r="E681" s="198"/>
      <c r="F681" s="198"/>
      <c r="G681" s="198"/>
      <c r="H681" s="198"/>
      <c r="I681" s="198"/>
      <c r="J681" s="198"/>
      <c r="K681" s="198"/>
      <c r="L681" s="198"/>
    </row>
    <row r="682">
      <c r="A682" s="198"/>
      <c r="B682" s="208" t="str">
        <f>vlookup(A682,Price!A:B,2,false)</f>
        <v>#N/A</v>
      </c>
      <c r="C682" s="198"/>
      <c r="D682" s="198"/>
      <c r="E682" s="198"/>
      <c r="F682" s="198"/>
      <c r="G682" s="198"/>
      <c r="H682" s="198"/>
      <c r="I682" s="198"/>
      <c r="J682" s="198"/>
      <c r="K682" s="198"/>
      <c r="L682" s="198"/>
    </row>
    <row r="683">
      <c r="A683" s="198"/>
      <c r="B683" s="208" t="str">
        <f>vlookup(A683,Price!A:B,2,false)</f>
        <v>#N/A</v>
      </c>
      <c r="C683" s="198"/>
      <c r="D683" s="198"/>
      <c r="E683" s="198"/>
      <c r="F683" s="198"/>
      <c r="G683" s="198"/>
      <c r="H683" s="198"/>
      <c r="I683" s="198"/>
      <c r="J683" s="198"/>
      <c r="K683" s="198"/>
      <c r="L683" s="198"/>
    </row>
    <row r="684">
      <c r="A684" s="198"/>
      <c r="B684" s="208" t="str">
        <f>vlookup(A684,Price!A:B,2,false)</f>
        <v>#N/A</v>
      </c>
      <c r="C684" s="198"/>
      <c r="D684" s="198"/>
      <c r="E684" s="198"/>
      <c r="F684" s="198"/>
      <c r="G684" s="198"/>
      <c r="H684" s="198"/>
      <c r="I684" s="198"/>
      <c r="J684" s="198"/>
      <c r="K684" s="198"/>
      <c r="L684" s="198"/>
    </row>
    <row r="685">
      <c r="A685" s="198"/>
      <c r="B685" s="208" t="str">
        <f>vlookup(A685,Price!A:B,2,false)</f>
        <v>#N/A</v>
      </c>
      <c r="C685" s="198"/>
      <c r="D685" s="198"/>
      <c r="E685" s="198"/>
      <c r="F685" s="198"/>
      <c r="G685" s="198"/>
      <c r="H685" s="198"/>
      <c r="I685" s="198"/>
      <c r="J685" s="198"/>
      <c r="K685" s="198"/>
      <c r="L685" s="198"/>
    </row>
    <row r="686">
      <c r="A686" s="198"/>
      <c r="B686" s="208" t="str">
        <f>vlookup(A686,Price!A:B,2,false)</f>
        <v>#N/A</v>
      </c>
      <c r="C686" s="198"/>
      <c r="D686" s="198"/>
      <c r="E686" s="198"/>
      <c r="F686" s="198"/>
      <c r="G686" s="198"/>
      <c r="H686" s="198"/>
      <c r="I686" s="198"/>
      <c r="J686" s="198"/>
      <c r="K686" s="198"/>
      <c r="L686" s="198"/>
    </row>
    <row r="687">
      <c r="A687" s="198"/>
      <c r="B687" s="208" t="str">
        <f>vlookup(A687,Price!A:B,2,false)</f>
        <v>#N/A</v>
      </c>
      <c r="C687" s="198"/>
      <c r="D687" s="198"/>
      <c r="E687" s="198"/>
      <c r="F687" s="198"/>
      <c r="G687" s="198"/>
      <c r="H687" s="198"/>
      <c r="I687" s="198"/>
      <c r="J687" s="198"/>
      <c r="K687" s="198"/>
      <c r="L687" s="198"/>
    </row>
    <row r="688">
      <c r="A688" s="198"/>
      <c r="B688" s="208" t="str">
        <f>vlookup(A688,Price!A:B,2,false)</f>
        <v>#N/A</v>
      </c>
      <c r="C688" s="198"/>
      <c r="D688" s="198"/>
      <c r="E688" s="198"/>
      <c r="F688" s="198"/>
      <c r="G688" s="198"/>
      <c r="H688" s="198"/>
      <c r="I688" s="198"/>
      <c r="J688" s="198"/>
      <c r="K688" s="198"/>
      <c r="L688" s="198"/>
    </row>
    <row r="689">
      <c r="A689" s="198"/>
      <c r="B689" s="208" t="str">
        <f>vlookup(A689,Price!A:B,2,false)</f>
        <v>#N/A</v>
      </c>
      <c r="C689" s="198"/>
      <c r="D689" s="198"/>
      <c r="E689" s="198"/>
      <c r="F689" s="198"/>
      <c r="G689" s="198"/>
      <c r="H689" s="198"/>
      <c r="I689" s="198"/>
      <c r="J689" s="198"/>
      <c r="K689" s="198"/>
      <c r="L689" s="198"/>
    </row>
    <row r="690">
      <c r="A690" s="198"/>
      <c r="B690" s="208" t="str">
        <f>vlookup(A690,Price!A:B,2,false)</f>
        <v>#N/A</v>
      </c>
      <c r="C690" s="198"/>
      <c r="D690" s="198"/>
      <c r="E690" s="198"/>
      <c r="F690" s="198"/>
      <c r="G690" s="198"/>
      <c r="H690" s="198"/>
      <c r="I690" s="198"/>
      <c r="J690" s="198"/>
      <c r="K690" s="198"/>
      <c r="L690" s="198"/>
    </row>
    <row r="691">
      <c r="A691" s="198"/>
      <c r="B691" s="208" t="str">
        <f>vlookup(A691,Price!A:B,2,false)</f>
        <v>#N/A</v>
      </c>
      <c r="C691" s="198"/>
      <c r="D691" s="198"/>
      <c r="E691" s="198"/>
      <c r="F691" s="198"/>
      <c r="G691" s="198"/>
      <c r="H691" s="198"/>
      <c r="I691" s="198"/>
      <c r="J691" s="198"/>
      <c r="K691" s="198"/>
      <c r="L691" s="198"/>
    </row>
    <row r="692">
      <c r="A692" s="198"/>
      <c r="B692" s="208" t="str">
        <f>vlookup(A692,Price!A:B,2,false)</f>
        <v>#N/A</v>
      </c>
      <c r="C692" s="198"/>
      <c r="D692" s="198"/>
      <c r="E692" s="198"/>
      <c r="F692" s="198"/>
      <c r="G692" s="198"/>
      <c r="H692" s="198"/>
      <c r="I692" s="198"/>
      <c r="J692" s="198"/>
      <c r="K692" s="198"/>
      <c r="L692" s="198"/>
    </row>
    <row r="693">
      <c r="A693" s="198"/>
      <c r="B693" s="208" t="str">
        <f>vlookup(A693,Price!A:B,2,false)</f>
        <v>#N/A</v>
      </c>
      <c r="C693" s="198"/>
      <c r="D693" s="198"/>
      <c r="E693" s="198"/>
      <c r="F693" s="198"/>
      <c r="G693" s="198"/>
      <c r="H693" s="198"/>
      <c r="I693" s="198"/>
      <c r="J693" s="198"/>
      <c r="K693" s="198"/>
      <c r="L693" s="198"/>
    </row>
    <row r="694">
      <c r="A694" s="198"/>
      <c r="B694" s="208" t="str">
        <f>vlookup(A694,Price!A:B,2,false)</f>
        <v>#N/A</v>
      </c>
      <c r="C694" s="198"/>
      <c r="D694" s="198"/>
      <c r="E694" s="198"/>
      <c r="F694" s="198"/>
      <c r="G694" s="198"/>
      <c r="H694" s="198"/>
      <c r="I694" s="198"/>
      <c r="J694" s="198"/>
      <c r="K694" s="198"/>
      <c r="L694" s="198"/>
    </row>
    <row r="695">
      <c r="A695" s="198"/>
      <c r="B695" s="208" t="str">
        <f>vlookup(A695,Price!A:B,2,false)</f>
        <v>#N/A</v>
      </c>
      <c r="C695" s="198"/>
      <c r="D695" s="198"/>
      <c r="E695" s="198"/>
      <c r="F695" s="198"/>
      <c r="G695" s="198"/>
      <c r="H695" s="198"/>
      <c r="I695" s="198"/>
      <c r="J695" s="198"/>
      <c r="K695" s="198"/>
      <c r="L695" s="198"/>
    </row>
    <row r="696">
      <c r="A696" s="198"/>
      <c r="B696" s="208" t="str">
        <f>vlookup(A696,Price!A:B,2,false)</f>
        <v>#N/A</v>
      </c>
      <c r="C696" s="198"/>
      <c r="D696" s="198"/>
      <c r="E696" s="198"/>
      <c r="F696" s="198"/>
      <c r="G696" s="198"/>
      <c r="H696" s="198"/>
      <c r="I696" s="198"/>
      <c r="J696" s="198"/>
      <c r="K696" s="198"/>
      <c r="L696" s="198"/>
    </row>
    <row r="697">
      <c r="A697" s="198"/>
      <c r="B697" s="208" t="str">
        <f>vlookup(A697,Price!A:B,2,false)</f>
        <v>#N/A</v>
      </c>
      <c r="C697" s="198"/>
      <c r="D697" s="198"/>
      <c r="E697" s="198"/>
      <c r="F697" s="198"/>
      <c r="G697" s="198"/>
      <c r="H697" s="198"/>
      <c r="I697" s="198"/>
      <c r="J697" s="198"/>
      <c r="K697" s="198"/>
      <c r="L697" s="198"/>
    </row>
    <row r="698">
      <c r="A698" s="198"/>
      <c r="B698" s="208" t="str">
        <f>vlookup(A698,Price!A:B,2,false)</f>
        <v>#N/A</v>
      </c>
      <c r="C698" s="198"/>
      <c r="D698" s="198"/>
      <c r="E698" s="198"/>
      <c r="F698" s="198"/>
      <c r="G698" s="198"/>
      <c r="H698" s="198"/>
      <c r="I698" s="198"/>
      <c r="J698" s="198"/>
      <c r="K698" s="198"/>
      <c r="L698" s="198"/>
    </row>
    <row r="699">
      <c r="A699" s="198"/>
      <c r="B699" s="208" t="str">
        <f>vlookup(A699,Price!A:B,2,false)</f>
        <v>#N/A</v>
      </c>
      <c r="C699" s="198"/>
      <c r="D699" s="198"/>
      <c r="E699" s="198"/>
      <c r="F699" s="198"/>
      <c r="G699" s="198"/>
      <c r="H699" s="198"/>
      <c r="I699" s="198"/>
      <c r="J699" s="198"/>
      <c r="K699" s="198"/>
      <c r="L699" s="198"/>
    </row>
    <row r="700">
      <c r="A700" s="198"/>
      <c r="B700" s="208" t="str">
        <f>vlookup(A700,Price!A:B,2,false)</f>
        <v>#N/A</v>
      </c>
      <c r="C700" s="198"/>
      <c r="D700" s="198"/>
      <c r="E700" s="198"/>
      <c r="F700" s="198"/>
      <c r="G700" s="198"/>
      <c r="H700" s="198"/>
      <c r="I700" s="198"/>
      <c r="J700" s="198"/>
      <c r="K700" s="198"/>
      <c r="L700" s="198"/>
    </row>
    <row r="701">
      <c r="A701" s="198"/>
      <c r="B701" s="208" t="str">
        <f>vlookup(A701,Price!A:B,2,false)</f>
        <v>#N/A</v>
      </c>
      <c r="C701" s="198"/>
      <c r="D701" s="198"/>
      <c r="E701" s="198"/>
      <c r="F701" s="198"/>
      <c r="G701" s="198"/>
      <c r="H701" s="198"/>
      <c r="I701" s="198"/>
      <c r="J701" s="198"/>
      <c r="K701" s="198"/>
      <c r="L701" s="198"/>
    </row>
    <row r="702">
      <c r="A702" s="198"/>
      <c r="B702" s="208" t="str">
        <f>vlookup(A702,Price!A:B,2,false)</f>
        <v>#N/A</v>
      </c>
      <c r="C702" s="198"/>
      <c r="D702" s="198"/>
      <c r="E702" s="198"/>
      <c r="F702" s="198"/>
      <c r="G702" s="198"/>
      <c r="H702" s="198"/>
      <c r="I702" s="198"/>
      <c r="J702" s="198"/>
      <c r="K702" s="198"/>
      <c r="L702" s="198"/>
    </row>
    <row r="703">
      <c r="A703" s="198"/>
      <c r="B703" s="208" t="str">
        <f>vlookup(A703,Price!A:B,2,false)</f>
        <v>#N/A</v>
      </c>
      <c r="C703" s="198"/>
      <c r="D703" s="198"/>
      <c r="E703" s="198"/>
      <c r="F703" s="198"/>
      <c r="G703" s="198"/>
      <c r="H703" s="198"/>
      <c r="I703" s="198"/>
      <c r="J703" s="198"/>
      <c r="K703" s="198"/>
      <c r="L703" s="198"/>
    </row>
    <row r="704">
      <c r="A704" s="198"/>
      <c r="B704" s="208" t="str">
        <f>vlookup(A704,Price!A:B,2,false)</f>
        <v>#N/A</v>
      </c>
      <c r="C704" s="198"/>
      <c r="D704" s="198"/>
      <c r="E704" s="198"/>
      <c r="F704" s="198"/>
      <c r="G704" s="198"/>
      <c r="H704" s="198"/>
      <c r="I704" s="198"/>
      <c r="J704" s="198"/>
      <c r="K704" s="198"/>
      <c r="L704" s="198"/>
    </row>
    <row r="705">
      <c r="A705" s="198"/>
      <c r="B705" s="208" t="str">
        <f>vlookup(A705,Price!A:B,2,false)</f>
        <v>#N/A</v>
      </c>
      <c r="C705" s="198"/>
      <c r="D705" s="198"/>
      <c r="E705" s="198"/>
      <c r="F705" s="198"/>
      <c r="G705" s="198"/>
      <c r="H705" s="198"/>
      <c r="I705" s="198"/>
      <c r="J705" s="198"/>
      <c r="K705" s="198"/>
      <c r="L705" s="198"/>
    </row>
    <row r="706">
      <c r="A706" s="198"/>
      <c r="B706" s="208" t="str">
        <f>vlookup(A706,Price!A:B,2,false)</f>
        <v>#N/A</v>
      </c>
      <c r="C706" s="198"/>
      <c r="D706" s="198"/>
      <c r="E706" s="198"/>
      <c r="F706" s="198"/>
      <c r="G706" s="198"/>
      <c r="H706" s="198"/>
      <c r="I706" s="198"/>
      <c r="J706" s="198"/>
      <c r="K706" s="198"/>
      <c r="L706" s="198"/>
    </row>
    <row r="707">
      <c r="A707" s="198"/>
      <c r="B707" s="208" t="str">
        <f>vlookup(A707,Price!A:B,2,false)</f>
        <v>#N/A</v>
      </c>
      <c r="C707" s="198"/>
      <c r="D707" s="198"/>
      <c r="E707" s="198"/>
      <c r="F707" s="198"/>
      <c r="G707" s="198"/>
      <c r="H707" s="198"/>
      <c r="I707" s="198"/>
      <c r="J707" s="198"/>
      <c r="K707" s="198"/>
      <c r="L707" s="198"/>
    </row>
    <row r="708">
      <c r="A708" s="198"/>
      <c r="B708" s="208" t="str">
        <f>vlookup(A708,Price!A:B,2,false)</f>
        <v>#N/A</v>
      </c>
      <c r="C708" s="198"/>
      <c r="D708" s="198"/>
      <c r="E708" s="198"/>
      <c r="F708" s="198"/>
      <c r="G708" s="198"/>
      <c r="H708" s="198"/>
      <c r="I708" s="198"/>
      <c r="J708" s="198"/>
      <c r="K708" s="198"/>
      <c r="L708" s="198"/>
    </row>
    <row r="709">
      <c r="A709" s="198"/>
      <c r="B709" s="208" t="str">
        <f>vlookup(A709,Price!A:B,2,false)</f>
        <v>#N/A</v>
      </c>
      <c r="C709" s="198"/>
      <c r="D709" s="198"/>
      <c r="E709" s="198"/>
      <c r="F709" s="198"/>
      <c r="G709" s="198"/>
      <c r="H709" s="198"/>
      <c r="I709" s="198"/>
      <c r="J709" s="198"/>
      <c r="K709" s="198"/>
      <c r="L709" s="198"/>
    </row>
    <row r="710">
      <c r="A710" s="198"/>
      <c r="B710" s="208" t="str">
        <f>vlookup(A710,Price!A:B,2,false)</f>
        <v>#N/A</v>
      </c>
      <c r="C710" s="198"/>
      <c r="D710" s="198"/>
      <c r="E710" s="198"/>
      <c r="F710" s="198"/>
      <c r="G710" s="198"/>
      <c r="H710" s="198"/>
      <c r="I710" s="198"/>
      <c r="J710" s="198"/>
      <c r="K710" s="198"/>
      <c r="L710" s="198"/>
    </row>
    <row r="711">
      <c r="A711" s="198"/>
      <c r="B711" s="208" t="str">
        <f>vlookup(A711,Price!A:B,2,false)</f>
        <v>#N/A</v>
      </c>
      <c r="C711" s="198"/>
      <c r="D711" s="198"/>
      <c r="E711" s="198"/>
      <c r="F711" s="198"/>
      <c r="G711" s="198"/>
      <c r="H711" s="198"/>
      <c r="I711" s="198"/>
      <c r="J711" s="198"/>
      <c r="K711" s="198"/>
      <c r="L711" s="198"/>
    </row>
    <row r="712">
      <c r="A712" s="198"/>
      <c r="B712" s="208" t="str">
        <f>vlookup(A712,Price!A:B,2,false)</f>
        <v>#N/A</v>
      </c>
      <c r="C712" s="198"/>
      <c r="D712" s="198"/>
      <c r="E712" s="198"/>
      <c r="F712" s="198"/>
      <c r="G712" s="198"/>
      <c r="H712" s="198"/>
      <c r="I712" s="198"/>
      <c r="J712" s="198"/>
      <c r="K712" s="198"/>
      <c r="L712" s="198"/>
    </row>
    <row r="713">
      <c r="A713" s="198"/>
      <c r="B713" s="208" t="str">
        <f>vlookup(A713,Price!A:B,2,false)</f>
        <v>#N/A</v>
      </c>
      <c r="C713" s="198"/>
      <c r="D713" s="198"/>
      <c r="E713" s="198"/>
      <c r="F713" s="198"/>
      <c r="G713" s="198"/>
      <c r="H713" s="198"/>
      <c r="I713" s="198"/>
      <c r="J713" s="198"/>
      <c r="K713" s="198"/>
      <c r="L713" s="198"/>
    </row>
    <row r="714">
      <c r="A714" s="198"/>
      <c r="B714" s="208" t="str">
        <f>vlookup(A714,Price!A:B,2,false)</f>
        <v>#N/A</v>
      </c>
      <c r="C714" s="198"/>
      <c r="D714" s="198"/>
      <c r="E714" s="198"/>
      <c r="F714" s="198"/>
      <c r="G714" s="198"/>
      <c r="H714" s="198"/>
      <c r="I714" s="198"/>
      <c r="J714" s="198"/>
      <c r="K714" s="198"/>
      <c r="L714" s="198"/>
    </row>
    <row r="715">
      <c r="A715" s="198"/>
      <c r="B715" s="208" t="str">
        <f>vlookup(A715,Price!A:B,2,false)</f>
        <v>#N/A</v>
      </c>
      <c r="C715" s="198"/>
      <c r="D715" s="198"/>
      <c r="E715" s="198"/>
      <c r="F715" s="198"/>
      <c r="G715" s="198"/>
      <c r="H715" s="198"/>
      <c r="I715" s="198"/>
      <c r="J715" s="198"/>
      <c r="K715" s="198"/>
      <c r="L715" s="198"/>
    </row>
    <row r="716">
      <c r="A716" s="198"/>
      <c r="B716" s="208" t="str">
        <f>vlookup(A716,Price!A:B,2,false)</f>
        <v>#N/A</v>
      </c>
      <c r="C716" s="198"/>
      <c r="D716" s="198"/>
      <c r="E716" s="198"/>
      <c r="F716" s="198"/>
      <c r="G716" s="198"/>
      <c r="H716" s="198"/>
      <c r="I716" s="198"/>
      <c r="J716" s="198"/>
      <c r="K716" s="198"/>
      <c r="L716" s="198"/>
    </row>
    <row r="717">
      <c r="A717" s="198"/>
      <c r="B717" s="208" t="str">
        <f>vlookup(A717,Price!A:B,2,false)</f>
        <v>#N/A</v>
      </c>
      <c r="C717" s="198"/>
      <c r="D717" s="198"/>
      <c r="E717" s="198"/>
      <c r="F717" s="198"/>
      <c r="G717" s="198"/>
      <c r="H717" s="198"/>
      <c r="I717" s="198"/>
      <c r="J717" s="198"/>
      <c r="K717" s="198"/>
      <c r="L717" s="198"/>
    </row>
    <row r="718">
      <c r="A718" s="198"/>
      <c r="B718" s="208" t="str">
        <f>vlookup(A718,Price!A:B,2,false)</f>
        <v>#N/A</v>
      </c>
      <c r="C718" s="198"/>
      <c r="D718" s="198"/>
      <c r="E718" s="198"/>
      <c r="F718" s="198"/>
      <c r="G718" s="198"/>
      <c r="H718" s="198"/>
      <c r="I718" s="198"/>
      <c r="J718" s="198"/>
      <c r="K718" s="198"/>
      <c r="L718" s="198"/>
    </row>
    <row r="719">
      <c r="A719" s="198"/>
      <c r="B719" s="208" t="str">
        <f>vlookup(A719,Price!A:B,2,false)</f>
        <v>#N/A</v>
      </c>
      <c r="C719" s="198"/>
      <c r="D719" s="198"/>
      <c r="E719" s="198"/>
      <c r="F719" s="198"/>
      <c r="G719" s="198"/>
      <c r="H719" s="198"/>
      <c r="I719" s="198"/>
      <c r="J719" s="198"/>
      <c r="K719" s="198"/>
      <c r="L719" s="198"/>
    </row>
    <row r="720">
      <c r="A720" s="198"/>
      <c r="B720" s="208" t="str">
        <f>vlookup(A720,Price!A:B,2,false)</f>
        <v>#N/A</v>
      </c>
      <c r="C720" s="198"/>
      <c r="D720" s="198"/>
      <c r="E720" s="198"/>
      <c r="F720" s="198"/>
      <c r="G720" s="198"/>
      <c r="H720" s="198"/>
      <c r="I720" s="198"/>
      <c r="J720" s="198"/>
      <c r="K720" s="198"/>
      <c r="L720" s="198"/>
    </row>
    <row r="721">
      <c r="A721" s="198"/>
      <c r="B721" s="208" t="str">
        <f>vlookup(A721,Price!A:B,2,false)</f>
        <v>#N/A</v>
      </c>
      <c r="C721" s="198"/>
      <c r="D721" s="198"/>
      <c r="E721" s="198"/>
      <c r="F721" s="198"/>
      <c r="G721" s="198"/>
      <c r="H721" s="198"/>
      <c r="I721" s="198"/>
      <c r="J721" s="198"/>
      <c r="K721" s="198"/>
      <c r="L721" s="198"/>
    </row>
    <row r="722">
      <c r="A722" s="198"/>
      <c r="B722" s="208" t="str">
        <f>vlookup(A722,Price!A:B,2,false)</f>
        <v>#N/A</v>
      </c>
      <c r="C722" s="198"/>
      <c r="D722" s="198"/>
      <c r="E722" s="198"/>
      <c r="F722" s="198"/>
      <c r="G722" s="198"/>
      <c r="H722" s="198"/>
      <c r="I722" s="198"/>
      <c r="J722" s="198"/>
      <c r="K722" s="198"/>
      <c r="L722" s="198"/>
    </row>
    <row r="723">
      <c r="A723" s="198"/>
      <c r="B723" s="208" t="str">
        <f>vlookup(A723,Price!A:B,2,false)</f>
        <v>#N/A</v>
      </c>
      <c r="C723" s="198"/>
      <c r="D723" s="198"/>
      <c r="E723" s="198"/>
      <c r="F723" s="198"/>
      <c r="G723" s="198"/>
      <c r="H723" s="198"/>
      <c r="I723" s="198"/>
      <c r="J723" s="198"/>
      <c r="K723" s="198"/>
      <c r="L723" s="198"/>
    </row>
    <row r="724">
      <c r="A724" s="198"/>
      <c r="B724" s="208" t="str">
        <f>vlookup(A724,Price!A:B,2,false)</f>
        <v>#N/A</v>
      </c>
      <c r="C724" s="198"/>
      <c r="D724" s="198"/>
      <c r="E724" s="198"/>
      <c r="F724" s="198"/>
      <c r="G724" s="198"/>
      <c r="H724" s="198"/>
      <c r="I724" s="198"/>
      <c r="J724" s="198"/>
      <c r="K724" s="198"/>
      <c r="L724" s="198"/>
    </row>
    <row r="725">
      <c r="A725" s="198"/>
      <c r="B725" s="208" t="str">
        <f>vlookup(A725,Price!A:B,2,false)</f>
        <v>#N/A</v>
      </c>
      <c r="C725" s="198"/>
      <c r="D725" s="198"/>
      <c r="E725" s="198"/>
      <c r="F725" s="198"/>
      <c r="G725" s="198"/>
      <c r="H725" s="198"/>
      <c r="I725" s="198"/>
      <c r="J725" s="198"/>
      <c r="K725" s="198"/>
      <c r="L725" s="198"/>
    </row>
    <row r="726">
      <c r="A726" s="198"/>
      <c r="B726" s="208" t="str">
        <f>vlookup(A726,Price!A:B,2,false)</f>
        <v>#N/A</v>
      </c>
      <c r="C726" s="198"/>
      <c r="D726" s="198"/>
      <c r="E726" s="198"/>
      <c r="F726" s="198"/>
      <c r="G726" s="198"/>
      <c r="H726" s="198"/>
      <c r="I726" s="198"/>
      <c r="J726" s="198"/>
      <c r="K726" s="198"/>
      <c r="L726" s="198"/>
    </row>
    <row r="727">
      <c r="A727" s="198"/>
      <c r="B727" s="208" t="str">
        <f>vlookup(A727,Price!A:B,2,false)</f>
        <v>#N/A</v>
      </c>
      <c r="C727" s="198"/>
      <c r="D727" s="198"/>
      <c r="E727" s="198"/>
      <c r="F727" s="198"/>
      <c r="G727" s="198"/>
      <c r="H727" s="198"/>
      <c r="I727" s="198"/>
      <c r="J727" s="198"/>
      <c r="K727" s="198"/>
      <c r="L727" s="198"/>
    </row>
    <row r="728">
      <c r="A728" s="198"/>
      <c r="B728" s="208" t="str">
        <f>vlookup(A728,Price!A:B,2,false)</f>
        <v>#N/A</v>
      </c>
      <c r="C728" s="198"/>
      <c r="D728" s="198"/>
      <c r="E728" s="198"/>
      <c r="F728" s="198"/>
      <c r="G728" s="198"/>
      <c r="H728" s="198"/>
      <c r="I728" s="198"/>
      <c r="J728" s="198"/>
      <c r="K728" s="198"/>
      <c r="L728" s="198"/>
    </row>
    <row r="729">
      <c r="A729" s="198"/>
      <c r="B729" s="208" t="str">
        <f>vlookup(A729,Price!A:B,2,false)</f>
        <v>#N/A</v>
      </c>
      <c r="C729" s="198"/>
      <c r="D729" s="198"/>
      <c r="E729" s="198"/>
      <c r="F729" s="198"/>
      <c r="G729" s="198"/>
      <c r="H729" s="198"/>
      <c r="I729" s="198"/>
      <c r="J729" s="198"/>
      <c r="K729" s="198"/>
      <c r="L729" s="198"/>
    </row>
    <row r="730">
      <c r="A730" s="198"/>
      <c r="B730" s="208" t="str">
        <f>vlookup(A730,Price!A:B,2,false)</f>
        <v>#N/A</v>
      </c>
      <c r="C730" s="198"/>
      <c r="D730" s="198"/>
      <c r="E730" s="198"/>
      <c r="F730" s="198"/>
      <c r="G730" s="198"/>
      <c r="H730" s="198"/>
      <c r="I730" s="198"/>
      <c r="J730" s="198"/>
      <c r="K730" s="198"/>
      <c r="L730" s="198"/>
    </row>
    <row r="731">
      <c r="A731" s="198"/>
      <c r="B731" s="208" t="str">
        <f>vlookup(A731,Price!A:B,2,false)</f>
        <v>#N/A</v>
      </c>
      <c r="C731" s="198"/>
      <c r="D731" s="198"/>
      <c r="E731" s="198"/>
      <c r="F731" s="198"/>
      <c r="G731" s="198"/>
      <c r="H731" s="198"/>
      <c r="I731" s="198"/>
      <c r="J731" s="198"/>
      <c r="K731" s="198"/>
      <c r="L731" s="198"/>
    </row>
    <row r="732">
      <c r="A732" s="198"/>
      <c r="B732" s="208" t="str">
        <f>vlookup(A732,Price!A:B,2,false)</f>
        <v>#N/A</v>
      </c>
      <c r="C732" s="198"/>
      <c r="D732" s="198"/>
      <c r="E732" s="198"/>
      <c r="F732" s="198"/>
      <c r="G732" s="198"/>
      <c r="H732" s="198"/>
      <c r="I732" s="198"/>
      <c r="J732" s="198"/>
      <c r="K732" s="198"/>
      <c r="L732" s="198"/>
    </row>
    <row r="733">
      <c r="A733" s="198"/>
      <c r="B733" s="208" t="str">
        <f>vlookup(A733,Price!A:B,2,false)</f>
        <v>#N/A</v>
      </c>
      <c r="C733" s="198"/>
      <c r="D733" s="198"/>
      <c r="E733" s="198"/>
      <c r="F733" s="198"/>
      <c r="G733" s="198"/>
      <c r="H733" s="198"/>
      <c r="I733" s="198"/>
      <c r="J733" s="198"/>
      <c r="K733" s="198"/>
      <c r="L733" s="198"/>
    </row>
    <row r="734">
      <c r="A734" s="198"/>
      <c r="B734" s="208" t="str">
        <f>vlookup(A734,Price!A:B,2,false)</f>
        <v>#N/A</v>
      </c>
      <c r="C734" s="198"/>
      <c r="D734" s="198"/>
      <c r="E734" s="198"/>
      <c r="F734" s="198"/>
      <c r="G734" s="198"/>
      <c r="H734" s="198"/>
      <c r="I734" s="198"/>
      <c r="J734" s="198"/>
      <c r="K734" s="198"/>
      <c r="L734" s="198"/>
    </row>
    <row r="735">
      <c r="A735" s="198"/>
      <c r="B735" s="208" t="str">
        <f>vlookup(A735,Price!A:B,2,false)</f>
        <v>#N/A</v>
      </c>
      <c r="C735" s="198"/>
      <c r="D735" s="198"/>
      <c r="E735" s="198"/>
      <c r="F735" s="198"/>
      <c r="G735" s="198"/>
      <c r="H735" s="198"/>
      <c r="I735" s="198"/>
      <c r="J735" s="198"/>
      <c r="K735" s="198"/>
      <c r="L735" s="198"/>
    </row>
    <row r="736">
      <c r="A736" s="198"/>
      <c r="B736" s="208" t="str">
        <f>vlookup(A736,Price!A:B,2,false)</f>
        <v>#N/A</v>
      </c>
      <c r="C736" s="198"/>
      <c r="D736" s="198"/>
      <c r="E736" s="198"/>
      <c r="F736" s="198"/>
      <c r="G736" s="198"/>
      <c r="H736" s="198"/>
      <c r="I736" s="198"/>
      <c r="J736" s="198"/>
      <c r="K736" s="198"/>
      <c r="L736" s="198"/>
    </row>
    <row r="737">
      <c r="A737" s="198"/>
      <c r="B737" s="208" t="str">
        <f>vlookup(A737,Price!A:B,2,false)</f>
        <v>#N/A</v>
      </c>
      <c r="C737" s="198"/>
      <c r="D737" s="198"/>
      <c r="E737" s="198"/>
      <c r="F737" s="198"/>
      <c r="G737" s="198"/>
      <c r="H737" s="198"/>
      <c r="I737" s="198"/>
      <c r="J737" s="198"/>
      <c r="K737" s="198"/>
      <c r="L737" s="198"/>
    </row>
    <row r="738">
      <c r="A738" s="198"/>
      <c r="B738" s="208" t="str">
        <f>vlookup(A738,Price!A:B,2,false)</f>
        <v>#N/A</v>
      </c>
      <c r="C738" s="198"/>
      <c r="D738" s="198"/>
      <c r="E738" s="198"/>
      <c r="F738" s="198"/>
      <c r="G738" s="198"/>
      <c r="H738" s="198"/>
      <c r="I738" s="198"/>
      <c r="J738" s="198"/>
      <c r="K738" s="198"/>
      <c r="L738" s="198"/>
    </row>
    <row r="739">
      <c r="A739" s="198"/>
      <c r="B739" s="208" t="str">
        <f>vlookup(A739,Price!A:B,2,false)</f>
        <v>#N/A</v>
      </c>
      <c r="C739" s="198"/>
      <c r="D739" s="198"/>
      <c r="E739" s="198"/>
      <c r="F739" s="198"/>
      <c r="G739" s="198"/>
      <c r="H739" s="198"/>
      <c r="I739" s="198"/>
      <c r="J739" s="198"/>
      <c r="K739" s="198"/>
      <c r="L739" s="198"/>
    </row>
    <row r="740">
      <c r="A740" s="198"/>
      <c r="B740" s="208" t="str">
        <f>vlookup(A740,Price!A:B,2,false)</f>
        <v>#N/A</v>
      </c>
      <c r="C740" s="198"/>
      <c r="D740" s="198"/>
      <c r="E740" s="198"/>
      <c r="F740" s="198"/>
      <c r="G740" s="198"/>
      <c r="H740" s="198"/>
      <c r="I740" s="198"/>
      <c r="J740" s="198"/>
      <c r="K740" s="198"/>
      <c r="L740" s="198"/>
    </row>
    <row r="741">
      <c r="A741" s="198"/>
      <c r="B741" s="208" t="str">
        <f>vlookup(A741,Price!A:B,2,false)</f>
        <v>#N/A</v>
      </c>
      <c r="C741" s="198"/>
      <c r="D741" s="198"/>
      <c r="E741" s="198"/>
      <c r="F741" s="198"/>
      <c r="G741" s="198"/>
      <c r="H741" s="198"/>
      <c r="I741" s="198"/>
      <c r="J741" s="198"/>
      <c r="K741" s="198"/>
      <c r="L741" s="198"/>
    </row>
    <row r="742">
      <c r="A742" s="198"/>
      <c r="B742" s="208" t="str">
        <f>vlookup(A742,Price!A:B,2,false)</f>
        <v>#N/A</v>
      </c>
      <c r="C742" s="198"/>
      <c r="D742" s="198"/>
      <c r="E742" s="198"/>
      <c r="F742" s="198"/>
      <c r="G742" s="198"/>
      <c r="H742" s="198"/>
      <c r="I742" s="198"/>
      <c r="J742" s="198"/>
      <c r="K742" s="198"/>
      <c r="L742" s="198"/>
    </row>
    <row r="743">
      <c r="A743" s="198"/>
      <c r="B743" s="208" t="str">
        <f>vlookup(A743,Price!A:B,2,false)</f>
        <v>#N/A</v>
      </c>
      <c r="C743" s="198"/>
      <c r="D743" s="198"/>
      <c r="E743" s="198"/>
      <c r="F743" s="198"/>
      <c r="G743" s="198"/>
      <c r="H743" s="198"/>
      <c r="I743" s="198"/>
      <c r="J743" s="198"/>
      <c r="K743" s="198"/>
      <c r="L743" s="198"/>
    </row>
    <row r="744">
      <c r="A744" s="198"/>
      <c r="B744" s="208" t="str">
        <f>vlookup(A744,Price!A:B,2,false)</f>
        <v>#N/A</v>
      </c>
      <c r="C744" s="198"/>
      <c r="D744" s="198"/>
      <c r="E744" s="198"/>
      <c r="F744" s="198"/>
      <c r="G744" s="198"/>
      <c r="H744" s="198"/>
      <c r="I744" s="198"/>
      <c r="J744" s="198"/>
      <c r="K744" s="198"/>
      <c r="L744" s="198"/>
    </row>
    <row r="745">
      <c r="A745" s="198"/>
      <c r="B745" s="208" t="str">
        <f>vlookup(A745,Price!A:B,2,false)</f>
        <v>#N/A</v>
      </c>
      <c r="C745" s="198"/>
      <c r="D745" s="198"/>
      <c r="E745" s="198"/>
      <c r="F745" s="198"/>
      <c r="G745" s="198"/>
      <c r="H745" s="198"/>
      <c r="I745" s="198"/>
      <c r="J745" s="198"/>
      <c r="K745" s="198"/>
      <c r="L745" s="198"/>
    </row>
    <row r="746">
      <c r="A746" s="198"/>
      <c r="B746" s="208" t="str">
        <f>vlookup(A746,Price!A:B,2,false)</f>
        <v>#N/A</v>
      </c>
      <c r="C746" s="198"/>
      <c r="D746" s="198"/>
      <c r="E746" s="198"/>
      <c r="F746" s="198"/>
      <c r="G746" s="198"/>
      <c r="H746" s="198"/>
      <c r="I746" s="198"/>
      <c r="J746" s="198"/>
      <c r="K746" s="198"/>
      <c r="L746" s="198"/>
    </row>
    <row r="747">
      <c r="A747" s="198"/>
      <c r="B747" s="208" t="str">
        <f>vlookup(A747,Price!A:B,2,false)</f>
        <v>#N/A</v>
      </c>
      <c r="C747" s="198"/>
      <c r="D747" s="198"/>
      <c r="E747" s="198"/>
      <c r="F747" s="198"/>
      <c r="G747" s="198"/>
      <c r="H747" s="198"/>
      <c r="I747" s="198"/>
      <c r="J747" s="198"/>
      <c r="K747" s="198"/>
      <c r="L747" s="198"/>
    </row>
    <row r="748">
      <c r="A748" s="198"/>
      <c r="B748" s="208" t="str">
        <f>vlookup(A748,Price!A:B,2,false)</f>
        <v>#N/A</v>
      </c>
      <c r="C748" s="198"/>
      <c r="D748" s="198"/>
      <c r="E748" s="198"/>
      <c r="F748" s="198"/>
      <c r="G748" s="198"/>
      <c r="H748" s="198"/>
      <c r="I748" s="198"/>
      <c r="J748" s="198"/>
      <c r="K748" s="198"/>
      <c r="L748" s="198"/>
    </row>
    <row r="749">
      <c r="A749" s="198"/>
      <c r="B749" s="208" t="str">
        <f>vlookup(A749,Price!A:B,2,false)</f>
        <v>#N/A</v>
      </c>
      <c r="C749" s="198"/>
      <c r="D749" s="198"/>
      <c r="E749" s="198"/>
      <c r="F749" s="198"/>
      <c r="G749" s="198"/>
      <c r="H749" s="198"/>
      <c r="I749" s="198"/>
      <c r="J749" s="198"/>
      <c r="K749" s="198"/>
      <c r="L749" s="198"/>
    </row>
    <row r="750">
      <c r="A750" s="198"/>
      <c r="B750" s="208" t="str">
        <f>vlookup(A750,Price!A:B,2,false)</f>
        <v>#N/A</v>
      </c>
      <c r="C750" s="198"/>
      <c r="D750" s="198"/>
      <c r="E750" s="198"/>
      <c r="F750" s="198"/>
      <c r="G750" s="198"/>
      <c r="H750" s="198"/>
      <c r="I750" s="198"/>
      <c r="J750" s="198"/>
      <c r="K750" s="198"/>
      <c r="L750" s="198"/>
    </row>
    <row r="751">
      <c r="A751" s="198"/>
      <c r="B751" s="208" t="str">
        <f>vlookup(A751,Price!A:B,2,false)</f>
        <v>#N/A</v>
      </c>
      <c r="C751" s="198"/>
      <c r="D751" s="198"/>
      <c r="E751" s="198"/>
      <c r="F751" s="198"/>
      <c r="G751" s="198"/>
      <c r="H751" s="198"/>
      <c r="I751" s="198"/>
      <c r="J751" s="198"/>
      <c r="K751" s="198"/>
      <c r="L751" s="198"/>
    </row>
    <row r="752">
      <c r="A752" s="198"/>
      <c r="B752" s="208" t="str">
        <f>vlookup(A752,Price!A:B,2,false)</f>
        <v>#N/A</v>
      </c>
      <c r="C752" s="198"/>
      <c r="D752" s="198"/>
      <c r="E752" s="198"/>
      <c r="F752" s="198"/>
      <c r="G752" s="198"/>
      <c r="H752" s="198"/>
      <c r="I752" s="198"/>
      <c r="J752" s="198"/>
      <c r="K752" s="198"/>
      <c r="L752" s="198"/>
    </row>
    <row r="753">
      <c r="A753" s="198"/>
      <c r="B753" s="208" t="str">
        <f>vlookup(A753,Price!A:B,2,false)</f>
        <v>#N/A</v>
      </c>
      <c r="C753" s="198"/>
      <c r="D753" s="198"/>
      <c r="E753" s="198"/>
      <c r="F753" s="198"/>
      <c r="G753" s="198"/>
      <c r="H753" s="198"/>
      <c r="I753" s="198"/>
      <c r="J753" s="198"/>
      <c r="K753" s="198"/>
      <c r="L753" s="198"/>
    </row>
    <row r="754">
      <c r="A754" s="198"/>
      <c r="B754" s="208" t="str">
        <f>vlookup(A754,Price!A:B,2,false)</f>
        <v>#N/A</v>
      </c>
      <c r="C754" s="198"/>
      <c r="D754" s="198"/>
      <c r="E754" s="198"/>
      <c r="F754" s="198"/>
      <c r="G754" s="198"/>
      <c r="H754" s="198"/>
      <c r="I754" s="198"/>
      <c r="J754" s="198"/>
      <c r="K754" s="198"/>
      <c r="L754" s="198"/>
    </row>
    <row r="755">
      <c r="A755" s="198"/>
      <c r="B755" s="208" t="str">
        <f>vlookup(A755,Price!A:B,2,false)</f>
        <v>#N/A</v>
      </c>
      <c r="C755" s="198"/>
      <c r="D755" s="198"/>
      <c r="E755" s="198"/>
      <c r="F755" s="198"/>
      <c r="G755" s="198"/>
      <c r="H755" s="198"/>
      <c r="I755" s="198"/>
      <c r="J755" s="198"/>
      <c r="K755" s="198"/>
      <c r="L755" s="198"/>
    </row>
    <row r="756">
      <c r="A756" s="198"/>
      <c r="B756" s="208" t="str">
        <f>vlookup(A756,Price!A:B,2,false)</f>
        <v>#N/A</v>
      </c>
      <c r="C756" s="198"/>
      <c r="D756" s="198"/>
      <c r="E756" s="198"/>
      <c r="F756" s="198"/>
      <c r="G756" s="198"/>
      <c r="H756" s="198"/>
      <c r="I756" s="198"/>
      <c r="J756" s="198"/>
      <c r="K756" s="198"/>
      <c r="L756" s="198"/>
    </row>
    <row r="757">
      <c r="A757" s="198"/>
      <c r="B757" s="208" t="str">
        <f>vlookup(A757,Price!A:B,2,false)</f>
        <v>#N/A</v>
      </c>
      <c r="C757" s="198"/>
      <c r="D757" s="198"/>
      <c r="E757" s="198"/>
      <c r="F757" s="198"/>
      <c r="G757" s="198"/>
      <c r="H757" s="198"/>
      <c r="I757" s="198"/>
      <c r="J757" s="198"/>
      <c r="K757" s="198"/>
      <c r="L757" s="198"/>
    </row>
    <row r="758">
      <c r="A758" s="198"/>
      <c r="B758" s="208" t="str">
        <f>vlookup(A758,Price!A:B,2,false)</f>
        <v>#N/A</v>
      </c>
      <c r="C758" s="198"/>
      <c r="D758" s="198"/>
      <c r="E758" s="198"/>
      <c r="F758" s="198"/>
      <c r="G758" s="198"/>
      <c r="H758" s="198"/>
      <c r="I758" s="198"/>
      <c r="J758" s="198"/>
      <c r="K758" s="198"/>
      <c r="L758" s="198"/>
    </row>
    <row r="759">
      <c r="A759" s="198"/>
      <c r="B759" s="208" t="str">
        <f>vlookup(A759,Price!A:B,2,false)</f>
        <v>#N/A</v>
      </c>
      <c r="C759" s="198"/>
      <c r="D759" s="198"/>
      <c r="E759" s="198"/>
      <c r="F759" s="198"/>
      <c r="G759" s="198"/>
      <c r="H759" s="198"/>
      <c r="I759" s="198"/>
      <c r="J759" s="198"/>
      <c r="K759" s="198"/>
      <c r="L759" s="198"/>
    </row>
    <row r="760">
      <c r="A760" s="198"/>
      <c r="B760" s="208" t="str">
        <f>vlookup(A760,Price!A:B,2,false)</f>
        <v>#N/A</v>
      </c>
      <c r="C760" s="198"/>
      <c r="D760" s="198"/>
      <c r="E760" s="198"/>
      <c r="F760" s="198"/>
      <c r="G760" s="198"/>
      <c r="H760" s="198"/>
      <c r="I760" s="198"/>
      <c r="J760" s="198"/>
      <c r="K760" s="198"/>
      <c r="L760" s="198"/>
    </row>
    <row r="761">
      <c r="A761" s="198"/>
      <c r="B761" s="208" t="str">
        <f>vlookup(A761,Price!A:B,2,false)</f>
        <v>#N/A</v>
      </c>
      <c r="C761" s="198"/>
      <c r="D761" s="198"/>
      <c r="E761" s="198"/>
      <c r="F761" s="198"/>
      <c r="G761" s="198"/>
      <c r="H761" s="198"/>
      <c r="I761" s="198"/>
      <c r="J761" s="198"/>
      <c r="K761" s="198"/>
      <c r="L761" s="198"/>
    </row>
    <row r="762">
      <c r="A762" s="198"/>
      <c r="B762" s="208" t="str">
        <f>vlookup(A762,Price!A:B,2,false)</f>
        <v>#N/A</v>
      </c>
      <c r="C762" s="198"/>
      <c r="D762" s="198"/>
      <c r="E762" s="198"/>
      <c r="F762" s="198"/>
      <c r="G762" s="198"/>
      <c r="H762" s="198"/>
      <c r="I762" s="198"/>
      <c r="J762" s="198"/>
      <c r="K762" s="198"/>
      <c r="L762" s="198"/>
    </row>
    <row r="763">
      <c r="A763" s="198"/>
      <c r="B763" s="208" t="str">
        <f>vlookup(A763,Price!A:B,2,false)</f>
        <v>#N/A</v>
      </c>
      <c r="C763" s="198"/>
      <c r="D763" s="198"/>
      <c r="E763" s="198"/>
      <c r="F763" s="198"/>
      <c r="G763" s="198"/>
      <c r="H763" s="198"/>
      <c r="I763" s="198"/>
      <c r="J763" s="198"/>
      <c r="K763" s="198"/>
      <c r="L763" s="198"/>
    </row>
    <row r="764">
      <c r="A764" s="198"/>
      <c r="B764" s="208" t="str">
        <f>vlookup(A764,Price!A:B,2,false)</f>
        <v>#N/A</v>
      </c>
      <c r="C764" s="198"/>
      <c r="D764" s="198"/>
      <c r="E764" s="198"/>
      <c r="F764" s="198"/>
      <c r="G764" s="198"/>
      <c r="H764" s="198"/>
      <c r="I764" s="198"/>
      <c r="J764" s="198"/>
      <c r="K764" s="198"/>
      <c r="L764" s="198"/>
    </row>
    <row r="765">
      <c r="A765" s="198"/>
      <c r="B765" s="208" t="str">
        <f>vlookup(A765,Price!A:B,2,false)</f>
        <v>#N/A</v>
      </c>
      <c r="C765" s="198"/>
      <c r="D765" s="198"/>
      <c r="E765" s="198"/>
      <c r="F765" s="198"/>
      <c r="G765" s="198"/>
      <c r="H765" s="198"/>
      <c r="I765" s="198"/>
      <c r="J765" s="198"/>
      <c r="K765" s="198"/>
      <c r="L765" s="198"/>
    </row>
    <row r="766">
      <c r="A766" s="198"/>
      <c r="B766" s="208" t="str">
        <f>vlookup(A766,Price!A:B,2,false)</f>
        <v>#N/A</v>
      </c>
      <c r="C766" s="198"/>
      <c r="D766" s="198"/>
      <c r="E766" s="198"/>
      <c r="F766" s="198"/>
      <c r="G766" s="198"/>
      <c r="H766" s="198"/>
      <c r="I766" s="198"/>
      <c r="J766" s="198"/>
      <c r="K766" s="198"/>
      <c r="L766" s="198"/>
    </row>
    <row r="767">
      <c r="A767" s="198"/>
      <c r="B767" s="208" t="str">
        <f>vlookup(A767,Price!A:B,2,false)</f>
        <v>#N/A</v>
      </c>
      <c r="C767" s="198"/>
      <c r="D767" s="198"/>
      <c r="E767" s="198"/>
      <c r="F767" s="198"/>
      <c r="G767" s="198"/>
      <c r="H767" s="198"/>
      <c r="I767" s="198"/>
      <c r="J767" s="198"/>
      <c r="K767" s="198"/>
      <c r="L767" s="198"/>
    </row>
    <row r="768">
      <c r="A768" s="198"/>
      <c r="B768" s="208" t="str">
        <f>vlookup(A768,Price!A:B,2,false)</f>
        <v>#N/A</v>
      </c>
      <c r="C768" s="198"/>
      <c r="D768" s="198"/>
      <c r="E768" s="198"/>
      <c r="F768" s="198"/>
      <c r="G768" s="198"/>
      <c r="H768" s="198"/>
      <c r="I768" s="198"/>
      <c r="J768" s="198"/>
      <c r="K768" s="198"/>
      <c r="L768" s="198"/>
    </row>
    <row r="769">
      <c r="A769" s="198"/>
      <c r="B769" s="208" t="str">
        <f>vlookup(A769,Price!A:B,2,false)</f>
        <v>#N/A</v>
      </c>
      <c r="C769" s="198"/>
      <c r="D769" s="198"/>
      <c r="E769" s="198"/>
      <c r="F769" s="198"/>
      <c r="G769" s="198"/>
      <c r="H769" s="198"/>
      <c r="I769" s="198"/>
      <c r="J769" s="198"/>
      <c r="K769" s="198"/>
      <c r="L769" s="198"/>
    </row>
    <row r="770">
      <c r="A770" s="198"/>
      <c r="B770" s="208" t="str">
        <f>vlookup(A770,Price!A:B,2,false)</f>
        <v>#N/A</v>
      </c>
      <c r="C770" s="198"/>
      <c r="D770" s="198"/>
      <c r="E770" s="198"/>
      <c r="F770" s="198"/>
      <c r="G770" s="198"/>
      <c r="H770" s="198"/>
      <c r="I770" s="198"/>
      <c r="J770" s="198"/>
      <c r="K770" s="198"/>
      <c r="L770" s="198"/>
    </row>
    <row r="771">
      <c r="A771" s="198"/>
      <c r="B771" s="208" t="str">
        <f>vlookup(A771,Price!A:B,2,false)</f>
        <v>#N/A</v>
      </c>
      <c r="C771" s="198"/>
      <c r="D771" s="198"/>
      <c r="E771" s="198"/>
      <c r="F771" s="198"/>
      <c r="G771" s="198"/>
      <c r="H771" s="198"/>
      <c r="I771" s="198"/>
      <c r="J771" s="198"/>
      <c r="K771" s="198"/>
      <c r="L771" s="198"/>
    </row>
    <row r="772">
      <c r="A772" s="198"/>
      <c r="B772" s="208" t="str">
        <f>vlookup(A772,Price!A:B,2,false)</f>
        <v>#N/A</v>
      </c>
      <c r="C772" s="198"/>
      <c r="D772" s="198"/>
      <c r="E772" s="198"/>
      <c r="F772" s="198"/>
      <c r="G772" s="198"/>
      <c r="H772" s="198"/>
      <c r="I772" s="198"/>
      <c r="J772" s="198"/>
      <c r="K772" s="198"/>
      <c r="L772" s="198"/>
    </row>
    <row r="773">
      <c r="A773" s="198"/>
      <c r="B773" s="208" t="str">
        <f>vlookup(A773,Price!A:B,2,false)</f>
        <v>#N/A</v>
      </c>
      <c r="C773" s="198"/>
      <c r="D773" s="198"/>
      <c r="E773" s="198"/>
      <c r="F773" s="198"/>
      <c r="G773" s="198"/>
      <c r="H773" s="198"/>
      <c r="I773" s="198"/>
      <c r="J773" s="198"/>
      <c r="K773" s="198"/>
      <c r="L773" s="198"/>
    </row>
    <row r="774">
      <c r="A774" s="198"/>
      <c r="B774" s="208" t="str">
        <f>vlookup(A774,Price!A:B,2,false)</f>
        <v>#N/A</v>
      </c>
      <c r="C774" s="198"/>
      <c r="D774" s="198"/>
      <c r="E774" s="198"/>
      <c r="F774" s="198"/>
      <c r="G774" s="198"/>
      <c r="H774" s="198"/>
      <c r="I774" s="198"/>
      <c r="J774" s="198"/>
      <c r="K774" s="198"/>
      <c r="L774" s="198"/>
    </row>
    <row r="775">
      <c r="A775" s="198"/>
      <c r="B775" s="208" t="str">
        <f>vlookup(A775,Price!A:B,2,false)</f>
        <v>#N/A</v>
      </c>
      <c r="C775" s="198"/>
      <c r="D775" s="198"/>
      <c r="E775" s="198"/>
      <c r="F775" s="198"/>
      <c r="G775" s="198"/>
      <c r="H775" s="198"/>
      <c r="I775" s="198"/>
      <c r="J775" s="198"/>
      <c r="K775" s="198"/>
      <c r="L775" s="198"/>
    </row>
    <row r="776">
      <c r="A776" s="198"/>
      <c r="B776" s="208" t="str">
        <f>vlookup(A776,Price!A:B,2,false)</f>
        <v>#N/A</v>
      </c>
      <c r="C776" s="198"/>
      <c r="D776" s="198"/>
      <c r="E776" s="198"/>
      <c r="F776" s="198"/>
      <c r="G776" s="198"/>
      <c r="H776" s="198"/>
      <c r="I776" s="198"/>
      <c r="J776" s="198"/>
      <c r="K776" s="198"/>
      <c r="L776" s="198"/>
    </row>
    <row r="777">
      <c r="A777" s="198"/>
      <c r="B777" s="208" t="str">
        <f>vlookup(A777,Price!A:B,2,false)</f>
        <v>#N/A</v>
      </c>
      <c r="C777" s="198"/>
      <c r="D777" s="198"/>
      <c r="E777" s="198"/>
      <c r="F777" s="198"/>
      <c r="G777" s="198"/>
      <c r="H777" s="198"/>
      <c r="I777" s="198"/>
      <c r="J777" s="198"/>
      <c r="K777" s="198"/>
      <c r="L777" s="198"/>
    </row>
    <row r="778">
      <c r="A778" s="198"/>
      <c r="B778" s="208" t="str">
        <f>vlookup(A778,Price!A:B,2,false)</f>
        <v>#N/A</v>
      </c>
      <c r="C778" s="198"/>
      <c r="D778" s="198"/>
      <c r="E778" s="198"/>
      <c r="F778" s="198"/>
      <c r="G778" s="198"/>
      <c r="H778" s="198"/>
      <c r="I778" s="198"/>
      <c r="J778" s="198"/>
      <c r="K778" s="198"/>
      <c r="L778" s="198"/>
    </row>
    <row r="779">
      <c r="A779" s="198"/>
      <c r="B779" s="208" t="str">
        <f>vlookup(A779,Price!A:B,2,false)</f>
        <v>#N/A</v>
      </c>
      <c r="C779" s="198"/>
      <c r="D779" s="198"/>
      <c r="E779" s="198"/>
      <c r="F779" s="198"/>
      <c r="G779" s="198"/>
      <c r="H779" s="198"/>
      <c r="I779" s="198"/>
      <c r="J779" s="198"/>
      <c r="K779" s="198"/>
      <c r="L779" s="198"/>
    </row>
    <row r="780">
      <c r="A780" s="198"/>
      <c r="B780" s="208" t="str">
        <f>vlookup(A780,Price!A:B,2,false)</f>
        <v>#N/A</v>
      </c>
      <c r="C780" s="198"/>
      <c r="D780" s="198"/>
      <c r="E780" s="198"/>
      <c r="F780" s="198"/>
      <c r="G780" s="198"/>
      <c r="H780" s="198"/>
      <c r="I780" s="198"/>
      <c r="J780" s="198"/>
      <c r="K780" s="198"/>
      <c r="L780" s="198"/>
    </row>
    <row r="781">
      <c r="A781" s="198"/>
      <c r="B781" s="208" t="str">
        <f>vlookup(A781,Price!A:B,2,false)</f>
        <v>#N/A</v>
      </c>
      <c r="C781" s="198"/>
      <c r="D781" s="198"/>
      <c r="E781" s="198"/>
      <c r="F781" s="198"/>
      <c r="G781" s="198"/>
      <c r="H781" s="198"/>
      <c r="I781" s="198"/>
      <c r="J781" s="198"/>
      <c r="K781" s="198"/>
      <c r="L781" s="198"/>
    </row>
    <row r="782">
      <c r="A782" s="198"/>
      <c r="B782" s="208" t="str">
        <f>vlookup(A782,Price!A:B,2,false)</f>
        <v>#N/A</v>
      </c>
      <c r="C782" s="198"/>
      <c r="D782" s="198"/>
      <c r="E782" s="198"/>
      <c r="F782" s="198"/>
      <c r="G782" s="198"/>
      <c r="H782" s="198"/>
      <c r="I782" s="198"/>
      <c r="J782" s="198"/>
      <c r="K782" s="198"/>
      <c r="L782" s="198"/>
    </row>
    <row r="783">
      <c r="A783" s="198"/>
      <c r="B783" s="208" t="str">
        <f>vlookup(A783,Price!A:B,2,false)</f>
        <v>#N/A</v>
      </c>
      <c r="C783" s="198"/>
      <c r="D783" s="198"/>
      <c r="E783" s="198"/>
      <c r="F783" s="198"/>
      <c r="G783" s="198"/>
      <c r="H783" s="198"/>
      <c r="I783" s="198"/>
      <c r="J783" s="198"/>
      <c r="K783" s="198"/>
      <c r="L783" s="198"/>
    </row>
    <row r="784">
      <c r="A784" s="198"/>
      <c r="B784" s="208" t="str">
        <f>vlookup(A784,Price!A:B,2,false)</f>
        <v>#N/A</v>
      </c>
      <c r="C784" s="198"/>
      <c r="D784" s="198"/>
      <c r="E784" s="198"/>
      <c r="F784" s="198"/>
      <c r="G784" s="198"/>
      <c r="H784" s="198"/>
      <c r="I784" s="198"/>
      <c r="J784" s="198"/>
      <c r="K784" s="198"/>
      <c r="L784" s="198"/>
    </row>
    <row r="785">
      <c r="A785" s="198"/>
      <c r="B785" s="208" t="str">
        <f>vlookup(A785,Price!A:B,2,false)</f>
        <v>#N/A</v>
      </c>
      <c r="C785" s="198"/>
      <c r="D785" s="198"/>
      <c r="E785" s="198"/>
      <c r="F785" s="198"/>
      <c r="G785" s="198"/>
      <c r="H785" s="198"/>
      <c r="I785" s="198"/>
      <c r="J785" s="198"/>
      <c r="K785" s="198"/>
      <c r="L785" s="198"/>
    </row>
    <row r="786">
      <c r="A786" s="198"/>
      <c r="B786" s="208" t="str">
        <f>vlookup(A786,Price!A:B,2,false)</f>
        <v>#N/A</v>
      </c>
      <c r="C786" s="198"/>
      <c r="D786" s="198"/>
      <c r="E786" s="198"/>
      <c r="F786" s="198"/>
      <c r="G786" s="198"/>
      <c r="H786" s="198"/>
      <c r="I786" s="198"/>
      <c r="J786" s="198"/>
      <c r="K786" s="198"/>
      <c r="L786" s="198"/>
    </row>
    <row r="787">
      <c r="A787" s="198"/>
      <c r="B787" s="208" t="str">
        <f>vlookup(A787,Price!A:B,2,false)</f>
        <v>#N/A</v>
      </c>
      <c r="C787" s="198"/>
      <c r="D787" s="198"/>
      <c r="E787" s="198"/>
      <c r="F787" s="198"/>
      <c r="G787" s="198"/>
      <c r="H787" s="198"/>
      <c r="I787" s="198"/>
      <c r="J787" s="198"/>
      <c r="K787" s="198"/>
      <c r="L787" s="198"/>
    </row>
    <row r="788">
      <c r="A788" s="198"/>
      <c r="B788" s="208" t="str">
        <f>vlookup(A788,Price!A:B,2,false)</f>
        <v>#N/A</v>
      </c>
      <c r="C788" s="198"/>
      <c r="D788" s="198"/>
      <c r="E788" s="198"/>
      <c r="F788" s="198"/>
      <c r="G788" s="198"/>
      <c r="H788" s="198"/>
      <c r="I788" s="198"/>
      <c r="J788" s="198"/>
      <c r="K788" s="198"/>
      <c r="L788" s="198"/>
    </row>
    <row r="789">
      <c r="A789" s="198"/>
      <c r="B789" s="208" t="str">
        <f>vlookup(A789,Price!A:B,2,false)</f>
        <v>#N/A</v>
      </c>
      <c r="C789" s="198"/>
      <c r="D789" s="198"/>
      <c r="E789" s="198"/>
      <c r="F789" s="198"/>
      <c r="G789" s="198"/>
      <c r="H789" s="198"/>
      <c r="I789" s="198"/>
      <c r="J789" s="198"/>
      <c r="K789" s="198"/>
      <c r="L789" s="198"/>
    </row>
    <row r="790">
      <c r="A790" s="198"/>
      <c r="B790" s="208" t="str">
        <f>vlookup(A790,Price!A:B,2,false)</f>
        <v>#N/A</v>
      </c>
      <c r="C790" s="198"/>
      <c r="D790" s="198"/>
      <c r="E790" s="198"/>
      <c r="F790" s="198"/>
      <c r="G790" s="198"/>
      <c r="H790" s="198"/>
      <c r="I790" s="198"/>
      <c r="J790" s="198"/>
      <c r="K790" s="198"/>
      <c r="L790" s="198"/>
    </row>
    <row r="791">
      <c r="A791" s="198"/>
      <c r="B791" s="208" t="str">
        <f>vlookup(A791,Price!A:B,2,false)</f>
        <v>#N/A</v>
      </c>
      <c r="C791" s="198"/>
      <c r="D791" s="198"/>
      <c r="E791" s="198"/>
      <c r="F791" s="198"/>
      <c r="G791" s="198"/>
      <c r="H791" s="198"/>
      <c r="I791" s="198"/>
      <c r="J791" s="198"/>
      <c r="K791" s="198"/>
      <c r="L791" s="198"/>
    </row>
    <row r="792">
      <c r="A792" s="198"/>
      <c r="B792" s="208" t="str">
        <f>vlookup(A792,Price!A:B,2,false)</f>
        <v>#N/A</v>
      </c>
      <c r="C792" s="198"/>
      <c r="D792" s="198"/>
      <c r="E792" s="198"/>
      <c r="F792" s="198"/>
      <c r="G792" s="198"/>
      <c r="H792" s="198"/>
      <c r="I792" s="198"/>
      <c r="J792" s="198"/>
      <c r="K792" s="198"/>
      <c r="L792" s="198"/>
    </row>
    <row r="793">
      <c r="A793" s="198"/>
      <c r="B793" s="208" t="str">
        <f>vlookup(A793,Price!A:B,2,false)</f>
        <v>#N/A</v>
      </c>
      <c r="C793" s="198"/>
      <c r="D793" s="198"/>
      <c r="E793" s="198"/>
      <c r="F793" s="198"/>
      <c r="G793" s="198"/>
      <c r="H793" s="198"/>
      <c r="I793" s="198"/>
      <c r="J793" s="198"/>
      <c r="K793" s="198"/>
      <c r="L793" s="198"/>
    </row>
    <row r="794">
      <c r="A794" s="198"/>
      <c r="B794" s="208" t="str">
        <f>vlookup(A794,Price!A:B,2,false)</f>
        <v>#N/A</v>
      </c>
      <c r="C794" s="198"/>
      <c r="D794" s="198"/>
      <c r="E794" s="198"/>
      <c r="F794" s="198"/>
      <c r="G794" s="198"/>
      <c r="H794" s="198"/>
      <c r="I794" s="198"/>
      <c r="J794" s="198"/>
      <c r="K794" s="198"/>
      <c r="L794" s="198"/>
    </row>
    <row r="795">
      <c r="A795" s="198"/>
      <c r="B795" s="208" t="str">
        <f>vlookup(A795,Price!A:B,2,false)</f>
        <v>#N/A</v>
      </c>
      <c r="C795" s="198"/>
      <c r="D795" s="198"/>
      <c r="E795" s="198"/>
      <c r="F795" s="198"/>
      <c r="G795" s="198"/>
      <c r="H795" s="198"/>
      <c r="I795" s="198"/>
      <c r="J795" s="198"/>
      <c r="K795" s="198"/>
      <c r="L795" s="198"/>
    </row>
    <row r="796">
      <c r="A796" s="198"/>
      <c r="B796" s="208" t="str">
        <f>vlookup(A796,Price!A:B,2,false)</f>
        <v>#N/A</v>
      </c>
      <c r="C796" s="198"/>
      <c r="D796" s="198"/>
      <c r="E796" s="198"/>
      <c r="F796" s="198"/>
      <c r="G796" s="198"/>
      <c r="H796" s="198"/>
      <c r="I796" s="198"/>
      <c r="J796" s="198"/>
      <c r="K796" s="198"/>
      <c r="L796" s="198"/>
    </row>
    <row r="797">
      <c r="A797" s="198"/>
      <c r="B797" s="208" t="str">
        <f>vlookup(A797,Price!A:B,2,false)</f>
        <v>#N/A</v>
      </c>
      <c r="C797" s="198"/>
      <c r="D797" s="198"/>
      <c r="E797" s="198"/>
      <c r="F797" s="198"/>
      <c r="G797" s="198"/>
      <c r="H797" s="198"/>
      <c r="I797" s="198"/>
      <c r="J797" s="198"/>
      <c r="K797" s="198"/>
      <c r="L797" s="198"/>
    </row>
    <row r="798">
      <c r="A798" s="198"/>
      <c r="B798" s="208" t="str">
        <f>vlookup(A798,Price!A:B,2,false)</f>
        <v>#N/A</v>
      </c>
      <c r="C798" s="198"/>
      <c r="D798" s="198"/>
      <c r="E798" s="198"/>
      <c r="F798" s="198"/>
      <c r="G798" s="198"/>
      <c r="H798" s="198"/>
      <c r="I798" s="198"/>
      <c r="J798" s="198"/>
      <c r="K798" s="198"/>
      <c r="L798" s="198"/>
    </row>
    <row r="799">
      <c r="A799" s="198"/>
      <c r="B799" s="208" t="str">
        <f>vlookup(A799,Price!A:B,2,false)</f>
        <v>#N/A</v>
      </c>
      <c r="C799" s="198"/>
      <c r="D799" s="198"/>
      <c r="E799" s="198"/>
      <c r="F799" s="198"/>
      <c r="G799" s="198"/>
      <c r="H799" s="198"/>
      <c r="I799" s="198"/>
      <c r="J799" s="198"/>
      <c r="K799" s="198"/>
      <c r="L799" s="198"/>
    </row>
    <row r="800">
      <c r="A800" s="198"/>
      <c r="B800" s="208" t="str">
        <f>vlookup(A800,Price!A:B,2,false)</f>
        <v>#N/A</v>
      </c>
      <c r="C800" s="198"/>
      <c r="D800" s="198"/>
      <c r="E800" s="198"/>
      <c r="F800" s="198"/>
      <c r="G800" s="198"/>
      <c r="H800" s="198"/>
      <c r="I800" s="198"/>
      <c r="J800" s="198"/>
      <c r="K800" s="198"/>
      <c r="L800" s="198"/>
    </row>
    <row r="801">
      <c r="A801" s="198"/>
      <c r="B801" s="208" t="str">
        <f>vlookup(A801,Price!A:B,2,false)</f>
        <v>#N/A</v>
      </c>
      <c r="C801" s="198"/>
      <c r="D801" s="198"/>
      <c r="E801" s="198"/>
      <c r="F801" s="198"/>
      <c r="G801" s="198"/>
      <c r="H801" s="198"/>
      <c r="I801" s="198"/>
      <c r="J801" s="198"/>
      <c r="K801" s="198"/>
      <c r="L801" s="198"/>
    </row>
    <row r="802">
      <c r="A802" s="198"/>
      <c r="B802" s="208" t="str">
        <f>vlookup(A802,Price!A:B,2,false)</f>
        <v>#N/A</v>
      </c>
      <c r="C802" s="198"/>
      <c r="D802" s="198"/>
      <c r="E802" s="198"/>
      <c r="F802" s="198"/>
      <c r="G802" s="198"/>
      <c r="H802" s="198"/>
      <c r="I802" s="198"/>
      <c r="J802" s="198"/>
      <c r="K802" s="198"/>
      <c r="L802" s="198"/>
    </row>
    <row r="803">
      <c r="A803" s="198"/>
      <c r="B803" s="208" t="str">
        <f>vlookup(A803,Price!A:B,2,false)</f>
        <v>#N/A</v>
      </c>
      <c r="C803" s="198"/>
      <c r="D803" s="198"/>
      <c r="E803" s="198"/>
      <c r="F803" s="198"/>
      <c r="G803" s="198"/>
      <c r="H803" s="198"/>
      <c r="I803" s="198"/>
      <c r="J803" s="198"/>
      <c r="K803" s="198"/>
      <c r="L803" s="198"/>
    </row>
    <row r="804">
      <c r="A804" s="198"/>
      <c r="B804" s="208" t="str">
        <f>vlookup(A804,Price!A:B,2,false)</f>
        <v>#N/A</v>
      </c>
      <c r="C804" s="198"/>
      <c r="D804" s="198"/>
      <c r="E804" s="198"/>
      <c r="F804" s="198"/>
      <c r="G804" s="198"/>
      <c r="H804" s="198"/>
      <c r="I804" s="198"/>
      <c r="J804" s="198"/>
      <c r="K804" s="198"/>
      <c r="L804" s="198"/>
    </row>
    <row r="805">
      <c r="A805" s="198"/>
      <c r="B805" s="208" t="str">
        <f>vlookup(A805,Price!A:B,2,false)</f>
        <v>#N/A</v>
      </c>
      <c r="C805" s="198"/>
      <c r="D805" s="198"/>
      <c r="E805" s="198"/>
      <c r="F805" s="198"/>
      <c r="G805" s="198"/>
      <c r="H805" s="198"/>
      <c r="I805" s="198"/>
      <c r="J805" s="198"/>
      <c r="K805" s="198"/>
      <c r="L805" s="198"/>
    </row>
    <row r="806">
      <c r="A806" s="198"/>
      <c r="B806" s="208" t="str">
        <f>vlookup(A806,Price!A:B,2,false)</f>
        <v>#N/A</v>
      </c>
      <c r="C806" s="198"/>
      <c r="D806" s="198"/>
      <c r="E806" s="198"/>
      <c r="F806" s="198"/>
      <c r="G806" s="198"/>
      <c r="H806" s="198"/>
      <c r="I806" s="198"/>
      <c r="J806" s="198"/>
      <c r="K806" s="198"/>
      <c r="L806" s="198"/>
    </row>
    <row r="807">
      <c r="A807" s="198"/>
      <c r="B807" s="208" t="str">
        <f>vlookup(A807,Price!A:B,2,false)</f>
        <v>#N/A</v>
      </c>
      <c r="C807" s="198"/>
      <c r="D807" s="198"/>
      <c r="E807" s="198"/>
      <c r="F807" s="198"/>
      <c r="G807" s="198"/>
      <c r="H807" s="198"/>
      <c r="I807" s="198"/>
      <c r="J807" s="198"/>
      <c r="K807" s="198"/>
      <c r="L807" s="198"/>
    </row>
    <row r="808">
      <c r="A808" s="198"/>
      <c r="B808" s="208" t="str">
        <f>vlookup(A808,Price!A:B,2,false)</f>
        <v>#N/A</v>
      </c>
      <c r="C808" s="198"/>
      <c r="D808" s="198"/>
      <c r="E808" s="198"/>
      <c r="F808" s="198"/>
      <c r="G808" s="198"/>
      <c r="H808" s="198"/>
      <c r="I808" s="198"/>
      <c r="J808" s="198"/>
      <c r="K808" s="198"/>
      <c r="L808" s="198"/>
    </row>
    <row r="809">
      <c r="A809" s="198"/>
      <c r="B809" s="208" t="str">
        <f>vlookup(A809,Price!A:B,2,false)</f>
        <v>#N/A</v>
      </c>
      <c r="C809" s="198"/>
      <c r="D809" s="198"/>
      <c r="E809" s="198"/>
      <c r="F809" s="198"/>
      <c r="G809" s="198"/>
      <c r="H809" s="198"/>
      <c r="I809" s="198"/>
      <c r="J809" s="198"/>
      <c r="K809" s="198"/>
      <c r="L809" s="198"/>
    </row>
    <row r="810">
      <c r="A810" s="198"/>
      <c r="B810" s="208" t="str">
        <f>vlookup(A810,Price!A:B,2,false)</f>
        <v>#N/A</v>
      </c>
      <c r="C810" s="198"/>
      <c r="D810" s="198"/>
      <c r="E810" s="198"/>
      <c r="F810" s="198"/>
      <c r="G810" s="198"/>
      <c r="H810" s="198"/>
      <c r="I810" s="198"/>
      <c r="J810" s="198"/>
      <c r="K810" s="198"/>
      <c r="L810" s="198"/>
    </row>
    <row r="811">
      <c r="A811" s="198"/>
      <c r="B811" s="208" t="str">
        <f>vlookup(A811,Price!A:B,2,false)</f>
        <v>#N/A</v>
      </c>
      <c r="C811" s="198"/>
      <c r="D811" s="198"/>
      <c r="E811" s="198"/>
      <c r="F811" s="198"/>
      <c r="G811" s="198"/>
      <c r="H811" s="198"/>
      <c r="I811" s="198"/>
      <c r="J811" s="198"/>
      <c r="K811" s="198"/>
      <c r="L811" s="198"/>
    </row>
    <row r="812">
      <c r="A812" s="198"/>
      <c r="B812" s="208" t="str">
        <f>vlookup(A812,Price!A:B,2,false)</f>
        <v>#N/A</v>
      </c>
      <c r="C812" s="198"/>
      <c r="D812" s="198"/>
      <c r="E812" s="198"/>
      <c r="F812" s="198"/>
      <c r="G812" s="198"/>
      <c r="H812" s="198"/>
      <c r="I812" s="198"/>
      <c r="J812" s="198"/>
      <c r="K812" s="198"/>
      <c r="L812" s="198"/>
    </row>
    <row r="813">
      <c r="A813" s="198"/>
      <c r="B813" s="208" t="str">
        <f>vlookup(A813,Price!A:B,2,false)</f>
        <v>#N/A</v>
      </c>
      <c r="C813" s="198"/>
      <c r="D813" s="198"/>
      <c r="E813" s="198"/>
      <c r="F813" s="198"/>
      <c r="G813" s="198"/>
      <c r="H813" s="198"/>
      <c r="I813" s="198"/>
      <c r="J813" s="198"/>
      <c r="K813" s="198"/>
      <c r="L813" s="198"/>
    </row>
    <row r="814">
      <c r="A814" s="198"/>
      <c r="B814" s="208" t="str">
        <f>vlookup(A814,Price!A:B,2,false)</f>
        <v>#N/A</v>
      </c>
      <c r="C814" s="198"/>
      <c r="D814" s="198"/>
      <c r="E814" s="198"/>
      <c r="F814" s="198"/>
      <c r="G814" s="198"/>
      <c r="H814" s="198"/>
      <c r="I814" s="198"/>
      <c r="J814" s="198"/>
      <c r="K814" s="198"/>
      <c r="L814" s="198"/>
    </row>
    <row r="815">
      <c r="A815" s="198"/>
      <c r="B815" s="208" t="str">
        <f>vlookup(A815,Price!A:B,2,false)</f>
        <v>#N/A</v>
      </c>
      <c r="C815" s="198"/>
      <c r="D815" s="198"/>
      <c r="E815" s="198"/>
      <c r="F815" s="198"/>
      <c r="G815" s="198"/>
      <c r="H815" s="198"/>
      <c r="I815" s="198"/>
      <c r="J815" s="198"/>
      <c r="K815" s="198"/>
      <c r="L815" s="198"/>
    </row>
    <row r="816">
      <c r="A816" s="198"/>
      <c r="B816" s="208" t="str">
        <f>vlookup(A816,Price!A:B,2,false)</f>
        <v>#N/A</v>
      </c>
      <c r="C816" s="198"/>
      <c r="D816" s="198"/>
      <c r="E816" s="198"/>
      <c r="F816" s="198"/>
      <c r="G816" s="198"/>
      <c r="H816" s="198"/>
      <c r="I816" s="198"/>
      <c r="J816" s="198"/>
      <c r="K816" s="198"/>
      <c r="L816" s="198"/>
    </row>
    <row r="817">
      <c r="A817" s="198"/>
      <c r="B817" s="208" t="str">
        <f>vlookup(A817,Price!A:B,2,false)</f>
        <v>#N/A</v>
      </c>
      <c r="C817" s="198"/>
      <c r="D817" s="198"/>
      <c r="E817" s="198"/>
      <c r="F817" s="198"/>
      <c r="G817" s="198"/>
      <c r="H817" s="198"/>
      <c r="I817" s="198"/>
      <c r="J817" s="198"/>
      <c r="K817" s="198"/>
      <c r="L817" s="198"/>
    </row>
    <row r="818">
      <c r="A818" s="198"/>
      <c r="B818" s="208" t="str">
        <f>vlookup(A818,Price!A:B,2,false)</f>
        <v>#N/A</v>
      </c>
      <c r="C818" s="198"/>
      <c r="D818" s="198"/>
      <c r="E818" s="198"/>
      <c r="F818" s="198"/>
      <c r="G818" s="198"/>
      <c r="H818" s="198"/>
      <c r="I818" s="198"/>
      <c r="J818" s="198"/>
      <c r="K818" s="198"/>
      <c r="L818" s="198"/>
    </row>
    <row r="819">
      <c r="A819" s="198"/>
      <c r="B819" s="208" t="str">
        <f>vlookup(A819,Price!A:B,2,false)</f>
        <v>#N/A</v>
      </c>
      <c r="C819" s="198"/>
      <c r="D819" s="198"/>
      <c r="E819" s="198"/>
      <c r="F819" s="198"/>
      <c r="G819" s="198"/>
      <c r="H819" s="198"/>
      <c r="I819" s="198"/>
      <c r="J819" s="198"/>
      <c r="K819" s="198"/>
      <c r="L819" s="198"/>
    </row>
    <row r="820">
      <c r="A820" s="198"/>
      <c r="B820" s="208" t="str">
        <f>vlookup(A820,Price!A:B,2,false)</f>
        <v>#N/A</v>
      </c>
      <c r="C820" s="198"/>
      <c r="D820" s="198"/>
      <c r="E820" s="198"/>
      <c r="F820" s="198"/>
      <c r="G820" s="198"/>
      <c r="H820" s="198"/>
      <c r="I820" s="198"/>
      <c r="J820" s="198"/>
      <c r="K820" s="198"/>
      <c r="L820" s="198"/>
    </row>
    <row r="821">
      <c r="A821" s="198"/>
      <c r="B821" s="208" t="str">
        <f>vlookup(A821,Price!A:B,2,false)</f>
        <v>#N/A</v>
      </c>
      <c r="C821" s="198"/>
      <c r="D821" s="198"/>
      <c r="E821" s="198"/>
      <c r="F821" s="198"/>
      <c r="G821" s="198"/>
      <c r="H821" s="198"/>
      <c r="I821" s="198"/>
      <c r="J821" s="198"/>
      <c r="K821" s="198"/>
      <c r="L821" s="198"/>
    </row>
    <row r="822">
      <c r="A822" s="198"/>
      <c r="B822" s="208" t="str">
        <f>vlookup(A822,Price!A:B,2,false)</f>
        <v>#N/A</v>
      </c>
      <c r="C822" s="198"/>
      <c r="D822" s="198"/>
      <c r="E822" s="198"/>
      <c r="F822" s="198"/>
      <c r="G822" s="198"/>
      <c r="H822" s="198"/>
      <c r="I822" s="198"/>
      <c r="J822" s="198"/>
      <c r="K822" s="198"/>
      <c r="L822" s="198"/>
    </row>
    <row r="823">
      <c r="A823" s="198"/>
      <c r="B823" s="208" t="str">
        <f>vlookup(A823,Price!A:B,2,false)</f>
        <v>#N/A</v>
      </c>
      <c r="C823" s="198"/>
      <c r="D823" s="198"/>
      <c r="E823" s="198"/>
      <c r="F823" s="198"/>
      <c r="G823" s="198"/>
      <c r="H823" s="198"/>
      <c r="I823" s="198"/>
      <c r="J823" s="198"/>
      <c r="K823" s="198"/>
      <c r="L823" s="198"/>
    </row>
    <row r="824">
      <c r="A824" s="198"/>
      <c r="B824" s="208" t="str">
        <f>vlookup(A824,Price!A:B,2,false)</f>
        <v>#N/A</v>
      </c>
      <c r="C824" s="198"/>
      <c r="D824" s="198"/>
      <c r="E824" s="198"/>
      <c r="F824" s="198"/>
      <c r="G824" s="198"/>
      <c r="H824" s="198"/>
      <c r="I824" s="198"/>
      <c r="J824" s="198"/>
      <c r="K824" s="198"/>
      <c r="L824" s="198"/>
    </row>
    <row r="825">
      <c r="A825" s="198"/>
      <c r="B825" s="208" t="str">
        <f>vlookup(A825,Price!A:B,2,false)</f>
        <v>#N/A</v>
      </c>
      <c r="C825" s="198"/>
      <c r="D825" s="198"/>
      <c r="E825" s="198"/>
      <c r="F825" s="198"/>
      <c r="G825" s="198"/>
      <c r="H825" s="198"/>
      <c r="I825" s="198"/>
      <c r="J825" s="198"/>
      <c r="K825" s="198"/>
      <c r="L825" s="198"/>
    </row>
    <row r="826">
      <c r="A826" s="198"/>
      <c r="B826" s="208" t="str">
        <f>vlookup(A826,Price!A:B,2,false)</f>
        <v>#N/A</v>
      </c>
      <c r="C826" s="198"/>
      <c r="D826" s="198"/>
      <c r="E826" s="198"/>
      <c r="F826" s="198"/>
      <c r="G826" s="198"/>
      <c r="H826" s="198"/>
      <c r="I826" s="198"/>
      <c r="J826" s="198"/>
      <c r="K826" s="198"/>
      <c r="L826" s="198"/>
    </row>
    <row r="827">
      <c r="A827" s="198"/>
      <c r="B827" s="208" t="str">
        <f>vlookup(A827,Price!A:B,2,false)</f>
        <v>#N/A</v>
      </c>
      <c r="C827" s="198"/>
      <c r="D827" s="198"/>
      <c r="E827" s="198"/>
      <c r="F827" s="198"/>
      <c r="G827" s="198"/>
      <c r="H827" s="198"/>
      <c r="I827" s="198"/>
      <c r="J827" s="198"/>
      <c r="K827" s="198"/>
      <c r="L827" s="198"/>
    </row>
    <row r="828">
      <c r="A828" s="198"/>
      <c r="B828" s="208" t="str">
        <f>vlookup(A828,Price!A:B,2,false)</f>
        <v>#N/A</v>
      </c>
      <c r="C828" s="198"/>
      <c r="D828" s="198"/>
      <c r="E828" s="198"/>
      <c r="F828" s="198"/>
      <c r="G828" s="198"/>
      <c r="H828" s="198"/>
      <c r="I828" s="198"/>
      <c r="J828" s="198"/>
      <c r="K828" s="198"/>
      <c r="L828" s="198"/>
    </row>
    <row r="829">
      <c r="A829" s="198"/>
      <c r="B829" s="208" t="str">
        <f>vlookup(A829,Price!A:B,2,false)</f>
        <v>#N/A</v>
      </c>
      <c r="C829" s="198"/>
      <c r="D829" s="198"/>
      <c r="E829" s="198"/>
      <c r="F829" s="198"/>
      <c r="G829" s="198"/>
      <c r="H829" s="198"/>
      <c r="I829" s="198"/>
      <c r="J829" s="198"/>
      <c r="K829" s="198"/>
      <c r="L829" s="198"/>
    </row>
    <row r="830">
      <c r="A830" s="198"/>
      <c r="B830" s="208" t="str">
        <f>vlookup(A830,Price!A:B,2,false)</f>
        <v>#N/A</v>
      </c>
      <c r="C830" s="198"/>
      <c r="D830" s="198"/>
      <c r="E830" s="198"/>
      <c r="F830" s="198"/>
      <c r="G830" s="198"/>
      <c r="H830" s="198"/>
      <c r="I830" s="198"/>
      <c r="J830" s="198"/>
      <c r="K830" s="198"/>
      <c r="L830" s="198"/>
    </row>
    <row r="831">
      <c r="A831" s="198"/>
      <c r="B831" s="208" t="str">
        <f>vlookup(A831,Price!A:B,2,false)</f>
        <v>#N/A</v>
      </c>
      <c r="C831" s="198"/>
      <c r="D831" s="198"/>
      <c r="E831" s="198"/>
      <c r="F831" s="198"/>
      <c r="G831" s="198"/>
      <c r="H831" s="198"/>
      <c r="I831" s="198"/>
      <c r="J831" s="198"/>
      <c r="K831" s="198"/>
      <c r="L831" s="198"/>
    </row>
    <row r="832">
      <c r="A832" s="198"/>
      <c r="B832" s="208" t="str">
        <f>vlookup(A832,Price!A:B,2,false)</f>
        <v>#N/A</v>
      </c>
      <c r="C832" s="198"/>
      <c r="D832" s="198"/>
      <c r="E832" s="198"/>
      <c r="F832" s="198"/>
      <c r="G832" s="198"/>
      <c r="H832" s="198"/>
      <c r="I832" s="198"/>
      <c r="J832" s="198"/>
      <c r="K832" s="198"/>
      <c r="L832" s="198"/>
    </row>
    <row r="833">
      <c r="A833" s="198"/>
      <c r="B833" s="208" t="str">
        <f>vlookup(A833,Price!A:B,2,false)</f>
        <v>#N/A</v>
      </c>
      <c r="C833" s="198"/>
      <c r="D833" s="198"/>
      <c r="E833" s="198"/>
      <c r="F833" s="198"/>
      <c r="G833" s="198"/>
      <c r="H833" s="198"/>
      <c r="I833" s="198"/>
      <c r="J833" s="198"/>
      <c r="K833" s="198"/>
      <c r="L833" s="198"/>
    </row>
    <row r="834">
      <c r="A834" s="198"/>
      <c r="B834" s="208" t="str">
        <f>vlookup(A834,Price!A:B,2,false)</f>
        <v>#N/A</v>
      </c>
      <c r="C834" s="198"/>
      <c r="D834" s="198"/>
      <c r="E834" s="198"/>
      <c r="F834" s="198"/>
      <c r="G834" s="198"/>
      <c r="H834" s="198"/>
      <c r="I834" s="198"/>
      <c r="J834" s="198"/>
      <c r="K834" s="198"/>
      <c r="L834" s="198"/>
    </row>
    <row r="835">
      <c r="A835" s="198"/>
      <c r="B835" s="208" t="str">
        <f>vlookup(A835,Price!A:B,2,false)</f>
        <v>#N/A</v>
      </c>
      <c r="C835" s="198"/>
      <c r="D835" s="198"/>
      <c r="E835" s="198"/>
      <c r="F835" s="198"/>
      <c r="G835" s="198"/>
      <c r="H835" s="198"/>
      <c r="I835" s="198"/>
      <c r="J835" s="198"/>
      <c r="K835" s="198"/>
      <c r="L835" s="198"/>
    </row>
    <row r="836">
      <c r="A836" s="198"/>
      <c r="B836" s="208" t="str">
        <f>vlookup(A836,Price!A:B,2,false)</f>
        <v>#N/A</v>
      </c>
      <c r="C836" s="198"/>
      <c r="D836" s="198"/>
      <c r="E836" s="198"/>
      <c r="F836" s="198"/>
      <c r="G836" s="198"/>
      <c r="H836" s="198"/>
      <c r="I836" s="198"/>
      <c r="J836" s="198"/>
      <c r="K836" s="198"/>
      <c r="L836" s="198"/>
    </row>
    <row r="837">
      <c r="A837" s="198"/>
      <c r="B837" s="208" t="str">
        <f>vlookup(A837,Price!A:B,2,false)</f>
        <v>#N/A</v>
      </c>
      <c r="C837" s="198"/>
      <c r="D837" s="198"/>
      <c r="E837" s="198"/>
      <c r="F837" s="198"/>
      <c r="G837" s="198"/>
      <c r="H837" s="198"/>
      <c r="I837" s="198"/>
      <c r="J837" s="198"/>
      <c r="K837" s="198"/>
      <c r="L837" s="198"/>
    </row>
    <row r="838">
      <c r="A838" s="198"/>
      <c r="B838" s="208" t="str">
        <f>vlookup(A838,Price!A:B,2,false)</f>
        <v>#N/A</v>
      </c>
      <c r="C838" s="198"/>
      <c r="D838" s="198"/>
      <c r="E838" s="198"/>
      <c r="F838" s="198"/>
      <c r="G838" s="198"/>
      <c r="H838" s="198"/>
      <c r="I838" s="198"/>
      <c r="J838" s="198"/>
      <c r="K838" s="198"/>
      <c r="L838" s="198"/>
    </row>
    <row r="839">
      <c r="A839" s="198"/>
      <c r="B839" s="208" t="str">
        <f>vlookup(A839,Price!A:B,2,false)</f>
        <v>#N/A</v>
      </c>
      <c r="C839" s="198"/>
      <c r="D839" s="198"/>
      <c r="E839" s="198"/>
      <c r="F839" s="198"/>
      <c r="G839" s="198"/>
      <c r="H839" s="198"/>
      <c r="I839" s="198"/>
      <c r="J839" s="198"/>
      <c r="K839" s="198"/>
      <c r="L839" s="198"/>
    </row>
    <row r="840">
      <c r="A840" s="198"/>
      <c r="B840" s="208" t="str">
        <f>vlookup(A840,Price!A:B,2,false)</f>
        <v>#N/A</v>
      </c>
      <c r="C840" s="198"/>
      <c r="D840" s="198"/>
      <c r="E840" s="198"/>
      <c r="F840" s="198"/>
      <c r="G840" s="198"/>
      <c r="H840" s="198"/>
      <c r="I840" s="198"/>
      <c r="J840" s="198"/>
      <c r="K840" s="198"/>
      <c r="L840" s="198"/>
    </row>
    <row r="841">
      <c r="A841" s="198"/>
      <c r="B841" s="208" t="str">
        <f>vlookup(A841,Price!A:B,2,false)</f>
        <v>#N/A</v>
      </c>
      <c r="C841" s="198"/>
      <c r="D841" s="198"/>
      <c r="E841" s="198"/>
      <c r="F841" s="198"/>
      <c r="G841" s="198"/>
      <c r="H841" s="198"/>
      <c r="I841" s="198"/>
      <c r="J841" s="198"/>
      <c r="K841" s="198"/>
      <c r="L841" s="198"/>
    </row>
    <row r="842">
      <c r="A842" s="198"/>
      <c r="B842" s="208" t="str">
        <f>vlookup(A842,Price!A:B,2,false)</f>
        <v>#N/A</v>
      </c>
      <c r="C842" s="198"/>
      <c r="D842" s="198"/>
      <c r="E842" s="198"/>
      <c r="F842" s="198"/>
      <c r="G842" s="198"/>
      <c r="H842" s="198"/>
      <c r="I842" s="198"/>
      <c r="J842" s="198"/>
      <c r="K842" s="198"/>
      <c r="L842" s="198"/>
    </row>
    <row r="843">
      <c r="A843" s="198"/>
      <c r="B843" s="208" t="str">
        <f>vlookup(A843,Price!A:B,2,false)</f>
        <v>#N/A</v>
      </c>
      <c r="C843" s="198"/>
      <c r="D843" s="198"/>
      <c r="E843" s="198"/>
      <c r="F843" s="198"/>
      <c r="G843" s="198"/>
      <c r="H843" s="198"/>
      <c r="I843" s="198"/>
      <c r="J843" s="198"/>
      <c r="K843" s="198"/>
      <c r="L843" s="198"/>
    </row>
    <row r="844">
      <c r="A844" s="198"/>
      <c r="B844" s="208" t="str">
        <f>vlookup(A844,Price!A:B,2,false)</f>
        <v>#N/A</v>
      </c>
      <c r="C844" s="198"/>
      <c r="D844" s="198"/>
      <c r="E844" s="198"/>
      <c r="F844" s="198"/>
      <c r="G844" s="198"/>
      <c r="H844" s="198"/>
      <c r="I844" s="198"/>
      <c r="J844" s="198"/>
      <c r="K844" s="198"/>
      <c r="L844" s="198"/>
    </row>
    <row r="845">
      <c r="A845" s="198"/>
      <c r="B845" s="208" t="str">
        <f>vlookup(A845,Price!A:B,2,false)</f>
        <v>#N/A</v>
      </c>
      <c r="C845" s="198"/>
      <c r="D845" s="198"/>
      <c r="E845" s="198"/>
      <c r="F845" s="198"/>
      <c r="G845" s="198"/>
      <c r="H845" s="198"/>
      <c r="I845" s="198"/>
      <c r="J845" s="198"/>
      <c r="K845" s="198"/>
      <c r="L845" s="198"/>
    </row>
    <row r="846">
      <c r="A846" s="198"/>
      <c r="B846" s="208" t="str">
        <f>vlookup(A846,Price!A:B,2,false)</f>
        <v>#N/A</v>
      </c>
      <c r="C846" s="198"/>
      <c r="D846" s="198"/>
      <c r="E846" s="198"/>
      <c r="F846" s="198"/>
      <c r="G846" s="198"/>
      <c r="H846" s="198"/>
      <c r="I846" s="198"/>
      <c r="J846" s="198"/>
      <c r="K846" s="198"/>
      <c r="L846" s="198"/>
    </row>
    <row r="847">
      <c r="A847" s="198"/>
      <c r="B847" s="208" t="str">
        <f>vlookup(A847,Price!A:B,2,false)</f>
        <v>#N/A</v>
      </c>
      <c r="C847" s="198"/>
      <c r="D847" s="198"/>
      <c r="E847" s="198"/>
      <c r="F847" s="198"/>
      <c r="G847" s="198"/>
      <c r="H847" s="198"/>
      <c r="I847" s="198"/>
      <c r="J847" s="198"/>
      <c r="K847" s="198"/>
      <c r="L847" s="198"/>
    </row>
    <row r="848">
      <c r="A848" s="198"/>
      <c r="B848" s="208" t="str">
        <f>vlookup(A848,Price!A:B,2,false)</f>
        <v>#N/A</v>
      </c>
      <c r="C848" s="198"/>
      <c r="D848" s="198"/>
      <c r="E848" s="198"/>
      <c r="F848" s="198"/>
      <c r="G848" s="198"/>
      <c r="H848" s="198"/>
      <c r="I848" s="198"/>
      <c r="J848" s="198"/>
      <c r="K848" s="198"/>
      <c r="L848" s="198"/>
    </row>
    <row r="849">
      <c r="A849" s="198"/>
      <c r="B849" s="208" t="str">
        <f>vlookup(A849,Price!A:B,2,false)</f>
        <v>#N/A</v>
      </c>
      <c r="C849" s="198"/>
      <c r="D849" s="198"/>
      <c r="E849" s="198"/>
      <c r="F849" s="198"/>
      <c r="G849" s="198"/>
      <c r="H849" s="198"/>
      <c r="I849" s="198"/>
      <c r="J849" s="198"/>
      <c r="K849" s="198"/>
      <c r="L849" s="198"/>
    </row>
    <row r="850">
      <c r="A850" s="198"/>
      <c r="B850" s="208" t="str">
        <f>vlookup(A850,Price!A:B,2,false)</f>
        <v>#N/A</v>
      </c>
      <c r="C850" s="198"/>
      <c r="D850" s="198"/>
      <c r="E850" s="198"/>
      <c r="F850" s="198"/>
      <c r="G850" s="198"/>
      <c r="H850" s="198"/>
      <c r="I850" s="198"/>
      <c r="J850" s="198"/>
      <c r="K850" s="198"/>
      <c r="L850" s="198"/>
    </row>
    <row r="851">
      <c r="A851" s="198"/>
      <c r="B851" s="208" t="str">
        <f>vlookup(A851,Price!A:B,2,false)</f>
        <v>#N/A</v>
      </c>
      <c r="C851" s="198"/>
      <c r="D851" s="198"/>
      <c r="E851" s="198"/>
      <c r="F851" s="198"/>
      <c r="G851" s="198"/>
      <c r="H851" s="198"/>
      <c r="I851" s="198"/>
      <c r="J851" s="198"/>
      <c r="K851" s="198"/>
      <c r="L851" s="198"/>
    </row>
    <row r="852">
      <c r="A852" s="198"/>
      <c r="B852" s="208" t="str">
        <f>vlookup(A852,Price!A:B,2,false)</f>
        <v>#N/A</v>
      </c>
      <c r="C852" s="198"/>
      <c r="D852" s="198"/>
      <c r="E852" s="198"/>
      <c r="F852" s="198"/>
      <c r="G852" s="198"/>
      <c r="H852" s="198"/>
      <c r="I852" s="198"/>
      <c r="J852" s="198"/>
      <c r="K852" s="198"/>
      <c r="L852" s="198"/>
    </row>
    <row r="853">
      <c r="A853" s="198"/>
      <c r="B853" s="208" t="str">
        <f>vlookup(A853,Price!A:B,2,false)</f>
        <v>#N/A</v>
      </c>
      <c r="C853" s="198"/>
      <c r="D853" s="198"/>
      <c r="E853" s="198"/>
      <c r="F853" s="198"/>
      <c r="G853" s="198"/>
      <c r="H853" s="198"/>
      <c r="I853" s="198"/>
      <c r="J853" s="198"/>
      <c r="K853" s="198"/>
      <c r="L853" s="198"/>
    </row>
    <row r="854">
      <c r="A854" s="198"/>
      <c r="B854" s="208" t="str">
        <f>vlookup(A854,Price!A:B,2,false)</f>
        <v>#N/A</v>
      </c>
      <c r="C854" s="198"/>
      <c r="D854" s="198"/>
      <c r="E854" s="198"/>
      <c r="F854" s="198"/>
      <c r="G854" s="198"/>
      <c r="H854" s="198"/>
      <c r="I854" s="198"/>
      <c r="J854" s="198"/>
      <c r="K854" s="198"/>
      <c r="L854" s="198"/>
    </row>
    <row r="855">
      <c r="A855" s="198"/>
      <c r="B855" s="208" t="str">
        <f>vlookup(A855,Price!A:B,2,false)</f>
        <v>#N/A</v>
      </c>
      <c r="C855" s="198"/>
      <c r="D855" s="198"/>
      <c r="E855" s="198"/>
      <c r="F855" s="198"/>
      <c r="G855" s="198"/>
      <c r="H855" s="198"/>
      <c r="I855" s="198"/>
      <c r="J855" s="198"/>
      <c r="K855" s="198"/>
      <c r="L855" s="198"/>
    </row>
    <row r="856">
      <c r="A856" s="198"/>
      <c r="B856" s="208" t="str">
        <f>vlookup(A856,Price!A:B,2,false)</f>
        <v>#N/A</v>
      </c>
      <c r="C856" s="198"/>
      <c r="D856" s="198"/>
      <c r="E856" s="198"/>
      <c r="F856" s="198"/>
      <c r="G856" s="198"/>
      <c r="H856" s="198"/>
      <c r="I856" s="198"/>
      <c r="J856" s="198"/>
      <c r="K856" s="198"/>
      <c r="L856" s="198"/>
    </row>
    <row r="857">
      <c r="A857" s="198"/>
      <c r="B857" s="208" t="str">
        <f>vlookup(A857,Price!A:B,2,false)</f>
        <v>#N/A</v>
      </c>
      <c r="C857" s="198"/>
      <c r="D857" s="198"/>
      <c r="E857" s="198"/>
      <c r="F857" s="198"/>
      <c r="G857" s="198"/>
      <c r="H857" s="198"/>
      <c r="I857" s="198"/>
      <c r="J857" s="198"/>
      <c r="K857" s="198"/>
      <c r="L857" s="198"/>
    </row>
    <row r="858">
      <c r="A858" s="198"/>
      <c r="B858" s="208" t="str">
        <f>vlookup(A858,Price!A:B,2,false)</f>
        <v>#N/A</v>
      </c>
      <c r="C858" s="198"/>
      <c r="D858" s="198"/>
      <c r="E858" s="198"/>
      <c r="F858" s="198"/>
      <c r="G858" s="198"/>
      <c r="H858" s="198"/>
      <c r="I858" s="198"/>
      <c r="J858" s="198"/>
      <c r="K858" s="198"/>
      <c r="L858" s="198"/>
    </row>
    <row r="859">
      <c r="A859" s="198"/>
      <c r="B859" s="208" t="str">
        <f>vlookup(A859,Price!A:B,2,false)</f>
        <v>#N/A</v>
      </c>
      <c r="C859" s="198"/>
      <c r="D859" s="198"/>
      <c r="E859" s="198"/>
      <c r="F859" s="198"/>
      <c r="G859" s="198"/>
      <c r="H859" s="198"/>
      <c r="I859" s="198"/>
      <c r="J859" s="198"/>
      <c r="K859" s="198"/>
      <c r="L859" s="198"/>
    </row>
    <row r="860">
      <c r="A860" s="198"/>
      <c r="B860" s="208" t="str">
        <f>vlookup(A860,Price!A:B,2,false)</f>
        <v>#N/A</v>
      </c>
      <c r="C860" s="198"/>
      <c r="D860" s="198"/>
      <c r="E860" s="198"/>
      <c r="F860" s="198"/>
      <c r="G860" s="198"/>
      <c r="H860" s="198"/>
      <c r="I860" s="198"/>
      <c r="J860" s="198"/>
      <c r="K860" s="198"/>
      <c r="L860" s="198"/>
    </row>
    <row r="861">
      <c r="A861" s="198"/>
      <c r="B861" s="208" t="str">
        <f>vlookup(A861,Price!A:B,2,false)</f>
        <v>#N/A</v>
      </c>
      <c r="C861" s="198"/>
      <c r="D861" s="198"/>
      <c r="E861" s="198"/>
      <c r="F861" s="198"/>
      <c r="G861" s="198"/>
      <c r="H861" s="198"/>
      <c r="I861" s="198"/>
      <c r="J861" s="198"/>
      <c r="K861" s="198"/>
      <c r="L861" s="198"/>
    </row>
    <row r="862">
      <c r="A862" s="198"/>
      <c r="B862" s="208" t="str">
        <f>vlookup(A862,Price!A:B,2,false)</f>
        <v>#N/A</v>
      </c>
      <c r="C862" s="198"/>
      <c r="D862" s="198"/>
      <c r="E862" s="198"/>
      <c r="F862" s="198"/>
      <c r="G862" s="198"/>
      <c r="H862" s="198"/>
      <c r="I862" s="198"/>
      <c r="J862" s="198"/>
      <c r="K862" s="198"/>
      <c r="L862" s="198"/>
    </row>
    <row r="863">
      <c r="A863" s="198"/>
      <c r="B863" s="208" t="str">
        <f>vlookup(A863,Price!A:B,2,false)</f>
        <v>#N/A</v>
      </c>
      <c r="C863" s="198"/>
      <c r="D863" s="198"/>
      <c r="E863" s="198"/>
      <c r="F863" s="198"/>
      <c r="G863" s="198"/>
      <c r="H863" s="198"/>
      <c r="I863" s="198"/>
      <c r="J863" s="198"/>
      <c r="K863" s="198"/>
      <c r="L863" s="198"/>
    </row>
    <row r="864">
      <c r="A864" s="198"/>
      <c r="B864" s="208" t="str">
        <f>vlookup(A864,Price!A:B,2,false)</f>
        <v>#N/A</v>
      </c>
      <c r="C864" s="198"/>
      <c r="D864" s="198"/>
      <c r="E864" s="198"/>
      <c r="F864" s="198"/>
      <c r="G864" s="198"/>
      <c r="H864" s="198"/>
      <c r="I864" s="198"/>
      <c r="J864" s="198"/>
      <c r="K864" s="198"/>
      <c r="L864" s="198"/>
    </row>
    <row r="865">
      <c r="A865" s="198"/>
      <c r="B865" s="208" t="str">
        <f>vlookup(A865,Price!A:B,2,false)</f>
        <v>#N/A</v>
      </c>
      <c r="C865" s="198"/>
      <c r="D865" s="198"/>
      <c r="E865" s="198"/>
      <c r="F865" s="198"/>
      <c r="G865" s="198"/>
      <c r="H865" s="198"/>
      <c r="I865" s="198"/>
      <c r="J865" s="198"/>
      <c r="K865" s="198"/>
      <c r="L865" s="198"/>
    </row>
    <row r="866">
      <c r="A866" s="198"/>
      <c r="B866" s="208" t="str">
        <f>vlookup(A866,Price!A:B,2,false)</f>
        <v>#N/A</v>
      </c>
      <c r="C866" s="198"/>
      <c r="D866" s="198"/>
      <c r="E866" s="198"/>
      <c r="F866" s="198"/>
      <c r="G866" s="198"/>
      <c r="H866" s="198"/>
      <c r="I866" s="198"/>
      <c r="J866" s="198"/>
      <c r="K866" s="198"/>
      <c r="L866" s="198"/>
    </row>
    <row r="867">
      <c r="A867" s="198"/>
      <c r="B867" s="208" t="str">
        <f>vlookup(A867,Price!A:B,2,false)</f>
        <v>#N/A</v>
      </c>
      <c r="C867" s="198"/>
      <c r="D867" s="198"/>
      <c r="E867" s="198"/>
      <c r="F867" s="198"/>
      <c r="G867" s="198"/>
      <c r="H867" s="198"/>
      <c r="I867" s="198"/>
      <c r="J867" s="198"/>
      <c r="K867" s="198"/>
      <c r="L867" s="198"/>
    </row>
    <row r="868">
      <c r="A868" s="198"/>
      <c r="B868" s="208" t="str">
        <f>vlookup(A868,Price!A:B,2,false)</f>
        <v>#N/A</v>
      </c>
      <c r="C868" s="198"/>
      <c r="D868" s="198"/>
      <c r="E868" s="198"/>
      <c r="F868" s="198"/>
      <c r="G868" s="198"/>
      <c r="H868" s="198"/>
      <c r="I868" s="198"/>
      <c r="J868" s="198"/>
      <c r="K868" s="198"/>
      <c r="L868" s="198"/>
    </row>
    <row r="869">
      <c r="A869" s="198"/>
      <c r="B869" s="208" t="str">
        <f>vlookup(A869,Price!A:B,2,false)</f>
        <v>#N/A</v>
      </c>
      <c r="C869" s="198"/>
      <c r="D869" s="198"/>
      <c r="E869" s="198"/>
      <c r="F869" s="198"/>
      <c r="G869" s="198"/>
      <c r="H869" s="198"/>
      <c r="I869" s="198"/>
      <c r="J869" s="198"/>
      <c r="K869" s="198"/>
      <c r="L869" s="198"/>
    </row>
    <row r="870">
      <c r="A870" s="198"/>
      <c r="B870" s="208" t="str">
        <f>vlookup(A870,Price!A:B,2,false)</f>
        <v>#N/A</v>
      </c>
      <c r="C870" s="198"/>
      <c r="D870" s="198"/>
      <c r="E870" s="198"/>
      <c r="F870" s="198"/>
      <c r="G870" s="198"/>
      <c r="H870" s="198"/>
      <c r="I870" s="198"/>
      <c r="J870" s="198"/>
      <c r="K870" s="198"/>
      <c r="L870" s="198"/>
    </row>
    <row r="871">
      <c r="A871" s="198"/>
      <c r="B871" s="208" t="str">
        <f>vlookup(A871,Price!A:B,2,false)</f>
        <v>#N/A</v>
      </c>
      <c r="C871" s="198"/>
      <c r="D871" s="198"/>
      <c r="E871" s="198"/>
      <c r="F871" s="198"/>
      <c r="G871" s="198"/>
      <c r="H871" s="198"/>
      <c r="I871" s="198"/>
      <c r="J871" s="198"/>
      <c r="K871" s="198"/>
      <c r="L871" s="198"/>
    </row>
    <row r="872">
      <c r="A872" s="198"/>
      <c r="B872" s="208" t="str">
        <f>vlookup(A872,Price!A:B,2,false)</f>
        <v>#N/A</v>
      </c>
      <c r="C872" s="198"/>
      <c r="D872" s="198"/>
      <c r="E872" s="198"/>
      <c r="F872" s="198"/>
      <c r="G872" s="198"/>
      <c r="H872" s="198"/>
      <c r="I872" s="198"/>
      <c r="J872" s="198"/>
      <c r="K872" s="198"/>
      <c r="L872" s="198"/>
    </row>
    <row r="873">
      <c r="A873" s="198"/>
      <c r="B873" s="208" t="str">
        <f>vlookup(A873,Price!A:B,2,false)</f>
        <v>#N/A</v>
      </c>
      <c r="C873" s="198"/>
      <c r="D873" s="198"/>
      <c r="E873" s="198"/>
      <c r="F873" s="198"/>
      <c r="G873" s="198"/>
      <c r="H873" s="198"/>
      <c r="I873" s="198"/>
      <c r="J873" s="198"/>
      <c r="K873" s="198"/>
      <c r="L873" s="198"/>
    </row>
    <row r="874">
      <c r="A874" s="198"/>
      <c r="B874" s="208" t="str">
        <f>vlookup(A874,Price!A:B,2,false)</f>
        <v>#N/A</v>
      </c>
      <c r="C874" s="198"/>
      <c r="D874" s="198"/>
      <c r="E874" s="198"/>
      <c r="F874" s="198"/>
      <c r="G874" s="198"/>
      <c r="H874" s="198"/>
      <c r="I874" s="198"/>
      <c r="J874" s="198"/>
      <c r="K874" s="198"/>
      <c r="L874" s="198"/>
    </row>
    <row r="875">
      <c r="A875" s="198"/>
      <c r="B875" s="208" t="str">
        <f>vlookup(A875,Price!A:B,2,false)</f>
        <v>#N/A</v>
      </c>
      <c r="C875" s="198"/>
      <c r="D875" s="198"/>
      <c r="E875" s="198"/>
      <c r="F875" s="198"/>
      <c r="G875" s="198"/>
      <c r="H875" s="198"/>
      <c r="I875" s="198"/>
      <c r="J875" s="198"/>
      <c r="K875" s="198"/>
      <c r="L875" s="198"/>
    </row>
    <row r="876">
      <c r="A876" s="198"/>
      <c r="B876" s="208" t="str">
        <f>vlookup(A876,Price!A:B,2,false)</f>
        <v>#N/A</v>
      </c>
      <c r="C876" s="198"/>
      <c r="D876" s="198"/>
      <c r="E876" s="198"/>
      <c r="F876" s="198"/>
      <c r="G876" s="198"/>
      <c r="H876" s="198"/>
      <c r="I876" s="198"/>
      <c r="J876" s="198"/>
      <c r="K876" s="198"/>
      <c r="L876" s="198"/>
    </row>
    <row r="877">
      <c r="A877" s="198"/>
      <c r="B877" s="208" t="str">
        <f>vlookup(A877,Price!A:B,2,false)</f>
        <v>#N/A</v>
      </c>
      <c r="C877" s="198"/>
      <c r="D877" s="198"/>
      <c r="E877" s="198"/>
      <c r="F877" s="198"/>
      <c r="G877" s="198"/>
      <c r="H877" s="198"/>
      <c r="I877" s="198"/>
      <c r="J877" s="198"/>
      <c r="K877" s="198"/>
      <c r="L877" s="198"/>
    </row>
    <row r="878">
      <c r="A878" s="198"/>
      <c r="B878" s="208" t="str">
        <f>vlookup(A878,Price!A:B,2,false)</f>
        <v>#N/A</v>
      </c>
      <c r="C878" s="198"/>
      <c r="D878" s="198"/>
      <c r="E878" s="198"/>
      <c r="F878" s="198"/>
      <c r="G878" s="198"/>
      <c r="H878" s="198"/>
      <c r="I878" s="198"/>
      <c r="J878" s="198"/>
      <c r="K878" s="198"/>
      <c r="L878" s="198"/>
    </row>
    <row r="879">
      <c r="A879" s="198"/>
      <c r="B879" s="208" t="str">
        <f>vlookup(A879,Price!A:B,2,false)</f>
        <v>#N/A</v>
      </c>
      <c r="C879" s="198"/>
      <c r="D879" s="198"/>
      <c r="E879" s="198"/>
      <c r="F879" s="198"/>
      <c r="G879" s="198"/>
      <c r="H879" s="198"/>
      <c r="I879" s="198"/>
      <c r="J879" s="198"/>
      <c r="K879" s="198"/>
      <c r="L879" s="198"/>
    </row>
    <row r="880">
      <c r="A880" s="198"/>
      <c r="B880" s="208" t="str">
        <f>vlookup(A880,Price!A:B,2,false)</f>
        <v>#N/A</v>
      </c>
      <c r="C880" s="198"/>
      <c r="D880" s="198"/>
      <c r="E880" s="198"/>
      <c r="F880" s="198"/>
      <c r="G880" s="198"/>
      <c r="H880" s="198"/>
      <c r="I880" s="198"/>
      <c r="J880" s="198"/>
      <c r="K880" s="198"/>
      <c r="L880" s="198"/>
    </row>
    <row r="881">
      <c r="A881" s="198"/>
      <c r="B881" s="208" t="str">
        <f>vlookup(A881,Price!A:B,2,false)</f>
        <v>#N/A</v>
      </c>
      <c r="C881" s="198"/>
      <c r="D881" s="198"/>
      <c r="E881" s="198"/>
      <c r="F881" s="198"/>
      <c r="G881" s="198"/>
      <c r="H881" s="198"/>
      <c r="I881" s="198"/>
      <c r="J881" s="198"/>
      <c r="K881" s="198"/>
      <c r="L881" s="198"/>
    </row>
    <row r="882">
      <c r="A882" s="198"/>
      <c r="B882" s="208" t="str">
        <f>vlookup(A882,Price!A:B,2,false)</f>
        <v>#N/A</v>
      </c>
      <c r="C882" s="198"/>
      <c r="D882" s="198"/>
      <c r="E882" s="198"/>
      <c r="F882" s="198"/>
      <c r="G882" s="198"/>
      <c r="H882" s="198"/>
      <c r="I882" s="198"/>
      <c r="J882" s="198"/>
      <c r="K882" s="198"/>
      <c r="L882" s="198"/>
    </row>
    <row r="883">
      <c r="A883" s="198"/>
      <c r="B883" s="208" t="str">
        <f>vlookup(A883,Price!A:B,2,false)</f>
        <v>#N/A</v>
      </c>
      <c r="C883" s="198"/>
      <c r="D883" s="198"/>
      <c r="E883" s="198"/>
      <c r="F883" s="198"/>
      <c r="G883" s="198"/>
      <c r="H883" s="198"/>
      <c r="I883" s="198"/>
      <c r="J883" s="198"/>
      <c r="K883" s="198"/>
      <c r="L883" s="198"/>
    </row>
    <row r="884">
      <c r="A884" s="198"/>
      <c r="B884" s="208" t="str">
        <f>vlookup(A884,Price!A:B,2,false)</f>
        <v>#N/A</v>
      </c>
      <c r="C884" s="198"/>
      <c r="D884" s="198"/>
      <c r="E884" s="198"/>
      <c r="F884" s="198"/>
      <c r="G884" s="198"/>
      <c r="H884" s="198"/>
      <c r="I884" s="198"/>
      <c r="J884" s="198"/>
      <c r="K884" s="198"/>
      <c r="L884" s="198"/>
    </row>
    <row r="885">
      <c r="A885" s="198"/>
      <c r="B885" s="208" t="str">
        <f>vlookup(A885,Price!A:B,2,false)</f>
        <v>#N/A</v>
      </c>
      <c r="C885" s="198"/>
      <c r="D885" s="198"/>
      <c r="E885" s="198"/>
      <c r="F885" s="198"/>
      <c r="G885" s="198"/>
      <c r="H885" s="198"/>
      <c r="I885" s="198"/>
      <c r="J885" s="198"/>
      <c r="K885" s="198"/>
      <c r="L885" s="198"/>
    </row>
    <row r="886">
      <c r="A886" s="198"/>
      <c r="B886" s="208" t="str">
        <f>vlookup(A886,Price!A:B,2,false)</f>
        <v>#N/A</v>
      </c>
      <c r="C886" s="198"/>
      <c r="D886" s="198"/>
      <c r="E886" s="198"/>
      <c r="F886" s="198"/>
      <c r="G886" s="198"/>
      <c r="H886" s="198"/>
      <c r="I886" s="198"/>
      <c r="J886" s="198"/>
      <c r="K886" s="198"/>
      <c r="L886" s="198"/>
    </row>
    <row r="887">
      <c r="A887" s="198"/>
      <c r="B887" s="208" t="str">
        <f>vlookup(A887,Price!A:B,2,false)</f>
        <v>#N/A</v>
      </c>
      <c r="C887" s="198"/>
      <c r="D887" s="198"/>
      <c r="E887" s="198"/>
      <c r="F887" s="198"/>
      <c r="G887" s="198"/>
      <c r="H887" s="198"/>
      <c r="I887" s="198"/>
      <c r="J887" s="198"/>
      <c r="K887" s="198"/>
      <c r="L887" s="198"/>
    </row>
    <row r="888">
      <c r="A888" s="198"/>
      <c r="B888" s="208" t="str">
        <f>vlookup(A888,Price!A:B,2,false)</f>
        <v>#N/A</v>
      </c>
      <c r="C888" s="198"/>
      <c r="D888" s="198"/>
      <c r="E888" s="198"/>
      <c r="F888" s="198"/>
      <c r="G888" s="198"/>
      <c r="H888" s="198"/>
      <c r="I888" s="198"/>
      <c r="J888" s="198"/>
      <c r="K888" s="198"/>
      <c r="L888" s="198"/>
    </row>
    <row r="889">
      <c r="A889" s="198"/>
      <c r="B889" s="208" t="str">
        <f>vlookup(A889,Price!A:B,2,false)</f>
        <v>#N/A</v>
      </c>
      <c r="C889" s="198"/>
      <c r="D889" s="198"/>
      <c r="E889" s="198"/>
      <c r="F889" s="198"/>
      <c r="G889" s="198"/>
      <c r="H889" s="198"/>
      <c r="I889" s="198"/>
      <c r="J889" s="198"/>
      <c r="K889" s="198"/>
      <c r="L889" s="198"/>
    </row>
    <row r="890">
      <c r="A890" s="198"/>
      <c r="B890" s="208" t="str">
        <f>vlookup(A890,Price!A:B,2,false)</f>
        <v>#N/A</v>
      </c>
      <c r="C890" s="198"/>
      <c r="D890" s="198"/>
      <c r="E890" s="198"/>
      <c r="F890" s="198"/>
      <c r="G890" s="198"/>
      <c r="H890" s="198"/>
      <c r="I890" s="198"/>
      <c r="J890" s="198"/>
      <c r="K890" s="198"/>
      <c r="L890" s="198"/>
    </row>
    <row r="891">
      <c r="A891" s="198"/>
      <c r="B891" s="208" t="str">
        <f>vlookup(A891,Price!A:B,2,false)</f>
        <v>#N/A</v>
      </c>
      <c r="C891" s="198"/>
      <c r="D891" s="198"/>
      <c r="E891" s="198"/>
      <c r="F891" s="198"/>
      <c r="G891" s="198"/>
      <c r="H891" s="198"/>
      <c r="I891" s="198"/>
      <c r="J891" s="198"/>
      <c r="K891" s="198"/>
      <c r="L891" s="198"/>
    </row>
    <row r="892">
      <c r="A892" s="198"/>
      <c r="B892" s="208" t="str">
        <f>vlookup(A892,Price!A:B,2,false)</f>
        <v>#N/A</v>
      </c>
      <c r="C892" s="198"/>
      <c r="D892" s="198"/>
      <c r="E892" s="198"/>
      <c r="F892" s="198"/>
      <c r="G892" s="198"/>
      <c r="H892" s="198"/>
      <c r="I892" s="198"/>
      <c r="J892" s="198"/>
      <c r="K892" s="198"/>
      <c r="L892" s="198"/>
    </row>
    <row r="893">
      <c r="A893" s="198"/>
      <c r="B893" s="208" t="str">
        <f>vlookup(A893,Price!A:B,2,false)</f>
        <v>#N/A</v>
      </c>
      <c r="C893" s="198"/>
      <c r="D893" s="198"/>
      <c r="E893" s="198"/>
      <c r="F893" s="198"/>
      <c r="G893" s="198"/>
      <c r="H893" s="198"/>
      <c r="I893" s="198"/>
      <c r="J893" s="198"/>
      <c r="K893" s="198"/>
      <c r="L893" s="198"/>
    </row>
    <row r="894">
      <c r="A894" s="198"/>
      <c r="B894" s="208" t="str">
        <f>vlookup(A894,Price!A:B,2,false)</f>
        <v>#N/A</v>
      </c>
      <c r="C894" s="198"/>
      <c r="D894" s="198"/>
      <c r="E894" s="198"/>
      <c r="F894" s="198"/>
      <c r="G894" s="198"/>
      <c r="H894" s="198"/>
      <c r="I894" s="198"/>
      <c r="J894" s="198"/>
      <c r="K894" s="198"/>
      <c r="L894" s="198"/>
    </row>
    <row r="895">
      <c r="A895" s="198"/>
      <c r="B895" s="208" t="str">
        <f>vlookup(A895,Price!A:B,2,false)</f>
        <v>#N/A</v>
      </c>
      <c r="C895" s="198"/>
      <c r="D895" s="198"/>
      <c r="E895" s="198"/>
      <c r="F895" s="198"/>
      <c r="G895" s="198"/>
      <c r="H895" s="198"/>
      <c r="I895" s="198"/>
      <c r="J895" s="198"/>
      <c r="K895" s="198"/>
      <c r="L895" s="198"/>
    </row>
    <row r="896">
      <c r="A896" s="198"/>
      <c r="B896" s="208" t="str">
        <f>vlookup(A896,Price!A:B,2,false)</f>
        <v>#N/A</v>
      </c>
      <c r="C896" s="198"/>
      <c r="D896" s="198"/>
      <c r="E896" s="198"/>
      <c r="F896" s="198"/>
      <c r="G896" s="198"/>
      <c r="H896" s="198"/>
      <c r="I896" s="198"/>
      <c r="J896" s="198"/>
      <c r="K896" s="198"/>
      <c r="L896" s="198"/>
    </row>
    <row r="897">
      <c r="A897" s="198"/>
      <c r="B897" s="208" t="str">
        <f>vlookup(A897,Price!A:B,2,false)</f>
        <v>#N/A</v>
      </c>
      <c r="C897" s="198"/>
      <c r="D897" s="198"/>
      <c r="E897" s="198"/>
      <c r="F897" s="198"/>
      <c r="G897" s="198"/>
      <c r="H897" s="198"/>
      <c r="I897" s="198"/>
      <c r="J897" s="198"/>
      <c r="K897" s="198"/>
      <c r="L897" s="198"/>
    </row>
    <row r="898">
      <c r="A898" s="198"/>
      <c r="B898" s="208" t="str">
        <f>vlookup(A898,Price!A:B,2,false)</f>
        <v>#N/A</v>
      </c>
      <c r="C898" s="198"/>
      <c r="D898" s="198"/>
      <c r="E898" s="198"/>
      <c r="F898" s="198"/>
      <c r="G898" s="198"/>
      <c r="H898" s="198"/>
      <c r="I898" s="198"/>
      <c r="J898" s="198"/>
      <c r="K898" s="198"/>
      <c r="L898" s="198"/>
    </row>
    <row r="899">
      <c r="A899" s="198"/>
      <c r="B899" s="208" t="str">
        <f>vlookup(A899,Price!A:B,2,false)</f>
        <v>#N/A</v>
      </c>
      <c r="C899" s="198"/>
      <c r="D899" s="198"/>
      <c r="E899" s="198"/>
      <c r="F899" s="198"/>
      <c r="G899" s="198"/>
      <c r="H899" s="198"/>
      <c r="I899" s="198"/>
      <c r="J899" s="198"/>
      <c r="K899" s="198"/>
      <c r="L899" s="198"/>
    </row>
    <row r="900">
      <c r="A900" s="198"/>
      <c r="B900" s="208" t="str">
        <f>vlookup(A900,Price!A:B,2,false)</f>
        <v>#N/A</v>
      </c>
      <c r="C900" s="198"/>
      <c r="D900" s="198"/>
      <c r="E900" s="198"/>
      <c r="F900" s="198"/>
      <c r="G900" s="198"/>
      <c r="H900" s="198"/>
      <c r="I900" s="198"/>
      <c r="J900" s="198"/>
      <c r="K900" s="198"/>
      <c r="L900" s="198"/>
    </row>
    <row r="901">
      <c r="A901" s="198"/>
      <c r="B901" s="208" t="str">
        <f>vlookup(A901,Price!A:B,2,false)</f>
        <v>#N/A</v>
      </c>
      <c r="C901" s="198"/>
      <c r="D901" s="198"/>
      <c r="E901" s="198"/>
      <c r="F901" s="198"/>
      <c r="G901" s="198"/>
      <c r="H901" s="198"/>
      <c r="I901" s="198"/>
      <c r="J901" s="198"/>
      <c r="K901" s="198"/>
      <c r="L901" s="198"/>
    </row>
    <row r="902">
      <c r="A902" s="198"/>
      <c r="B902" s="208" t="str">
        <f>vlookup(A902,Price!A:B,2,false)</f>
        <v>#N/A</v>
      </c>
      <c r="C902" s="198"/>
      <c r="D902" s="198"/>
      <c r="E902" s="198"/>
      <c r="F902" s="198"/>
      <c r="G902" s="198"/>
      <c r="H902" s="198"/>
      <c r="I902" s="198"/>
      <c r="J902" s="198"/>
      <c r="K902" s="198"/>
      <c r="L902" s="198"/>
    </row>
    <row r="903">
      <c r="A903" s="198"/>
      <c r="B903" s="208" t="str">
        <f>vlookup(A903,Price!A:B,2,false)</f>
        <v>#N/A</v>
      </c>
      <c r="C903" s="198"/>
      <c r="D903" s="198"/>
      <c r="E903" s="198"/>
      <c r="F903" s="198"/>
      <c r="G903" s="198"/>
      <c r="H903" s="198"/>
      <c r="I903" s="198"/>
      <c r="J903" s="198"/>
      <c r="K903" s="198"/>
      <c r="L903" s="198"/>
    </row>
    <row r="904">
      <c r="A904" s="198"/>
      <c r="B904" s="208" t="str">
        <f>vlookup(A904,Price!A:B,2,false)</f>
        <v>#N/A</v>
      </c>
      <c r="C904" s="198"/>
      <c r="D904" s="198"/>
      <c r="E904" s="198"/>
      <c r="F904" s="198"/>
      <c r="G904" s="198"/>
      <c r="H904" s="198"/>
      <c r="I904" s="198"/>
      <c r="J904" s="198"/>
      <c r="K904" s="198"/>
      <c r="L904" s="198"/>
    </row>
    <row r="905">
      <c r="A905" s="198"/>
      <c r="B905" s="208" t="str">
        <f>vlookup(A905,Price!A:B,2,false)</f>
        <v>#N/A</v>
      </c>
      <c r="C905" s="198"/>
      <c r="D905" s="198"/>
      <c r="E905" s="198"/>
      <c r="F905" s="198"/>
      <c r="G905" s="198"/>
      <c r="H905" s="198"/>
      <c r="I905" s="198"/>
      <c r="J905" s="198"/>
      <c r="K905" s="198"/>
      <c r="L905" s="198"/>
    </row>
    <row r="906">
      <c r="A906" s="198"/>
      <c r="B906" s="208" t="str">
        <f>vlookup(A906,Price!A:B,2,false)</f>
        <v>#N/A</v>
      </c>
      <c r="C906" s="198"/>
      <c r="D906" s="198"/>
      <c r="E906" s="198"/>
      <c r="F906" s="198"/>
      <c r="G906" s="198"/>
      <c r="H906" s="198"/>
      <c r="I906" s="198"/>
      <c r="J906" s="198"/>
      <c r="K906" s="198"/>
      <c r="L906" s="198"/>
    </row>
    <row r="907">
      <c r="A907" s="198"/>
      <c r="B907" s="208" t="str">
        <f>vlookup(A907,Price!A:B,2,false)</f>
        <v>#N/A</v>
      </c>
      <c r="C907" s="198"/>
      <c r="D907" s="198"/>
      <c r="E907" s="198"/>
      <c r="F907" s="198"/>
      <c r="G907" s="198"/>
      <c r="H907" s="198"/>
      <c r="I907" s="198"/>
      <c r="J907" s="198"/>
      <c r="K907" s="198"/>
      <c r="L907" s="198"/>
    </row>
    <row r="908">
      <c r="A908" s="198"/>
      <c r="B908" s="208" t="str">
        <f>vlookup(A908,Price!A:B,2,false)</f>
        <v>#N/A</v>
      </c>
      <c r="C908" s="198"/>
      <c r="D908" s="198"/>
      <c r="E908" s="198"/>
      <c r="F908" s="198"/>
      <c r="G908" s="198"/>
      <c r="H908" s="198"/>
      <c r="I908" s="198"/>
      <c r="J908" s="198"/>
      <c r="K908" s="198"/>
      <c r="L908" s="198"/>
    </row>
    <row r="909">
      <c r="A909" s="198"/>
      <c r="B909" s="208" t="str">
        <f>vlookup(A909,Price!A:B,2,false)</f>
        <v>#N/A</v>
      </c>
      <c r="C909" s="198"/>
      <c r="D909" s="198"/>
      <c r="E909" s="198"/>
      <c r="F909" s="198"/>
      <c r="G909" s="198"/>
      <c r="H909" s="198"/>
      <c r="I909" s="198"/>
      <c r="J909" s="198"/>
      <c r="K909" s="198"/>
      <c r="L909" s="198"/>
    </row>
    <row r="910">
      <c r="A910" s="198"/>
      <c r="B910" s="208" t="str">
        <f>vlookup(A910,Price!A:B,2,false)</f>
        <v>#N/A</v>
      </c>
      <c r="C910" s="198"/>
      <c r="D910" s="198"/>
      <c r="E910" s="198"/>
      <c r="F910" s="198"/>
      <c r="G910" s="198"/>
      <c r="H910" s="198"/>
      <c r="I910" s="198"/>
      <c r="J910" s="198"/>
      <c r="K910" s="198"/>
      <c r="L910" s="198"/>
    </row>
    <row r="911">
      <c r="A911" s="198"/>
      <c r="B911" s="208" t="str">
        <f>vlookup(A911,Price!A:B,2,false)</f>
        <v>#N/A</v>
      </c>
      <c r="C911" s="198"/>
      <c r="D911" s="198"/>
      <c r="E911" s="198"/>
      <c r="F911" s="198"/>
      <c r="G911" s="198"/>
      <c r="H911" s="198"/>
      <c r="I911" s="198"/>
      <c r="J911" s="198"/>
      <c r="K911" s="198"/>
      <c r="L911" s="198"/>
    </row>
    <row r="912">
      <c r="A912" s="198"/>
      <c r="B912" s="208" t="str">
        <f>vlookup(A912,Price!A:B,2,false)</f>
        <v>#N/A</v>
      </c>
      <c r="C912" s="198"/>
      <c r="D912" s="198"/>
      <c r="E912" s="198"/>
      <c r="F912" s="198"/>
      <c r="G912" s="198"/>
      <c r="H912" s="198"/>
      <c r="I912" s="198"/>
      <c r="J912" s="198"/>
      <c r="K912" s="198"/>
      <c r="L912" s="198"/>
    </row>
    <row r="913">
      <c r="A913" s="198"/>
      <c r="B913" s="208" t="str">
        <f>vlookup(A913,Price!A:B,2,false)</f>
        <v>#N/A</v>
      </c>
      <c r="C913" s="198"/>
      <c r="D913" s="198"/>
      <c r="E913" s="198"/>
      <c r="F913" s="198"/>
      <c r="G913" s="198"/>
      <c r="H913" s="198"/>
      <c r="I913" s="198"/>
      <c r="J913" s="198"/>
      <c r="K913" s="198"/>
      <c r="L913" s="198"/>
    </row>
    <row r="914">
      <c r="A914" s="198"/>
      <c r="B914" s="208" t="str">
        <f>vlookup(A914,Price!A:B,2,false)</f>
        <v>#N/A</v>
      </c>
      <c r="C914" s="198"/>
      <c r="D914" s="198"/>
      <c r="E914" s="198"/>
      <c r="F914" s="198"/>
      <c r="G914" s="198"/>
      <c r="H914" s="198"/>
      <c r="I914" s="198"/>
      <c r="J914" s="198"/>
      <c r="K914" s="198"/>
      <c r="L914" s="198"/>
    </row>
    <row r="915">
      <c r="A915" s="198"/>
      <c r="B915" s="208" t="str">
        <f>vlookup(A915,Price!A:B,2,false)</f>
        <v>#N/A</v>
      </c>
      <c r="C915" s="198"/>
      <c r="D915" s="198"/>
      <c r="E915" s="198"/>
      <c r="F915" s="198"/>
      <c r="G915" s="198"/>
      <c r="H915" s="198"/>
      <c r="I915" s="198"/>
      <c r="J915" s="198"/>
      <c r="K915" s="198"/>
      <c r="L915" s="198"/>
    </row>
    <row r="916">
      <c r="A916" s="198"/>
      <c r="B916" s="208" t="str">
        <f>vlookup(A916,Price!A:B,2,false)</f>
        <v>#N/A</v>
      </c>
      <c r="C916" s="198"/>
      <c r="D916" s="198"/>
      <c r="E916" s="198"/>
      <c r="F916" s="198"/>
      <c r="G916" s="198"/>
      <c r="H916" s="198"/>
      <c r="I916" s="198"/>
      <c r="J916" s="198"/>
      <c r="K916" s="198"/>
      <c r="L916" s="198"/>
    </row>
    <row r="917">
      <c r="A917" s="198"/>
      <c r="B917" s="208" t="str">
        <f>vlookup(A917,Price!A:B,2,false)</f>
        <v>#N/A</v>
      </c>
      <c r="C917" s="198"/>
      <c r="D917" s="198"/>
      <c r="E917" s="198"/>
      <c r="F917" s="198"/>
      <c r="G917" s="198"/>
      <c r="H917" s="198"/>
      <c r="I917" s="198"/>
      <c r="J917" s="198"/>
      <c r="K917" s="198"/>
      <c r="L917" s="198"/>
    </row>
    <row r="918">
      <c r="A918" s="198"/>
      <c r="B918" s="208" t="str">
        <f>vlookup(A918,Price!A:B,2,false)</f>
        <v>#N/A</v>
      </c>
      <c r="C918" s="198"/>
      <c r="D918" s="198"/>
      <c r="E918" s="198"/>
      <c r="F918" s="198"/>
      <c r="G918" s="198"/>
      <c r="H918" s="198"/>
      <c r="I918" s="198"/>
      <c r="J918" s="198"/>
      <c r="K918" s="198"/>
      <c r="L918" s="198"/>
    </row>
    <row r="919">
      <c r="A919" s="198"/>
      <c r="B919" s="208" t="str">
        <f>vlookup(A919,Price!A:B,2,false)</f>
        <v>#N/A</v>
      </c>
      <c r="C919" s="198"/>
      <c r="D919" s="198"/>
      <c r="E919" s="198"/>
      <c r="F919" s="198"/>
      <c r="G919" s="198"/>
      <c r="H919" s="198"/>
      <c r="I919" s="198"/>
      <c r="J919" s="198"/>
      <c r="K919" s="198"/>
      <c r="L919" s="198"/>
    </row>
    <row r="920">
      <c r="A920" s="198"/>
      <c r="B920" s="208" t="str">
        <f>vlookup(A920,Price!A:B,2,false)</f>
        <v>#N/A</v>
      </c>
      <c r="C920" s="198"/>
      <c r="D920" s="198"/>
      <c r="E920" s="198"/>
      <c r="F920" s="198"/>
      <c r="G920" s="198"/>
      <c r="H920" s="198"/>
      <c r="I920" s="198"/>
      <c r="J920" s="198"/>
      <c r="K920" s="198"/>
      <c r="L920" s="198"/>
    </row>
    <row r="921">
      <c r="A921" s="198"/>
      <c r="B921" s="208" t="str">
        <f>vlookup(A921,Price!A:B,2,false)</f>
        <v>#N/A</v>
      </c>
      <c r="C921" s="198"/>
      <c r="D921" s="198"/>
      <c r="E921" s="198"/>
      <c r="F921" s="198"/>
      <c r="G921" s="198"/>
      <c r="H921" s="198"/>
      <c r="I921" s="198"/>
      <c r="J921" s="198"/>
      <c r="K921" s="198"/>
      <c r="L921" s="198"/>
    </row>
    <row r="922">
      <c r="A922" s="198"/>
      <c r="B922" s="208" t="str">
        <f>vlookup(A922,Price!A:B,2,false)</f>
        <v>#N/A</v>
      </c>
      <c r="C922" s="198"/>
      <c r="D922" s="198"/>
      <c r="E922" s="198"/>
      <c r="F922" s="198"/>
      <c r="G922" s="198"/>
      <c r="H922" s="198"/>
      <c r="I922" s="198"/>
      <c r="J922" s="198"/>
      <c r="K922" s="198"/>
      <c r="L922" s="198"/>
    </row>
    <row r="923">
      <c r="A923" s="198"/>
      <c r="B923" s="208" t="str">
        <f>vlookup(A923,Price!A:B,2,false)</f>
        <v>#N/A</v>
      </c>
      <c r="C923" s="198"/>
      <c r="D923" s="198"/>
      <c r="E923" s="198"/>
      <c r="F923" s="198"/>
      <c r="G923" s="198"/>
      <c r="H923" s="198"/>
      <c r="I923" s="198"/>
      <c r="J923" s="198"/>
      <c r="K923" s="198"/>
      <c r="L923" s="198"/>
    </row>
    <row r="924">
      <c r="A924" s="198"/>
      <c r="B924" s="208" t="str">
        <f>vlookup(A924,Price!A:B,2,false)</f>
        <v>#N/A</v>
      </c>
      <c r="C924" s="198"/>
      <c r="D924" s="198"/>
      <c r="E924" s="198"/>
      <c r="F924" s="198"/>
      <c r="G924" s="198"/>
      <c r="H924" s="198"/>
      <c r="I924" s="198"/>
      <c r="J924" s="198"/>
      <c r="K924" s="198"/>
      <c r="L924" s="198"/>
    </row>
    <row r="925">
      <c r="A925" s="198"/>
      <c r="B925" s="208" t="str">
        <f>vlookup(A925,Price!A:B,2,false)</f>
        <v>#N/A</v>
      </c>
      <c r="C925" s="198"/>
      <c r="D925" s="198"/>
      <c r="E925" s="198"/>
      <c r="F925" s="198"/>
      <c r="G925" s="198"/>
      <c r="H925" s="198"/>
      <c r="I925" s="198"/>
      <c r="J925" s="198"/>
      <c r="K925" s="198"/>
      <c r="L925" s="198"/>
    </row>
    <row r="926">
      <c r="A926" s="198"/>
      <c r="B926" s="208" t="str">
        <f>vlookup(A926,Price!A:B,2,false)</f>
        <v>#N/A</v>
      </c>
      <c r="C926" s="198"/>
      <c r="D926" s="198"/>
      <c r="E926" s="198"/>
      <c r="F926" s="198"/>
      <c r="G926" s="198"/>
      <c r="H926" s="198"/>
      <c r="I926" s="198"/>
      <c r="J926" s="198"/>
      <c r="K926" s="198"/>
      <c r="L926" s="198"/>
    </row>
    <row r="927">
      <c r="A927" s="198"/>
      <c r="B927" s="208" t="str">
        <f>vlookup(A927,Price!A:B,2,false)</f>
        <v>#N/A</v>
      </c>
      <c r="C927" s="198"/>
      <c r="D927" s="198"/>
      <c r="E927" s="198"/>
      <c r="F927" s="198"/>
      <c r="G927" s="198"/>
      <c r="H927" s="198"/>
      <c r="I927" s="198"/>
      <c r="J927" s="198"/>
      <c r="K927" s="198"/>
      <c r="L927" s="198"/>
    </row>
    <row r="928">
      <c r="A928" s="198"/>
      <c r="B928" s="208" t="str">
        <f>vlookup(A928,Price!A:B,2,false)</f>
        <v>#N/A</v>
      </c>
      <c r="C928" s="198"/>
      <c r="D928" s="198"/>
      <c r="E928" s="198"/>
      <c r="F928" s="198"/>
      <c r="G928" s="198"/>
      <c r="H928" s="198"/>
      <c r="I928" s="198"/>
      <c r="J928" s="198"/>
      <c r="K928" s="198"/>
      <c r="L928" s="198"/>
    </row>
    <row r="929">
      <c r="A929" s="198"/>
      <c r="B929" s="208" t="str">
        <f>vlookup(A929,Price!A:B,2,false)</f>
        <v>#N/A</v>
      </c>
      <c r="C929" s="198"/>
      <c r="D929" s="198"/>
      <c r="E929" s="198"/>
      <c r="F929" s="198"/>
      <c r="G929" s="198"/>
      <c r="H929" s="198"/>
      <c r="I929" s="198"/>
      <c r="J929" s="198"/>
      <c r="K929" s="198"/>
      <c r="L929" s="198"/>
    </row>
    <row r="930">
      <c r="A930" s="198"/>
      <c r="B930" s="208" t="str">
        <f>vlookup(A930,Price!A:B,2,false)</f>
        <v>#N/A</v>
      </c>
      <c r="C930" s="198"/>
      <c r="D930" s="198"/>
      <c r="E930" s="198"/>
      <c r="F930" s="198"/>
      <c r="G930" s="198"/>
      <c r="H930" s="198"/>
      <c r="I930" s="198"/>
      <c r="J930" s="198"/>
      <c r="K930" s="198"/>
      <c r="L930" s="198"/>
    </row>
    <row r="931">
      <c r="A931" s="198"/>
      <c r="B931" s="208" t="str">
        <f>vlookup(A931,Price!A:B,2,false)</f>
        <v>#N/A</v>
      </c>
      <c r="C931" s="198"/>
      <c r="D931" s="198"/>
      <c r="E931" s="198"/>
      <c r="F931" s="198"/>
      <c r="G931" s="198"/>
      <c r="H931" s="198"/>
      <c r="I931" s="198"/>
      <c r="J931" s="198"/>
      <c r="K931" s="198"/>
      <c r="L931" s="198"/>
    </row>
    <row r="932">
      <c r="A932" s="198"/>
      <c r="B932" s="208" t="str">
        <f>vlookup(A932,Price!A:B,2,false)</f>
        <v>#N/A</v>
      </c>
      <c r="C932" s="198"/>
      <c r="D932" s="198"/>
      <c r="E932" s="198"/>
      <c r="F932" s="198"/>
      <c r="G932" s="198"/>
      <c r="H932" s="198"/>
      <c r="I932" s="198"/>
      <c r="J932" s="198"/>
      <c r="K932" s="198"/>
      <c r="L932" s="198"/>
    </row>
    <row r="933">
      <c r="A933" s="198"/>
      <c r="B933" s="208" t="str">
        <f>vlookup(A933,Price!A:B,2,false)</f>
        <v>#N/A</v>
      </c>
      <c r="C933" s="198"/>
      <c r="D933" s="198"/>
      <c r="E933" s="198"/>
      <c r="F933" s="198"/>
      <c r="G933" s="198"/>
      <c r="H933" s="198"/>
      <c r="I933" s="198"/>
      <c r="J933" s="198"/>
      <c r="K933" s="198"/>
      <c r="L933" s="198"/>
    </row>
    <row r="934">
      <c r="A934" s="198"/>
      <c r="B934" s="208" t="str">
        <f>vlookup(A934,Price!A:B,2,false)</f>
        <v>#N/A</v>
      </c>
      <c r="C934" s="198"/>
      <c r="D934" s="198"/>
      <c r="E934" s="198"/>
      <c r="F934" s="198"/>
      <c r="G934" s="198"/>
      <c r="H934" s="198"/>
      <c r="I934" s="198"/>
      <c r="J934" s="198"/>
      <c r="K934" s="198"/>
      <c r="L934" s="198"/>
    </row>
    <row r="935">
      <c r="A935" s="198"/>
      <c r="B935" s="208" t="str">
        <f>vlookup(A935,Price!A:B,2,false)</f>
        <v>#N/A</v>
      </c>
      <c r="C935" s="198"/>
      <c r="D935" s="198"/>
      <c r="E935" s="198"/>
      <c r="F935" s="198"/>
      <c r="G935" s="198"/>
      <c r="H935" s="198"/>
      <c r="I935" s="198"/>
      <c r="J935" s="198"/>
      <c r="K935" s="198"/>
      <c r="L935" s="198"/>
    </row>
    <row r="936">
      <c r="A936" s="198"/>
      <c r="B936" s="208" t="str">
        <f>vlookup(A936,Price!A:B,2,false)</f>
        <v>#N/A</v>
      </c>
      <c r="C936" s="198"/>
      <c r="D936" s="198"/>
      <c r="E936" s="198"/>
      <c r="F936" s="198"/>
      <c r="G936" s="198"/>
      <c r="H936" s="198"/>
      <c r="I936" s="198"/>
      <c r="J936" s="198"/>
      <c r="K936" s="198"/>
      <c r="L936" s="198"/>
    </row>
    <row r="937">
      <c r="A937" s="198"/>
      <c r="B937" s="208" t="str">
        <f>vlookup(A937,Price!A:B,2,false)</f>
        <v>#N/A</v>
      </c>
      <c r="C937" s="198"/>
      <c r="D937" s="198"/>
      <c r="E937" s="198"/>
      <c r="F937" s="198"/>
      <c r="G937" s="198"/>
      <c r="H937" s="198"/>
      <c r="I937" s="198"/>
      <c r="J937" s="198"/>
      <c r="K937" s="198"/>
      <c r="L937" s="198"/>
    </row>
    <row r="938">
      <c r="A938" s="198"/>
      <c r="B938" s="208" t="str">
        <f>vlookup(A938,Price!A:B,2,false)</f>
        <v>#N/A</v>
      </c>
      <c r="C938" s="198"/>
      <c r="D938" s="198"/>
      <c r="E938" s="198"/>
      <c r="F938" s="198"/>
      <c r="G938" s="198"/>
      <c r="H938" s="198"/>
      <c r="I938" s="198"/>
      <c r="J938" s="198"/>
      <c r="K938" s="198"/>
      <c r="L938" s="198"/>
    </row>
    <row r="939">
      <c r="A939" s="198"/>
      <c r="B939" s="208" t="str">
        <f>vlookup(A939,Price!A:B,2,false)</f>
        <v>#N/A</v>
      </c>
      <c r="C939" s="198"/>
      <c r="D939" s="198"/>
      <c r="E939" s="198"/>
      <c r="F939" s="198"/>
      <c r="G939" s="198"/>
      <c r="H939" s="198"/>
      <c r="I939" s="198"/>
      <c r="J939" s="198"/>
      <c r="K939" s="198"/>
      <c r="L939" s="198"/>
    </row>
    <row r="940">
      <c r="A940" s="198"/>
      <c r="B940" s="208" t="str">
        <f>vlookup(A940,Price!A:B,2,false)</f>
        <v>#N/A</v>
      </c>
      <c r="C940" s="198"/>
      <c r="D940" s="198"/>
      <c r="E940" s="198"/>
      <c r="F940" s="198"/>
      <c r="G940" s="198"/>
      <c r="H940" s="198"/>
      <c r="I940" s="198"/>
      <c r="J940" s="198"/>
      <c r="K940" s="198"/>
      <c r="L940" s="198"/>
    </row>
    <row r="941">
      <c r="A941" s="198"/>
      <c r="B941" s="208" t="str">
        <f>vlookup(A941,Price!A:B,2,false)</f>
        <v>#N/A</v>
      </c>
      <c r="C941" s="198"/>
      <c r="D941" s="198"/>
      <c r="E941" s="198"/>
      <c r="F941" s="198"/>
      <c r="G941" s="198"/>
      <c r="H941" s="198"/>
      <c r="I941" s="198"/>
      <c r="J941" s="198"/>
      <c r="K941" s="198"/>
      <c r="L941" s="198"/>
    </row>
    <row r="942">
      <c r="A942" s="198"/>
      <c r="B942" s="208" t="str">
        <f>vlookup(A942,Price!A:B,2,false)</f>
        <v>#N/A</v>
      </c>
      <c r="C942" s="198"/>
      <c r="D942" s="198"/>
      <c r="E942" s="198"/>
      <c r="F942" s="198"/>
      <c r="G942" s="198"/>
      <c r="H942" s="198"/>
      <c r="I942" s="198"/>
      <c r="J942" s="198"/>
      <c r="K942" s="198"/>
      <c r="L942" s="198"/>
    </row>
    <row r="943">
      <c r="A943" s="198"/>
      <c r="B943" s="208" t="str">
        <f>vlookup(A943,Price!A:B,2,false)</f>
        <v>#N/A</v>
      </c>
      <c r="C943" s="198"/>
      <c r="D943" s="198"/>
      <c r="E943" s="198"/>
      <c r="F943" s="198"/>
      <c r="G943" s="198"/>
      <c r="H943" s="198"/>
      <c r="I943" s="198"/>
      <c r="J943" s="198"/>
      <c r="K943" s="198"/>
      <c r="L943" s="198"/>
    </row>
    <row r="944">
      <c r="A944" s="198"/>
      <c r="B944" s="208" t="str">
        <f>vlookup(A944,Price!A:B,2,false)</f>
        <v>#N/A</v>
      </c>
      <c r="C944" s="198"/>
      <c r="D944" s="198"/>
      <c r="E944" s="198"/>
      <c r="F944" s="198"/>
      <c r="G944" s="198"/>
      <c r="H944" s="198"/>
      <c r="I944" s="198"/>
      <c r="J944" s="198"/>
      <c r="K944" s="198"/>
      <c r="L944" s="198"/>
    </row>
    <row r="945">
      <c r="A945" s="198"/>
      <c r="B945" s="208" t="str">
        <f>vlookup(A945,Price!A:B,2,false)</f>
        <v>#N/A</v>
      </c>
      <c r="C945" s="198"/>
      <c r="D945" s="198"/>
      <c r="E945" s="198"/>
      <c r="F945" s="198"/>
      <c r="G945" s="198"/>
      <c r="H945" s="198"/>
      <c r="I945" s="198"/>
      <c r="J945" s="198"/>
      <c r="K945" s="198"/>
      <c r="L945" s="198"/>
    </row>
    <row r="946">
      <c r="A946" s="198"/>
      <c r="B946" s="208" t="str">
        <f>vlookup(A946,Price!A:B,2,false)</f>
        <v>#N/A</v>
      </c>
      <c r="C946" s="198"/>
      <c r="D946" s="198"/>
      <c r="E946" s="198"/>
      <c r="F946" s="198"/>
      <c r="G946" s="198"/>
      <c r="H946" s="198"/>
      <c r="I946" s="198"/>
      <c r="J946" s="198"/>
      <c r="K946" s="198"/>
      <c r="L946" s="198"/>
    </row>
    <row r="947">
      <c r="A947" s="198"/>
      <c r="B947" s="208" t="str">
        <f>vlookup(A947,Price!A:B,2,false)</f>
        <v>#N/A</v>
      </c>
      <c r="C947" s="198"/>
      <c r="D947" s="198"/>
      <c r="E947" s="198"/>
      <c r="F947" s="198"/>
      <c r="G947" s="198"/>
      <c r="H947" s="198"/>
      <c r="I947" s="198"/>
      <c r="J947" s="198"/>
      <c r="K947" s="198"/>
      <c r="L947" s="198"/>
    </row>
    <row r="948">
      <c r="A948" s="198"/>
      <c r="B948" s="208" t="str">
        <f>vlookup(A948,Price!A:B,2,false)</f>
        <v>#N/A</v>
      </c>
      <c r="C948" s="198"/>
      <c r="D948" s="198"/>
      <c r="E948" s="198"/>
      <c r="F948" s="198"/>
      <c r="G948" s="198"/>
      <c r="H948" s="198"/>
      <c r="I948" s="198"/>
      <c r="J948" s="198"/>
      <c r="K948" s="198"/>
      <c r="L948" s="198"/>
    </row>
    <row r="949">
      <c r="A949" s="198"/>
      <c r="B949" s="208" t="str">
        <f>vlookup(A949,Price!A:B,2,false)</f>
        <v>#N/A</v>
      </c>
      <c r="C949" s="198"/>
      <c r="D949" s="198"/>
      <c r="E949" s="198"/>
      <c r="F949" s="198"/>
      <c r="G949" s="198"/>
      <c r="H949" s="198"/>
      <c r="I949" s="198"/>
      <c r="J949" s="198"/>
      <c r="K949" s="198"/>
      <c r="L949" s="198"/>
    </row>
    <row r="950">
      <c r="A950" s="198"/>
      <c r="B950" s="208" t="str">
        <f>vlookup(A950,Price!A:B,2,false)</f>
        <v>#N/A</v>
      </c>
      <c r="C950" s="198"/>
      <c r="D950" s="198"/>
      <c r="E950" s="198"/>
      <c r="F950" s="198"/>
      <c r="G950" s="198"/>
      <c r="H950" s="198"/>
      <c r="I950" s="198"/>
      <c r="J950" s="198"/>
      <c r="K950" s="198"/>
      <c r="L950" s="198"/>
    </row>
    <row r="951">
      <c r="A951" s="198"/>
      <c r="B951" s="208" t="str">
        <f>vlookup(A951,Price!A:B,2,false)</f>
        <v>#N/A</v>
      </c>
      <c r="C951" s="198"/>
      <c r="D951" s="198"/>
      <c r="E951" s="198"/>
      <c r="F951" s="198"/>
      <c r="G951" s="198"/>
      <c r="H951" s="198"/>
      <c r="I951" s="198"/>
      <c r="J951" s="198"/>
      <c r="K951" s="198"/>
      <c r="L951" s="198"/>
    </row>
    <row r="952">
      <c r="A952" s="198"/>
      <c r="B952" s="208" t="str">
        <f>vlookup(A952,Price!A:B,2,false)</f>
        <v>#N/A</v>
      </c>
      <c r="C952" s="198"/>
      <c r="D952" s="198"/>
      <c r="E952" s="198"/>
      <c r="F952" s="198"/>
      <c r="G952" s="198"/>
      <c r="H952" s="198"/>
      <c r="I952" s="198"/>
      <c r="J952" s="198"/>
      <c r="K952" s="198"/>
      <c r="L952" s="198"/>
    </row>
    <row r="953">
      <c r="A953" s="198"/>
      <c r="B953" s="208" t="str">
        <f>vlookup(A953,Price!A:B,2,false)</f>
        <v>#N/A</v>
      </c>
      <c r="C953" s="198"/>
      <c r="D953" s="198"/>
      <c r="E953" s="198"/>
      <c r="F953" s="198"/>
      <c r="G953" s="198"/>
      <c r="H953" s="198"/>
      <c r="I953" s="198"/>
      <c r="J953" s="198"/>
      <c r="K953" s="198"/>
      <c r="L953" s="198"/>
    </row>
    <row r="954">
      <c r="A954" s="198"/>
      <c r="B954" s="208" t="str">
        <f>vlookup(A954,Price!A:B,2,false)</f>
        <v>#N/A</v>
      </c>
      <c r="C954" s="198"/>
      <c r="D954" s="198"/>
      <c r="E954" s="198"/>
      <c r="F954" s="198"/>
      <c r="G954" s="198"/>
      <c r="H954" s="198"/>
      <c r="I954" s="198"/>
      <c r="J954" s="198"/>
      <c r="K954" s="198"/>
      <c r="L954" s="198"/>
    </row>
    <row r="955">
      <c r="A955" s="198"/>
      <c r="B955" s="208" t="str">
        <f>vlookup(A955,Price!A:B,2,false)</f>
        <v>#N/A</v>
      </c>
      <c r="C955" s="198"/>
      <c r="D955" s="198"/>
      <c r="E955" s="198"/>
      <c r="F955" s="198"/>
      <c r="G955" s="198"/>
      <c r="H955" s="198"/>
      <c r="I955" s="198"/>
      <c r="J955" s="198"/>
      <c r="K955" s="198"/>
      <c r="L955" s="198"/>
    </row>
    <row r="956">
      <c r="A956" s="198"/>
      <c r="B956" s="208" t="str">
        <f>vlookup(A956,Price!A:B,2,false)</f>
        <v>#N/A</v>
      </c>
      <c r="C956" s="198"/>
      <c r="D956" s="198"/>
      <c r="E956" s="198"/>
      <c r="F956" s="198"/>
      <c r="G956" s="198"/>
      <c r="H956" s="198"/>
      <c r="I956" s="198"/>
      <c r="J956" s="198"/>
      <c r="K956" s="198"/>
      <c r="L956" s="198"/>
    </row>
    <row r="957">
      <c r="A957" s="198"/>
      <c r="B957" s="208" t="str">
        <f>vlookup(A957,Price!A:B,2,false)</f>
        <v>#N/A</v>
      </c>
      <c r="C957" s="198"/>
      <c r="D957" s="198"/>
      <c r="E957" s="198"/>
      <c r="F957" s="198"/>
      <c r="G957" s="198"/>
      <c r="H957" s="198"/>
      <c r="I957" s="198"/>
      <c r="J957" s="198"/>
      <c r="K957" s="198"/>
      <c r="L957" s="198"/>
    </row>
    <row r="958">
      <c r="A958" s="198"/>
      <c r="B958" s="208" t="str">
        <f>vlookup(A958,Price!A:B,2,false)</f>
        <v>#N/A</v>
      </c>
      <c r="C958" s="198"/>
      <c r="D958" s="198"/>
      <c r="E958" s="198"/>
      <c r="F958" s="198"/>
      <c r="G958" s="198"/>
      <c r="H958" s="198"/>
      <c r="I958" s="198"/>
      <c r="J958" s="198"/>
      <c r="K958" s="198"/>
      <c r="L958" s="198"/>
    </row>
    <row r="959">
      <c r="A959" s="198"/>
      <c r="B959" s="208" t="str">
        <f>vlookup(A959,Price!A:B,2,false)</f>
        <v>#N/A</v>
      </c>
      <c r="C959" s="198"/>
      <c r="D959" s="198"/>
      <c r="E959" s="198"/>
      <c r="F959" s="198"/>
      <c r="G959" s="198"/>
      <c r="H959" s="198"/>
      <c r="I959" s="198"/>
      <c r="J959" s="198"/>
      <c r="K959" s="198"/>
      <c r="L959" s="198"/>
    </row>
    <row r="960">
      <c r="A960" s="198"/>
      <c r="B960" s="208" t="str">
        <f>vlookup(A960,Price!A:B,2,false)</f>
        <v>#N/A</v>
      </c>
      <c r="C960" s="198"/>
      <c r="D960" s="198"/>
      <c r="E960" s="198"/>
      <c r="F960" s="198"/>
      <c r="G960" s="198"/>
      <c r="H960" s="198"/>
      <c r="I960" s="198"/>
      <c r="J960" s="198"/>
      <c r="K960" s="198"/>
      <c r="L960" s="198"/>
    </row>
    <row r="961">
      <c r="A961" s="198"/>
      <c r="B961" s="208" t="str">
        <f>vlookup(A961,Price!A:B,2,false)</f>
        <v>#N/A</v>
      </c>
      <c r="C961" s="198"/>
      <c r="D961" s="198"/>
      <c r="E961" s="198"/>
      <c r="F961" s="198"/>
      <c r="G961" s="198"/>
      <c r="H961" s="198"/>
      <c r="I961" s="198"/>
      <c r="J961" s="198"/>
      <c r="K961" s="198"/>
      <c r="L961" s="198"/>
    </row>
    <row r="962">
      <c r="A962" s="198"/>
      <c r="B962" s="208" t="str">
        <f>vlookup(A962,Price!A:B,2,false)</f>
        <v>#N/A</v>
      </c>
      <c r="C962" s="198"/>
      <c r="D962" s="198"/>
      <c r="E962" s="198"/>
      <c r="F962" s="198"/>
      <c r="G962" s="198"/>
      <c r="H962" s="198"/>
      <c r="I962" s="198"/>
      <c r="J962" s="198"/>
      <c r="K962" s="198"/>
      <c r="L962" s="198"/>
    </row>
    <row r="963">
      <c r="A963" s="198"/>
      <c r="B963" s="208" t="str">
        <f>vlookup(A963,Price!A:B,2,false)</f>
        <v>#N/A</v>
      </c>
      <c r="C963" s="198"/>
      <c r="D963" s="198"/>
      <c r="E963" s="198"/>
      <c r="F963" s="198"/>
      <c r="G963" s="198"/>
      <c r="H963" s="198"/>
      <c r="I963" s="198"/>
      <c r="J963" s="198"/>
      <c r="K963" s="198"/>
      <c r="L963" s="198"/>
    </row>
    <row r="964">
      <c r="A964" s="198"/>
      <c r="B964" s="208" t="str">
        <f>vlookup(A964,Price!A:B,2,false)</f>
        <v>#N/A</v>
      </c>
      <c r="C964" s="198"/>
      <c r="D964" s="198"/>
      <c r="E964" s="198"/>
      <c r="F964" s="198"/>
      <c r="G964" s="198"/>
      <c r="H964" s="198"/>
      <c r="I964" s="198"/>
      <c r="J964" s="198"/>
      <c r="K964" s="198"/>
      <c r="L964" s="198"/>
    </row>
    <row r="965">
      <c r="A965" s="198"/>
      <c r="B965" s="208" t="str">
        <f>vlookup(A965,Price!A:B,2,false)</f>
        <v>#N/A</v>
      </c>
      <c r="C965" s="198"/>
      <c r="D965" s="198"/>
      <c r="E965" s="198"/>
      <c r="F965" s="198"/>
      <c r="G965" s="198"/>
      <c r="H965" s="198"/>
      <c r="I965" s="198"/>
      <c r="J965" s="198"/>
      <c r="K965" s="198"/>
      <c r="L965" s="198"/>
    </row>
    <row r="966">
      <c r="A966" s="198"/>
      <c r="B966" s="208" t="str">
        <f>vlookup(A966,Price!A:B,2,false)</f>
        <v>#N/A</v>
      </c>
      <c r="C966" s="198"/>
      <c r="D966" s="198"/>
      <c r="E966" s="198"/>
      <c r="F966" s="198"/>
      <c r="G966" s="198"/>
      <c r="H966" s="198"/>
      <c r="I966" s="198"/>
      <c r="J966" s="198"/>
      <c r="K966" s="198"/>
      <c r="L966" s="198"/>
    </row>
    <row r="967">
      <c r="A967" s="198"/>
      <c r="B967" s="208" t="str">
        <f>vlookup(A967,Price!A:B,2,false)</f>
        <v>#N/A</v>
      </c>
      <c r="C967" s="198"/>
      <c r="D967" s="198"/>
      <c r="E967" s="198"/>
      <c r="F967" s="198"/>
      <c r="G967" s="198"/>
      <c r="H967" s="198"/>
      <c r="I967" s="198"/>
      <c r="J967" s="198"/>
      <c r="K967" s="198"/>
      <c r="L967" s="198"/>
    </row>
    <row r="968">
      <c r="A968" s="198"/>
      <c r="B968" s="208" t="str">
        <f>vlookup(A968,Price!A:B,2,false)</f>
        <v>#N/A</v>
      </c>
      <c r="C968" s="198"/>
      <c r="D968" s="198"/>
      <c r="E968" s="198"/>
      <c r="F968" s="198"/>
      <c r="G968" s="198"/>
      <c r="H968" s="198"/>
      <c r="I968" s="198"/>
      <c r="J968" s="198"/>
      <c r="K968" s="198"/>
      <c r="L968" s="198"/>
    </row>
    <row r="969">
      <c r="A969" s="198"/>
      <c r="B969" s="208" t="str">
        <f>vlookup(A969,Price!A:B,2,false)</f>
        <v>#N/A</v>
      </c>
      <c r="C969" s="198"/>
      <c r="D969" s="198"/>
      <c r="E969" s="198"/>
      <c r="F969" s="198"/>
      <c r="G969" s="198"/>
      <c r="H969" s="198"/>
      <c r="I969" s="198"/>
      <c r="J969" s="198"/>
      <c r="K969" s="198"/>
      <c r="L969" s="198"/>
    </row>
    <row r="970">
      <c r="A970" s="198"/>
      <c r="B970" s="208" t="str">
        <f>vlookup(A970,Price!A:B,2,false)</f>
        <v>#N/A</v>
      </c>
      <c r="C970" s="198"/>
      <c r="D970" s="198"/>
      <c r="E970" s="198"/>
      <c r="F970" s="198"/>
      <c r="G970" s="198"/>
      <c r="H970" s="198"/>
      <c r="I970" s="198"/>
      <c r="J970" s="198"/>
      <c r="K970" s="198"/>
      <c r="L970" s="198"/>
    </row>
    <row r="971">
      <c r="A971" s="198"/>
      <c r="B971" s="208" t="str">
        <f>vlookup(A971,Price!A:B,2,false)</f>
        <v>#N/A</v>
      </c>
      <c r="C971" s="198"/>
      <c r="D971" s="198"/>
      <c r="E971" s="198"/>
      <c r="F971" s="198"/>
      <c r="G971" s="198"/>
      <c r="H971" s="198"/>
      <c r="I971" s="198"/>
      <c r="J971" s="198"/>
      <c r="K971" s="198"/>
      <c r="L971" s="198"/>
    </row>
    <row r="972">
      <c r="A972" s="198"/>
      <c r="B972" s="208" t="str">
        <f>vlookup(A972,Price!A:B,2,false)</f>
        <v>#N/A</v>
      </c>
      <c r="C972" s="198"/>
      <c r="D972" s="198"/>
      <c r="E972" s="198"/>
      <c r="F972" s="198"/>
      <c r="G972" s="198"/>
      <c r="H972" s="198"/>
      <c r="I972" s="198"/>
      <c r="J972" s="198"/>
      <c r="K972" s="198"/>
      <c r="L972" s="198"/>
    </row>
    <row r="973">
      <c r="A973" s="198"/>
      <c r="B973" s="208" t="str">
        <f>vlookup(A973,Price!A:B,2,false)</f>
        <v>#N/A</v>
      </c>
      <c r="C973" s="198"/>
      <c r="D973" s="198"/>
      <c r="E973" s="198"/>
      <c r="F973" s="198"/>
      <c r="G973" s="198"/>
      <c r="H973" s="198"/>
      <c r="I973" s="198"/>
      <c r="J973" s="198"/>
      <c r="K973" s="198"/>
      <c r="L973" s="198"/>
    </row>
    <row r="974">
      <c r="A974" s="198"/>
      <c r="B974" s="208" t="str">
        <f>vlookup(A974,Price!A:B,2,false)</f>
        <v>#N/A</v>
      </c>
      <c r="C974" s="198"/>
      <c r="D974" s="198"/>
      <c r="E974" s="198"/>
      <c r="F974" s="198"/>
      <c r="G974" s="198"/>
      <c r="H974" s="198"/>
      <c r="I974" s="198"/>
      <c r="J974" s="198"/>
      <c r="K974" s="198"/>
      <c r="L974" s="198"/>
    </row>
    <row r="975">
      <c r="A975" s="198"/>
      <c r="B975" s="208" t="str">
        <f>vlookup(A975,Price!A:B,2,false)</f>
        <v>#N/A</v>
      </c>
      <c r="C975" s="198"/>
      <c r="D975" s="198"/>
      <c r="E975" s="198"/>
      <c r="F975" s="198"/>
      <c r="G975" s="198"/>
      <c r="H975" s="198"/>
      <c r="I975" s="198"/>
      <c r="J975" s="198"/>
      <c r="K975" s="198"/>
      <c r="L975" s="198"/>
    </row>
    <row r="976">
      <c r="A976" s="198"/>
      <c r="B976" s="208" t="str">
        <f>vlookup(A976,Price!A:B,2,false)</f>
        <v>#N/A</v>
      </c>
      <c r="C976" s="198"/>
      <c r="D976" s="198"/>
      <c r="E976" s="198"/>
      <c r="F976" s="198"/>
      <c r="G976" s="198"/>
      <c r="H976" s="198"/>
      <c r="I976" s="198"/>
      <c r="J976" s="198"/>
      <c r="K976" s="198"/>
      <c r="L976" s="198"/>
    </row>
    <row r="977">
      <c r="A977" s="198"/>
      <c r="B977" s="208" t="str">
        <f>vlookup(A977,Price!A:B,2,false)</f>
        <v>#N/A</v>
      </c>
      <c r="C977" s="198"/>
      <c r="D977" s="198"/>
      <c r="E977" s="198"/>
      <c r="F977" s="198"/>
      <c r="G977" s="198"/>
      <c r="H977" s="198"/>
      <c r="I977" s="198"/>
      <c r="J977" s="198"/>
      <c r="K977" s="198"/>
      <c r="L977" s="198"/>
    </row>
    <row r="978">
      <c r="A978" s="198"/>
      <c r="B978" s="208" t="str">
        <f>vlookup(A978,Price!A:B,2,false)</f>
        <v>#N/A</v>
      </c>
      <c r="C978" s="198"/>
      <c r="D978" s="198"/>
      <c r="E978" s="198"/>
      <c r="F978" s="198"/>
      <c r="G978" s="198"/>
      <c r="H978" s="198"/>
      <c r="I978" s="198"/>
      <c r="J978" s="198"/>
      <c r="K978" s="198"/>
      <c r="L978" s="198"/>
    </row>
    <row r="979">
      <c r="A979" s="198"/>
      <c r="B979" s="208" t="str">
        <f>vlookup(A979,Price!A:B,2,false)</f>
        <v>#N/A</v>
      </c>
      <c r="C979" s="198"/>
      <c r="D979" s="198"/>
      <c r="E979" s="198"/>
      <c r="F979" s="198"/>
      <c r="G979" s="198"/>
      <c r="H979" s="198"/>
      <c r="I979" s="198"/>
      <c r="J979" s="198"/>
      <c r="K979" s="198"/>
      <c r="L979" s="198"/>
    </row>
    <row r="980">
      <c r="A980" s="198"/>
      <c r="B980" s="208" t="str">
        <f>vlookup(A980,Price!A:B,2,false)</f>
        <v>#N/A</v>
      </c>
      <c r="C980" s="198"/>
      <c r="D980" s="198"/>
      <c r="E980" s="198"/>
      <c r="F980" s="198"/>
      <c r="G980" s="198"/>
      <c r="H980" s="198"/>
      <c r="I980" s="198"/>
      <c r="J980" s="198"/>
      <c r="K980" s="198"/>
      <c r="L980" s="198"/>
    </row>
    <row r="981">
      <c r="A981" s="198"/>
      <c r="B981" s="208" t="str">
        <f>vlookup(A981,Price!A:B,2,false)</f>
        <v>#N/A</v>
      </c>
      <c r="C981" s="198"/>
      <c r="D981" s="198"/>
      <c r="E981" s="198"/>
      <c r="F981" s="198"/>
      <c r="G981" s="198"/>
      <c r="H981" s="198"/>
      <c r="I981" s="198"/>
      <c r="J981" s="198"/>
      <c r="K981" s="198"/>
      <c r="L981" s="198"/>
    </row>
    <row r="982">
      <c r="A982" s="198"/>
      <c r="B982" s="208" t="str">
        <f>vlookup(A982,Price!A:B,2,false)</f>
        <v>#N/A</v>
      </c>
      <c r="C982" s="198"/>
      <c r="D982" s="198"/>
      <c r="E982" s="198"/>
      <c r="F982" s="198"/>
      <c r="G982" s="198"/>
      <c r="H982" s="198"/>
      <c r="I982" s="198"/>
      <c r="J982" s="198"/>
      <c r="K982" s="198"/>
      <c r="L982" s="198"/>
    </row>
    <row r="983">
      <c r="A983" s="198"/>
      <c r="B983" s="208" t="str">
        <f>vlookup(A983,Price!A:B,2,false)</f>
        <v>#N/A</v>
      </c>
      <c r="C983" s="198"/>
      <c r="D983" s="198"/>
      <c r="E983" s="198"/>
      <c r="F983" s="198"/>
      <c r="G983" s="198"/>
      <c r="H983" s="198"/>
      <c r="I983" s="198"/>
      <c r="J983" s="198"/>
      <c r="K983" s="198"/>
      <c r="L983" s="198"/>
    </row>
    <row r="984">
      <c r="A984" s="198"/>
      <c r="B984" s="208" t="str">
        <f>vlookup(A984,Price!A:B,2,false)</f>
        <v>#N/A</v>
      </c>
      <c r="C984" s="198"/>
      <c r="D984" s="198"/>
      <c r="E984" s="198"/>
      <c r="F984" s="198"/>
      <c r="G984" s="198"/>
      <c r="H984" s="198"/>
      <c r="I984" s="198"/>
      <c r="J984" s="198"/>
      <c r="K984" s="198"/>
      <c r="L984" s="198"/>
    </row>
    <row r="985">
      <c r="A985" s="198"/>
      <c r="B985" s="208" t="str">
        <f>vlookup(A985,Price!A:B,2,false)</f>
        <v>#N/A</v>
      </c>
      <c r="C985" s="198"/>
      <c r="D985" s="198"/>
      <c r="E985" s="198"/>
      <c r="F985" s="198"/>
      <c r="G985" s="198"/>
      <c r="H985" s="198"/>
      <c r="I985" s="198"/>
      <c r="J985" s="198"/>
      <c r="K985" s="198"/>
      <c r="L985" s="198"/>
    </row>
    <row r="986">
      <c r="A986" s="198"/>
      <c r="B986" s="208" t="str">
        <f>vlookup(A986,Price!A:B,2,false)</f>
        <v>#N/A</v>
      </c>
      <c r="C986" s="198"/>
      <c r="D986" s="198"/>
      <c r="E986" s="198"/>
      <c r="F986" s="198"/>
      <c r="G986" s="198"/>
      <c r="H986" s="198"/>
      <c r="I986" s="198"/>
      <c r="J986" s="198"/>
      <c r="K986" s="198"/>
      <c r="L986" s="198"/>
    </row>
    <row r="987">
      <c r="A987" s="198"/>
      <c r="B987" s="208" t="str">
        <f>vlookup(A987,Price!A:B,2,false)</f>
        <v>#N/A</v>
      </c>
      <c r="C987" s="198"/>
      <c r="D987" s="198"/>
      <c r="E987" s="198"/>
      <c r="F987" s="198"/>
      <c r="G987" s="198"/>
      <c r="H987" s="198"/>
      <c r="I987" s="198"/>
      <c r="J987" s="198"/>
      <c r="K987" s="198"/>
      <c r="L987" s="198"/>
    </row>
    <row r="988">
      <c r="A988" s="198"/>
      <c r="B988" s="208" t="str">
        <f>vlookup(A988,Price!A:B,2,false)</f>
        <v>#N/A</v>
      </c>
      <c r="C988" s="198"/>
      <c r="D988" s="198"/>
      <c r="E988" s="198"/>
      <c r="F988" s="198"/>
      <c r="G988" s="198"/>
      <c r="H988" s="198"/>
      <c r="I988" s="198"/>
      <c r="J988" s="198"/>
      <c r="K988" s="198"/>
      <c r="L988" s="198"/>
    </row>
    <row r="989">
      <c r="A989" s="198"/>
      <c r="B989" s="208" t="str">
        <f>vlookup(A989,Price!A:B,2,false)</f>
        <v>#N/A</v>
      </c>
      <c r="C989" s="198"/>
      <c r="D989" s="198"/>
      <c r="E989" s="198"/>
      <c r="F989" s="198"/>
      <c r="G989" s="198"/>
      <c r="H989" s="198"/>
      <c r="I989" s="198"/>
      <c r="J989" s="198"/>
      <c r="K989" s="198"/>
      <c r="L989" s="198"/>
    </row>
    <row r="990">
      <c r="A990" s="198"/>
      <c r="B990" s="208" t="str">
        <f>vlookup(A990,Price!A:B,2,false)</f>
        <v>#N/A</v>
      </c>
      <c r="C990" s="198"/>
      <c r="D990" s="198"/>
      <c r="E990" s="198"/>
      <c r="F990" s="198"/>
      <c r="G990" s="198"/>
      <c r="H990" s="198"/>
      <c r="I990" s="198"/>
      <c r="J990" s="198"/>
      <c r="K990" s="198"/>
      <c r="L990" s="198"/>
    </row>
    <row r="991">
      <c r="A991" s="198"/>
      <c r="B991" s="208" t="str">
        <f>vlookup(A991,Price!A:B,2,false)</f>
        <v>#N/A</v>
      </c>
      <c r="C991" s="198"/>
      <c r="D991" s="198"/>
      <c r="E991" s="198"/>
      <c r="F991" s="198"/>
      <c r="G991" s="198"/>
      <c r="H991" s="198"/>
      <c r="I991" s="198"/>
      <c r="J991" s="198"/>
      <c r="K991" s="198"/>
      <c r="L991" s="198"/>
    </row>
    <row r="992">
      <c r="A992" s="198"/>
      <c r="B992" s="208" t="str">
        <f>vlookup(A992,Price!A:B,2,false)</f>
        <v>#N/A</v>
      </c>
      <c r="C992" s="198"/>
      <c r="D992" s="198"/>
      <c r="E992" s="198"/>
      <c r="F992" s="198"/>
      <c r="G992" s="198"/>
      <c r="H992" s="198"/>
      <c r="I992" s="198"/>
      <c r="J992" s="198"/>
      <c r="K992" s="198"/>
      <c r="L992" s="198"/>
    </row>
    <row r="993">
      <c r="A993" s="198"/>
      <c r="B993" s="208" t="str">
        <f>vlookup(A993,Price!A:B,2,false)</f>
        <v>#N/A</v>
      </c>
      <c r="C993" s="198"/>
      <c r="D993" s="198"/>
      <c r="E993" s="198"/>
      <c r="F993" s="198"/>
      <c r="G993" s="198"/>
      <c r="H993" s="198"/>
      <c r="I993" s="198"/>
      <c r="J993" s="198"/>
      <c r="K993" s="198"/>
      <c r="L993" s="198"/>
    </row>
    <row r="994">
      <c r="A994" s="198"/>
      <c r="B994" s="208" t="str">
        <f>vlookup(A994,Price!A:B,2,false)</f>
        <v>#N/A</v>
      </c>
      <c r="C994" s="198"/>
      <c r="D994" s="198"/>
      <c r="E994" s="198"/>
      <c r="F994" s="198"/>
      <c r="G994" s="198"/>
      <c r="H994" s="198"/>
      <c r="I994" s="198"/>
      <c r="J994" s="198"/>
      <c r="K994" s="198"/>
      <c r="L994" s="198"/>
    </row>
    <row r="995">
      <c r="A995" s="198"/>
      <c r="B995" s="208" t="str">
        <f>vlookup(A995,Price!A:B,2,false)</f>
        <v>#N/A</v>
      </c>
      <c r="C995" s="198"/>
      <c r="D995" s="198"/>
      <c r="E995" s="198"/>
      <c r="F995" s="198"/>
      <c r="G995" s="198"/>
      <c r="H995" s="198"/>
      <c r="I995" s="198"/>
      <c r="J995" s="198"/>
      <c r="K995" s="198"/>
      <c r="L995" s="198"/>
    </row>
    <row r="996">
      <c r="A996" s="198"/>
      <c r="B996" s="208" t="str">
        <f>vlookup(A996,Price!A:B,2,false)</f>
        <v>#N/A</v>
      </c>
      <c r="C996" s="198"/>
      <c r="D996" s="198"/>
      <c r="E996" s="198"/>
      <c r="F996" s="198"/>
      <c r="G996" s="198"/>
      <c r="H996" s="198"/>
      <c r="I996" s="198"/>
      <c r="J996" s="198"/>
      <c r="K996" s="198"/>
      <c r="L996" s="198"/>
    </row>
    <row r="997">
      <c r="A997" s="198"/>
      <c r="B997" s="208" t="str">
        <f>vlookup(A997,Price!A:B,2,false)</f>
        <v>#N/A</v>
      </c>
      <c r="C997" s="198"/>
      <c r="D997" s="198"/>
      <c r="E997" s="198"/>
      <c r="F997" s="198"/>
      <c r="G997" s="198"/>
      <c r="H997" s="198"/>
      <c r="I997" s="198"/>
      <c r="J997" s="198"/>
      <c r="K997" s="198"/>
      <c r="L997" s="198"/>
    </row>
    <row r="998">
      <c r="A998" s="198"/>
      <c r="B998" s="208" t="str">
        <f>vlookup(A998,Price!A:B,2,false)</f>
        <v>#N/A</v>
      </c>
      <c r="C998" s="198"/>
      <c r="D998" s="198"/>
      <c r="E998" s="198"/>
      <c r="F998" s="198"/>
      <c r="G998" s="198"/>
      <c r="H998" s="198"/>
      <c r="I998" s="198"/>
      <c r="J998" s="198"/>
      <c r="K998" s="198"/>
      <c r="L998" s="198"/>
    </row>
    <row r="999">
      <c r="A999" s="198"/>
      <c r="B999" s="208" t="str">
        <f>vlookup(A999,Price!A:B,2,false)</f>
        <v>#N/A</v>
      </c>
      <c r="C999" s="198"/>
      <c r="D999" s="198"/>
      <c r="E999" s="198"/>
      <c r="F999" s="198"/>
      <c r="G999" s="198"/>
      <c r="H999" s="198"/>
      <c r="I999" s="198"/>
      <c r="J999" s="198"/>
      <c r="K999" s="198"/>
      <c r="L999" s="198"/>
    </row>
    <row r="1000">
      <c r="A1000" s="198"/>
      <c r="B1000" s="208" t="str">
        <f>vlookup(A1000,Price!A:B,2,false)</f>
        <v>#N/A</v>
      </c>
      <c r="C1000" s="198"/>
      <c r="D1000" s="198"/>
      <c r="E1000" s="198"/>
      <c r="F1000" s="198"/>
      <c r="G1000" s="198"/>
      <c r="H1000" s="198"/>
      <c r="I1000" s="198"/>
      <c r="J1000" s="198"/>
      <c r="K1000" s="198"/>
      <c r="L1000" s="198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98" t="s">
        <v>532</v>
      </c>
      <c r="B1" s="198" t="s">
        <v>533</v>
      </c>
      <c r="C1" s="205" t="s">
        <v>534</v>
      </c>
      <c r="D1" s="198" t="s">
        <v>535</v>
      </c>
      <c r="E1" s="198" t="s">
        <v>536</v>
      </c>
      <c r="F1" s="198" t="s">
        <v>537</v>
      </c>
      <c r="G1" s="198" t="s">
        <v>538</v>
      </c>
      <c r="H1" s="198" t="s">
        <v>539</v>
      </c>
      <c r="I1" s="198" t="s">
        <v>540</v>
      </c>
      <c r="J1" s="206" t="s">
        <v>541</v>
      </c>
      <c r="K1" s="206" t="s">
        <v>542</v>
      </c>
      <c r="L1" s="198" t="s">
        <v>536</v>
      </c>
    </row>
    <row r="2">
      <c r="A2" s="207" t="s">
        <v>54</v>
      </c>
      <c r="B2" s="208">
        <f>vlookup(A2,Price!A:B,2,false)</f>
        <v>3819.675532</v>
      </c>
      <c r="C2" s="209"/>
      <c r="D2" s="210">
        <v>0.0</v>
      </c>
      <c r="E2" s="211">
        <f t="shared" ref="E2:E41" si="1">C2-D2</f>
        <v>0</v>
      </c>
      <c r="F2" s="212">
        <f>iferror(vlookup(A2,'Transfer Pricing Playground'!A:P,16,false))</f>
        <v>0.02928207375</v>
      </c>
      <c r="G2" s="213">
        <f t="shared" ref="G2:G41" si="2">E2*F2/52.14</f>
        <v>0</v>
      </c>
      <c r="H2" s="212"/>
      <c r="I2" s="210">
        <f t="shared" ref="I2:I41" si="3">C2*H2/52.14</f>
        <v>0</v>
      </c>
      <c r="J2" s="214">
        <f t="shared" ref="J2:J41" si="4">I2-G2</f>
        <v>0</v>
      </c>
      <c r="K2" s="215">
        <f t="shared" ref="K2:K41" si="5">J2*B2</f>
        <v>0</v>
      </c>
      <c r="L2" s="216">
        <f t="shared" ref="L2:L41" si="6">C2*B2</f>
        <v>0</v>
      </c>
    </row>
    <row r="3">
      <c r="A3" s="207" t="s">
        <v>53</v>
      </c>
      <c r="B3" s="208">
        <f>vlookup(A3,Price!A:B,2,false)</f>
        <v>46314.63028</v>
      </c>
      <c r="C3" s="209"/>
      <c r="D3" s="210">
        <v>0.0</v>
      </c>
      <c r="E3" s="211">
        <f t="shared" si="1"/>
        <v>0</v>
      </c>
      <c r="F3" s="212">
        <f>iferror(vlookup(A3,'Transfer Pricing Playground'!A:P,16,false))</f>
        <v>0.01013263943</v>
      </c>
      <c r="G3" s="213">
        <f t="shared" si="2"/>
        <v>0</v>
      </c>
      <c r="H3" s="212"/>
      <c r="I3" s="210">
        <f t="shared" si="3"/>
        <v>0</v>
      </c>
      <c r="J3" s="214">
        <f t="shared" si="4"/>
        <v>0</v>
      </c>
      <c r="K3" s="215">
        <f t="shared" si="5"/>
        <v>0</v>
      </c>
      <c r="L3" s="216">
        <f t="shared" si="6"/>
        <v>0</v>
      </c>
    </row>
    <row r="4">
      <c r="A4" s="207" t="s">
        <v>59</v>
      </c>
      <c r="B4" s="208">
        <f>vlookup(A4,Price!A:B,2,false)</f>
        <v>39.51861627</v>
      </c>
      <c r="C4" s="209"/>
      <c r="D4" s="210">
        <v>0.0</v>
      </c>
      <c r="E4" s="211">
        <f t="shared" si="1"/>
        <v>0</v>
      </c>
      <c r="F4" s="212">
        <f>iferror(vlookup(A4,'Transfer Pricing Playground'!A:P,16,false))</f>
        <v>0</v>
      </c>
      <c r="G4" s="213">
        <f t="shared" si="2"/>
        <v>0</v>
      </c>
      <c r="H4" s="212"/>
      <c r="I4" s="210">
        <f t="shared" si="3"/>
        <v>0</v>
      </c>
      <c r="J4" s="214">
        <f t="shared" si="4"/>
        <v>0</v>
      </c>
      <c r="K4" s="215">
        <f t="shared" si="5"/>
        <v>0</v>
      </c>
      <c r="L4" s="216">
        <f t="shared" si="6"/>
        <v>0</v>
      </c>
    </row>
    <row r="5">
      <c r="A5" s="207" t="s">
        <v>67</v>
      </c>
      <c r="B5" s="208">
        <f>vlookup(A5,Price!A:B,2,false)</f>
        <v>4.960176782</v>
      </c>
      <c r="C5" s="209"/>
      <c r="D5" s="210">
        <v>0.0</v>
      </c>
      <c r="E5" s="211">
        <f t="shared" si="1"/>
        <v>0</v>
      </c>
      <c r="F5" s="212">
        <f>iferror(vlookup(A5,'Transfer Pricing Playground'!A:P,16,false))</f>
        <v>0.1339</v>
      </c>
      <c r="G5" s="213">
        <f t="shared" si="2"/>
        <v>0</v>
      </c>
      <c r="H5" s="212"/>
      <c r="I5" s="210">
        <f t="shared" si="3"/>
        <v>0</v>
      </c>
      <c r="J5" s="214">
        <f t="shared" si="4"/>
        <v>0</v>
      </c>
      <c r="K5" s="215">
        <f t="shared" si="5"/>
        <v>0</v>
      </c>
      <c r="L5" s="216">
        <f t="shared" si="6"/>
        <v>0</v>
      </c>
    </row>
    <row r="6">
      <c r="A6" s="207" t="s">
        <v>70</v>
      </c>
      <c r="B6" s="208">
        <f>vlookup(A6,Price!A:B,2,false)</f>
        <v>173.1638356</v>
      </c>
      <c r="C6" s="209"/>
      <c r="D6" s="210">
        <v>0.0</v>
      </c>
      <c r="E6" s="211">
        <f t="shared" si="1"/>
        <v>0</v>
      </c>
      <c r="F6" s="212">
        <f>iferror(vlookup(A6,'Transfer Pricing Playground'!A:P,16,false))</f>
        <v>0.0385</v>
      </c>
      <c r="G6" s="213">
        <f t="shared" si="2"/>
        <v>0</v>
      </c>
      <c r="H6" s="212"/>
      <c r="I6" s="210">
        <f t="shared" si="3"/>
        <v>0</v>
      </c>
      <c r="J6" s="214">
        <f t="shared" si="4"/>
        <v>0</v>
      </c>
      <c r="K6" s="215">
        <f t="shared" si="5"/>
        <v>0</v>
      </c>
      <c r="L6" s="216">
        <f t="shared" si="6"/>
        <v>0</v>
      </c>
    </row>
    <row r="7">
      <c r="A7" s="207" t="s">
        <v>61</v>
      </c>
      <c r="B7" s="208">
        <f>vlookup(A7,Price!A:B,2,false)</f>
        <v>18.51308692</v>
      </c>
      <c r="C7" s="209"/>
      <c r="D7" s="210">
        <v>0.0</v>
      </c>
      <c r="E7" s="211">
        <f t="shared" si="1"/>
        <v>0</v>
      </c>
      <c r="F7" s="212">
        <f>iferror(vlookup(A7,'Transfer Pricing Playground'!A:P,16,false))</f>
        <v>0.01234602303</v>
      </c>
      <c r="G7" s="213">
        <f t="shared" si="2"/>
        <v>0</v>
      </c>
      <c r="H7" s="212"/>
      <c r="I7" s="210">
        <f t="shared" si="3"/>
        <v>0</v>
      </c>
      <c r="J7" s="214">
        <f t="shared" si="4"/>
        <v>0</v>
      </c>
      <c r="K7" s="215">
        <f t="shared" si="5"/>
        <v>0</v>
      </c>
      <c r="L7" s="216">
        <f t="shared" si="6"/>
        <v>0</v>
      </c>
    </row>
    <row r="8">
      <c r="A8" s="217" t="s">
        <v>323</v>
      </c>
      <c r="B8" s="208">
        <f>vlookup(A8,Price!A:B,2,false)</f>
        <v>1</v>
      </c>
      <c r="C8" s="209"/>
      <c r="D8" s="210">
        <v>0.0</v>
      </c>
      <c r="E8" s="211">
        <f t="shared" si="1"/>
        <v>0</v>
      </c>
      <c r="F8" s="212" t="str">
        <f>iferror(vlookup(A8,'Transfer Pricing Playground'!A:P,16,false))</f>
        <v/>
      </c>
      <c r="G8" s="213">
        <f t="shared" si="2"/>
        <v>0</v>
      </c>
      <c r="H8" s="212"/>
      <c r="I8" s="210">
        <f t="shared" si="3"/>
        <v>0</v>
      </c>
      <c r="J8" s="214">
        <f t="shared" si="4"/>
        <v>0</v>
      </c>
      <c r="K8" s="215">
        <f t="shared" si="5"/>
        <v>0</v>
      </c>
      <c r="L8" s="216">
        <f t="shared" si="6"/>
        <v>0</v>
      </c>
    </row>
    <row r="9">
      <c r="A9" s="207" t="s">
        <v>95</v>
      </c>
      <c r="B9" s="208">
        <f>vlookup(A9,Price!A:B,2,false)</f>
        <v>35192.45221</v>
      </c>
      <c r="C9" s="209"/>
      <c r="D9" s="210">
        <v>0.0</v>
      </c>
      <c r="E9" s="211">
        <f t="shared" si="1"/>
        <v>0</v>
      </c>
      <c r="F9" s="212">
        <f>iferror(vlookup(A9,'Transfer Pricing Playground'!A:P,16,false))</f>
        <v>0</v>
      </c>
      <c r="G9" s="213">
        <f t="shared" si="2"/>
        <v>0</v>
      </c>
      <c r="H9" s="212"/>
      <c r="I9" s="210">
        <f t="shared" si="3"/>
        <v>0</v>
      </c>
      <c r="J9" s="214">
        <f t="shared" si="4"/>
        <v>0</v>
      </c>
      <c r="K9" s="215">
        <f t="shared" si="5"/>
        <v>0</v>
      </c>
      <c r="L9" s="216">
        <f t="shared" si="6"/>
        <v>0</v>
      </c>
    </row>
    <row r="10">
      <c r="A10" s="207" t="s">
        <v>74</v>
      </c>
      <c r="B10" s="208">
        <f>vlookup(A10,Price!A:B,2,false)</f>
        <v>1.078602899</v>
      </c>
      <c r="C10" s="209"/>
      <c r="D10" s="210">
        <v>0.0</v>
      </c>
      <c r="E10" s="211">
        <f t="shared" si="1"/>
        <v>0</v>
      </c>
      <c r="F10" s="212">
        <f>iferror(vlookup(A10,'Transfer Pricing Playground'!A:P,16,false))</f>
        <v>0.0097</v>
      </c>
      <c r="G10" s="213">
        <f t="shared" si="2"/>
        <v>0</v>
      </c>
      <c r="H10" s="212"/>
      <c r="I10" s="210">
        <f t="shared" si="3"/>
        <v>0</v>
      </c>
      <c r="J10" s="214">
        <f t="shared" si="4"/>
        <v>0</v>
      </c>
      <c r="K10" s="215">
        <f t="shared" si="5"/>
        <v>0</v>
      </c>
      <c r="L10" s="216">
        <f t="shared" si="6"/>
        <v>0</v>
      </c>
    </row>
    <row r="11">
      <c r="A11" s="207" t="s">
        <v>69</v>
      </c>
      <c r="B11" s="208">
        <f>vlookup(A11,Price!A:B,2,false)</f>
        <v>14.44022362</v>
      </c>
      <c r="C11" s="209"/>
      <c r="D11" s="210">
        <v>0.0</v>
      </c>
      <c r="E11" s="211">
        <f t="shared" si="1"/>
        <v>0</v>
      </c>
      <c r="F11" s="212">
        <f>iferror(vlookup(A11,'Transfer Pricing Playground'!A:P,16,false))</f>
        <v>0.0228</v>
      </c>
      <c r="G11" s="213">
        <f t="shared" si="2"/>
        <v>0</v>
      </c>
      <c r="H11" s="212"/>
      <c r="I11" s="210">
        <f t="shared" si="3"/>
        <v>0</v>
      </c>
      <c r="J11" s="214">
        <f t="shared" si="4"/>
        <v>0</v>
      </c>
      <c r="K11" s="215">
        <f t="shared" si="5"/>
        <v>0</v>
      </c>
      <c r="L11" s="216">
        <f t="shared" si="6"/>
        <v>0</v>
      </c>
    </row>
    <row r="12">
      <c r="A12" s="207" t="s">
        <v>90</v>
      </c>
      <c r="B12" s="208">
        <f>vlookup(A12,Price!A:B,2,false)</f>
        <v>14.44190837</v>
      </c>
      <c r="C12" s="209"/>
      <c r="D12" s="210">
        <v>0.0</v>
      </c>
      <c r="E12" s="211">
        <f t="shared" si="1"/>
        <v>0</v>
      </c>
      <c r="F12" s="212">
        <f>iferror(vlookup(A12,'Transfer Pricing Playground'!A:P,16,false))</f>
        <v>0</v>
      </c>
      <c r="G12" s="213">
        <f t="shared" si="2"/>
        <v>0</v>
      </c>
      <c r="H12" s="212"/>
      <c r="I12" s="210">
        <f t="shared" si="3"/>
        <v>0</v>
      </c>
      <c r="J12" s="214">
        <f t="shared" si="4"/>
        <v>0</v>
      </c>
      <c r="K12" s="215">
        <f t="shared" si="5"/>
        <v>0</v>
      </c>
      <c r="L12" s="216">
        <f t="shared" si="6"/>
        <v>0</v>
      </c>
    </row>
    <row r="13">
      <c r="A13" s="207" t="s">
        <v>87</v>
      </c>
      <c r="B13" s="208">
        <f>vlookup(A13,Price!A:B,2,false)</f>
        <v>5.23640161</v>
      </c>
      <c r="C13" s="209"/>
      <c r="D13" s="210">
        <v>0.0</v>
      </c>
      <c r="E13" s="211">
        <f t="shared" si="1"/>
        <v>0</v>
      </c>
      <c r="F13" s="212">
        <f>iferror(vlookup(A13,'Transfer Pricing Playground'!A:P,16,false))</f>
        <v>0.0396</v>
      </c>
      <c r="G13" s="213">
        <f t="shared" si="2"/>
        <v>0</v>
      </c>
      <c r="H13" s="212"/>
      <c r="I13" s="210">
        <f t="shared" si="3"/>
        <v>0</v>
      </c>
      <c r="J13" s="214">
        <f t="shared" si="4"/>
        <v>0</v>
      </c>
      <c r="K13" s="215">
        <f t="shared" si="5"/>
        <v>0</v>
      </c>
      <c r="L13" s="216">
        <f t="shared" si="6"/>
        <v>0</v>
      </c>
    </row>
    <row r="14">
      <c r="A14" s="207" t="s">
        <v>79</v>
      </c>
      <c r="B14" s="208">
        <f>vlookup(A14,Price!A:B,2,false)</f>
        <v>3.165969505</v>
      </c>
      <c r="C14" s="209"/>
      <c r="D14" s="210">
        <v>0.0</v>
      </c>
      <c r="E14" s="211">
        <f t="shared" si="1"/>
        <v>0</v>
      </c>
      <c r="F14" s="212">
        <f>iferror(vlookup(A14,'Transfer Pricing Playground'!A:P,16,false))</f>
        <v>0.0595</v>
      </c>
      <c r="G14" s="213">
        <f t="shared" si="2"/>
        <v>0</v>
      </c>
      <c r="H14" s="212"/>
      <c r="I14" s="210">
        <f t="shared" si="3"/>
        <v>0</v>
      </c>
      <c r="J14" s="214">
        <f t="shared" si="4"/>
        <v>0</v>
      </c>
      <c r="K14" s="215">
        <f t="shared" si="5"/>
        <v>0</v>
      </c>
      <c r="L14" s="216">
        <f t="shared" si="6"/>
        <v>0</v>
      </c>
    </row>
    <row r="15">
      <c r="A15" s="207" t="s">
        <v>93</v>
      </c>
      <c r="B15" s="208">
        <f>vlookup(A15,Price!A:B,2,false)</f>
        <v>1.235585033</v>
      </c>
      <c r="C15" s="209"/>
      <c r="D15" s="210">
        <v>0.0</v>
      </c>
      <c r="E15" s="211">
        <f t="shared" si="1"/>
        <v>0</v>
      </c>
      <c r="F15" s="212">
        <f>iferror(vlookup(A15,'Transfer Pricing Playground'!A:P,16,false))</f>
        <v>0.0048</v>
      </c>
      <c r="G15" s="213">
        <f t="shared" si="2"/>
        <v>0</v>
      </c>
      <c r="H15" s="212"/>
      <c r="I15" s="210">
        <f t="shared" si="3"/>
        <v>0</v>
      </c>
      <c r="J15" s="214">
        <f t="shared" si="4"/>
        <v>0</v>
      </c>
      <c r="K15" s="215">
        <f t="shared" si="5"/>
        <v>0</v>
      </c>
      <c r="L15" s="216">
        <f t="shared" si="6"/>
        <v>0</v>
      </c>
    </row>
    <row r="16">
      <c r="A16" s="207" t="s">
        <v>81</v>
      </c>
      <c r="B16" s="208">
        <f>vlookup(A16,Price!A:B,2,false)</f>
        <v>187.58</v>
      </c>
      <c r="C16" s="209"/>
      <c r="D16" s="210">
        <v>0.0</v>
      </c>
      <c r="E16" s="211">
        <f t="shared" si="1"/>
        <v>0</v>
      </c>
      <c r="F16" s="212">
        <f>iferror(vlookup(A16,'Transfer Pricing Playground'!A:P,16,false))</f>
        <v>0.0453</v>
      </c>
      <c r="G16" s="213">
        <f t="shared" si="2"/>
        <v>0</v>
      </c>
      <c r="H16" s="212"/>
      <c r="I16" s="210">
        <f t="shared" si="3"/>
        <v>0</v>
      </c>
      <c r="J16" s="214">
        <f t="shared" si="4"/>
        <v>0</v>
      </c>
      <c r="K16" s="215">
        <f t="shared" si="5"/>
        <v>0</v>
      </c>
      <c r="L16" s="216">
        <f t="shared" si="6"/>
        <v>0</v>
      </c>
    </row>
    <row r="17">
      <c r="A17" s="207" t="s">
        <v>94</v>
      </c>
      <c r="B17" s="208">
        <f>vlookup(A17,Price!A:B,2,false)</f>
        <v>2.57</v>
      </c>
      <c r="C17" s="209"/>
      <c r="D17" s="210">
        <v>0.0</v>
      </c>
      <c r="E17" s="211">
        <f t="shared" si="1"/>
        <v>0</v>
      </c>
      <c r="F17" s="212">
        <f>iferror(vlookup(A17,'Transfer Pricing Playground'!A:P,16,false))</f>
        <v>0</v>
      </c>
      <c r="G17" s="213">
        <f t="shared" si="2"/>
        <v>0</v>
      </c>
      <c r="H17" s="212"/>
      <c r="I17" s="210">
        <f t="shared" si="3"/>
        <v>0</v>
      </c>
      <c r="J17" s="214">
        <f t="shared" si="4"/>
        <v>0</v>
      </c>
      <c r="K17" s="215">
        <f t="shared" si="5"/>
        <v>0</v>
      </c>
      <c r="L17" s="216">
        <f t="shared" si="6"/>
        <v>0</v>
      </c>
    </row>
    <row r="18">
      <c r="A18" s="207" t="s">
        <v>83</v>
      </c>
      <c r="B18" s="208">
        <f>vlookup(A18,Price!A:B,2,false)</f>
        <v>30.31</v>
      </c>
      <c r="C18" s="209"/>
      <c r="D18" s="210">
        <v>0.0</v>
      </c>
      <c r="E18" s="211">
        <f t="shared" si="1"/>
        <v>0</v>
      </c>
      <c r="F18" s="212">
        <f>iferror(vlookup(A18,'Transfer Pricing Playground'!A:P,16,false))</f>
        <v>0</v>
      </c>
      <c r="G18" s="213">
        <f t="shared" si="2"/>
        <v>0</v>
      </c>
      <c r="H18" s="212"/>
      <c r="I18" s="210">
        <f t="shared" si="3"/>
        <v>0</v>
      </c>
      <c r="J18" s="214">
        <f t="shared" si="4"/>
        <v>0</v>
      </c>
      <c r="K18" s="215">
        <f t="shared" si="5"/>
        <v>0</v>
      </c>
      <c r="L18" s="216">
        <f t="shared" si="6"/>
        <v>0</v>
      </c>
    </row>
    <row r="19">
      <c r="A19" s="207" t="s">
        <v>248</v>
      </c>
      <c r="B19" s="208">
        <f>vlookup(A19,Price!A:B,2,false)</f>
        <v>208.14</v>
      </c>
      <c r="C19" s="209"/>
      <c r="D19" s="210">
        <v>0.0</v>
      </c>
      <c r="E19" s="211">
        <f t="shared" si="1"/>
        <v>0</v>
      </c>
      <c r="F19" s="212" t="str">
        <f>iferror(vlookup(A19,'Transfer Pricing Playground'!A:P,16,false))</f>
        <v/>
      </c>
      <c r="G19" s="213">
        <f t="shared" si="2"/>
        <v>0</v>
      </c>
      <c r="H19" s="212"/>
      <c r="I19" s="210">
        <f t="shared" si="3"/>
        <v>0</v>
      </c>
      <c r="J19" s="214">
        <f t="shared" si="4"/>
        <v>0</v>
      </c>
      <c r="K19" s="215">
        <f t="shared" si="5"/>
        <v>0</v>
      </c>
      <c r="L19" s="216">
        <f t="shared" si="6"/>
        <v>0</v>
      </c>
    </row>
    <row r="20">
      <c r="A20" s="207" t="s">
        <v>244</v>
      </c>
      <c r="B20" s="208">
        <f>vlookup(A20,Price!A:B,2,false)</f>
        <v>0.146055</v>
      </c>
      <c r="C20" s="209"/>
      <c r="D20" s="210">
        <v>0.0</v>
      </c>
      <c r="E20" s="211">
        <f t="shared" si="1"/>
        <v>0</v>
      </c>
      <c r="F20" s="212" t="str">
        <f>iferror(vlookup(A20,'Transfer Pricing Playground'!A:P,16,false))</f>
        <v/>
      </c>
      <c r="G20" s="213">
        <f t="shared" si="2"/>
        <v>0</v>
      </c>
      <c r="H20" s="212"/>
      <c r="I20" s="210">
        <f t="shared" si="3"/>
        <v>0</v>
      </c>
      <c r="J20" s="214">
        <f t="shared" si="4"/>
        <v>0</v>
      </c>
      <c r="K20" s="215">
        <f t="shared" si="5"/>
        <v>0</v>
      </c>
      <c r="L20" s="216">
        <f t="shared" si="6"/>
        <v>0</v>
      </c>
    </row>
    <row r="21">
      <c r="A21" s="207" t="s">
        <v>101</v>
      </c>
      <c r="B21" s="208">
        <f>vlookup(A21,Price!A:B,2,false)</f>
        <v>0.6678409518</v>
      </c>
      <c r="C21" s="209"/>
      <c r="D21" s="210">
        <v>0.0</v>
      </c>
      <c r="E21" s="211">
        <f t="shared" si="1"/>
        <v>0</v>
      </c>
      <c r="F21" s="212">
        <f>iferror(vlookup(A21,'Transfer Pricing Playground'!A:P,16,false))</f>
        <v>0</v>
      </c>
      <c r="G21" s="213">
        <f t="shared" si="2"/>
        <v>0</v>
      </c>
      <c r="H21" s="212"/>
      <c r="I21" s="210">
        <f t="shared" si="3"/>
        <v>0</v>
      </c>
      <c r="J21" s="214">
        <f t="shared" si="4"/>
        <v>0</v>
      </c>
      <c r="K21" s="215">
        <f t="shared" si="5"/>
        <v>0</v>
      </c>
      <c r="L21" s="216">
        <f t="shared" si="6"/>
        <v>0</v>
      </c>
    </row>
    <row r="22">
      <c r="A22" s="207" t="s">
        <v>246</v>
      </c>
      <c r="B22" s="208">
        <f>vlookup(A22,Price!A:B,2,false)</f>
        <v>0.341427</v>
      </c>
      <c r="C22" s="209"/>
      <c r="D22" s="210">
        <v>0.0</v>
      </c>
      <c r="E22" s="211">
        <f t="shared" si="1"/>
        <v>0</v>
      </c>
      <c r="F22" s="212" t="str">
        <f>iferror(vlookup(A22,'Transfer Pricing Playground'!A:P,16,false))</f>
        <v/>
      </c>
      <c r="G22" s="213">
        <f t="shared" si="2"/>
        <v>0</v>
      </c>
      <c r="H22" s="212"/>
      <c r="I22" s="210">
        <f t="shared" si="3"/>
        <v>0</v>
      </c>
      <c r="J22" s="214">
        <f t="shared" si="4"/>
        <v>0</v>
      </c>
      <c r="K22" s="215">
        <f t="shared" si="5"/>
        <v>0</v>
      </c>
      <c r="L22" s="216">
        <f t="shared" si="6"/>
        <v>0</v>
      </c>
    </row>
    <row r="23">
      <c r="A23" s="207" t="s">
        <v>211</v>
      </c>
      <c r="B23" s="208">
        <f>vlookup(A23,Price!A:B,2,false)</f>
        <v>104.1704915</v>
      </c>
      <c r="C23" s="209"/>
      <c r="D23" s="210">
        <v>0.0</v>
      </c>
      <c r="E23" s="211">
        <f t="shared" si="1"/>
        <v>0</v>
      </c>
      <c r="F23" s="212" t="str">
        <f>iferror(vlookup(A23,'Transfer Pricing Playground'!A:P,16,false))</f>
        <v/>
      </c>
      <c r="G23" s="213">
        <f t="shared" si="2"/>
        <v>0</v>
      </c>
      <c r="H23" s="212"/>
      <c r="I23" s="210">
        <f t="shared" si="3"/>
        <v>0</v>
      </c>
      <c r="J23" s="214">
        <f t="shared" si="4"/>
        <v>0</v>
      </c>
      <c r="K23" s="215">
        <f t="shared" si="5"/>
        <v>0</v>
      </c>
      <c r="L23" s="216">
        <f t="shared" si="6"/>
        <v>0</v>
      </c>
    </row>
    <row r="24">
      <c r="A24" s="207" t="s">
        <v>80</v>
      </c>
      <c r="B24" s="208">
        <f>vlookup(A24,Price!A:B,2,false)</f>
        <v>0.7482698139</v>
      </c>
      <c r="C24" s="209"/>
      <c r="D24" s="210">
        <v>0.0</v>
      </c>
      <c r="E24" s="211">
        <f t="shared" si="1"/>
        <v>0</v>
      </c>
      <c r="F24" s="212">
        <f>iferror(vlookup(A24,'Transfer Pricing Playground'!A:P,16,false))</f>
        <v>0.0169</v>
      </c>
      <c r="G24" s="213">
        <f t="shared" si="2"/>
        <v>0</v>
      </c>
      <c r="H24" s="212"/>
      <c r="I24" s="210">
        <f t="shared" si="3"/>
        <v>0</v>
      </c>
      <c r="J24" s="214">
        <f t="shared" si="4"/>
        <v>0</v>
      </c>
      <c r="K24" s="215">
        <f t="shared" si="5"/>
        <v>0</v>
      </c>
      <c r="L24" s="216">
        <f t="shared" si="6"/>
        <v>0</v>
      </c>
    </row>
    <row r="25">
      <c r="A25" s="207" t="s">
        <v>88</v>
      </c>
      <c r="B25" s="208">
        <f>vlookup(A25,Price!A:B,2,false)</f>
        <v>3.991734421</v>
      </c>
      <c r="C25" s="209"/>
      <c r="D25" s="210">
        <v>0.0</v>
      </c>
      <c r="E25" s="211">
        <f t="shared" si="1"/>
        <v>0</v>
      </c>
      <c r="F25" s="212">
        <f>iferror(vlookup(A25,'Transfer Pricing Playground'!A:P,16,false))</f>
        <v>0</v>
      </c>
      <c r="G25" s="213">
        <f t="shared" si="2"/>
        <v>0</v>
      </c>
      <c r="H25" s="212"/>
      <c r="I25" s="210">
        <f t="shared" si="3"/>
        <v>0</v>
      </c>
      <c r="J25" s="214">
        <f t="shared" si="4"/>
        <v>0</v>
      </c>
      <c r="K25" s="215">
        <f t="shared" si="5"/>
        <v>0</v>
      </c>
      <c r="L25" s="216">
        <f t="shared" si="6"/>
        <v>0</v>
      </c>
    </row>
    <row r="26">
      <c r="A26" s="207" t="s">
        <v>106</v>
      </c>
      <c r="B26" s="208">
        <f>vlookup(A26,Price!A:B,2,false)</f>
        <v>0.9224738405</v>
      </c>
      <c r="C26" s="209"/>
      <c r="D26" s="210">
        <v>0.0</v>
      </c>
      <c r="E26" s="211">
        <f t="shared" si="1"/>
        <v>0</v>
      </c>
      <c r="F26" s="212">
        <f>iferror(vlookup(A26,'Transfer Pricing Playground'!A:P,16,false))</f>
        <v>0</v>
      </c>
      <c r="G26" s="213">
        <f t="shared" si="2"/>
        <v>0</v>
      </c>
      <c r="H26" s="212"/>
      <c r="I26" s="210">
        <f t="shared" si="3"/>
        <v>0</v>
      </c>
      <c r="J26" s="214">
        <f t="shared" si="4"/>
        <v>0</v>
      </c>
      <c r="K26" s="215">
        <f t="shared" si="5"/>
        <v>0</v>
      </c>
      <c r="L26" s="216">
        <f t="shared" si="6"/>
        <v>0</v>
      </c>
    </row>
    <row r="27">
      <c r="A27" s="207" t="s">
        <v>105</v>
      </c>
      <c r="B27" s="208">
        <f>vlookup(A27,Price!A:B,2,false)</f>
        <v>3.47</v>
      </c>
      <c r="C27" s="209"/>
      <c r="D27" s="210">
        <v>0.0</v>
      </c>
      <c r="E27" s="211">
        <f t="shared" si="1"/>
        <v>0</v>
      </c>
      <c r="F27" s="212">
        <f>iferror(vlookup(A27,'Transfer Pricing Playground'!A:P,16,false))</f>
        <v>0</v>
      </c>
      <c r="G27" s="213">
        <f t="shared" si="2"/>
        <v>0</v>
      </c>
      <c r="H27" s="212"/>
      <c r="I27" s="210">
        <f t="shared" si="3"/>
        <v>0</v>
      </c>
      <c r="J27" s="214">
        <f t="shared" si="4"/>
        <v>0</v>
      </c>
      <c r="K27" s="215">
        <f t="shared" si="5"/>
        <v>0</v>
      </c>
      <c r="L27" s="216">
        <f t="shared" si="6"/>
        <v>0</v>
      </c>
    </row>
    <row r="28">
      <c r="A28" s="207" t="s">
        <v>108</v>
      </c>
      <c r="B28" s="208">
        <f>vlookup(A28,Price!A:B,2,false)</f>
        <v>1.12</v>
      </c>
      <c r="C28" s="209"/>
      <c r="D28" s="210">
        <v>0.0</v>
      </c>
      <c r="E28" s="211">
        <f t="shared" si="1"/>
        <v>0</v>
      </c>
      <c r="F28" s="212">
        <f>iferror(vlookup(A28,'Transfer Pricing Playground'!A:P,16,false))</f>
        <v>0</v>
      </c>
      <c r="G28" s="213">
        <f t="shared" si="2"/>
        <v>0</v>
      </c>
      <c r="H28" s="212"/>
      <c r="I28" s="210">
        <f t="shared" si="3"/>
        <v>0</v>
      </c>
      <c r="J28" s="214">
        <f t="shared" si="4"/>
        <v>0</v>
      </c>
      <c r="K28" s="215">
        <f t="shared" si="5"/>
        <v>0</v>
      </c>
      <c r="L28" s="216">
        <f t="shared" si="6"/>
        <v>0</v>
      </c>
    </row>
    <row r="29">
      <c r="A29" s="207" t="s">
        <v>107</v>
      </c>
      <c r="B29" s="208">
        <f>vlookup(A29,Price!A:B,2,false)</f>
        <v>88.74747431</v>
      </c>
      <c r="C29" s="209"/>
      <c r="D29" s="210">
        <v>0.0</v>
      </c>
      <c r="E29" s="211">
        <f t="shared" si="1"/>
        <v>0</v>
      </c>
      <c r="F29" s="212">
        <f>iferror(vlookup(A29,'Transfer Pricing Playground'!A:P,16,false))</f>
        <v>0</v>
      </c>
      <c r="G29" s="213">
        <f t="shared" si="2"/>
        <v>0</v>
      </c>
      <c r="H29" s="212"/>
      <c r="I29" s="210">
        <f t="shared" si="3"/>
        <v>0</v>
      </c>
      <c r="J29" s="214">
        <f t="shared" si="4"/>
        <v>0</v>
      </c>
      <c r="K29" s="215">
        <f t="shared" si="5"/>
        <v>0</v>
      </c>
      <c r="L29" s="216">
        <f t="shared" si="6"/>
        <v>0</v>
      </c>
    </row>
    <row r="30">
      <c r="A30" s="207" t="s">
        <v>96</v>
      </c>
      <c r="B30" s="208">
        <f>vlookup(A30,Price!A:B,2,false)</f>
        <v>35357.36619</v>
      </c>
      <c r="C30" s="209"/>
      <c r="D30" s="210">
        <v>0.0</v>
      </c>
      <c r="E30" s="211">
        <f t="shared" si="1"/>
        <v>0</v>
      </c>
      <c r="F30" s="212">
        <f>iferror(vlookup(A30,'Transfer Pricing Playground'!A:P,16,false))</f>
        <v>0</v>
      </c>
      <c r="G30" s="213">
        <f t="shared" si="2"/>
        <v>0</v>
      </c>
      <c r="H30" s="212"/>
      <c r="I30" s="210">
        <f t="shared" si="3"/>
        <v>0</v>
      </c>
      <c r="J30" s="214">
        <f t="shared" si="4"/>
        <v>0</v>
      </c>
      <c r="K30" s="215">
        <f t="shared" si="5"/>
        <v>0</v>
      </c>
      <c r="L30" s="216">
        <f t="shared" si="6"/>
        <v>0</v>
      </c>
    </row>
    <row r="31">
      <c r="A31" s="207" t="s">
        <v>109</v>
      </c>
      <c r="B31" s="208">
        <f>vlookup(A31,Price!A:B,2,false)</f>
        <v>2294.480115</v>
      </c>
      <c r="C31" s="209"/>
      <c r="D31" s="210">
        <v>0.0</v>
      </c>
      <c r="E31" s="211">
        <f t="shared" si="1"/>
        <v>0</v>
      </c>
      <c r="F31" s="212">
        <f>iferror(vlookup(A31,'Transfer Pricing Playground'!A:P,16,false))</f>
        <v>0</v>
      </c>
      <c r="G31" s="213">
        <f t="shared" si="2"/>
        <v>0</v>
      </c>
      <c r="H31" s="212"/>
      <c r="I31" s="210">
        <f t="shared" si="3"/>
        <v>0</v>
      </c>
      <c r="J31" s="214">
        <f t="shared" si="4"/>
        <v>0</v>
      </c>
      <c r="K31" s="215">
        <f t="shared" si="5"/>
        <v>0</v>
      </c>
      <c r="L31" s="216">
        <f t="shared" si="6"/>
        <v>0</v>
      </c>
    </row>
    <row r="32">
      <c r="A32" s="207" t="s">
        <v>113</v>
      </c>
      <c r="B32" s="208">
        <f>vlookup(A32,Price!A:B,2,false)</f>
        <v>15.06</v>
      </c>
      <c r="C32" s="209"/>
      <c r="D32" s="210">
        <v>0.0</v>
      </c>
      <c r="E32" s="211">
        <f t="shared" si="1"/>
        <v>0</v>
      </c>
      <c r="F32" s="212">
        <f>iferror(vlookup(A32,'Transfer Pricing Playground'!A:P,16,false))</f>
        <v>0</v>
      </c>
      <c r="G32" s="213">
        <f t="shared" si="2"/>
        <v>0</v>
      </c>
      <c r="H32" s="212"/>
      <c r="I32" s="210">
        <f t="shared" si="3"/>
        <v>0</v>
      </c>
      <c r="J32" s="214">
        <f t="shared" si="4"/>
        <v>0</v>
      </c>
      <c r="K32" s="215">
        <f t="shared" si="5"/>
        <v>0</v>
      </c>
      <c r="L32" s="216">
        <f t="shared" si="6"/>
        <v>0</v>
      </c>
    </row>
    <row r="33">
      <c r="A33" s="207" t="s">
        <v>112</v>
      </c>
      <c r="B33" s="208">
        <f>vlookup(A33,Price!A:B,2,false)</f>
        <v>0.9086764428</v>
      </c>
      <c r="C33" s="209"/>
      <c r="D33" s="210">
        <v>0.0</v>
      </c>
      <c r="E33" s="211">
        <f t="shared" si="1"/>
        <v>0</v>
      </c>
      <c r="F33" s="212">
        <f>iferror(vlookup(A33,'Transfer Pricing Playground'!A:P,16,false))</f>
        <v>0</v>
      </c>
      <c r="G33" s="213">
        <f t="shared" si="2"/>
        <v>0</v>
      </c>
      <c r="H33" s="212"/>
      <c r="I33" s="210">
        <f t="shared" si="3"/>
        <v>0</v>
      </c>
      <c r="J33" s="214">
        <f t="shared" si="4"/>
        <v>0</v>
      </c>
      <c r="K33" s="215">
        <f t="shared" si="5"/>
        <v>0</v>
      </c>
      <c r="L33" s="216">
        <f t="shared" si="6"/>
        <v>0</v>
      </c>
    </row>
    <row r="34">
      <c r="A34" s="207" t="s">
        <v>111</v>
      </c>
      <c r="B34" s="208">
        <f>vlookup(A34,Price!A:B,2,false)</f>
        <v>0.0968507155</v>
      </c>
      <c r="C34" s="209"/>
      <c r="D34" s="210">
        <v>0.0</v>
      </c>
      <c r="E34" s="211">
        <f t="shared" si="1"/>
        <v>0</v>
      </c>
      <c r="F34" s="212">
        <f>iferror(vlookup(A34,'Transfer Pricing Playground'!A:P,16,false))</f>
        <v>0</v>
      </c>
      <c r="G34" s="213">
        <f t="shared" si="2"/>
        <v>0</v>
      </c>
      <c r="H34" s="212"/>
      <c r="I34" s="210">
        <f t="shared" si="3"/>
        <v>0</v>
      </c>
      <c r="J34" s="214">
        <f t="shared" si="4"/>
        <v>0</v>
      </c>
      <c r="K34" s="215">
        <f t="shared" si="5"/>
        <v>0</v>
      </c>
      <c r="L34" s="216">
        <f t="shared" si="6"/>
        <v>0</v>
      </c>
    </row>
    <row r="35">
      <c r="A35" s="207" t="s">
        <v>196</v>
      </c>
      <c r="B35" s="208">
        <f>vlookup(A35,Price!A:B,2,false)</f>
        <v>1.02</v>
      </c>
      <c r="C35" s="209"/>
      <c r="D35" s="210">
        <v>0.0</v>
      </c>
      <c r="E35" s="211">
        <f t="shared" si="1"/>
        <v>0</v>
      </c>
      <c r="F35" s="212" t="str">
        <f>iferror(vlookup(A35,'Transfer Pricing Playground'!A:P,16,false))</f>
        <v/>
      </c>
      <c r="G35" s="213">
        <f t="shared" si="2"/>
        <v>0</v>
      </c>
      <c r="H35" s="212"/>
      <c r="I35" s="210">
        <f t="shared" si="3"/>
        <v>0</v>
      </c>
      <c r="J35" s="214">
        <f t="shared" si="4"/>
        <v>0</v>
      </c>
      <c r="K35" s="215">
        <f t="shared" si="5"/>
        <v>0</v>
      </c>
      <c r="L35" s="216">
        <f t="shared" si="6"/>
        <v>0</v>
      </c>
    </row>
    <row r="36">
      <c r="A36" s="207" t="s">
        <v>57</v>
      </c>
      <c r="B36" s="208">
        <f>vlookup(A36,Price!A:B,2,false)</f>
        <v>2.097607594</v>
      </c>
      <c r="C36" s="209"/>
      <c r="D36" s="210">
        <v>0.0</v>
      </c>
      <c r="E36" s="211">
        <f t="shared" si="1"/>
        <v>0</v>
      </c>
      <c r="F36" s="212">
        <f>iferror(vlookup(A36,'Transfer Pricing Playground'!A:P,16,false))</f>
        <v>0.08060448646</v>
      </c>
      <c r="G36" s="213">
        <f t="shared" si="2"/>
        <v>0</v>
      </c>
      <c r="H36" s="212"/>
      <c r="I36" s="210">
        <f t="shared" si="3"/>
        <v>0</v>
      </c>
      <c r="J36" s="214">
        <f t="shared" si="4"/>
        <v>0</v>
      </c>
      <c r="K36" s="215">
        <f t="shared" si="5"/>
        <v>0</v>
      </c>
      <c r="L36" s="216">
        <f t="shared" si="6"/>
        <v>0</v>
      </c>
    </row>
    <row r="37">
      <c r="A37" s="207" t="s">
        <v>114</v>
      </c>
      <c r="B37" s="208">
        <f>vlookup(A37,Price!A:B,2,false)</f>
        <v>0.4084922851</v>
      </c>
      <c r="C37" s="209"/>
      <c r="D37" s="210">
        <v>0.0</v>
      </c>
      <c r="E37" s="211">
        <f t="shared" si="1"/>
        <v>0</v>
      </c>
      <c r="F37" s="212">
        <f>iferror(vlookup(A37,'Transfer Pricing Playground'!A:P,16,false))</f>
        <v>0</v>
      </c>
      <c r="G37" s="213">
        <f t="shared" si="2"/>
        <v>0</v>
      </c>
      <c r="H37" s="212"/>
      <c r="I37" s="210">
        <f t="shared" si="3"/>
        <v>0</v>
      </c>
      <c r="J37" s="214">
        <f t="shared" si="4"/>
        <v>0</v>
      </c>
      <c r="K37" s="215">
        <f t="shared" si="5"/>
        <v>0</v>
      </c>
      <c r="L37" s="216">
        <f t="shared" si="6"/>
        <v>0</v>
      </c>
    </row>
    <row r="38">
      <c r="A38" s="207" t="s">
        <v>117</v>
      </c>
      <c r="B38" s="208">
        <f>vlookup(A38,Price!A:B,2,false)</f>
        <v>5.37</v>
      </c>
      <c r="C38" s="209"/>
      <c r="D38" s="210">
        <v>0.0</v>
      </c>
      <c r="E38" s="211">
        <f t="shared" si="1"/>
        <v>0</v>
      </c>
      <c r="F38" s="212">
        <f>iferror(vlookup(A38,'Transfer Pricing Playground'!A:P,16,false))</f>
        <v>0</v>
      </c>
      <c r="G38" s="213">
        <f t="shared" si="2"/>
        <v>0</v>
      </c>
      <c r="H38" s="212"/>
      <c r="I38" s="210">
        <f t="shared" si="3"/>
        <v>0</v>
      </c>
      <c r="J38" s="214">
        <f t="shared" si="4"/>
        <v>0</v>
      </c>
      <c r="K38" s="215">
        <f t="shared" si="5"/>
        <v>0</v>
      </c>
      <c r="L38" s="216">
        <f t="shared" si="6"/>
        <v>0</v>
      </c>
    </row>
    <row r="39">
      <c r="A39" s="207" t="s">
        <v>103</v>
      </c>
      <c r="B39" s="208">
        <f>vlookup(A39,Price!A:B,2,false)</f>
        <v>17.65911299</v>
      </c>
      <c r="C39" s="209"/>
      <c r="D39" s="210">
        <v>0.0</v>
      </c>
      <c r="E39" s="211">
        <f t="shared" si="1"/>
        <v>0</v>
      </c>
      <c r="F39" s="212">
        <f>iferror(vlookup(A39,'Transfer Pricing Playground'!A:P,16,false))</f>
        <v>0</v>
      </c>
      <c r="G39" s="213">
        <f t="shared" si="2"/>
        <v>0</v>
      </c>
      <c r="H39" s="212"/>
      <c r="I39" s="210">
        <f t="shared" si="3"/>
        <v>0</v>
      </c>
      <c r="J39" s="214">
        <f t="shared" si="4"/>
        <v>0</v>
      </c>
      <c r="K39" s="215">
        <f t="shared" si="5"/>
        <v>0</v>
      </c>
      <c r="L39" s="216">
        <f t="shared" si="6"/>
        <v>0</v>
      </c>
    </row>
    <row r="40">
      <c r="A40" s="207" t="s">
        <v>77</v>
      </c>
      <c r="B40" s="208">
        <f>vlookup(A40,Price!A:B,2,false)</f>
        <v>2.358615111</v>
      </c>
      <c r="C40" s="209"/>
      <c r="D40" s="210">
        <v>0.0</v>
      </c>
      <c r="E40" s="211">
        <f t="shared" si="1"/>
        <v>0</v>
      </c>
      <c r="F40" s="212">
        <f>iferror(vlookup(A40,'Transfer Pricing Playground'!A:P,16,false))</f>
        <v>0</v>
      </c>
      <c r="G40" s="213">
        <f t="shared" si="2"/>
        <v>0</v>
      </c>
      <c r="H40" s="212"/>
      <c r="I40" s="210">
        <f t="shared" si="3"/>
        <v>0</v>
      </c>
      <c r="J40" s="214">
        <f t="shared" si="4"/>
        <v>0</v>
      </c>
      <c r="K40" s="215">
        <f t="shared" si="5"/>
        <v>0</v>
      </c>
      <c r="L40" s="216">
        <f t="shared" si="6"/>
        <v>0</v>
      </c>
    </row>
    <row r="41">
      <c r="A41" s="207" t="s">
        <v>243</v>
      </c>
      <c r="B41" s="208">
        <f>vlookup(A41,Price!A:B,2,false)</f>
        <v>1.362562138</v>
      </c>
      <c r="C41" s="209"/>
      <c r="D41" s="210">
        <v>0.0</v>
      </c>
      <c r="E41" s="211">
        <f t="shared" si="1"/>
        <v>0</v>
      </c>
      <c r="F41" s="212" t="str">
        <f>iferror(vlookup(A41,'Transfer Pricing Playground'!A:P,16,false))</f>
        <v/>
      </c>
      <c r="G41" s="213">
        <f t="shared" si="2"/>
        <v>0</v>
      </c>
      <c r="H41" s="212"/>
      <c r="I41" s="210">
        <f t="shared" si="3"/>
        <v>0</v>
      </c>
      <c r="J41" s="214">
        <f t="shared" si="4"/>
        <v>0</v>
      </c>
      <c r="K41" s="215">
        <f t="shared" si="5"/>
        <v>0</v>
      </c>
      <c r="L41" s="216">
        <f t="shared" si="6"/>
        <v>0</v>
      </c>
    </row>
    <row r="42">
      <c r="A42" s="198"/>
      <c r="B42" s="208" t="str">
        <f>vlookup(A42,Price!A:B,2,false)</f>
        <v>#N/A</v>
      </c>
      <c r="C42" s="198"/>
      <c r="D42" s="198"/>
      <c r="E42" s="198"/>
      <c r="F42" s="198"/>
      <c r="G42" s="198"/>
      <c r="H42" s="198"/>
      <c r="I42" s="198"/>
      <c r="J42" s="198"/>
      <c r="K42" s="215">
        <f t="shared" ref="K42:L42" si="7">sum(K2:K41)</f>
        <v>0</v>
      </c>
      <c r="L42" s="216">
        <f t="shared" si="7"/>
        <v>0</v>
      </c>
    </row>
    <row r="43">
      <c r="A43" s="198"/>
      <c r="B43" s="208" t="str">
        <f>vlookup(A43,Price!A:B,2,false)</f>
        <v>#N/A</v>
      </c>
      <c r="C43" s="198"/>
      <c r="D43" s="198"/>
      <c r="E43" s="198"/>
      <c r="F43" s="198"/>
      <c r="G43" s="198"/>
      <c r="H43" s="198"/>
      <c r="I43" s="198"/>
      <c r="J43" s="198"/>
      <c r="K43" s="198"/>
      <c r="L43" s="198"/>
    </row>
    <row r="44">
      <c r="A44" s="198"/>
      <c r="B44" s="208" t="str">
        <f>vlookup(A44,Price!A:B,2,false)</f>
        <v>#N/A</v>
      </c>
      <c r="C44" s="198"/>
      <c r="D44" s="198"/>
      <c r="E44" s="198"/>
      <c r="F44" s="198"/>
      <c r="G44" s="198"/>
      <c r="H44" s="198"/>
      <c r="I44" s="198"/>
      <c r="J44" s="198"/>
      <c r="K44" s="198"/>
      <c r="L44" s="198"/>
    </row>
    <row r="45">
      <c r="A45" s="198"/>
      <c r="B45" s="208" t="str">
        <f>vlookup(A45,Price!A:B,2,false)</f>
        <v>#N/A</v>
      </c>
      <c r="C45" s="198"/>
      <c r="D45" s="198"/>
      <c r="E45" s="198"/>
      <c r="F45" s="198"/>
      <c r="G45" s="198"/>
      <c r="H45" s="198"/>
      <c r="I45" s="198"/>
      <c r="J45" s="198"/>
      <c r="K45" s="198"/>
      <c r="L45" s="198"/>
    </row>
    <row r="46">
      <c r="A46" s="198"/>
      <c r="B46" s="208" t="str">
        <f>vlookup(A46,Price!A:B,2,false)</f>
        <v>#N/A</v>
      </c>
      <c r="C46" s="198"/>
      <c r="D46" s="198"/>
      <c r="E46" s="198"/>
      <c r="F46" s="198"/>
      <c r="G46" s="198"/>
      <c r="H46" s="198"/>
      <c r="I46" s="198"/>
      <c r="J46" s="198"/>
      <c r="K46" s="198"/>
      <c r="L46" s="198"/>
    </row>
    <row r="47">
      <c r="A47" s="198"/>
      <c r="B47" s="208" t="str">
        <f>vlookup(A47,Price!A:B,2,false)</f>
        <v>#N/A</v>
      </c>
      <c r="C47" s="198"/>
      <c r="D47" s="198"/>
      <c r="E47" s="198"/>
      <c r="F47" s="198"/>
      <c r="G47" s="198"/>
      <c r="H47" s="198"/>
      <c r="I47" s="198"/>
      <c r="J47" s="198"/>
      <c r="K47" s="198"/>
      <c r="L47" s="198"/>
    </row>
    <row r="48">
      <c r="A48" s="198"/>
      <c r="B48" s="208" t="str">
        <f>vlookup(A48,Price!A:B,2,false)</f>
        <v>#N/A</v>
      </c>
      <c r="C48" s="198"/>
      <c r="D48" s="198"/>
      <c r="E48" s="198"/>
      <c r="F48" s="198"/>
      <c r="G48" s="198"/>
      <c r="H48" s="198"/>
      <c r="I48" s="198"/>
      <c r="J48" s="198"/>
      <c r="K48" s="198"/>
      <c r="L48" s="198"/>
    </row>
    <row r="49">
      <c r="A49" s="198"/>
      <c r="B49" s="208" t="str">
        <f>vlookup(A49,Price!A:B,2,false)</f>
        <v>#N/A</v>
      </c>
      <c r="C49" s="198"/>
      <c r="D49" s="198"/>
      <c r="E49" s="198"/>
      <c r="F49" s="198"/>
      <c r="G49" s="198"/>
      <c r="H49" s="198"/>
      <c r="I49" s="198"/>
      <c r="J49" s="198"/>
      <c r="K49" s="198"/>
      <c r="L49" s="198"/>
    </row>
    <row r="50">
      <c r="A50" s="198"/>
      <c r="B50" s="208" t="str">
        <f>vlookup(A50,Price!A:B,2,false)</f>
        <v>#N/A</v>
      </c>
      <c r="C50" s="198"/>
      <c r="D50" s="198"/>
      <c r="E50" s="198"/>
      <c r="F50" s="198"/>
      <c r="G50" s="198"/>
      <c r="H50" s="198"/>
      <c r="I50" s="198"/>
      <c r="J50" s="198"/>
      <c r="K50" s="198"/>
      <c r="L50" s="198"/>
    </row>
    <row r="51">
      <c r="A51" s="198"/>
      <c r="B51" s="208" t="str">
        <f>vlookup(A51,Price!A:B,2,false)</f>
        <v>#N/A</v>
      </c>
      <c r="C51" s="198"/>
      <c r="D51" s="198"/>
      <c r="E51" s="198"/>
      <c r="F51" s="198"/>
      <c r="G51" s="198"/>
      <c r="H51" s="198"/>
      <c r="I51" s="198"/>
      <c r="J51" s="198"/>
      <c r="K51" s="198"/>
      <c r="L51" s="198"/>
    </row>
    <row r="52">
      <c r="A52" s="198"/>
      <c r="B52" s="208" t="str">
        <f>vlookup(A52,Price!A:B,2,false)</f>
        <v>#N/A</v>
      </c>
      <c r="C52" s="198"/>
      <c r="D52" s="198"/>
      <c r="E52" s="198"/>
      <c r="F52" s="198"/>
      <c r="G52" s="198"/>
      <c r="H52" s="198"/>
      <c r="I52" s="198"/>
      <c r="J52" s="198"/>
      <c r="K52" s="198"/>
      <c r="L52" s="198"/>
    </row>
    <row r="53">
      <c r="A53" s="198"/>
      <c r="B53" s="208" t="str">
        <f>vlookup(A53,Price!A:B,2,false)</f>
        <v>#N/A</v>
      </c>
      <c r="C53" s="198"/>
      <c r="D53" s="198"/>
      <c r="E53" s="198"/>
      <c r="F53" s="198"/>
      <c r="G53" s="198"/>
      <c r="H53" s="198"/>
      <c r="I53" s="198"/>
      <c r="J53" s="198"/>
      <c r="K53" s="198"/>
      <c r="L53" s="198"/>
    </row>
    <row r="54">
      <c r="A54" s="198"/>
      <c r="B54" s="208" t="str">
        <f>vlookup(A54,Price!A:B,2,false)</f>
        <v>#N/A</v>
      </c>
      <c r="C54" s="198"/>
      <c r="D54" s="198"/>
      <c r="E54" s="198"/>
      <c r="F54" s="198"/>
      <c r="G54" s="198"/>
      <c r="H54" s="198"/>
      <c r="I54" s="198"/>
      <c r="J54" s="198"/>
      <c r="K54" s="198"/>
      <c r="L54" s="198"/>
    </row>
    <row r="55">
      <c r="A55" s="198"/>
      <c r="B55" s="208" t="str">
        <f>vlookup(A55,Price!A:B,2,false)</f>
        <v>#N/A</v>
      </c>
      <c r="C55" s="198"/>
      <c r="D55" s="198"/>
      <c r="E55" s="198"/>
      <c r="F55" s="198"/>
      <c r="G55" s="198"/>
      <c r="H55" s="198"/>
      <c r="I55" s="198"/>
      <c r="J55" s="198"/>
      <c r="K55" s="198"/>
      <c r="L55" s="198"/>
    </row>
    <row r="56">
      <c r="A56" s="198"/>
      <c r="B56" s="208" t="str">
        <f>vlookup(A56,Price!A:B,2,false)</f>
        <v>#N/A</v>
      </c>
      <c r="C56" s="198"/>
      <c r="D56" s="198"/>
      <c r="E56" s="198"/>
      <c r="F56" s="198"/>
      <c r="G56" s="198"/>
      <c r="H56" s="198"/>
      <c r="I56" s="198"/>
      <c r="J56" s="198"/>
      <c r="K56" s="198"/>
      <c r="L56" s="198"/>
    </row>
    <row r="57">
      <c r="A57" s="198"/>
      <c r="B57" s="208" t="str">
        <f>vlookup(A57,Price!A:B,2,false)</f>
        <v>#N/A</v>
      </c>
      <c r="C57" s="198"/>
      <c r="D57" s="198"/>
      <c r="E57" s="198"/>
      <c r="F57" s="198"/>
      <c r="G57" s="198"/>
      <c r="H57" s="198"/>
      <c r="I57" s="198"/>
      <c r="J57" s="198"/>
      <c r="K57" s="198"/>
      <c r="L57" s="198"/>
    </row>
    <row r="58">
      <c r="A58" s="198"/>
      <c r="B58" s="208" t="str">
        <f>vlookup(A58,Price!A:B,2,false)</f>
        <v>#N/A</v>
      </c>
      <c r="C58" s="198"/>
      <c r="D58" s="198"/>
      <c r="E58" s="198"/>
      <c r="F58" s="198"/>
      <c r="G58" s="198"/>
      <c r="H58" s="198"/>
      <c r="I58" s="198"/>
      <c r="J58" s="198"/>
      <c r="K58" s="198"/>
      <c r="L58" s="198"/>
    </row>
    <row r="59">
      <c r="A59" s="198"/>
      <c r="B59" s="208" t="str">
        <f>vlookup(A59,Price!A:B,2,false)</f>
        <v>#N/A</v>
      </c>
      <c r="C59" s="198"/>
      <c r="D59" s="198"/>
      <c r="E59" s="198"/>
      <c r="F59" s="198"/>
      <c r="G59" s="198"/>
      <c r="H59" s="198"/>
      <c r="I59" s="198"/>
      <c r="J59" s="198"/>
      <c r="K59" s="198"/>
      <c r="L59" s="198"/>
    </row>
    <row r="60">
      <c r="A60" s="198"/>
      <c r="B60" s="208" t="str">
        <f>vlookup(A60,Price!A:B,2,false)</f>
        <v>#N/A</v>
      </c>
      <c r="C60" s="198"/>
      <c r="D60" s="198"/>
      <c r="E60" s="198"/>
      <c r="F60" s="198"/>
      <c r="G60" s="198"/>
      <c r="H60" s="198"/>
      <c r="I60" s="198"/>
      <c r="J60" s="198"/>
      <c r="K60" s="198"/>
      <c r="L60" s="198"/>
    </row>
    <row r="61">
      <c r="A61" s="198"/>
      <c r="B61" s="208" t="str">
        <f>vlookup(A61,Price!A:B,2,false)</f>
        <v>#N/A</v>
      </c>
      <c r="C61" s="198"/>
      <c r="D61" s="198"/>
      <c r="E61" s="198"/>
      <c r="F61" s="198"/>
      <c r="G61" s="198"/>
      <c r="H61" s="198"/>
      <c r="I61" s="198"/>
      <c r="J61" s="198"/>
      <c r="K61" s="198"/>
      <c r="L61" s="198"/>
    </row>
    <row r="62">
      <c r="A62" s="198"/>
      <c r="B62" s="208" t="str">
        <f>vlookup(A62,Price!A:B,2,false)</f>
        <v>#N/A</v>
      </c>
      <c r="C62" s="198"/>
      <c r="D62" s="198"/>
      <c r="E62" s="198"/>
      <c r="F62" s="198"/>
      <c r="G62" s="198"/>
      <c r="H62" s="198"/>
      <c r="I62" s="198"/>
      <c r="J62" s="198"/>
      <c r="K62" s="198"/>
      <c r="L62" s="198"/>
    </row>
    <row r="63">
      <c r="A63" s="198"/>
      <c r="B63" s="208" t="str">
        <f>vlookup(A63,Price!A:B,2,false)</f>
        <v>#N/A</v>
      </c>
      <c r="C63" s="198"/>
      <c r="D63" s="198"/>
      <c r="E63" s="198"/>
      <c r="F63" s="198"/>
      <c r="G63" s="198"/>
      <c r="H63" s="198"/>
      <c r="I63" s="198"/>
      <c r="J63" s="198"/>
      <c r="K63" s="198"/>
      <c r="L63" s="198"/>
    </row>
    <row r="64">
      <c r="A64" s="198"/>
      <c r="B64" s="208" t="str">
        <f>vlookup(A64,Price!A:B,2,false)</f>
        <v>#N/A</v>
      </c>
      <c r="C64" s="198"/>
      <c r="D64" s="198"/>
      <c r="E64" s="198"/>
      <c r="F64" s="198"/>
      <c r="G64" s="198"/>
      <c r="H64" s="198"/>
      <c r="I64" s="198"/>
      <c r="J64" s="198"/>
      <c r="K64" s="198"/>
      <c r="L64" s="198"/>
    </row>
    <row r="65">
      <c r="A65" s="198"/>
      <c r="B65" s="208" t="str">
        <f>vlookup(A65,Price!A:B,2,false)</f>
        <v>#N/A</v>
      </c>
      <c r="C65" s="198"/>
      <c r="D65" s="198"/>
      <c r="E65" s="198"/>
      <c r="F65" s="198"/>
      <c r="G65" s="198"/>
      <c r="H65" s="198"/>
      <c r="I65" s="198"/>
      <c r="J65" s="198"/>
      <c r="K65" s="198"/>
      <c r="L65" s="198"/>
    </row>
    <row r="66">
      <c r="A66" s="198"/>
      <c r="B66" s="208" t="str">
        <f>vlookup(A66,Price!A:B,2,false)</f>
        <v>#N/A</v>
      </c>
      <c r="C66" s="198"/>
      <c r="D66" s="198"/>
      <c r="E66" s="198"/>
      <c r="F66" s="198"/>
      <c r="G66" s="198"/>
      <c r="H66" s="198"/>
      <c r="I66" s="198"/>
      <c r="J66" s="198"/>
      <c r="K66" s="198"/>
      <c r="L66" s="198"/>
    </row>
    <row r="67">
      <c r="A67" s="198"/>
      <c r="B67" s="208" t="str">
        <f>vlookup(A67,Price!A:B,2,false)</f>
        <v>#N/A</v>
      </c>
      <c r="C67" s="198"/>
      <c r="D67" s="198"/>
      <c r="E67" s="198"/>
      <c r="F67" s="198"/>
      <c r="G67" s="198"/>
      <c r="H67" s="198"/>
      <c r="I67" s="198"/>
      <c r="J67" s="198"/>
      <c r="K67" s="198"/>
      <c r="L67" s="198"/>
    </row>
    <row r="68">
      <c r="A68" s="198"/>
      <c r="B68" s="208" t="str">
        <f>vlookup(A68,Price!A:B,2,false)</f>
        <v>#N/A</v>
      </c>
      <c r="C68" s="198"/>
      <c r="D68" s="198"/>
      <c r="E68" s="198"/>
      <c r="F68" s="198"/>
      <c r="G68" s="198"/>
      <c r="H68" s="198"/>
      <c r="I68" s="198"/>
      <c r="J68" s="198"/>
      <c r="K68" s="198"/>
      <c r="L68" s="198"/>
    </row>
    <row r="69">
      <c r="A69" s="198"/>
      <c r="B69" s="208" t="str">
        <f>vlookup(A69,Price!A:B,2,false)</f>
        <v>#N/A</v>
      </c>
      <c r="C69" s="198"/>
      <c r="D69" s="198"/>
      <c r="E69" s="198"/>
      <c r="F69" s="198"/>
      <c r="G69" s="198"/>
      <c r="H69" s="198"/>
      <c r="I69" s="198"/>
      <c r="J69" s="198"/>
      <c r="K69" s="198"/>
      <c r="L69" s="198"/>
    </row>
    <row r="70">
      <c r="A70" s="198"/>
      <c r="B70" s="208" t="str">
        <f>vlookup(A70,Price!A:B,2,false)</f>
        <v>#N/A</v>
      </c>
      <c r="C70" s="198"/>
      <c r="D70" s="198"/>
      <c r="E70" s="198"/>
      <c r="F70" s="198"/>
      <c r="G70" s="198"/>
      <c r="H70" s="198"/>
      <c r="I70" s="198"/>
      <c r="J70" s="198"/>
      <c r="K70" s="198"/>
      <c r="L70" s="198"/>
    </row>
    <row r="71">
      <c r="A71" s="198"/>
      <c r="B71" s="208" t="str">
        <f>vlookup(A71,Price!A:B,2,false)</f>
        <v>#N/A</v>
      </c>
      <c r="C71" s="198"/>
      <c r="D71" s="198"/>
      <c r="E71" s="198"/>
      <c r="F71" s="198"/>
      <c r="G71" s="198"/>
      <c r="H71" s="198"/>
      <c r="I71" s="198"/>
      <c r="J71" s="198"/>
      <c r="K71" s="198"/>
      <c r="L71" s="198"/>
    </row>
    <row r="72">
      <c r="A72" s="198"/>
      <c r="B72" s="208" t="str">
        <f>vlookup(A72,Price!A:B,2,false)</f>
        <v>#N/A</v>
      </c>
      <c r="C72" s="198"/>
      <c r="D72" s="198"/>
      <c r="E72" s="198"/>
      <c r="F72" s="198"/>
      <c r="G72" s="198"/>
      <c r="H72" s="198"/>
      <c r="I72" s="198"/>
      <c r="J72" s="198"/>
      <c r="K72" s="198"/>
      <c r="L72" s="198"/>
    </row>
    <row r="73">
      <c r="A73" s="198"/>
      <c r="B73" s="208" t="str">
        <f>vlookup(A73,Price!A:B,2,false)</f>
        <v>#N/A</v>
      </c>
      <c r="C73" s="198"/>
      <c r="D73" s="198"/>
      <c r="E73" s="198"/>
      <c r="F73" s="198"/>
      <c r="G73" s="198"/>
      <c r="H73" s="198"/>
      <c r="I73" s="198"/>
      <c r="J73" s="198"/>
      <c r="K73" s="198"/>
      <c r="L73" s="198"/>
    </row>
    <row r="74">
      <c r="A74" s="198"/>
      <c r="B74" s="208" t="str">
        <f>vlookup(A74,Price!A:B,2,false)</f>
        <v>#N/A</v>
      </c>
      <c r="C74" s="198"/>
      <c r="D74" s="198"/>
      <c r="E74" s="198"/>
      <c r="F74" s="198"/>
      <c r="G74" s="198"/>
      <c r="H74" s="198"/>
      <c r="I74" s="198"/>
      <c r="J74" s="198"/>
      <c r="K74" s="198"/>
      <c r="L74" s="198"/>
    </row>
    <row r="75">
      <c r="A75" s="198"/>
      <c r="B75" s="208" t="str">
        <f>vlookup(A75,Price!A:B,2,false)</f>
        <v>#N/A</v>
      </c>
      <c r="C75" s="198"/>
      <c r="D75" s="198"/>
      <c r="E75" s="198"/>
      <c r="F75" s="198"/>
      <c r="G75" s="198"/>
      <c r="H75" s="198"/>
      <c r="I75" s="198"/>
      <c r="J75" s="198"/>
      <c r="K75" s="198"/>
      <c r="L75" s="198"/>
    </row>
    <row r="76">
      <c r="A76" s="198"/>
      <c r="B76" s="208" t="str">
        <f>vlookup(A76,Price!A:B,2,false)</f>
        <v>#N/A</v>
      </c>
      <c r="C76" s="198"/>
      <c r="D76" s="198"/>
      <c r="E76" s="198"/>
      <c r="F76" s="198"/>
      <c r="G76" s="198"/>
      <c r="H76" s="198"/>
      <c r="I76" s="198"/>
      <c r="J76" s="198"/>
      <c r="K76" s="198"/>
      <c r="L76" s="198"/>
    </row>
    <row r="77">
      <c r="A77" s="198"/>
      <c r="B77" s="208" t="str">
        <f>vlookup(A77,Price!A:B,2,false)</f>
        <v>#N/A</v>
      </c>
      <c r="C77" s="198"/>
      <c r="D77" s="198"/>
      <c r="E77" s="198"/>
      <c r="F77" s="198"/>
      <c r="G77" s="198"/>
      <c r="H77" s="198"/>
      <c r="I77" s="198"/>
      <c r="J77" s="198"/>
      <c r="K77" s="198"/>
      <c r="L77" s="198"/>
    </row>
    <row r="78">
      <c r="A78" s="198"/>
      <c r="B78" s="208" t="str">
        <f>vlookup(A78,Price!A:B,2,false)</f>
        <v>#N/A</v>
      </c>
      <c r="C78" s="198"/>
      <c r="D78" s="198"/>
      <c r="E78" s="198"/>
      <c r="F78" s="198"/>
      <c r="G78" s="198"/>
      <c r="H78" s="198"/>
      <c r="I78" s="198"/>
      <c r="J78" s="198"/>
      <c r="K78" s="198"/>
      <c r="L78" s="198"/>
    </row>
    <row r="79">
      <c r="A79" s="198"/>
      <c r="B79" s="208" t="str">
        <f>vlookup(A79,Price!A:B,2,false)</f>
        <v>#N/A</v>
      </c>
      <c r="C79" s="198"/>
      <c r="D79" s="198"/>
      <c r="E79" s="198"/>
      <c r="F79" s="198"/>
      <c r="G79" s="198"/>
      <c r="H79" s="198"/>
      <c r="I79" s="198"/>
      <c r="J79" s="198"/>
      <c r="K79" s="198"/>
      <c r="L79" s="198"/>
    </row>
    <row r="80">
      <c r="A80" s="198"/>
      <c r="B80" s="208" t="str">
        <f>vlookup(A80,Price!A:B,2,false)</f>
        <v>#N/A</v>
      </c>
      <c r="C80" s="198"/>
      <c r="D80" s="198"/>
      <c r="E80" s="198"/>
      <c r="F80" s="198"/>
      <c r="G80" s="198"/>
      <c r="H80" s="198"/>
      <c r="I80" s="198"/>
      <c r="J80" s="198"/>
      <c r="K80" s="198"/>
      <c r="L80" s="198"/>
    </row>
    <row r="81">
      <c r="A81" s="198"/>
      <c r="B81" s="208" t="str">
        <f>vlookup(A81,Price!A:B,2,false)</f>
        <v>#N/A</v>
      </c>
      <c r="C81" s="198"/>
      <c r="D81" s="198"/>
      <c r="E81" s="198"/>
      <c r="F81" s="198"/>
      <c r="G81" s="198"/>
      <c r="H81" s="198"/>
      <c r="I81" s="198"/>
      <c r="J81" s="198"/>
      <c r="K81" s="198"/>
      <c r="L81" s="198"/>
    </row>
    <row r="82">
      <c r="A82" s="198"/>
      <c r="B82" s="208" t="str">
        <f>vlookup(A82,Price!A:B,2,false)</f>
        <v>#N/A</v>
      </c>
      <c r="C82" s="198"/>
      <c r="D82" s="198"/>
      <c r="E82" s="198"/>
      <c r="F82" s="198"/>
      <c r="G82" s="198"/>
      <c r="H82" s="198"/>
      <c r="I82" s="198"/>
      <c r="J82" s="198"/>
      <c r="K82" s="198"/>
      <c r="L82" s="198"/>
    </row>
    <row r="83">
      <c r="A83" s="198"/>
      <c r="B83" s="208" t="str">
        <f>vlookup(A83,Price!A:B,2,false)</f>
        <v>#N/A</v>
      </c>
      <c r="C83" s="198"/>
      <c r="D83" s="198"/>
      <c r="E83" s="198"/>
      <c r="F83" s="198"/>
      <c r="G83" s="198"/>
      <c r="H83" s="198"/>
      <c r="I83" s="198"/>
      <c r="J83" s="198"/>
      <c r="K83" s="198"/>
      <c r="L83" s="198"/>
    </row>
    <row r="84">
      <c r="A84" s="198"/>
      <c r="B84" s="208" t="str">
        <f>vlookup(A84,Price!A:B,2,false)</f>
        <v>#N/A</v>
      </c>
      <c r="C84" s="198"/>
      <c r="D84" s="198"/>
      <c r="E84" s="198"/>
      <c r="F84" s="198"/>
      <c r="G84" s="198"/>
      <c r="H84" s="198"/>
      <c r="I84" s="198"/>
      <c r="J84" s="198"/>
      <c r="K84" s="198"/>
      <c r="L84" s="198"/>
    </row>
    <row r="85">
      <c r="A85" s="198"/>
      <c r="B85" s="208" t="str">
        <f>vlookup(A85,Price!A:B,2,false)</f>
        <v>#N/A</v>
      </c>
      <c r="C85" s="198"/>
      <c r="D85" s="198"/>
      <c r="E85" s="198"/>
      <c r="F85" s="198"/>
      <c r="G85" s="198"/>
      <c r="H85" s="198"/>
      <c r="I85" s="198"/>
      <c r="J85" s="198"/>
      <c r="K85" s="198"/>
      <c r="L85" s="198"/>
    </row>
    <row r="86">
      <c r="A86" s="198"/>
      <c r="B86" s="208" t="str">
        <f>vlookup(A86,Price!A:B,2,false)</f>
        <v>#N/A</v>
      </c>
      <c r="C86" s="198"/>
      <c r="D86" s="198"/>
      <c r="E86" s="198"/>
      <c r="F86" s="198"/>
      <c r="G86" s="198"/>
      <c r="H86" s="198"/>
      <c r="I86" s="198"/>
      <c r="J86" s="198"/>
      <c r="K86" s="198"/>
      <c r="L86" s="198"/>
    </row>
    <row r="87">
      <c r="A87" s="198"/>
      <c r="B87" s="208" t="str">
        <f>vlookup(A87,Price!A:B,2,false)</f>
        <v>#N/A</v>
      </c>
      <c r="C87" s="198"/>
      <c r="D87" s="198"/>
      <c r="E87" s="198"/>
      <c r="F87" s="198"/>
      <c r="G87" s="198"/>
      <c r="H87" s="198"/>
      <c r="I87" s="198"/>
      <c r="J87" s="198"/>
      <c r="K87" s="198"/>
      <c r="L87" s="198"/>
    </row>
    <row r="88">
      <c r="A88" s="198"/>
      <c r="B88" s="208" t="str">
        <f>vlookup(A88,Price!A:B,2,false)</f>
        <v>#N/A</v>
      </c>
      <c r="C88" s="198"/>
      <c r="D88" s="198"/>
      <c r="E88" s="198"/>
      <c r="F88" s="198"/>
      <c r="G88" s="198"/>
      <c r="H88" s="198"/>
      <c r="I88" s="198"/>
      <c r="J88" s="198"/>
      <c r="K88" s="198"/>
      <c r="L88" s="198"/>
    </row>
    <row r="89">
      <c r="A89" s="198"/>
      <c r="B89" s="208" t="str">
        <f>vlookup(A89,Price!A:B,2,false)</f>
        <v>#N/A</v>
      </c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>
      <c r="A90" s="198"/>
      <c r="B90" s="208" t="str">
        <f>vlookup(A90,Price!A:B,2,false)</f>
        <v>#N/A</v>
      </c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1">
      <c r="A91" s="198"/>
      <c r="B91" s="208" t="str">
        <f>vlookup(A91,Price!A:B,2,false)</f>
        <v>#N/A</v>
      </c>
      <c r="C91" s="198"/>
      <c r="D91" s="198"/>
      <c r="E91" s="198"/>
      <c r="F91" s="198"/>
      <c r="G91" s="198"/>
      <c r="H91" s="198"/>
      <c r="I91" s="198"/>
      <c r="J91" s="198"/>
      <c r="K91" s="198"/>
      <c r="L91" s="198"/>
    </row>
    <row r="92">
      <c r="A92" s="198"/>
      <c r="B92" s="208" t="str">
        <f>vlookup(A92,Price!A:B,2,false)</f>
        <v>#N/A</v>
      </c>
      <c r="C92" s="198"/>
      <c r="D92" s="198"/>
      <c r="E92" s="198"/>
      <c r="F92" s="198"/>
      <c r="G92" s="198"/>
      <c r="H92" s="198"/>
      <c r="I92" s="198"/>
      <c r="J92" s="198"/>
      <c r="K92" s="198"/>
      <c r="L92" s="198"/>
    </row>
    <row r="93">
      <c r="A93" s="198"/>
      <c r="B93" s="208" t="str">
        <f>vlookup(A93,Price!A:B,2,false)</f>
        <v>#N/A</v>
      </c>
      <c r="C93" s="198"/>
      <c r="D93" s="198"/>
      <c r="E93" s="198"/>
      <c r="F93" s="198"/>
      <c r="G93" s="198"/>
      <c r="H93" s="198"/>
      <c r="I93" s="198"/>
      <c r="J93" s="198"/>
      <c r="K93" s="198"/>
      <c r="L93" s="198"/>
    </row>
    <row r="94">
      <c r="A94" s="198"/>
      <c r="B94" s="208" t="str">
        <f>vlookup(A94,Price!A:B,2,false)</f>
        <v>#N/A</v>
      </c>
      <c r="C94" s="198"/>
      <c r="D94" s="198"/>
      <c r="E94" s="198"/>
      <c r="F94" s="198"/>
      <c r="G94" s="198"/>
      <c r="H94" s="198"/>
      <c r="I94" s="198"/>
      <c r="J94" s="198"/>
      <c r="K94" s="198"/>
      <c r="L94" s="198"/>
    </row>
    <row r="95">
      <c r="A95" s="198"/>
      <c r="B95" s="208" t="str">
        <f>vlookup(A95,Price!A:B,2,false)</f>
        <v>#N/A</v>
      </c>
      <c r="C95" s="198"/>
      <c r="D95" s="198"/>
      <c r="E95" s="198"/>
      <c r="F95" s="198"/>
      <c r="G95" s="198"/>
      <c r="H95" s="198"/>
      <c r="I95" s="198"/>
      <c r="J95" s="198"/>
      <c r="K95" s="198"/>
      <c r="L95" s="198"/>
    </row>
    <row r="96">
      <c r="A96" s="198"/>
      <c r="B96" s="208" t="str">
        <f>vlookup(A96,Price!A:B,2,false)</f>
        <v>#N/A</v>
      </c>
      <c r="C96" s="198"/>
      <c r="D96" s="198"/>
      <c r="E96" s="198"/>
      <c r="F96" s="198"/>
      <c r="G96" s="198"/>
      <c r="H96" s="198"/>
      <c r="I96" s="198"/>
      <c r="J96" s="198"/>
      <c r="K96" s="198"/>
      <c r="L96" s="198"/>
    </row>
    <row r="97">
      <c r="A97" s="198"/>
      <c r="B97" s="208" t="str">
        <f>vlookup(A97,Price!A:B,2,false)</f>
        <v>#N/A</v>
      </c>
      <c r="C97" s="198"/>
      <c r="D97" s="198"/>
      <c r="E97" s="198"/>
      <c r="F97" s="198"/>
      <c r="G97" s="198"/>
      <c r="H97" s="198"/>
      <c r="I97" s="198"/>
      <c r="J97" s="198"/>
      <c r="K97" s="198"/>
      <c r="L97" s="198"/>
    </row>
    <row r="98">
      <c r="A98" s="198"/>
      <c r="B98" s="208" t="str">
        <f>vlookup(A98,Price!A:B,2,false)</f>
        <v>#N/A</v>
      </c>
      <c r="C98" s="198"/>
      <c r="D98" s="198"/>
      <c r="E98" s="198"/>
      <c r="F98" s="198"/>
      <c r="G98" s="198"/>
      <c r="H98" s="198"/>
      <c r="I98" s="198"/>
      <c r="J98" s="198"/>
      <c r="K98" s="198"/>
      <c r="L98" s="198"/>
    </row>
    <row r="99">
      <c r="A99" s="198"/>
      <c r="B99" s="208" t="str">
        <f>vlookup(A99,Price!A:B,2,false)</f>
        <v>#N/A</v>
      </c>
      <c r="C99" s="198"/>
      <c r="D99" s="198"/>
      <c r="E99" s="198"/>
      <c r="F99" s="198"/>
      <c r="G99" s="198"/>
      <c r="H99" s="198"/>
      <c r="I99" s="198"/>
      <c r="J99" s="198"/>
      <c r="K99" s="198"/>
      <c r="L99" s="198"/>
    </row>
    <row r="100">
      <c r="A100" s="198"/>
      <c r="B100" s="208" t="str">
        <f>vlookup(A100,Price!A:B,2,false)</f>
        <v>#N/A</v>
      </c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</row>
    <row r="101">
      <c r="A101" s="198"/>
      <c r="B101" s="208" t="str">
        <f>vlookup(A101,Price!A:B,2,false)</f>
        <v>#N/A</v>
      </c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</row>
    <row r="102">
      <c r="A102" s="198"/>
      <c r="B102" s="208" t="str">
        <f>vlookup(A102,Price!A:B,2,false)</f>
        <v>#N/A</v>
      </c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</row>
    <row r="103">
      <c r="A103" s="198"/>
      <c r="B103" s="208" t="str">
        <f>vlookup(A103,Price!A:B,2,false)</f>
        <v>#N/A</v>
      </c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</row>
    <row r="104">
      <c r="A104" s="198"/>
      <c r="B104" s="208" t="str">
        <f>vlookup(A104,Price!A:B,2,false)</f>
        <v>#N/A</v>
      </c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</row>
    <row r="105">
      <c r="A105" s="198"/>
      <c r="B105" s="208" t="str">
        <f>vlookup(A105,Price!A:B,2,false)</f>
        <v>#N/A</v>
      </c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</row>
    <row r="106">
      <c r="A106" s="198"/>
      <c r="B106" s="208" t="str">
        <f>vlookup(A106,Price!A:B,2,false)</f>
        <v>#N/A</v>
      </c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</row>
    <row r="107">
      <c r="A107" s="198"/>
      <c r="B107" s="208" t="str">
        <f>vlookup(A107,Price!A:B,2,false)</f>
        <v>#N/A</v>
      </c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</row>
    <row r="108">
      <c r="A108" s="198"/>
      <c r="B108" s="208" t="str">
        <f>vlookup(A108,Price!A:B,2,false)</f>
        <v>#N/A</v>
      </c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</row>
    <row r="109">
      <c r="A109" s="198"/>
      <c r="B109" s="208" t="str">
        <f>vlookup(A109,Price!A:B,2,false)</f>
        <v>#N/A</v>
      </c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</row>
    <row r="110">
      <c r="A110" s="198"/>
      <c r="B110" s="208" t="str">
        <f>vlookup(A110,Price!A:B,2,false)</f>
        <v>#N/A</v>
      </c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</row>
    <row r="111">
      <c r="A111" s="198"/>
      <c r="B111" s="208" t="str">
        <f>vlookup(A111,Price!A:B,2,false)</f>
        <v>#N/A</v>
      </c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</row>
    <row r="112">
      <c r="A112" s="198"/>
      <c r="B112" s="208" t="str">
        <f>vlookup(A112,Price!A:B,2,false)</f>
        <v>#N/A</v>
      </c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</row>
    <row r="113">
      <c r="A113" s="198"/>
      <c r="B113" s="208" t="str">
        <f>vlookup(A113,Price!A:B,2,false)</f>
        <v>#N/A</v>
      </c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</row>
    <row r="114">
      <c r="A114" s="198"/>
      <c r="B114" s="208" t="str">
        <f>vlookup(A114,Price!A:B,2,false)</f>
        <v>#N/A</v>
      </c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</row>
    <row r="115">
      <c r="A115" s="198"/>
      <c r="B115" s="208" t="str">
        <f>vlookup(A115,Price!A:B,2,false)</f>
        <v>#N/A</v>
      </c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</row>
    <row r="116">
      <c r="A116" s="198"/>
      <c r="B116" s="208" t="str">
        <f>vlookup(A116,Price!A:B,2,false)</f>
        <v>#N/A</v>
      </c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</row>
    <row r="117">
      <c r="A117" s="198"/>
      <c r="B117" s="208" t="str">
        <f>vlookup(A117,Price!A:B,2,false)</f>
        <v>#N/A</v>
      </c>
      <c r="C117" s="198"/>
      <c r="D117" s="198"/>
      <c r="E117" s="198"/>
      <c r="F117" s="198"/>
      <c r="G117" s="198"/>
      <c r="H117" s="198"/>
      <c r="I117" s="198"/>
      <c r="J117" s="198"/>
      <c r="K117" s="198"/>
      <c r="L117" s="198"/>
    </row>
    <row r="118">
      <c r="A118" s="198"/>
      <c r="B118" s="208" t="str">
        <f>vlookup(A118,Price!A:B,2,false)</f>
        <v>#N/A</v>
      </c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</row>
    <row r="119">
      <c r="A119" s="198"/>
      <c r="B119" s="208" t="str">
        <f>vlookup(A119,Price!A:B,2,false)</f>
        <v>#N/A</v>
      </c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</row>
    <row r="120">
      <c r="A120" s="198"/>
      <c r="B120" s="208" t="str">
        <f>vlookup(A120,Price!A:B,2,false)</f>
        <v>#N/A</v>
      </c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</row>
    <row r="121">
      <c r="A121" s="198"/>
      <c r="B121" s="208" t="str">
        <f>vlookup(A121,Price!A:B,2,false)</f>
        <v>#N/A</v>
      </c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</row>
    <row r="122">
      <c r="A122" s="198"/>
      <c r="B122" s="208" t="str">
        <f>vlookup(A122,Price!A:B,2,false)</f>
        <v>#N/A</v>
      </c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</row>
    <row r="123">
      <c r="A123" s="198"/>
      <c r="B123" s="208" t="str">
        <f>vlookup(A123,Price!A:B,2,false)</f>
        <v>#N/A</v>
      </c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</row>
    <row r="124">
      <c r="A124" s="198"/>
      <c r="B124" s="208" t="str">
        <f>vlookup(A124,Price!A:B,2,false)</f>
        <v>#N/A</v>
      </c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</row>
    <row r="125">
      <c r="A125" s="198"/>
      <c r="B125" s="208" t="str">
        <f>vlookup(A125,Price!A:B,2,false)</f>
        <v>#N/A</v>
      </c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</row>
    <row r="126">
      <c r="A126" s="198"/>
      <c r="B126" s="208" t="str">
        <f>vlookup(A126,Price!A:B,2,false)</f>
        <v>#N/A</v>
      </c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</row>
    <row r="127">
      <c r="A127" s="198"/>
      <c r="B127" s="208" t="str">
        <f>vlookup(A127,Price!A:B,2,false)</f>
        <v>#N/A</v>
      </c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</row>
    <row r="128">
      <c r="A128" s="198"/>
      <c r="B128" s="208" t="str">
        <f>vlookup(A128,Price!A:B,2,false)</f>
        <v>#N/A</v>
      </c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</row>
    <row r="129">
      <c r="A129" s="198"/>
      <c r="B129" s="208" t="str">
        <f>vlookup(A129,Price!A:B,2,false)</f>
        <v>#N/A</v>
      </c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</row>
    <row r="130">
      <c r="A130" s="198"/>
      <c r="B130" s="208" t="str">
        <f>vlookup(A130,Price!A:B,2,false)</f>
        <v>#N/A</v>
      </c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</row>
    <row r="131">
      <c r="A131" s="198"/>
      <c r="B131" s="208" t="str">
        <f>vlookup(A131,Price!A:B,2,false)</f>
        <v>#N/A</v>
      </c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</row>
    <row r="132">
      <c r="A132" s="198"/>
      <c r="B132" s="208" t="str">
        <f>vlookup(A132,Price!A:B,2,false)</f>
        <v>#N/A</v>
      </c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</row>
    <row r="133">
      <c r="A133" s="198"/>
      <c r="B133" s="208" t="str">
        <f>vlookup(A133,Price!A:B,2,false)</f>
        <v>#N/A</v>
      </c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</row>
    <row r="134">
      <c r="A134" s="198"/>
      <c r="B134" s="208" t="str">
        <f>vlookup(A134,Price!A:B,2,false)</f>
        <v>#N/A</v>
      </c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</row>
    <row r="135">
      <c r="A135" s="198"/>
      <c r="B135" s="208" t="str">
        <f>vlookup(A135,Price!A:B,2,false)</f>
        <v>#N/A</v>
      </c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</row>
    <row r="136">
      <c r="A136" s="198"/>
      <c r="B136" s="208" t="str">
        <f>vlookup(A136,Price!A:B,2,false)</f>
        <v>#N/A</v>
      </c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</row>
    <row r="137">
      <c r="A137" s="198"/>
      <c r="B137" s="208" t="str">
        <f>vlookup(A137,Price!A:B,2,false)</f>
        <v>#N/A</v>
      </c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</row>
    <row r="138">
      <c r="A138" s="198"/>
      <c r="B138" s="208" t="str">
        <f>vlookup(A138,Price!A:B,2,false)</f>
        <v>#N/A</v>
      </c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</row>
    <row r="139">
      <c r="A139" s="198"/>
      <c r="B139" s="208" t="str">
        <f>vlookup(A139,Price!A:B,2,false)</f>
        <v>#N/A</v>
      </c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</row>
    <row r="140">
      <c r="A140" s="198"/>
      <c r="B140" s="208" t="str">
        <f>vlookup(A140,Price!A:B,2,false)</f>
        <v>#N/A</v>
      </c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</row>
    <row r="141">
      <c r="A141" s="198"/>
      <c r="B141" s="208" t="str">
        <f>vlookup(A141,Price!A:B,2,false)</f>
        <v>#N/A</v>
      </c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</row>
    <row r="142">
      <c r="A142" s="198"/>
      <c r="B142" s="208" t="str">
        <f>vlookup(A142,Price!A:B,2,false)</f>
        <v>#N/A</v>
      </c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</row>
    <row r="143">
      <c r="A143" s="198"/>
      <c r="B143" s="208" t="str">
        <f>vlookup(A143,Price!A:B,2,false)</f>
        <v>#N/A</v>
      </c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</row>
    <row r="144">
      <c r="A144" s="198"/>
      <c r="B144" s="208" t="str">
        <f>vlookup(A144,Price!A:B,2,false)</f>
        <v>#N/A</v>
      </c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</row>
    <row r="145">
      <c r="A145" s="198"/>
      <c r="B145" s="208" t="str">
        <f>vlookup(A145,Price!A:B,2,false)</f>
        <v>#N/A</v>
      </c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</row>
    <row r="146">
      <c r="A146" s="198"/>
      <c r="B146" s="208" t="str">
        <f>vlookup(A146,Price!A:B,2,false)</f>
        <v>#N/A</v>
      </c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</row>
    <row r="147">
      <c r="A147" s="198"/>
      <c r="B147" s="208" t="str">
        <f>vlookup(A147,Price!A:B,2,false)</f>
        <v>#N/A</v>
      </c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</row>
    <row r="148">
      <c r="A148" s="198"/>
      <c r="B148" s="208" t="str">
        <f>vlookup(A148,Price!A:B,2,false)</f>
        <v>#N/A</v>
      </c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</row>
    <row r="149">
      <c r="A149" s="198"/>
      <c r="B149" s="208" t="str">
        <f>vlookup(A149,Price!A:B,2,false)</f>
        <v>#N/A</v>
      </c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</row>
    <row r="150">
      <c r="A150" s="198"/>
      <c r="B150" s="208" t="str">
        <f>vlookup(A150,Price!A:B,2,false)</f>
        <v>#N/A</v>
      </c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</row>
    <row r="151">
      <c r="A151" s="198"/>
      <c r="B151" s="208" t="str">
        <f>vlookup(A151,Price!A:B,2,false)</f>
        <v>#N/A</v>
      </c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</row>
    <row r="152">
      <c r="A152" s="198"/>
      <c r="B152" s="208" t="str">
        <f>vlookup(A152,Price!A:B,2,false)</f>
        <v>#N/A</v>
      </c>
      <c r="C152" s="198"/>
      <c r="D152" s="198"/>
      <c r="E152" s="198"/>
      <c r="F152" s="198"/>
      <c r="G152" s="198"/>
      <c r="H152" s="198"/>
      <c r="I152" s="198"/>
      <c r="J152" s="198"/>
      <c r="K152" s="198"/>
      <c r="L152" s="198"/>
    </row>
    <row r="153">
      <c r="A153" s="198"/>
      <c r="B153" s="208" t="str">
        <f>vlookup(A153,Price!A:B,2,false)</f>
        <v>#N/A</v>
      </c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</row>
    <row r="154">
      <c r="A154" s="198"/>
      <c r="B154" s="208" t="str">
        <f>vlookup(A154,Price!A:B,2,false)</f>
        <v>#N/A</v>
      </c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</row>
    <row r="155">
      <c r="A155" s="198"/>
      <c r="B155" s="208" t="str">
        <f>vlookup(A155,Price!A:B,2,false)</f>
        <v>#N/A</v>
      </c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</row>
    <row r="156">
      <c r="A156" s="198"/>
      <c r="B156" s="208" t="str">
        <f>vlookup(A156,Price!A:B,2,false)</f>
        <v>#N/A</v>
      </c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</row>
    <row r="157">
      <c r="A157" s="198"/>
      <c r="B157" s="208" t="str">
        <f>vlookup(A157,Price!A:B,2,false)</f>
        <v>#N/A</v>
      </c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</row>
    <row r="158">
      <c r="A158" s="198"/>
      <c r="B158" s="208" t="str">
        <f>vlookup(A158,Price!A:B,2,false)</f>
        <v>#N/A</v>
      </c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</row>
    <row r="159">
      <c r="A159" s="198"/>
      <c r="B159" s="208" t="str">
        <f>vlookup(A159,Price!A:B,2,false)</f>
        <v>#N/A</v>
      </c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</row>
    <row r="160">
      <c r="A160" s="198"/>
      <c r="B160" s="208" t="str">
        <f>vlookup(A160,Price!A:B,2,false)</f>
        <v>#N/A</v>
      </c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</row>
    <row r="161">
      <c r="A161" s="198"/>
      <c r="B161" s="208" t="str">
        <f>vlookup(A161,Price!A:B,2,false)</f>
        <v>#N/A</v>
      </c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</row>
    <row r="162">
      <c r="A162" s="198"/>
      <c r="B162" s="208" t="str">
        <f>vlookup(A162,Price!A:B,2,false)</f>
        <v>#N/A</v>
      </c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</row>
    <row r="163">
      <c r="A163" s="198"/>
      <c r="B163" s="208" t="str">
        <f>vlookup(A163,Price!A:B,2,false)</f>
        <v>#N/A</v>
      </c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</row>
    <row r="164">
      <c r="A164" s="198"/>
      <c r="B164" s="208" t="str">
        <f>vlookup(A164,Price!A:B,2,false)</f>
        <v>#N/A</v>
      </c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</row>
    <row r="165">
      <c r="A165" s="198"/>
      <c r="B165" s="208" t="str">
        <f>vlookup(A165,Price!A:B,2,false)</f>
        <v>#N/A</v>
      </c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</row>
    <row r="166">
      <c r="A166" s="198"/>
      <c r="B166" s="208" t="str">
        <f>vlookup(A166,Price!A:B,2,false)</f>
        <v>#N/A</v>
      </c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</row>
    <row r="167">
      <c r="A167" s="198"/>
      <c r="B167" s="208" t="str">
        <f>vlookup(A167,Price!A:B,2,false)</f>
        <v>#N/A</v>
      </c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</row>
    <row r="168">
      <c r="A168" s="198"/>
      <c r="B168" s="208" t="str">
        <f>vlookup(A168,Price!A:B,2,false)</f>
        <v>#N/A</v>
      </c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</row>
    <row r="169">
      <c r="A169" s="198"/>
      <c r="B169" s="208" t="str">
        <f>vlookup(A169,Price!A:B,2,false)</f>
        <v>#N/A</v>
      </c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</row>
    <row r="170">
      <c r="A170" s="198"/>
      <c r="B170" s="208" t="str">
        <f>vlookup(A170,Price!A:B,2,false)</f>
        <v>#N/A</v>
      </c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</row>
    <row r="171">
      <c r="A171" s="198"/>
      <c r="B171" s="208" t="str">
        <f>vlookup(A171,Price!A:B,2,false)</f>
        <v>#N/A</v>
      </c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</row>
    <row r="172">
      <c r="A172" s="198"/>
      <c r="B172" s="208" t="str">
        <f>vlookup(A172,Price!A:B,2,false)</f>
        <v>#N/A</v>
      </c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</row>
    <row r="173">
      <c r="A173" s="198"/>
      <c r="B173" s="208" t="str">
        <f>vlookup(A173,Price!A:B,2,false)</f>
        <v>#N/A</v>
      </c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</row>
    <row r="174">
      <c r="A174" s="198"/>
      <c r="B174" s="208" t="str">
        <f>vlookup(A174,Price!A:B,2,false)</f>
        <v>#N/A</v>
      </c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</row>
    <row r="175">
      <c r="A175" s="198"/>
      <c r="B175" s="208" t="str">
        <f>vlookup(A175,Price!A:B,2,false)</f>
        <v>#N/A</v>
      </c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</row>
    <row r="176">
      <c r="A176" s="198"/>
      <c r="B176" s="208" t="str">
        <f>vlookup(A176,Price!A:B,2,false)</f>
        <v>#N/A</v>
      </c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</row>
    <row r="177">
      <c r="A177" s="198"/>
      <c r="B177" s="208" t="str">
        <f>vlookup(A177,Price!A:B,2,false)</f>
        <v>#N/A</v>
      </c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</row>
    <row r="178">
      <c r="A178" s="198"/>
      <c r="B178" s="208" t="str">
        <f>vlookup(A178,Price!A:B,2,false)</f>
        <v>#N/A</v>
      </c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</row>
    <row r="179">
      <c r="A179" s="198"/>
      <c r="B179" s="208" t="str">
        <f>vlookup(A179,Price!A:B,2,false)</f>
        <v>#N/A</v>
      </c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</row>
    <row r="180">
      <c r="A180" s="198"/>
      <c r="B180" s="208" t="str">
        <f>vlookup(A180,Price!A:B,2,false)</f>
        <v>#N/A</v>
      </c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</row>
    <row r="181">
      <c r="A181" s="198"/>
      <c r="B181" s="208" t="str">
        <f>vlookup(A181,Price!A:B,2,false)</f>
        <v>#N/A</v>
      </c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</row>
    <row r="182">
      <c r="A182" s="198"/>
      <c r="B182" s="208" t="str">
        <f>vlookup(A182,Price!A:B,2,false)</f>
        <v>#N/A</v>
      </c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</row>
    <row r="183">
      <c r="A183" s="198"/>
      <c r="B183" s="208" t="str">
        <f>vlookup(A183,Price!A:B,2,false)</f>
        <v>#N/A</v>
      </c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</row>
    <row r="184">
      <c r="A184" s="198"/>
      <c r="B184" s="208" t="str">
        <f>vlookup(A184,Price!A:B,2,false)</f>
        <v>#N/A</v>
      </c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</row>
    <row r="185">
      <c r="A185" s="198"/>
      <c r="B185" s="208" t="str">
        <f>vlookup(A185,Price!A:B,2,false)</f>
        <v>#N/A</v>
      </c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</row>
    <row r="186">
      <c r="A186" s="198"/>
      <c r="B186" s="208" t="str">
        <f>vlookup(A186,Price!A:B,2,false)</f>
        <v>#N/A</v>
      </c>
      <c r="C186" s="198"/>
      <c r="D186" s="198"/>
      <c r="E186" s="198"/>
      <c r="F186" s="198"/>
      <c r="G186" s="198"/>
      <c r="H186" s="198"/>
      <c r="I186" s="198"/>
      <c r="J186" s="198"/>
      <c r="K186" s="198"/>
      <c r="L186" s="198"/>
    </row>
    <row r="187">
      <c r="A187" s="198"/>
      <c r="B187" s="208" t="str">
        <f>vlookup(A187,Price!A:B,2,false)</f>
        <v>#N/A</v>
      </c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</row>
    <row r="188">
      <c r="A188" s="198"/>
      <c r="B188" s="208" t="str">
        <f>vlookup(A188,Price!A:B,2,false)</f>
        <v>#N/A</v>
      </c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</row>
    <row r="189">
      <c r="A189" s="198"/>
      <c r="B189" s="208" t="str">
        <f>vlookup(A189,Price!A:B,2,false)</f>
        <v>#N/A</v>
      </c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</row>
    <row r="190">
      <c r="A190" s="198"/>
      <c r="B190" s="208" t="str">
        <f>vlookup(A190,Price!A:B,2,false)</f>
        <v>#N/A</v>
      </c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</row>
    <row r="191">
      <c r="A191" s="198"/>
      <c r="B191" s="208" t="str">
        <f>vlookup(A191,Price!A:B,2,false)</f>
        <v>#N/A</v>
      </c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</row>
    <row r="192">
      <c r="A192" s="198"/>
      <c r="B192" s="208" t="str">
        <f>vlookup(A192,Price!A:B,2,false)</f>
        <v>#N/A</v>
      </c>
      <c r="C192" s="198"/>
      <c r="D192" s="198"/>
      <c r="E192" s="198"/>
      <c r="F192" s="198"/>
      <c r="G192" s="198"/>
      <c r="H192" s="198"/>
      <c r="I192" s="198"/>
      <c r="J192" s="198"/>
      <c r="K192" s="198"/>
      <c r="L192" s="198"/>
    </row>
    <row r="193">
      <c r="A193" s="198"/>
      <c r="B193" s="208" t="str">
        <f>vlookup(A193,Price!A:B,2,false)</f>
        <v>#N/A</v>
      </c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</row>
    <row r="194">
      <c r="A194" s="198"/>
      <c r="B194" s="208" t="str">
        <f>vlookup(A194,Price!A:B,2,false)</f>
        <v>#N/A</v>
      </c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</row>
    <row r="195">
      <c r="A195" s="198"/>
      <c r="B195" s="208" t="str">
        <f>vlookup(A195,Price!A:B,2,false)</f>
        <v>#N/A</v>
      </c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</row>
    <row r="196">
      <c r="A196" s="198"/>
      <c r="B196" s="208" t="str">
        <f>vlookup(A196,Price!A:B,2,false)</f>
        <v>#N/A</v>
      </c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</row>
    <row r="197">
      <c r="A197" s="198"/>
      <c r="B197" s="208" t="str">
        <f>vlookup(A197,Price!A:B,2,false)</f>
        <v>#N/A</v>
      </c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</row>
    <row r="198">
      <c r="A198" s="198"/>
      <c r="B198" s="208" t="str">
        <f>vlookup(A198,Price!A:B,2,false)</f>
        <v>#N/A</v>
      </c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</row>
    <row r="199">
      <c r="A199" s="198"/>
      <c r="B199" s="208" t="str">
        <f>vlookup(A199,Price!A:B,2,false)</f>
        <v>#N/A</v>
      </c>
      <c r="C199" s="198"/>
      <c r="D199" s="198"/>
      <c r="E199" s="198"/>
      <c r="F199" s="198"/>
      <c r="G199" s="198"/>
      <c r="H199" s="198"/>
      <c r="I199" s="198"/>
      <c r="J199" s="198"/>
      <c r="K199" s="198"/>
      <c r="L199" s="198"/>
    </row>
    <row r="200">
      <c r="A200" s="198"/>
      <c r="B200" s="208" t="str">
        <f>vlookup(A200,Price!A:B,2,false)</f>
        <v>#N/A</v>
      </c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</row>
    <row r="201">
      <c r="A201" s="198"/>
      <c r="B201" s="208" t="str">
        <f>vlookup(A201,Price!A:B,2,false)</f>
        <v>#N/A</v>
      </c>
      <c r="C201" s="198"/>
      <c r="D201" s="198"/>
      <c r="E201" s="198"/>
      <c r="F201" s="198"/>
      <c r="G201" s="198"/>
      <c r="H201" s="198"/>
      <c r="I201" s="198"/>
      <c r="J201" s="198"/>
      <c r="K201" s="198"/>
      <c r="L201" s="198"/>
    </row>
    <row r="202">
      <c r="A202" s="198"/>
      <c r="B202" s="208" t="str">
        <f>vlookup(A202,Price!A:B,2,false)</f>
        <v>#N/A</v>
      </c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</row>
    <row r="203">
      <c r="A203" s="198"/>
      <c r="B203" s="208" t="str">
        <f>vlookup(A203,Price!A:B,2,false)</f>
        <v>#N/A</v>
      </c>
      <c r="C203" s="198"/>
      <c r="D203" s="198"/>
      <c r="E203" s="198"/>
      <c r="F203" s="198"/>
      <c r="G203" s="198"/>
      <c r="H203" s="198"/>
      <c r="I203" s="198"/>
      <c r="J203" s="198"/>
      <c r="K203" s="198"/>
      <c r="L203" s="198"/>
    </row>
    <row r="204">
      <c r="A204" s="198"/>
      <c r="B204" s="208" t="str">
        <f>vlookup(A204,Price!A:B,2,false)</f>
        <v>#N/A</v>
      </c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</row>
    <row r="205">
      <c r="A205" s="198"/>
      <c r="B205" s="208" t="str">
        <f>vlookup(A205,Price!A:B,2,false)</f>
        <v>#N/A</v>
      </c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</row>
    <row r="206">
      <c r="A206" s="198"/>
      <c r="B206" s="208" t="str">
        <f>vlookup(A206,Price!A:B,2,false)</f>
        <v>#N/A</v>
      </c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</row>
    <row r="207">
      <c r="A207" s="198"/>
      <c r="B207" s="208" t="str">
        <f>vlookup(A207,Price!A:B,2,false)</f>
        <v>#N/A</v>
      </c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</row>
    <row r="208">
      <c r="A208" s="198"/>
      <c r="B208" s="208" t="str">
        <f>vlookup(A208,Price!A:B,2,false)</f>
        <v>#N/A</v>
      </c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</row>
    <row r="209">
      <c r="A209" s="198"/>
      <c r="B209" s="208" t="str">
        <f>vlookup(A209,Price!A:B,2,false)</f>
        <v>#N/A</v>
      </c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</row>
    <row r="210">
      <c r="A210" s="198"/>
      <c r="B210" s="208" t="str">
        <f>vlookup(A210,Price!A:B,2,false)</f>
        <v>#N/A</v>
      </c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</row>
    <row r="211">
      <c r="A211" s="198"/>
      <c r="B211" s="208" t="str">
        <f>vlookup(A211,Price!A:B,2,false)</f>
        <v>#N/A</v>
      </c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</row>
    <row r="212">
      <c r="A212" s="198"/>
      <c r="B212" s="208" t="str">
        <f>vlookup(A212,Price!A:B,2,false)</f>
        <v>#N/A</v>
      </c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</row>
    <row r="213">
      <c r="A213" s="198"/>
      <c r="B213" s="208" t="str">
        <f>vlookup(A213,Price!A:B,2,false)</f>
        <v>#N/A</v>
      </c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</row>
    <row r="214">
      <c r="A214" s="198"/>
      <c r="B214" s="208" t="str">
        <f>vlookup(A214,Price!A:B,2,false)</f>
        <v>#N/A</v>
      </c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</row>
    <row r="215">
      <c r="A215" s="198"/>
      <c r="B215" s="208" t="str">
        <f>vlookup(A215,Price!A:B,2,false)</f>
        <v>#N/A</v>
      </c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</row>
    <row r="216">
      <c r="A216" s="198"/>
      <c r="B216" s="208" t="str">
        <f>vlookup(A216,Price!A:B,2,false)</f>
        <v>#N/A</v>
      </c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</row>
    <row r="217">
      <c r="A217" s="198"/>
      <c r="B217" s="208" t="str">
        <f>vlookup(A217,Price!A:B,2,false)</f>
        <v>#N/A</v>
      </c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</row>
    <row r="218">
      <c r="A218" s="198"/>
      <c r="B218" s="208" t="str">
        <f>vlookup(A218,Price!A:B,2,false)</f>
        <v>#N/A</v>
      </c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</row>
    <row r="219">
      <c r="A219" s="198"/>
      <c r="B219" s="208" t="str">
        <f>vlookup(A219,Price!A:B,2,false)</f>
        <v>#N/A</v>
      </c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</row>
    <row r="220">
      <c r="A220" s="198"/>
      <c r="B220" s="208" t="str">
        <f>vlookup(A220,Price!A:B,2,false)</f>
        <v>#N/A</v>
      </c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</row>
    <row r="221">
      <c r="A221" s="198"/>
      <c r="B221" s="208" t="str">
        <f>vlookup(A221,Price!A:B,2,false)</f>
        <v>#N/A</v>
      </c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</row>
    <row r="222">
      <c r="A222" s="198"/>
      <c r="B222" s="208" t="str">
        <f>vlookup(A222,Price!A:B,2,false)</f>
        <v>#N/A</v>
      </c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</row>
    <row r="223">
      <c r="A223" s="198"/>
      <c r="B223" s="208" t="str">
        <f>vlookup(A223,Price!A:B,2,false)</f>
        <v>#N/A</v>
      </c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</row>
    <row r="224">
      <c r="A224" s="198"/>
      <c r="B224" s="208" t="str">
        <f>vlookup(A224,Price!A:B,2,false)</f>
        <v>#N/A</v>
      </c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</row>
    <row r="225">
      <c r="A225" s="198"/>
      <c r="B225" s="208" t="str">
        <f>vlookup(A225,Price!A:B,2,false)</f>
        <v>#N/A</v>
      </c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</row>
    <row r="226">
      <c r="A226" s="198"/>
      <c r="B226" s="208" t="str">
        <f>vlookup(A226,Price!A:B,2,false)</f>
        <v>#N/A</v>
      </c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</row>
    <row r="227">
      <c r="A227" s="198"/>
      <c r="B227" s="208" t="str">
        <f>vlookup(A227,Price!A:B,2,false)</f>
        <v>#N/A</v>
      </c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</row>
    <row r="228">
      <c r="A228" s="198"/>
      <c r="B228" s="208" t="str">
        <f>vlookup(A228,Price!A:B,2,false)</f>
        <v>#N/A</v>
      </c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</row>
    <row r="229">
      <c r="A229" s="198"/>
      <c r="B229" s="208" t="str">
        <f>vlookup(A229,Price!A:B,2,false)</f>
        <v>#N/A</v>
      </c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</row>
    <row r="230">
      <c r="A230" s="198"/>
      <c r="B230" s="208" t="str">
        <f>vlookup(A230,Price!A:B,2,false)</f>
        <v>#N/A</v>
      </c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</row>
    <row r="231">
      <c r="A231" s="198"/>
      <c r="B231" s="208" t="str">
        <f>vlookup(A231,Price!A:B,2,false)</f>
        <v>#N/A</v>
      </c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</row>
    <row r="232">
      <c r="A232" s="198"/>
      <c r="B232" s="208" t="str">
        <f>vlookup(A232,Price!A:B,2,false)</f>
        <v>#N/A</v>
      </c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</row>
    <row r="233">
      <c r="A233" s="198"/>
      <c r="B233" s="208" t="str">
        <f>vlookup(A233,Price!A:B,2,false)</f>
        <v>#N/A</v>
      </c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</row>
    <row r="234">
      <c r="A234" s="198"/>
      <c r="B234" s="208" t="str">
        <f>vlookup(A234,Price!A:B,2,false)</f>
        <v>#N/A</v>
      </c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</row>
    <row r="235">
      <c r="A235" s="198"/>
      <c r="B235" s="208" t="str">
        <f>vlookup(A235,Price!A:B,2,false)</f>
        <v>#N/A</v>
      </c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</row>
    <row r="236">
      <c r="A236" s="198"/>
      <c r="B236" s="208" t="str">
        <f>vlookup(A236,Price!A:B,2,false)</f>
        <v>#N/A</v>
      </c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</row>
    <row r="237">
      <c r="A237" s="198"/>
      <c r="B237" s="208" t="str">
        <f>vlookup(A237,Price!A:B,2,false)</f>
        <v>#N/A</v>
      </c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</row>
    <row r="238">
      <c r="A238" s="198"/>
      <c r="B238" s="208" t="str">
        <f>vlookup(A238,Price!A:B,2,false)</f>
        <v>#N/A</v>
      </c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</row>
    <row r="239">
      <c r="A239" s="198"/>
      <c r="B239" s="208" t="str">
        <f>vlookup(A239,Price!A:B,2,false)</f>
        <v>#N/A</v>
      </c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</row>
    <row r="240">
      <c r="A240" s="198"/>
      <c r="B240" s="208" t="str">
        <f>vlookup(A240,Price!A:B,2,false)</f>
        <v>#N/A</v>
      </c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</row>
    <row r="241">
      <c r="A241" s="198"/>
      <c r="B241" s="208" t="str">
        <f>vlookup(A241,Price!A:B,2,false)</f>
        <v>#N/A</v>
      </c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</row>
    <row r="242">
      <c r="A242" s="198"/>
      <c r="B242" s="208" t="str">
        <f>vlookup(A242,Price!A:B,2,false)</f>
        <v>#N/A</v>
      </c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</row>
    <row r="243">
      <c r="A243" s="198"/>
      <c r="B243" s="208" t="str">
        <f>vlookup(A243,Price!A:B,2,false)</f>
        <v>#N/A</v>
      </c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</row>
    <row r="244">
      <c r="A244" s="198"/>
      <c r="B244" s="208" t="str">
        <f>vlookup(A244,Price!A:B,2,false)</f>
        <v>#N/A</v>
      </c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</row>
    <row r="245">
      <c r="A245" s="198"/>
      <c r="B245" s="208" t="str">
        <f>vlookup(A245,Price!A:B,2,false)</f>
        <v>#N/A</v>
      </c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</row>
    <row r="246">
      <c r="A246" s="198"/>
      <c r="B246" s="208" t="str">
        <f>vlookup(A246,Price!A:B,2,false)</f>
        <v>#N/A</v>
      </c>
      <c r="C246" s="198"/>
      <c r="D246" s="198"/>
      <c r="E246" s="198"/>
      <c r="F246" s="198"/>
      <c r="G246" s="198"/>
      <c r="H246" s="198"/>
      <c r="I246" s="198"/>
      <c r="J246" s="198"/>
      <c r="K246" s="198"/>
      <c r="L246" s="198"/>
    </row>
    <row r="247">
      <c r="A247" s="198"/>
      <c r="B247" s="208" t="str">
        <f>vlookup(A247,Price!A:B,2,false)</f>
        <v>#N/A</v>
      </c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</row>
    <row r="248">
      <c r="A248" s="198"/>
      <c r="B248" s="208" t="str">
        <f>vlookup(A248,Price!A:B,2,false)</f>
        <v>#N/A</v>
      </c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</row>
    <row r="249">
      <c r="A249" s="198"/>
      <c r="B249" s="208" t="str">
        <f>vlookup(A249,Price!A:B,2,false)</f>
        <v>#N/A</v>
      </c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</row>
    <row r="250">
      <c r="A250" s="198"/>
      <c r="B250" s="208" t="str">
        <f>vlookup(A250,Price!A:B,2,false)</f>
        <v>#N/A</v>
      </c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</row>
    <row r="251">
      <c r="A251" s="198"/>
      <c r="B251" s="208" t="str">
        <f>vlookup(A251,Price!A:B,2,false)</f>
        <v>#N/A</v>
      </c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</row>
    <row r="252">
      <c r="A252" s="198"/>
      <c r="B252" s="208" t="str">
        <f>vlookup(A252,Price!A:B,2,false)</f>
        <v>#N/A</v>
      </c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</row>
    <row r="253">
      <c r="A253" s="198"/>
      <c r="B253" s="208" t="str">
        <f>vlookup(A253,Price!A:B,2,false)</f>
        <v>#N/A</v>
      </c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</row>
    <row r="254">
      <c r="A254" s="198"/>
      <c r="B254" s="208" t="str">
        <f>vlookup(A254,Price!A:B,2,false)</f>
        <v>#N/A</v>
      </c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</row>
    <row r="255">
      <c r="A255" s="198"/>
      <c r="B255" s="208" t="str">
        <f>vlookup(A255,Price!A:B,2,false)</f>
        <v>#N/A</v>
      </c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</row>
    <row r="256">
      <c r="A256" s="198"/>
      <c r="B256" s="208" t="str">
        <f>vlookup(A256,Price!A:B,2,false)</f>
        <v>#N/A</v>
      </c>
      <c r="C256" s="198"/>
      <c r="D256" s="198"/>
      <c r="E256" s="198"/>
      <c r="F256" s="198"/>
      <c r="G256" s="198"/>
      <c r="H256" s="198"/>
      <c r="I256" s="198"/>
      <c r="J256" s="198"/>
      <c r="K256" s="198"/>
      <c r="L256" s="198"/>
    </row>
    <row r="257">
      <c r="A257" s="198"/>
      <c r="B257" s="208" t="str">
        <f>vlookup(A257,Price!A:B,2,false)</f>
        <v>#N/A</v>
      </c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</row>
    <row r="258">
      <c r="A258" s="198"/>
      <c r="B258" s="208" t="str">
        <f>vlookup(A258,Price!A:B,2,false)</f>
        <v>#N/A</v>
      </c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</row>
    <row r="259">
      <c r="A259" s="198"/>
      <c r="B259" s="208" t="str">
        <f>vlookup(A259,Price!A:B,2,false)</f>
        <v>#N/A</v>
      </c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</row>
    <row r="260">
      <c r="A260" s="198"/>
      <c r="B260" s="208" t="str">
        <f>vlookup(A260,Price!A:B,2,false)</f>
        <v>#N/A</v>
      </c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</row>
    <row r="261">
      <c r="A261" s="198"/>
      <c r="B261" s="208" t="str">
        <f>vlookup(A261,Price!A:B,2,false)</f>
        <v>#N/A</v>
      </c>
      <c r="C261" s="198"/>
      <c r="D261" s="198"/>
      <c r="E261" s="198"/>
      <c r="F261" s="198"/>
      <c r="G261" s="198"/>
      <c r="H261" s="198"/>
      <c r="I261" s="198"/>
      <c r="J261" s="198"/>
      <c r="K261" s="198"/>
      <c r="L261" s="198"/>
    </row>
    <row r="262">
      <c r="A262" s="198"/>
      <c r="B262" s="208" t="str">
        <f>vlookup(A262,Price!A:B,2,false)</f>
        <v>#N/A</v>
      </c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</row>
    <row r="263">
      <c r="A263" s="198"/>
      <c r="B263" s="208" t="str">
        <f>vlookup(A263,Price!A:B,2,false)</f>
        <v>#N/A</v>
      </c>
      <c r="C263" s="198"/>
      <c r="D263" s="198"/>
      <c r="E263" s="198"/>
      <c r="F263" s="198"/>
      <c r="G263" s="198"/>
      <c r="H263" s="198"/>
      <c r="I263" s="198"/>
      <c r="J263" s="198"/>
      <c r="K263" s="198"/>
      <c r="L263" s="198"/>
    </row>
    <row r="264">
      <c r="A264" s="198"/>
      <c r="B264" s="208" t="str">
        <f>vlookup(A264,Price!A:B,2,false)</f>
        <v>#N/A</v>
      </c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</row>
    <row r="265">
      <c r="A265" s="198"/>
      <c r="B265" s="208" t="str">
        <f>vlookup(A265,Price!A:B,2,false)</f>
        <v>#N/A</v>
      </c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</row>
    <row r="266">
      <c r="A266" s="198"/>
      <c r="B266" s="208" t="str">
        <f>vlookup(A266,Price!A:B,2,false)</f>
        <v>#N/A</v>
      </c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</row>
    <row r="267">
      <c r="A267" s="198"/>
      <c r="B267" s="208" t="str">
        <f>vlookup(A267,Price!A:B,2,false)</f>
        <v>#N/A</v>
      </c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</row>
    <row r="268">
      <c r="A268" s="198"/>
      <c r="B268" s="208" t="str">
        <f>vlookup(A268,Price!A:B,2,false)</f>
        <v>#N/A</v>
      </c>
      <c r="C268" s="198"/>
      <c r="D268" s="198"/>
      <c r="E268" s="198"/>
      <c r="F268" s="198"/>
      <c r="G268" s="198"/>
      <c r="H268" s="198"/>
      <c r="I268" s="198"/>
      <c r="J268" s="198"/>
      <c r="K268" s="198"/>
      <c r="L268" s="198"/>
    </row>
    <row r="269">
      <c r="A269" s="198"/>
      <c r="B269" s="208" t="str">
        <f>vlookup(A269,Price!A:B,2,false)</f>
        <v>#N/A</v>
      </c>
      <c r="C269" s="198"/>
      <c r="D269" s="198"/>
      <c r="E269" s="198"/>
      <c r="F269" s="198"/>
      <c r="G269" s="198"/>
      <c r="H269" s="198"/>
      <c r="I269" s="198"/>
      <c r="J269" s="198"/>
      <c r="K269" s="198"/>
      <c r="L269" s="198"/>
    </row>
    <row r="270">
      <c r="A270" s="198"/>
      <c r="B270" s="208" t="str">
        <f>vlookup(A270,Price!A:B,2,false)</f>
        <v>#N/A</v>
      </c>
      <c r="C270" s="198"/>
      <c r="D270" s="198"/>
      <c r="E270" s="198"/>
      <c r="F270" s="198"/>
      <c r="G270" s="198"/>
      <c r="H270" s="198"/>
      <c r="I270" s="198"/>
      <c r="J270" s="198"/>
      <c r="K270" s="198"/>
      <c r="L270" s="198"/>
    </row>
    <row r="271">
      <c r="A271" s="198"/>
      <c r="B271" s="208" t="str">
        <f>vlookup(A271,Price!A:B,2,false)</f>
        <v>#N/A</v>
      </c>
      <c r="C271" s="198"/>
      <c r="D271" s="198"/>
      <c r="E271" s="198"/>
      <c r="F271" s="198"/>
      <c r="G271" s="198"/>
      <c r="H271" s="198"/>
      <c r="I271" s="198"/>
      <c r="J271" s="198"/>
      <c r="K271" s="198"/>
      <c r="L271" s="198"/>
    </row>
    <row r="272">
      <c r="A272" s="198"/>
      <c r="B272" s="208" t="str">
        <f>vlookup(A272,Price!A:B,2,false)</f>
        <v>#N/A</v>
      </c>
      <c r="C272" s="198"/>
      <c r="D272" s="198"/>
      <c r="E272" s="198"/>
      <c r="F272" s="198"/>
      <c r="G272" s="198"/>
      <c r="H272" s="198"/>
      <c r="I272" s="198"/>
      <c r="J272" s="198"/>
      <c r="K272" s="198"/>
      <c r="L272" s="198"/>
    </row>
    <row r="273">
      <c r="A273" s="198"/>
      <c r="B273" s="208" t="str">
        <f>vlookup(A273,Price!A:B,2,false)</f>
        <v>#N/A</v>
      </c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</row>
    <row r="274">
      <c r="A274" s="198"/>
      <c r="B274" s="208" t="str">
        <f>vlookup(A274,Price!A:B,2,false)</f>
        <v>#N/A</v>
      </c>
      <c r="C274" s="198"/>
      <c r="D274" s="198"/>
      <c r="E274" s="198"/>
      <c r="F274" s="198"/>
      <c r="G274" s="198"/>
      <c r="H274" s="198"/>
      <c r="I274" s="198"/>
      <c r="J274" s="198"/>
      <c r="K274" s="198"/>
      <c r="L274" s="198"/>
    </row>
    <row r="275">
      <c r="A275" s="198"/>
      <c r="B275" s="208" t="str">
        <f>vlookup(A275,Price!A:B,2,false)</f>
        <v>#N/A</v>
      </c>
      <c r="C275" s="198"/>
      <c r="D275" s="198"/>
      <c r="E275" s="198"/>
      <c r="F275" s="198"/>
      <c r="G275" s="198"/>
      <c r="H275" s="198"/>
      <c r="I275" s="198"/>
      <c r="J275" s="198"/>
      <c r="K275" s="198"/>
      <c r="L275" s="198"/>
    </row>
    <row r="276">
      <c r="A276" s="198"/>
      <c r="B276" s="208" t="str">
        <f>vlookup(A276,Price!A:B,2,false)</f>
        <v>#N/A</v>
      </c>
      <c r="C276" s="198"/>
      <c r="D276" s="198"/>
      <c r="E276" s="198"/>
      <c r="F276" s="198"/>
      <c r="G276" s="198"/>
      <c r="H276" s="198"/>
      <c r="I276" s="198"/>
      <c r="J276" s="198"/>
      <c r="K276" s="198"/>
      <c r="L276" s="198"/>
    </row>
    <row r="277">
      <c r="A277" s="198"/>
      <c r="B277" s="208" t="str">
        <f>vlookup(A277,Price!A:B,2,false)</f>
        <v>#N/A</v>
      </c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</row>
    <row r="278">
      <c r="A278" s="198"/>
      <c r="B278" s="208" t="str">
        <f>vlookup(A278,Price!A:B,2,false)</f>
        <v>#N/A</v>
      </c>
      <c r="C278" s="198"/>
      <c r="D278" s="198"/>
      <c r="E278" s="198"/>
      <c r="F278" s="198"/>
      <c r="G278" s="198"/>
      <c r="H278" s="198"/>
      <c r="I278" s="198"/>
      <c r="J278" s="198"/>
      <c r="K278" s="198"/>
      <c r="L278" s="198"/>
    </row>
    <row r="279">
      <c r="A279" s="198"/>
      <c r="B279" s="208" t="str">
        <f>vlookup(A279,Price!A:B,2,false)</f>
        <v>#N/A</v>
      </c>
      <c r="C279" s="198"/>
      <c r="D279" s="198"/>
      <c r="E279" s="198"/>
      <c r="F279" s="198"/>
      <c r="G279" s="198"/>
      <c r="H279" s="198"/>
      <c r="I279" s="198"/>
      <c r="J279" s="198"/>
      <c r="K279" s="198"/>
      <c r="L279" s="198"/>
    </row>
    <row r="280">
      <c r="A280" s="198"/>
      <c r="B280" s="208" t="str">
        <f>vlookup(A280,Price!A:B,2,false)</f>
        <v>#N/A</v>
      </c>
      <c r="C280" s="198"/>
      <c r="D280" s="198"/>
      <c r="E280" s="198"/>
      <c r="F280" s="198"/>
      <c r="G280" s="198"/>
      <c r="H280" s="198"/>
      <c r="I280" s="198"/>
      <c r="J280" s="198"/>
      <c r="K280" s="198"/>
      <c r="L280" s="198"/>
    </row>
    <row r="281">
      <c r="A281" s="198"/>
      <c r="B281" s="208" t="str">
        <f>vlookup(A281,Price!A:B,2,false)</f>
        <v>#N/A</v>
      </c>
      <c r="C281" s="198"/>
      <c r="D281" s="198"/>
      <c r="E281" s="198"/>
      <c r="F281" s="198"/>
      <c r="G281" s="198"/>
      <c r="H281" s="198"/>
      <c r="I281" s="198"/>
      <c r="J281" s="198"/>
      <c r="K281" s="198"/>
      <c r="L281" s="198"/>
    </row>
    <row r="282">
      <c r="A282" s="198"/>
      <c r="B282" s="208" t="str">
        <f>vlookup(A282,Price!A:B,2,false)</f>
        <v>#N/A</v>
      </c>
      <c r="C282" s="198"/>
      <c r="D282" s="198"/>
      <c r="E282" s="198"/>
      <c r="F282" s="198"/>
      <c r="G282" s="198"/>
      <c r="H282" s="198"/>
      <c r="I282" s="198"/>
      <c r="J282" s="198"/>
      <c r="K282" s="198"/>
      <c r="L282" s="198"/>
    </row>
    <row r="283">
      <c r="A283" s="198"/>
      <c r="B283" s="208" t="str">
        <f>vlookup(A283,Price!A:B,2,false)</f>
        <v>#N/A</v>
      </c>
      <c r="C283" s="198"/>
      <c r="D283" s="198"/>
      <c r="E283" s="198"/>
      <c r="F283" s="198"/>
      <c r="G283" s="198"/>
      <c r="H283" s="198"/>
      <c r="I283" s="198"/>
      <c r="J283" s="198"/>
      <c r="K283" s="198"/>
      <c r="L283" s="198"/>
    </row>
    <row r="284">
      <c r="A284" s="198"/>
      <c r="B284" s="208" t="str">
        <f>vlookup(A284,Price!A:B,2,false)</f>
        <v>#N/A</v>
      </c>
      <c r="C284" s="198"/>
      <c r="D284" s="198"/>
      <c r="E284" s="198"/>
      <c r="F284" s="198"/>
      <c r="G284" s="198"/>
      <c r="H284" s="198"/>
      <c r="I284" s="198"/>
      <c r="J284" s="198"/>
      <c r="K284" s="198"/>
      <c r="L284" s="198"/>
    </row>
    <row r="285">
      <c r="A285" s="198"/>
      <c r="B285" s="208" t="str">
        <f>vlookup(A285,Price!A:B,2,false)</f>
        <v>#N/A</v>
      </c>
      <c r="C285" s="198"/>
      <c r="D285" s="198"/>
      <c r="E285" s="198"/>
      <c r="F285" s="198"/>
      <c r="G285" s="198"/>
      <c r="H285" s="198"/>
      <c r="I285" s="198"/>
      <c r="J285" s="198"/>
      <c r="K285" s="198"/>
      <c r="L285" s="198"/>
    </row>
    <row r="286">
      <c r="A286" s="198"/>
      <c r="B286" s="208" t="str">
        <f>vlookup(A286,Price!A:B,2,false)</f>
        <v>#N/A</v>
      </c>
      <c r="C286" s="198"/>
      <c r="D286" s="198"/>
      <c r="E286" s="198"/>
      <c r="F286" s="198"/>
      <c r="G286" s="198"/>
      <c r="H286" s="198"/>
      <c r="I286" s="198"/>
      <c r="J286" s="198"/>
      <c r="K286" s="198"/>
      <c r="L286" s="198"/>
    </row>
    <row r="287">
      <c r="A287" s="198"/>
      <c r="B287" s="208" t="str">
        <f>vlookup(A287,Price!A:B,2,false)</f>
        <v>#N/A</v>
      </c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</row>
    <row r="288">
      <c r="A288" s="198"/>
      <c r="B288" s="208" t="str">
        <f>vlookup(A288,Price!A:B,2,false)</f>
        <v>#N/A</v>
      </c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</row>
    <row r="289">
      <c r="A289" s="198"/>
      <c r="B289" s="208" t="str">
        <f>vlookup(A289,Price!A:B,2,false)</f>
        <v>#N/A</v>
      </c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</row>
    <row r="290">
      <c r="A290" s="198"/>
      <c r="B290" s="208" t="str">
        <f>vlookup(A290,Price!A:B,2,false)</f>
        <v>#N/A</v>
      </c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</row>
    <row r="291">
      <c r="A291" s="198"/>
      <c r="B291" s="208" t="str">
        <f>vlookup(A291,Price!A:B,2,false)</f>
        <v>#N/A</v>
      </c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</row>
    <row r="292">
      <c r="A292" s="198"/>
      <c r="B292" s="208" t="str">
        <f>vlookup(A292,Price!A:B,2,false)</f>
        <v>#N/A</v>
      </c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</row>
    <row r="293">
      <c r="A293" s="198"/>
      <c r="B293" s="208" t="str">
        <f>vlookup(A293,Price!A:B,2,false)</f>
        <v>#N/A</v>
      </c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</row>
    <row r="294">
      <c r="A294" s="198"/>
      <c r="B294" s="208" t="str">
        <f>vlookup(A294,Price!A:B,2,false)</f>
        <v>#N/A</v>
      </c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</row>
    <row r="295">
      <c r="A295" s="198"/>
      <c r="B295" s="208" t="str">
        <f>vlookup(A295,Price!A:B,2,false)</f>
        <v>#N/A</v>
      </c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</row>
    <row r="296">
      <c r="A296" s="198"/>
      <c r="B296" s="208" t="str">
        <f>vlookup(A296,Price!A:B,2,false)</f>
        <v>#N/A</v>
      </c>
      <c r="C296" s="198"/>
      <c r="D296" s="198"/>
      <c r="E296" s="198"/>
      <c r="F296" s="198"/>
      <c r="G296" s="198"/>
      <c r="H296" s="198"/>
      <c r="I296" s="198"/>
      <c r="J296" s="198"/>
      <c r="K296" s="198"/>
      <c r="L296" s="198"/>
    </row>
    <row r="297">
      <c r="A297" s="198"/>
      <c r="B297" s="208" t="str">
        <f>vlookup(A297,Price!A:B,2,false)</f>
        <v>#N/A</v>
      </c>
      <c r="C297" s="198"/>
      <c r="D297" s="198"/>
      <c r="E297" s="198"/>
      <c r="F297" s="198"/>
      <c r="G297" s="198"/>
      <c r="H297" s="198"/>
      <c r="I297" s="198"/>
      <c r="J297" s="198"/>
      <c r="K297" s="198"/>
      <c r="L297" s="198"/>
    </row>
    <row r="298">
      <c r="A298" s="198"/>
      <c r="B298" s="208" t="str">
        <f>vlookup(A298,Price!A:B,2,false)</f>
        <v>#N/A</v>
      </c>
      <c r="C298" s="198"/>
      <c r="D298" s="198"/>
      <c r="E298" s="198"/>
      <c r="F298" s="198"/>
      <c r="G298" s="198"/>
      <c r="H298" s="198"/>
      <c r="I298" s="198"/>
      <c r="J298" s="198"/>
      <c r="K298" s="198"/>
      <c r="L298" s="198"/>
    </row>
    <row r="299">
      <c r="A299" s="198"/>
      <c r="B299" s="208" t="str">
        <f>vlookup(A299,Price!A:B,2,false)</f>
        <v>#N/A</v>
      </c>
      <c r="C299" s="198"/>
      <c r="D299" s="198"/>
      <c r="E299" s="198"/>
      <c r="F299" s="198"/>
      <c r="G299" s="198"/>
      <c r="H299" s="198"/>
      <c r="I299" s="198"/>
      <c r="J299" s="198"/>
      <c r="K299" s="198"/>
      <c r="L299" s="198"/>
    </row>
    <row r="300">
      <c r="A300" s="198"/>
      <c r="B300" s="208" t="str">
        <f>vlookup(A300,Price!A:B,2,false)</f>
        <v>#N/A</v>
      </c>
      <c r="C300" s="198"/>
      <c r="D300" s="198"/>
      <c r="E300" s="198"/>
      <c r="F300" s="198"/>
      <c r="G300" s="198"/>
      <c r="H300" s="198"/>
      <c r="I300" s="198"/>
      <c r="J300" s="198"/>
      <c r="K300" s="198"/>
      <c r="L300" s="198"/>
    </row>
    <row r="301">
      <c r="A301" s="198"/>
      <c r="B301" s="208" t="str">
        <f>vlookup(A301,Price!A:B,2,false)</f>
        <v>#N/A</v>
      </c>
      <c r="C301" s="198"/>
      <c r="D301" s="198"/>
      <c r="E301" s="198"/>
      <c r="F301" s="198"/>
      <c r="G301" s="198"/>
      <c r="H301" s="198"/>
      <c r="I301" s="198"/>
      <c r="J301" s="198"/>
      <c r="K301" s="198"/>
      <c r="L301" s="198"/>
    </row>
    <row r="302">
      <c r="A302" s="198"/>
      <c r="B302" s="208" t="str">
        <f>vlookup(A302,Price!A:B,2,false)</f>
        <v>#N/A</v>
      </c>
      <c r="C302" s="198"/>
      <c r="D302" s="198"/>
      <c r="E302" s="198"/>
      <c r="F302" s="198"/>
      <c r="G302" s="198"/>
      <c r="H302" s="198"/>
      <c r="I302" s="198"/>
      <c r="J302" s="198"/>
      <c r="K302" s="198"/>
      <c r="L302" s="198"/>
    </row>
    <row r="303">
      <c r="A303" s="198"/>
      <c r="B303" s="208" t="str">
        <f>vlookup(A303,Price!A:B,2,false)</f>
        <v>#N/A</v>
      </c>
      <c r="C303" s="198"/>
      <c r="D303" s="198"/>
      <c r="E303" s="198"/>
      <c r="F303" s="198"/>
      <c r="G303" s="198"/>
      <c r="H303" s="198"/>
      <c r="I303" s="198"/>
      <c r="J303" s="198"/>
      <c r="K303" s="198"/>
      <c r="L303" s="198"/>
    </row>
    <row r="304">
      <c r="A304" s="198"/>
      <c r="B304" s="208" t="str">
        <f>vlookup(A304,Price!A:B,2,false)</f>
        <v>#N/A</v>
      </c>
      <c r="C304" s="198"/>
      <c r="D304" s="198"/>
      <c r="E304" s="198"/>
      <c r="F304" s="198"/>
      <c r="G304" s="198"/>
      <c r="H304" s="198"/>
      <c r="I304" s="198"/>
      <c r="J304" s="198"/>
      <c r="K304" s="198"/>
      <c r="L304" s="198"/>
    </row>
    <row r="305">
      <c r="A305" s="198"/>
      <c r="B305" s="208" t="str">
        <f>vlookup(A305,Price!A:B,2,false)</f>
        <v>#N/A</v>
      </c>
      <c r="C305" s="198"/>
      <c r="D305" s="198"/>
      <c r="E305" s="198"/>
      <c r="F305" s="198"/>
      <c r="G305" s="198"/>
      <c r="H305" s="198"/>
      <c r="I305" s="198"/>
      <c r="J305" s="198"/>
      <c r="K305" s="198"/>
      <c r="L305" s="198"/>
    </row>
    <row r="306">
      <c r="A306" s="198"/>
      <c r="B306" s="208" t="str">
        <f>vlookup(A306,Price!A:B,2,false)</f>
        <v>#N/A</v>
      </c>
      <c r="C306" s="198"/>
      <c r="D306" s="198"/>
      <c r="E306" s="198"/>
      <c r="F306" s="198"/>
      <c r="G306" s="198"/>
      <c r="H306" s="198"/>
      <c r="I306" s="198"/>
      <c r="J306" s="198"/>
      <c r="K306" s="198"/>
      <c r="L306" s="198"/>
    </row>
    <row r="307">
      <c r="A307" s="198"/>
      <c r="B307" s="208" t="str">
        <f>vlookup(A307,Price!A:B,2,false)</f>
        <v>#N/A</v>
      </c>
      <c r="C307" s="198"/>
      <c r="D307" s="198"/>
      <c r="E307" s="198"/>
      <c r="F307" s="198"/>
      <c r="G307" s="198"/>
      <c r="H307" s="198"/>
      <c r="I307" s="198"/>
      <c r="J307" s="198"/>
      <c r="K307" s="198"/>
      <c r="L307" s="198"/>
    </row>
    <row r="308">
      <c r="A308" s="198"/>
      <c r="B308" s="208" t="str">
        <f>vlookup(A308,Price!A:B,2,false)</f>
        <v>#N/A</v>
      </c>
      <c r="C308" s="198"/>
      <c r="D308" s="198"/>
      <c r="E308" s="198"/>
      <c r="F308" s="198"/>
      <c r="G308" s="198"/>
      <c r="H308" s="198"/>
      <c r="I308" s="198"/>
      <c r="J308" s="198"/>
      <c r="K308" s="198"/>
      <c r="L308" s="198"/>
    </row>
    <row r="309">
      <c r="A309" s="198"/>
      <c r="B309" s="208" t="str">
        <f>vlookup(A309,Price!A:B,2,false)</f>
        <v>#N/A</v>
      </c>
      <c r="C309" s="198"/>
      <c r="D309" s="198"/>
      <c r="E309" s="198"/>
      <c r="F309" s="198"/>
      <c r="G309" s="198"/>
      <c r="H309" s="198"/>
      <c r="I309" s="198"/>
      <c r="J309" s="198"/>
      <c r="K309" s="198"/>
      <c r="L309" s="198"/>
    </row>
    <row r="310">
      <c r="A310" s="198"/>
      <c r="B310" s="208" t="str">
        <f>vlookup(A310,Price!A:B,2,false)</f>
        <v>#N/A</v>
      </c>
      <c r="C310" s="198"/>
      <c r="D310" s="198"/>
      <c r="E310" s="198"/>
      <c r="F310" s="198"/>
      <c r="G310" s="198"/>
      <c r="H310" s="198"/>
      <c r="I310" s="198"/>
      <c r="J310" s="198"/>
      <c r="K310" s="198"/>
      <c r="L310" s="198"/>
    </row>
    <row r="311">
      <c r="A311" s="198"/>
      <c r="B311" s="208" t="str">
        <f>vlookup(A311,Price!A:B,2,false)</f>
        <v>#N/A</v>
      </c>
      <c r="C311" s="198"/>
      <c r="D311" s="198"/>
      <c r="E311" s="198"/>
      <c r="F311" s="198"/>
      <c r="G311" s="198"/>
      <c r="H311" s="198"/>
      <c r="I311" s="198"/>
      <c r="J311" s="198"/>
      <c r="K311" s="198"/>
      <c r="L311" s="198"/>
    </row>
    <row r="312">
      <c r="A312" s="198"/>
      <c r="B312" s="208" t="str">
        <f>vlookup(A312,Price!A:B,2,false)</f>
        <v>#N/A</v>
      </c>
      <c r="C312" s="198"/>
      <c r="D312" s="198"/>
      <c r="E312" s="198"/>
      <c r="F312" s="198"/>
      <c r="G312" s="198"/>
      <c r="H312" s="198"/>
      <c r="I312" s="198"/>
      <c r="J312" s="198"/>
      <c r="K312" s="198"/>
      <c r="L312" s="198"/>
    </row>
    <row r="313">
      <c r="A313" s="198"/>
      <c r="B313" s="208" t="str">
        <f>vlookup(A313,Price!A:B,2,false)</f>
        <v>#N/A</v>
      </c>
      <c r="C313" s="198"/>
      <c r="D313" s="198"/>
      <c r="E313" s="198"/>
      <c r="F313" s="198"/>
      <c r="G313" s="198"/>
      <c r="H313" s="198"/>
      <c r="I313" s="198"/>
      <c r="J313" s="198"/>
      <c r="K313" s="198"/>
      <c r="L313" s="198"/>
    </row>
    <row r="314">
      <c r="A314" s="198"/>
      <c r="B314" s="208" t="str">
        <f>vlookup(A314,Price!A:B,2,false)</f>
        <v>#N/A</v>
      </c>
      <c r="C314" s="198"/>
      <c r="D314" s="198"/>
      <c r="E314" s="198"/>
      <c r="F314" s="198"/>
      <c r="G314" s="198"/>
      <c r="H314" s="198"/>
      <c r="I314" s="198"/>
      <c r="J314" s="198"/>
      <c r="K314" s="198"/>
      <c r="L314" s="198"/>
    </row>
    <row r="315">
      <c r="A315" s="198"/>
      <c r="B315" s="208" t="str">
        <f>vlookup(A315,Price!A:B,2,false)</f>
        <v>#N/A</v>
      </c>
      <c r="C315" s="198"/>
      <c r="D315" s="198"/>
      <c r="E315" s="198"/>
      <c r="F315" s="198"/>
      <c r="G315" s="198"/>
      <c r="H315" s="198"/>
      <c r="I315" s="198"/>
      <c r="J315" s="198"/>
      <c r="K315" s="198"/>
      <c r="L315" s="198"/>
    </row>
    <row r="316">
      <c r="A316" s="198"/>
      <c r="B316" s="208" t="str">
        <f>vlookup(A316,Price!A:B,2,false)</f>
        <v>#N/A</v>
      </c>
      <c r="C316" s="198"/>
      <c r="D316" s="198"/>
      <c r="E316" s="198"/>
      <c r="F316" s="198"/>
      <c r="G316" s="198"/>
      <c r="H316" s="198"/>
      <c r="I316" s="198"/>
      <c r="J316" s="198"/>
      <c r="K316" s="198"/>
      <c r="L316" s="198"/>
    </row>
    <row r="317">
      <c r="A317" s="198"/>
      <c r="B317" s="208" t="str">
        <f>vlookup(A317,Price!A:B,2,false)</f>
        <v>#N/A</v>
      </c>
      <c r="C317" s="198"/>
      <c r="D317" s="198"/>
      <c r="E317" s="198"/>
      <c r="F317" s="198"/>
      <c r="G317" s="198"/>
      <c r="H317" s="198"/>
      <c r="I317" s="198"/>
      <c r="J317" s="198"/>
      <c r="K317" s="198"/>
      <c r="L317" s="198"/>
    </row>
    <row r="318">
      <c r="A318" s="198"/>
      <c r="B318" s="208" t="str">
        <f>vlookup(A318,Price!A:B,2,false)</f>
        <v>#N/A</v>
      </c>
      <c r="C318" s="198"/>
      <c r="D318" s="198"/>
      <c r="E318" s="198"/>
      <c r="F318" s="198"/>
      <c r="G318" s="198"/>
      <c r="H318" s="198"/>
      <c r="I318" s="198"/>
      <c r="J318" s="198"/>
      <c r="K318" s="198"/>
      <c r="L318" s="198"/>
    </row>
    <row r="319">
      <c r="A319" s="198"/>
      <c r="B319" s="208" t="str">
        <f>vlookup(A319,Price!A:B,2,false)</f>
        <v>#N/A</v>
      </c>
      <c r="C319" s="198"/>
      <c r="D319" s="198"/>
      <c r="E319" s="198"/>
      <c r="F319" s="198"/>
      <c r="G319" s="198"/>
      <c r="H319" s="198"/>
      <c r="I319" s="198"/>
      <c r="J319" s="198"/>
      <c r="K319" s="198"/>
      <c r="L319" s="198"/>
    </row>
    <row r="320">
      <c r="A320" s="198"/>
      <c r="B320" s="208" t="str">
        <f>vlookup(A320,Price!A:B,2,false)</f>
        <v>#N/A</v>
      </c>
      <c r="C320" s="198"/>
      <c r="D320" s="198"/>
      <c r="E320" s="198"/>
      <c r="F320" s="198"/>
      <c r="G320" s="198"/>
      <c r="H320" s="198"/>
      <c r="I320" s="198"/>
      <c r="J320" s="198"/>
      <c r="K320" s="198"/>
      <c r="L320" s="198"/>
    </row>
    <row r="321">
      <c r="A321" s="198"/>
      <c r="B321" s="208" t="str">
        <f>vlookup(A321,Price!A:B,2,false)</f>
        <v>#N/A</v>
      </c>
      <c r="C321" s="198"/>
      <c r="D321" s="198"/>
      <c r="E321" s="198"/>
      <c r="F321" s="198"/>
      <c r="G321" s="198"/>
      <c r="H321" s="198"/>
      <c r="I321" s="198"/>
      <c r="J321" s="198"/>
      <c r="K321" s="198"/>
      <c r="L321" s="198"/>
    </row>
    <row r="322">
      <c r="A322" s="198"/>
      <c r="B322" s="208" t="str">
        <f>vlookup(A322,Price!A:B,2,false)</f>
        <v>#N/A</v>
      </c>
      <c r="C322" s="198"/>
      <c r="D322" s="198"/>
      <c r="E322" s="198"/>
      <c r="F322" s="198"/>
      <c r="G322" s="198"/>
      <c r="H322" s="198"/>
      <c r="I322" s="198"/>
      <c r="J322" s="198"/>
      <c r="K322" s="198"/>
      <c r="L322" s="198"/>
    </row>
    <row r="323">
      <c r="A323" s="198"/>
      <c r="B323" s="208" t="str">
        <f>vlookup(A323,Price!A:B,2,false)</f>
        <v>#N/A</v>
      </c>
      <c r="C323" s="198"/>
      <c r="D323" s="198"/>
      <c r="E323" s="198"/>
      <c r="F323" s="198"/>
      <c r="G323" s="198"/>
      <c r="H323" s="198"/>
      <c r="I323" s="198"/>
      <c r="J323" s="198"/>
      <c r="K323" s="198"/>
      <c r="L323" s="198"/>
    </row>
    <row r="324">
      <c r="A324" s="198"/>
      <c r="B324" s="208" t="str">
        <f>vlookup(A324,Price!A:B,2,false)</f>
        <v>#N/A</v>
      </c>
      <c r="C324" s="198"/>
      <c r="D324" s="198"/>
      <c r="E324" s="198"/>
      <c r="F324" s="198"/>
      <c r="G324" s="198"/>
      <c r="H324" s="198"/>
      <c r="I324" s="198"/>
      <c r="J324" s="198"/>
      <c r="K324" s="198"/>
      <c r="L324" s="198"/>
    </row>
    <row r="325">
      <c r="A325" s="198"/>
      <c r="B325" s="208" t="str">
        <f>vlookup(A325,Price!A:B,2,false)</f>
        <v>#N/A</v>
      </c>
      <c r="C325" s="198"/>
      <c r="D325" s="198"/>
      <c r="E325" s="198"/>
      <c r="F325" s="198"/>
      <c r="G325" s="198"/>
      <c r="H325" s="198"/>
      <c r="I325" s="198"/>
      <c r="J325" s="198"/>
      <c r="K325" s="198"/>
      <c r="L325" s="198"/>
    </row>
    <row r="326">
      <c r="A326" s="198"/>
      <c r="B326" s="208" t="str">
        <f>vlookup(A326,Price!A:B,2,false)</f>
        <v>#N/A</v>
      </c>
      <c r="C326" s="198"/>
      <c r="D326" s="198"/>
      <c r="E326" s="198"/>
      <c r="F326" s="198"/>
      <c r="G326" s="198"/>
      <c r="H326" s="198"/>
      <c r="I326" s="198"/>
      <c r="J326" s="198"/>
      <c r="K326" s="198"/>
      <c r="L326" s="198"/>
    </row>
    <row r="327">
      <c r="A327" s="198"/>
      <c r="B327" s="208" t="str">
        <f>vlookup(A327,Price!A:B,2,false)</f>
        <v>#N/A</v>
      </c>
      <c r="C327" s="198"/>
      <c r="D327" s="198"/>
      <c r="E327" s="198"/>
      <c r="F327" s="198"/>
      <c r="G327" s="198"/>
      <c r="H327" s="198"/>
      <c r="I327" s="198"/>
      <c r="J327" s="198"/>
      <c r="K327" s="198"/>
      <c r="L327" s="198"/>
    </row>
    <row r="328">
      <c r="A328" s="198"/>
      <c r="B328" s="208" t="str">
        <f>vlookup(A328,Price!A:B,2,false)</f>
        <v>#N/A</v>
      </c>
      <c r="C328" s="198"/>
      <c r="D328" s="198"/>
      <c r="E328" s="198"/>
      <c r="F328" s="198"/>
      <c r="G328" s="198"/>
      <c r="H328" s="198"/>
      <c r="I328" s="198"/>
      <c r="J328" s="198"/>
      <c r="K328" s="198"/>
      <c r="L328" s="198"/>
    </row>
    <row r="329">
      <c r="A329" s="198"/>
      <c r="B329" s="208" t="str">
        <f>vlookup(A329,Price!A:B,2,false)</f>
        <v>#N/A</v>
      </c>
      <c r="C329" s="198"/>
      <c r="D329" s="198"/>
      <c r="E329" s="198"/>
      <c r="F329" s="198"/>
      <c r="G329" s="198"/>
      <c r="H329" s="198"/>
      <c r="I329" s="198"/>
      <c r="J329" s="198"/>
      <c r="K329" s="198"/>
      <c r="L329" s="198"/>
    </row>
    <row r="330">
      <c r="A330" s="198"/>
      <c r="B330" s="208" t="str">
        <f>vlookup(A330,Price!A:B,2,false)</f>
        <v>#N/A</v>
      </c>
      <c r="C330" s="198"/>
      <c r="D330" s="198"/>
      <c r="E330" s="198"/>
      <c r="F330" s="198"/>
      <c r="G330" s="198"/>
      <c r="H330" s="198"/>
      <c r="I330" s="198"/>
      <c r="J330" s="198"/>
      <c r="K330" s="198"/>
      <c r="L330" s="198"/>
    </row>
    <row r="331">
      <c r="A331" s="198"/>
      <c r="B331" s="208" t="str">
        <f>vlookup(A331,Price!A:B,2,false)</f>
        <v>#N/A</v>
      </c>
      <c r="C331" s="198"/>
      <c r="D331" s="198"/>
      <c r="E331" s="198"/>
      <c r="F331" s="198"/>
      <c r="G331" s="198"/>
      <c r="H331" s="198"/>
      <c r="I331" s="198"/>
      <c r="J331" s="198"/>
      <c r="K331" s="198"/>
      <c r="L331" s="198"/>
    </row>
    <row r="332">
      <c r="A332" s="198"/>
      <c r="B332" s="208" t="str">
        <f>vlookup(A332,Price!A:B,2,false)</f>
        <v>#N/A</v>
      </c>
      <c r="C332" s="198"/>
      <c r="D332" s="198"/>
      <c r="E332" s="198"/>
      <c r="F332" s="198"/>
      <c r="G332" s="198"/>
      <c r="H332" s="198"/>
      <c r="I332" s="198"/>
      <c r="J332" s="198"/>
      <c r="K332" s="198"/>
      <c r="L332" s="198"/>
    </row>
    <row r="333">
      <c r="A333" s="198"/>
      <c r="B333" s="208" t="str">
        <f>vlookup(A333,Price!A:B,2,false)</f>
        <v>#N/A</v>
      </c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</row>
    <row r="334">
      <c r="A334" s="198"/>
      <c r="B334" s="208" t="str">
        <f>vlookup(A334,Price!A:B,2,false)</f>
        <v>#N/A</v>
      </c>
      <c r="C334" s="198"/>
      <c r="D334" s="198"/>
      <c r="E334" s="198"/>
      <c r="F334" s="198"/>
      <c r="G334" s="198"/>
      <c r="H334" s="198"/>
      <c r="I334" s="198"/>
      <c r="J334" s="198"/>
      <c r="K334" s="198"/>
      <c r="L334" s="198"/>
    </row>
    <row r="335">
      <c r="A335" s="198"/>
      <c r="B335" s="208" t="str">
        <f>vlookup(A335,Price!A:B,2,false)</f>
        <v>#N/A</v>
      </c>
      <c r="C335" s="198"/>
      <c r="D335" s="198"/>
      <c r="E335" s="198"/>
      <c r="F335" s="198"/>
      <c r="G335" s="198"/>
      <c r="H335" s="198"/>
      <c r="I335" s="198"/>
      <c r="J335" s="198"/>
      <c r="K335" s="198"/>
      <c r="L335" s="198"/>
    </row>
    <row r="336">
      <c r="A336" s="198"/>
      <c r="B336" s="208" t="str">
        <f>vlookup(A336,Price!A:B,2,false)</f>
        <v>#N/A</v>
      </c>
      <c r="C336" s="198"/>
      <c r="D336" s="198"/>
      <c r="E336" s="198"/>
      <c r="F336" s="198"/>
      <c r="G336" s="198"/>
      <c r="H336" s="198"/>
      <c r="I336" s="198"/>
      <c r="J336" s="198"/>
      <c r="K336" s="198"/>
      <c r="L336" s="198"/>
    </row>
    <row r="337">
      <c r="A337" s="198"/>
      <c r="B337" s="208" t="str">
        <f>vlookup(A337,Price!A:B,2,false)</f>
        <v>#N/A</v>
      </c>
      <c r="C337" s="198"/>
      <c r="D337" s="198"/>
      <c r="E337" s="198"/>
      <c r="F337" s="198"/>
      <c r="G337" s="198"/>
      <c r="H337" s="198"/>
      <c r="I337" s="198"/>
      <c r="J337" s="198"/>
      <c r="K337" s="198"/>
      <c r="L337" s="198"/>
    </row>
    <row r="338">
      <c r="A338" s="198"/>
      <c r="B338" s="208" t="str">
        <f>vlookup(A338,Price!A:B,2,false)</f>
        <v>#N/A</v>
      </c>
      <c r="C338" s="198"/>
      <c r="D338" s="198"/>
      <c r="E338" s="198"/>
      <c r="F338" s="198"/>
      <c r="G338" s="198"/>
      <c r="H338" s="198"/>
      <c r="I338" s="198"/>
      <c r="J338" s="198"/>
      <c r="K338" s="198"/>
      <c r="L338" s="198"/>
    </row>
    <row r="339">
      <c r="A339" s="198"/>
      <c r="B339" s="208" t="str">
        <f>vlookup(A339,Price!A:B,2,false)</f>
        <v>#N/A</v>
      </c>
      <c r="C339" s="198"/>
      <c r="D339" s="198"/>
      <c r="E339" s="198"/>
      <c r="F339" s="198"/>
      <c r="G339" s="198"/>
      <c r="H339" s="198"/>
      <c r="I339" s="198"/>
      <c r="J339" s="198"/>
      <c r="K339" s="198"/>
      <c r="L339" s="198"/>
    </row>
    <row r="340">
      <c r="A340" s="198"/>
      <c r="B340" s="208" t="str">
        <f>vlookup(A340,Price!A:B,2,false)</f>
        <v>#N/A</v>
      </c>
      <c r="C340" s="198"/>
      <c r="D340" s="198"/>
      <c r="E340" s="198"/>
      <c r="F340" s="198"/>
      <c r="G340" s="198"/>
      <c r="H340" s="198"/>
      <c r="I340" s="198"/>
      <c r="J340" s="198"/>
      <c r="K340" s="198"/>
      <c r="L340" s="198"/>
    </row>
    <row r="341">
      <c r="A341" s="198"/>
      <c r="B341" s="208" t="str">
        <f>vlookup(A341,Price!A:B,2,false)</f>
        <v>#N/A</v>
      </c>
      <c r="C341" s="198"/>
      <c r="D341" s="198"/>
      <c r="E341" s="198"/>
      <c r="F341" s="198"/>
      <c r="G341" s="198"/>
      <c r="H341" s="198"/>
      <c r="I341" s="198"/>
      <c r="J341" s="198"/>
      <c r="K341" s="198"/>
      <c r="L341" s="198"/>
    </row>
    <row r="342">
      <c r="A342" s="198"/>
      <c r="B342" s="208" t="str">
        <f>vlookup(A342,Price!A:B,2,false)</f>
        <v>#N/A</v>
      </c>
      <c r="C342" s="198"/>
      <c r="D342" s="198"/>
      <c r="E342" s="198"/>
      <c r="F342" s="198"/>
      <c r="G342" s="198"/>
      <c r="H342" s="198"/>
      <c r="I342" s="198"/>
      <c r="J342" s="198"/>
      <c r="K342" s="198"/>
      <c r="L342" s="198"/>
    </row>
    <row r="343">
      <c r="A343" s="198"/>
      <c r="B343" s="208" t="str">
        <f>vlookup(A343,Price!A:B,2,false)</f>
        <v>#N/A</v>
      </c>
      <c r="C343" s="198"/>
      <c r="D343" s="198"/>
      <c r="E343" s="198"/>
      <c r="F343" s="198"/>
      <c r="G343" s="198"/>
      <c r="H343" s="198"/>
      <c r="I343" s="198"/>
      <c r="J343" s="198"/>
      <c r="K343" s="198"/>
      <c r="L343" s="198"/>
    </row>
    <row r="344">
      <c r="A344" s="198"/>
      <c r="B344" s="208" t="str">
        <f>vlookup(A344,Price!A:B,2,false)</f>
        <v>#N/A</v>
      </c>
      <c r="C344" s="198"/>
      <c r="D344" s="198"/>
      <c r="E344" s="198"/>
      <c r="F344" s="198"/>
      <c r="G344" s="198"/>
      <c r="H344" s="198"/>
      <c r="I344" s="198"/>
      <c r="J344" s="198"/>
      <c r="K344" s="198"/>
      <c r="L344" s="198"/>
    </row>
    <row r="345">
      <c r="A345" s="198"/>
      <c r="B345" s="208" t="str">
        <f>vlookup(A345,Price!A:B,2,false)</f>
        <v>#N/A</v>
      </c>
      <c r="C345" s="198"/>
      <c r="D345" s="198"/>
      <c r="E345" s="198"/>
      <c r="F345" s="198"/>
      <c r="G345" s="198"/>
      <c r="H345" s="198"/>
      <c r="I345" s="198"/>
      <c r="J345" s="198"/>
      <c r="K345" s="198"/>
      <c r="L345" s="198"/>
    </row>
    <row r="346">
      <c r="A346" s="198"/>
      <c r="B346" s="208" t="str">
        <f>vlookup(A346,Price!A:B,2,false)</f>
        <v>#N/A</v>
      </c>
      <c r="C346" s="198"/>
      <c r="D346" s="198"/>
      <c r="E346" s="198"/>
      <c r="F346" s="198"/>
      <c r="G346" s="198"/>
      <c r="H346" s="198"/>
      <c r="I346" s="198"/>
      <c r="J346" s="198"/>
      <c r="K346" s="198"/>
      <c r="L346" s="198"/>
    </row>
    <row r="347">
      <c r="A347" s="198"/>
      <c r="B347" s="208" t="str">
        <f>vlookup(A347,Price!A:B,2,false)</f>
        <v>#N/A</v>
      </c>
      <c r="C347" s="198"/>
      <c r="D347" s="198"/>
      <c r="E347" s="198"/>
      <c r="F347" s="198"/>
      <c r="G347" s="198"/>
      <c r="H347" s="198"/>
      <c r="I347" s="198"/>
      <c r="J347" s="198"/>
      <c r="K347" s="198"/>
      <c r="L347" s="198"/>
    </row>
    <row r="348">
      <c r="A348" s="198"/>
      <c r="B348" s="208" t="str">
        <f>vlookup(A348,Price!A:B,2,false)</f>
        <v>#N/A</v>
      </c>
      <c r="C348" s="198"/>
      <c r="D348" s="198"/>
      <c r="E348" s="198"/>
      <c r="F348" s="198"/>
      <c r="G348" s="198"/>
      <c r="H348" s="198"/>
      <c r="I348" s="198"/>
      <c r="J348" s="198"/>
      <c r="K348" s="198"/>
      <c r="L348" s="198"/>
    </row>
    <row r="349">
      <c r="A349" s="198"/>
      <c r="B349" s="208" t="str">
        <f>vlookup(A349,Price!A:B,2,false)</f>
        <v>#N/A</v>
      </c>
      <c r="C349" s="198"/>
      <c r="D349" s="198"/>
      <c r="E349" s="198"/>
      <c r="F349" s="198"/>
      <c r="G349" s="198"/>
      <c r="H349" s="198"/>
      <c r="I349" s="198"/>
      <c r="J349" s="198"/>
      <c r="K349" s="198"/>
      <c r="L349" s="198"/>
    </row>
    <row r="350">
      <c r="A350" s="198"/>
      <c r="B350" s="208" t="str">
        <f>vlookup(A350,Price!A:B,2,false)</f>
        <v>#N/A</v>
      </c>
      <c r="C350" s="198"/>
      <c r="D350" s="198"/>
      <c r="E350" s="198"/>
      <c r="F350" s="198"/>
      <c r="G350" s="198"/>
      <c r="H350" s="198"/>
      <c r="I350" s="198"/>
      <c r="J350" s="198"/>
      <c r="K350" s="198"/>
      <c r="L350" s="198"/>
    </row>
    <row r="351">
      <c r="A351" s="198"/>
      <c r="B351" s="208" t="str">
        <f>vlookup(A351,Price!A:B,2,false)</f>
        <v>#N/A</v>
      </c>
      <c r="C351" s="198"/>
      <c r="D351" s="198"/>
      <c r="E351" s="198"/>
      <c r="F351" s="198"/>
      <c r="G351" s="198"/>
      <c r="H351" s="198"/>
      <c r="I351" s="198"/>
      <c r="J351" s="198"/>
      <c r="K351" s="198"/>
      <c r="L351" s="198"/>
    </row>
    <row r="352">
      <c r="A352" s="198"/>
      <c r="B352" s="208" t="str">
        <f>vlookup(A352,Price!A:B,2,false)</f>
        <v>#N/A</v>
      </c>
      <c r="C352" s="198"/>
      <c r="D352" s="198"/>
      <c r="E352" s="198"/>
      <c r="F352" s="198"/>
      <c r="G352" s="198"/>
      <c r="H352" s="198"/>
      <c r="I352" s="198"/>
      <c r="J352" s="198"/>
      <c r="K352" s="198"/>
      <c r="L352" s="198"/>
    </row>
    <row r="353">
      <c r="A353" s="198"/>
      <c r="B353" s="208" t="str">
        <f>vlookup(A353,Price!A:B,2,false)</f>
        <v>#N/A</v>
      </c>
      <c r="C353" s="198"/>
      <c r="D353" s="198"/>
      <c r="E353" s="198"/>
      <c r="F353" s="198"/>
      <c r="G353" s="198"/>
      <c r="H353" s="198"/>
      <c r="I353" s="198"/>
      <c r="J353" s="198"/>
      <c r="K353" s="198"/>
      <c r="L353" s="198"/>
    </row>
    <row r="354">
      <c r="A354" s="198"/>
      <c r="B354" s="208" t="str">
        <f>vlookup(A354,Price!A:B,2,false)</f>
        <v>#N/A</v>
      </c>
      <c r="C354" s="198"/>
      <c r="D354" s="198"/>
      <c r="E354" s="198"/>
      <c r="F354" s="198"/>
      <c r="G354" s="198"/>
      <c r="H354" s="198"/>
      <c r="I354" s="198"/>
      <c r="J354" s="198"/>
      <c r="K354" s="198"/>
      <c r="L354" s="198"/>
    </row>
    <row r="355">
      <c r="A355" s="198"/>
      <c r="B355" s="208" t="str">
        <f>vlookup(A355,Price!A:B,2,false)</f>
        <v>#N/A</v>
      </c>
      <c r="C355" s="198"/>
      <c r="D355" s="198"/>
      <c r="E355" s="198"/>
      <c r="F355" s="198"/>
      <c r="G355" s="198"/>
      <c r="H355" s="198"/>
      <c r="I355" s="198"/>
      <c r="J355" s="198"/>
      <c r="K355" s="198"/>
      <c r="L355" s="198"/>
    </row>
    <row r="356">
      <c r="A356" s="198"/>
      <c r="B356" s="208" t="str">
        <f>vlookup(A356,Price!A:B,2,false)</f>
        <v>#N/A</v>
      </c>
      <c r="C356" s="198"/>
      <c r="D356" s="198"/>
      <c r="E356" s="198"/>
      <c r="F356" s="198"/>
      <c r="G356" s="198"/>
      <c r="H356" s="198"/>
      <c r="I356" s="198"/>
      <c r="J356" s="198"/>
      <c r="K356" s="198"/>
      <c r="L356" s="198"/>
    </row>
    <row r="357">
      <c r="A357" s="198"/>
      <c r="B357" s="208" t="str">
        <f>vlookup(A357,Price!A:B,2,false)</f>
        <v>#N/A</v>
      </c>
      <c r="C357" s="198"/>
      <c r="D357" s="198"/>
      <c r="E357" s="198"/>
      <c r="F357" s="198"/>
      <c r="G357" s="198"/>
      <c r="H357" s="198"/>
      <c r="I357" s="198"/>
      <c r="J357" s="198"/>
      <c r="K357" s="198"/>
      <c r="L357" s="198"/>
    </row>
    <row r="358">
      <c r="A358" s="198"/>
      <c r="B358" s="208" t="str">
        <f>vlookup(A358,Price!A:B,2,false)</f>
        <v>#N/A</v>
      </c>
      <c r="C358" s="198"/>
      <c r="D358" s="198"/>
      <c r="E358" s="198"/>
      <c r="F358" s="198"/>
      <c r="G358" s="198"/>
      <c r="H358" s="198"/>
      <c r="I358" s="198"/>
      <c r="J358" s="198"/>
      <c r="K358" s="198"/>
      <c r="L358" s="198"/>
    </row>
    <row r="359">
      <c r="A359" s="198"/>
      <c r="B359" s="208" t="str">
        <f>vlookup(A359,Price!A:B,2,false)</f>
        <v>#N/A</v>
      </c>
      <c r="C359" s="198"/>
      <c r="D359" s="198"/>
      <c r="E359" s="198"/>
      <c r="F359" s="198"/>
      <c r="G359" s="198"/>
      <c r="H359" s="198"/>
      <c r="I359" s="198"/>
      <c r="J359" s="198"/>
      <c r="K359" s="198"/>
      <c r="L359" s="198"/>
    </row>
    <row r="360">
      <c r="A360" s="198"/>
      <c r="B360" s="208" t="str">
        <f>vlookup(A360,Price!A:B,2,false)</f>
        <v>#N/A</v>
      </c>
      <c r="C360" s="198"/>
      <c r="D360" s="198"/>
      <c r="E360" s="198"/>
      <c r="F360" s="198"/>
      <c r="G360" s="198"/>
      <c r="H360" s="198"/>
      <c r="I360" s="198"/>
      <c r="J360" s="198"/>
      <c r="K360" s="198"/>
      <c r="L360" s="198"/>
    </row>
    <row r="361">
      <c r="A361" s="198"/>
      <c r="B361" s="208" t="str">
        <f>vlookup(A361,Price!A:B,2,false)</f>
        <v>#N/A</v>
      </c>
      <c r="C361" s="198"/>
      <c r="D361" s="198"/>
      <c r="E361" s="198"/>
      <c r="F361" s="198"/>
      <c r="G361" s="198"/>
      <c r="H361" s="198"/>
      <c r="I361" s="198"/>
      <c r="J361" s="198"/>
      <c r="K361" s="198"/>
      <c r="L361" s="198"/>
    </row>
    <row r="362">
      <c r="A362" s="198"/>
      <c r="B362" s="208" t="str">
        <f>vlookup(A362,Price!A:B,2,false)</f>
        <v>#N/A</v>
      </c>
      <c r="C362" s="198"/>
      <c r="D362" s="198"/>
      <c r="E362" s="198"/>
      <c r="F362" s="198"/>
      <c r="G362" s="198"/>
      <c r="H362" s="198"/>
      <c r="I362" s="198"/>
      <c r="J362" s="198"/>
      <c r="K362" s="198"/>
      <c r="L362" s="198"/>
    </row>
    <row r="363">
      <c r="A363" s="198"/>
      <c r="B363" s="208" t="str">
        <f>vlookup(A363,Price!A:B,2,false)</f>
        <v>#N/A</v>
      </c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</row>
    <row r="364">
      <c r="A364" s="198"/>
      <c r="B364" s="208" t="str">
        <f>vlookup(A364,Price!A:B,2,false)</f>
        <v>#N/A</v>
      </c>
      <c r="C364" s="198"/>
      <c r="D364" s="198"/>
      <c r="E364" s="198"/>
      <c r="F364" s="198"/>
      <c r="G364" s="198"/>
      <c r="H364" s="198"/>
      <c r="I364" s="198"/>
      <c r="J364" s="198"/>
      <c r="K364" s="198"/>
      <c r="L364" s="198"/>
    </row>
    <row r="365">
      <c r="A365" s="198"/>
      <c r="B365" s="208" t="str">
        <f>vlookup(A365,Price!A:B,2,false)</f>
        <v>#N/A</v>
      </c>
      <c r="C365" s="198"/>
      <c r="D365" s="198"/>
      <c r="E365" s="198"/>
      <c r="F365" s="198"/>
      <c r="G365" s="198"/>
      <c r="H365" s="198"/>
      <c r="I365" s="198"/>
      <c r="J365" s="198"/>
      <c r="K365" s="198"/>
      <c r="L365" s="198"/>
    </row>
    <row r="366">
      <c r="A366" s="198"/>
      <c r="B366" s="208" t="str">
        <f>vlookup(A366,Price!A:B,2,false)</f>
        <v>#N/A</v>
      </c>
      <c r="C366" s="198"/>
      <c r="D366" s="198"/>
      <c r="E366" s="198"/>
      <c r="F366" s="198"/>
      <c r="G366" s="198"/>
      <c r="H366" s="198"/>
      <c r="I366" s="198"/>
      <c r="J366" s="198"/>
      <c r="K366" s="198"/>
      <c r="L366" s="198"/>
    </row>
    <row r="367">
      <c r="A367" s="198"/>
      <c r="B367" s="208" t="str">
        <f>vlookup(A367,Price!A:B,2,false)</f>
        <v>#N/A</v>
      </c>
      <c r="C367" s="198"/>
      <c r="D367" s="198"/>
      <c r="E367" s="198"/>
      <c r="F367" s="198"/>
      <c r="G367" s="198"/>
      <c r="H367" s="198"/>
      <c r="I367" s="198"/>
      <c r="J367" s="198"/>
      <c r="K367" s="198"/>
      <c r="L367" s="198"/>
    </row>
    <row r="368">
      <c r="A368" s="198"/>
      <c r="B368" s="208" t="str">
        <f>vlookup(A368,Price!A:B,2,false)</f>
        <v>#N/A</v>
      </c>
      <c r="C368" s="198"/>
      <c r="D368" s="198"/>
      <c r="E368" s="198"/>
      <c r="F368" s="198"/>
      <c r="G368" s="198"/>
      <c r="H368" s="198"/>
      <c r="I368" s="198"/>
      <c r="J368" s="198"/>
      <c r="K368" s="198"/>
      <c r="L368" s="198"/>
    </row>
    <row r="369">
      <c r="A369" s="198"/>
      <c r="B369" s="208" t="str">
        <f>vlookup(A369,Price!A:B,2,false)</f>
        <v>#N/A</v>
      </c>
      <c r="C369" s="198"/>
      <c r="D369" s="198"/>
      <c r="E369" s="198"/>
      <c r="F369" s="198"/>
      <c r="G369" s="198"/>
      <c r="H369" s="198"/>
      <c r="I369" s="198"/>
      <c r="J369" s="198"/>
      <c r="K369" s="198"/>
      <c r="L369" s="198"/>
    </row>
    <row r="370">
      <c r="A370" s="198"/>
      <c r="B370" s="208" t="str">
        <f>vlookup(A370,Price!A:B,2,false)</f>
        <v>#N/A</v>
      </c>
      <c r="C370" s="198"/>
      <c r="D370" s="198"/>
      <c r="E370" s="198"/>
      <c r="F370" s="198"/>
      <c r="G370" s="198"/>
      <c r="H370" s="198"/>
      <c r="I370" s="198"/>
      <c r="J370" s="198"/>
      <c r="K370" s="198"/>
      <c r="L370" s="198"/>
    </row>
    <row r="371">
      <c r="A371" s="198"/>
      <c r="B371" s="208" t="str">
        <f>vlookup(A371,Price!A:B,2,false)</f>
        <v>#N/A</v>
      </c>
      <c r="C371" s="198"/>
      <c r="D371" s="198"/>
      <c r="E371" s="198"/>
      <c r="F371" s="198"/>
      <c r="G371" s="198"/>
      <c r="H371" s="198"/>
      <c r="I371" s="198"/>
      <c r="J371" s="198"/>
      <c r="K371" s="198"/>
      <c r="L371" s="198"/>
    </row>
    <row r="372">
      <c r="A372" s="198"/>
      <c r="B372" s="208" t="str">
        <f>vlookup(A372,Price!A:B,2,false)</f>
        <v>#N/A</v>
      </c>
      <c r="C372" s="198"/>
      <c r="D372" s="198"/>
      <c r="E372" s="198"/>
      <c r="F372" s="198"/>
      <c r="G372" s="198"/>
      <c r="H372" s="198"/>
      <c r="I372" s="198"/>
      <c r="J372" s="198"/>
      <c r="K372" s="198"/>
      <c r="L372" s="198"/>
    </row>
    <row r="373">
      <c r="A373" s="198"/>
      <c r="B373" s="208" t="str">
        <f>vlookup(A373,Price!A:B,2,false)</f>
        <v>#N/A</v>
      </c>
      <c r="C373" s="198"/>
      <c r="D373" s="198"/>
      <c r="E373" s="198"/>
      <c r="F373" s="198"/>
      <c r="G373" s="198"/>
      <c r="H373" s="198"/>
      <c r="I373" s="198"/>
      <c r="J373" s="198"/>
      <c r="K373" s="198"/>
      <c r="L373" s="198"/>
    </row>
    <row r="374">
      <c r="A374" s="198"/>
      <c r="B374" s="208" t="str">
        <f>vlookup(A374,Price!A:B,2,false)</f>
        <v>#N/A</v>
      </c>
      <c r="C374" s="198"/>
      <c r="D374" s="198"/>
      <c r="E374" s="198"/>
      <c r="F374" s="198"/>
      <c r="G374" s="198"/>
      <c r="H374" s="198"/>
      <c r="I374" s="198"/>
      <c r="J374" s="198"/>
      <c r="K374" s="198"/>
      <c r="L374" s="198"/>
    </row>
    <row r="375">
      <c r="A375" s="198"/>
      <c r="B375" s="208" t="str">
        <f>vlookup(A375,Price!A:B,2,false)</f>
        <v>#N/A</v>
      </c>
      <c r="C375" s="198"/>
      <c r="D375" s="198"/>
      <c r="E375" s="198"/>
      <c r="F375" s="198"/>
      <c r="G375" s="198"/>
      <c r="H375" s="198"/>
      <c r="I375" s="198"/>
      <c r="J375" s="198"/>
      <c r="K375" s="198"/>
      <c r="L375" s="198"/>
    </row>
    <row r="376">
      <c r="A376" s="198"/>
      <c r="B376" s="208" t="str">
        <f>vlookup(A376,Price!A:B,2,false)</f>
        <v>#N/A</v>
      </c>
      <c r="C376" s="198"/>
      <c r="D376" s="198"/>
      <c r="E376" s="198"/>
      <c r="F376" s="198"/>
      <c r="G376" s="198"/>
      <c r="H376" s="198"/>
      <c r="I376" s="198"/>
      <c r="J376" s="198"/>
      <c r="K376" s="198"/>
      <c r="L376" s="198"/>
    </row>
    <row r="377">
      <c r="A377" s="198"/>
      <c r="B377" s="208" t="str">
        <f>vlookup(A377,Price!A:B,2,false)</f>
        <v>#N/A</v>
      </c>
      <c r="C377" s="198"/>
      <c r="D377" s="198"/>
      <c r="E377" s="198"/>
      <c r="F377" s="198"/>
      <c r="G377" s="198"/>
      <c r="H377" s="198"/>
      <c r="I377" s="198"/>
      <c r="J377" s="198"/>
      <c r="K377" s="198"/>
      <c r="L377" s="198"/>
    </row>
    <row r="378">
      <c r="A378" s="198"/>
      <c r="B378" s="208" t="str">
        <f>vlookup(A378,Price!A:B,2,false)</f>
        <v>#N/A</v>
      </c>
      <c r="C378" s="198"/>
      <c r="D378" s="198"/>
      <c r="E378" s="198"/>
      <c r="F378" s="198"/>
      <c r="G378" s="198"/>
      <c r="H378" s="198"/>
      <c r="I378" s="198"/>
      <c r="J378" s="198"/>
      <c r="K378" s="198"/>
      <c r="L378" s="198"/>
    </row>
    <row r="379">
      <c r="A379" s="198"/>
      <c r="B379" s="208" t="str">
        <f>vlookup(A379,Price!A:B,2,false)</f>
        <v>#N/A</v>
      </c>
      <c r="C379" s="198"/>
      <c r="D379" s="198"/>
      <c r="E379" s="198"/>
      <c r="F379" s="198"/>
      <c r="G379" s="198"/>
      <c r="H379" s="198"/>
      <c r="I379" s="198"/>
      <c r="J379" s="198"/>
      <c r="K379" s="198"/>
      <c r="L379" s="198"/>
    </row>
    <row r="380">
      <c r="A380" s="198"/>
      <c r="B380" s="208" t="str">
        <f>vlookup(A380,Price!A:B,2,false)</f>
        <v>#N/A</v>
      </c>
      <c r="C380" s="198"/>
      <c r="D380" s="198"/>
      <c r="E380" s="198"/>
      <c r="F380" s="198"/>
      <c r="G380" s="198"/>
      <c r="H380" s="198"/>
      <c r="I380" s="198"/>
      <c r="J380" s="198"/>
      <c r="K380" s="198"/>
      <c r="L380" s="198"/>
    </row>
    <row r="381">
      <c r="A381" s="198"/>
      <c r="B381" s="208" t="str">
        <f>vlookup(A381,Price!A:B,2,false)</f>
        <v>#N/A</v>
      </c>
      <c r="C381" s="198"/>
      <c r="D381" s="198"/>
      <c r="E381" s="198"/>
      <c r="F381" s="198"/>
      <c r="G381" s="198"/>
      <c r="H381" s="198"/>
      <c r="I381" s="198"/>
      <c r="J381" s="198"/>
      <c r="K381" s="198"/>
      <c r="L381" s="198"/>
    </row>
    <row r="382">
      <c r="A382" s="198"/>
      <c r="B382" s="208" t="str">
        <f>vlookup(A382,Price!A:B,2,false)</f>
        <v>#N/A</v>
      </c>
      <c r="C382" s="198"/>
      <c r="D382" s="198"/>
      <c r="E382" s="198"/>
      <c r="F382" s="198"/>
      <c r="G382" s="198"/>
      <c r="H382" s="198"/>
      <c r="I382" s="198"/>
      <c r="J382" s="198"/>
      <c r="K382" s="198"/>
      <c r="L382" s="198"/>
    </row>
    <row r="383">
      <c r="A383" s="198"/>
      <c r="B383" s="208" t="str">
        <f>vlookup(A383,Price!A:B,2,false)</f>
        <v>#N/A</v>
      </c>
      <c r="C383" s="198"/>
      <c r="D383" s="198"/>
      <c r="E383" s="198"/>
      <c r="F383" s="198"/>
      <c r="G383" s="198"/>
      <c r="H383" s="198"/>
      <c r="I383" s="198"/>
      <c r="J383" s="198"/>
      <c r="K383" s="198"/>
      <c r="L383" s="198"/>
    </row>
    <row r="384">
      <c r="A384" s="198"/>
      <c r="B384" s="208" t="str">
        <f>vlookup(A384,Price!A:B,2,false)</f>
        <v>#N/A</v>
      </c>
      <c r="C384" s="198"/>
      <c r="D384" s="198"/>
      <c r="E384" s="198"/>
      <c r="F384" s="198"/>
      <c r="G384" s="198"/>
      <c r="H384" s="198"/>
      <c r="I384" s="198"/>
      <c r="J384" s="198"/>
      <c r="K384" s="198"/>
      <c r="L384" s="198"/>
    </row>
    <row r="385">
      <c r="A385" s="198"/>
      <c r="B385" s="208" t="str">
        <f>vlookup(A385,Price!A:B,2,false)</f>
        <v>#N/A</v>
      </c>
      <c r="C385" s="198"/>
      <c r="D385" s="198"/>
      <c r="E385" s="198"/>
      <c r="F385" s="198"/>
      <c r="G385" s="198"/>
      <c r="H385" s="198"/>
      <c r="I385" s="198"/>
      <c r="J385" s="198"/>
      <c r="K385" s="198"/>
      <c r="L385" s="198"/>
    </row>
    <row r="386">
      <c r="A386" s="198"/>
      <c r="B386" s="208" t="str">
        <f>vlookup(A386,Price!A:B,2,false)</f>
        <v>#N/A</v>
      </c>
      <c r="C386" s="198"/>
      <c r="D386" s="198"/>
      <c r="E386" s="198"/>
      <c r="F386" s="198"/>
      <c r="G386" s="198"/>
      <c r="H386" s="198"/>
      <c r="I386" s="198"/>
      <c r="J386" s="198"/>
      <c r="K386" s="198"/>
      <c r="L386" s="198"/>
    </row>
    <row r="387">
      <c r="A387" s="198"/>
      <c r="B387" s="208" t="str">
        <f>vlookup(A387,Price!A:B,2,false)</f>
        <v>#N/A</v>
      </c>
      <c r="C387" s="198"/>
      <c r="D387" s="198"/>
      <c r="E387" s="198"/>
      <c r="F387" s="198"/>
      <c r="G387" s="198"/>
      <c r="H387" s="198"/>
      <c r="I387" s="198"/>
      <c r="J387" s="198"/>
      <c r="K387" s="198"/>
      <c r="L387" s="198"/>
    </row>
    <row r="388">
      <c r="A388" s="198"/>
      <c r="B388" s="208" t="str">
        <f>vlookup(A388,Price!A:B,2,false)</f>
        <v>#N/A</v>
      </c>
      <c r="C388" s="198"/>
      <c r="D388" s="198"/>
      <c r="E388" s="198"/>
      <c r="F388" s="198"/>
      <c r="G388" s="198"/>
      <c r="H388" s="198"/>
      <c r="I388" s="198"/>
      <c r="J388" s="198"/>
      <c r="K388" s="198"/>
      <c r="L388" s="198"/>
    </row>
    <row r="389">
      <c r="A389" s="198"/>
      <c r="B389" s="208" t="str">
        <f>vlookup(A389,Price!A:B,2,false)</f>
        <v>#N/A</v>
      </c>
      <c r="C389" s="198"/>
      <c r="D389" s="198"/>
      <c r="E389" s="198"/>
      <c r="F389" s="198"/>
      <c r="G389" s="198"/>
      <c r="H389" s="198"/>
      <c r="I389" s="198"/>
      <c r="J389" s="198"/>
      <c r="K389" s="198"/>
      <c r="L389" s="198"/>
    </row>
    <row r="390">
      <c r="A390" s="198"/>
      <c r="B390" s="208" t="str">
        <f>vlookup(A390,Price!A:B,2,false)</f>
        <v>#N/A</v>
      </c>
      <c r="C390" s="198"/>
      <c r="D390" s="198"/>
      <c r="E390" s="198"/>
      <c r="F390" s="198"/>
      <c r="G390" s="198"/>
      <c r="H390" s="198"/>
      <c r="I390" s="198"/>
      <c r="J390" s="198"/>
      <c r="K390" s="198"/>
      <c r="L390" s="198"/>
    </row>
    <row r="391">
      <c r="A391" s="198"/>
      <c r="B391" s="208" t="str">
        <f>vlookup(A391,Price!A:B,2,false)</f>
        <v>#N/A</v>
      </c>
      <c r="C391" s="198"/>
      <c r="D391" s="198"/>
      <c r="E391" s="198"/>
      <c r="F391" s="198"/>
      <c r="G391" s="198"/>
      <c r="H391" s="198"/>
      <c r="I391" s="198"/>
      <c r="J391" s="198"/>
      <c r="K391" s="198"/>
      <c r="L391" s="198"/>
    </row>
    <row r="392">
      <c r="A392" s="198"/>
      <c r="B392" s="208" t="str">
        <f>vlookup(A392,Price!A:B,2,false)</f>
        <v>#N/A</v>
      </c>
      <c r="C392" s="198"/>
      <c r="D392" s="198"/>
      <c r="E392" s="198"/>
      <c r="F392" s="198"/>
      <c r="G392" s="198"/>
      <c r="H392" s="198"/>
      <c r="I392" s="198"/>
      <c r="J392" s="198"/>
      <c r="K392" s="198"/>
      <c r="L392" s="198"/>
    </row>
    <row r="393">
      <c r="A393" s="198"/>
      <c r="B393" s="208" t="str">
        <f>vlookup(A393,Price!A:B,2,false)</f>
        <v>#N/A</v>
      </c>
      <c r="C393" s="198"/>
      <c r="D393" s="198"/>
      <c r="E393" s="198"/>
      <c r="F393" s="198"/>
      <c r="G393" s="198"/>
      <c r="H393" s="198"/>
      <c r="I393" s="198"/>
      <c r="J393" s="198"/>
      <c r="K393" s="198"/>
      <c r="L393" s="198"/>
    </row>
    <row r="394">
      <c r="A394" s="198"/>
      <c r="B394" s="208" t="str">
        <f>vlookup(A394,Price!A:B,2,false)</f>
        <v>#N/A</v>
      </c>
      <c r="C394" s="198"/>
      <c r="D394" s="198"/>
      <c r="E394" s="198"/>
      <c r="F394" s="198"/>
      <c r="G394" s="198"/>
      <c r="H394" s="198"/>
      <c r="I394" s="198"/>
      <c r="J394" s="198"/>
      <c r="K394" s="198"/>
      <c r="L394" s="198"/>
    </row>
    <row r="395">
      <c r="A395" s="198"/>
      <c r="B395" s="208" t="str">
        <f>vlookup(A395,Price!A:B,2,false)</f>
        <v>#N/A</v>
      </c>
      <c r="C395" s="198"/>
      <c r="D395" s="198"/>
      <c r="E395" s="198"/>
      <c r="F395" s="198"/>
      <c r="G395" s="198"/>
      <c r="H395" s="198"/>
      <c r="I395" s="198"/>
      <c r="J395" s="198"/>
      <c r="K395" s="198"/>
      <c r="L395" s="198"/>
    </row>
    <row r="396">
      <c r="A396" s="198"/>
      <c r="B396" s="208" t="str">
        <f>vlookup(A396,Price!A:B,2,false)</f>
        <v>#N/A</v>
      </c>
      <c r="C396" s="198"/>
      <c r="D396" s="198"/>
      <c r="E396" s="198"/>
      <c r="F396" s="198"/>
      <c r="G396" s="198"/>
      <c r="H396" s="198"/>
      <c r="I396" s="198"/>
      <c r="J396" s="198"/>
      <c r="K396" s="198"/>
      <c r="L396" s="198"/>
    </row>
    <row r="397">
      <c r="A397" s="198"/>
      <c r="B397" s="208" t="str">
        <f>vlookup(A397,Price!A:B,2,false)</f>
        <v>#N/A</v>
      </c>
      <c r="C397" s="198"/>
      <c r="D397" s="198"/>
      <c r="E397" s="198"/>
      <c r="F397" s="198"/>
      <c r="G397" s="198"/>
      <c r="H397" s="198"/>
      <c r="I397" s="198"/>
      <c r="J397" s="198"/>
      <c r="K397" s="198"/>
      <c r="L397" s="198"/>
    </row>
    <row r="398">
      <c r="A398" s="198"/>
      <c r="B398" s="208" t="str">
        <f>vlookup(A398,Price!A:B,2,false)</f>
        <v>#N/A</v>
      </c>
      <c r="C398" s="198"/>
      <c r="D398" s="198"/>
      <c r="E398" s="198"/>
      <c r="F398" s="198"/>
      <c r="G398" s="198"/>
      <c r="H398" s="198"/>
      <c r="I398" s="198"/>
      <c r="J398" s="198"/>
      <c r="K398" s="198"/>
      <c r="L398" s="198"/>
    </row>
    <row r="399">
      <c r="A399" s="198"/>
      <c r="B399" s="208" t="str">
        <f>vlookup(A399,Price!A:B,2,false)</f>
        <v>#N/A</v>
      </c>
      <c r="C399" s="198"/>
      <c r="D399" s="198"/>
      <c r="E399" s="198"/>
      <c r="F399" s="198"/>
      <c r="G399" s="198"/>
      <c r="H399" s="198"/>
      <c r="I399" s="198"/>
      <c r="J399" s="198"/>
      <c r="K399" s="198"/>
      <c r="L399" s="198"/>
    </row>
    <row r="400">
      <c r="A400" s="198"/>
      <c r="B400" s="208" t="str">
        <f>vlookup(A400,Price!A:B,2,false)</f>
        <v>#N/A</v>
      </c>
      <c r="C400" s="198"/>
      <c r="D400" s="198"/>
      <c r="E400" s="198"/>
      <c r="F400" s="198"/>
      <c r="G400" s="198"/>
      <c r="H400" s="198"/>
      <c r="I400" s="198"/>
      <c r="J400" s="198"/>
      <c r="K400" s="198"/>
      <c r="L400" s="198"/>
    </row>
    <row r="401">
      <c r="A401" s="198"/>
      <c r="B401" s="208" t="str">
        <f>vlookup(A401,Price!A:B,2,false)</f>
        <v>#N/A</v>
      </c>
      <c r="C401" s="198"/>
      <c r="D401" s="198"/>
      <c r="E401" s="198"/>
      <c r="F401" s="198"/>
      <c r="G401" s="198"/>
      <c r="H401" s="198"/>
      <c r="I401" s="198"/>
      <c r="J401" s="198"/>
      <c r="K401" s="198"/>
      <c r="L401" s="198"/>
    </row>
    <row r="402">
      <c r="A402" s="198"/>
      <c r="B402" s="208" t="str">
        <f>vlookup(A402,Price!A:B,2,false)</f>
        <v>#N/A</v>
      </c>
      <c r="C402" s="198"/>
      <c r="D402" s="198"/>
      <c r="E402" s="198"/>
      <c r="F402" s="198"/>
      <c r="G402" s="198"/>
      <c r="H402" s="198"/>
      <c r="I402" s="198"/>
      <c r="J402" s="198"/>
      <c r="K402" s="198"/>
      <c r="L402" s="198"/>
    </row>
    <row r="403">
      <c r="A403" s="198"/>
      <c r="B403" s="208" t="str">
        <f>vlookup(A403,Price!A:B,2,false)</f>
        <v>#N/A</v>
      </c>
      <c r="C403" s="198"/>
      <c r="D403" s="198"/>
      <c r="E403" s="198"/>
      <c r="F403" s="198"/>
      <c r="G403" s="198"/>
      <c r="H403" s="198"/>
      <c r="I403" s="198"/>
      <c r="J403" s="198"/>
      <c r="K403" s="198"/>
      <c r="L403" s="198"/>
    </row>
    <row r="404">
      <c r="A404" s="198"/>
      <c r="B404" s="208" t="str">
        <f>vlookup(A404,Price!A:B,2,false)</f>
        <v>#N/A</v>
      </c>
      <c r="C404" s="198"/>
      <c r="D404" s="198"/>
      <c r="E404" s="198"/>
      <c r="F404" s="198"/>
      <c r="G404" s="198"/>
      <c r="H404" s="198"/>
      <c r="I404" s="198"/>
      <c r="J404" s="198"/>
      <c r="K404" s="198"/>
      <c r="L404" s="198"/>
    </row>
    <row r="405">
      <c r="A405" s="198"/>
      <c r="B405" s="208" t="str">
        <f>vlookup(A405,Price!A:B,2,false)</f>
        <v>#N/A</v>
      </c>
      <c r="C405" s="198"/>
      <c r="D405" s="198"/>
      <c r="E405" s="198"/>
      <c r="F405" s="198"/>
      <c r="G405" s="198"/>
      <c r="H405" s="198"/>
      <c r="I405" s="198"/>
      <c r="J405" s="198"/>
      <c r="K405" s="198"/>
      <c r="L405" s="198"/>
    </row>
    <row r="406">
      <c r="A406" s="198"/>
      <c r="B406" s="208" t="str">
        <f>vlookup(A406,Price!A:B,2,false)</f>
        <v>#N/A</v>
      </c>
      <c r="C406" s="198"/>
      <c r="D406" s="198"/>
      <c r="E406" s="198"/>
      <c r="F406" s="198"/>
      <c r="G406" s="198"/>
      <c r="H406" s="198"/>
      <c r="I406" s="198"/>
      <c r="J406" s="198"/>
      <c r="K406" s="198"/>
      <c r="L406" s="198"/>
    </row>
    <row r="407">
      <c r="A407" s="198"/>
      <c r="B407" s="208" t="str">
        <f>vlookup(A407,Price!A:B,2,false)</f>
        <v>#N/A</v>
      </c>
      <c r="C407" s="198"/>
      <c r="D407" s="198"/>
      <c r="E407" s="198"/>
      <c r="F407" s="198"/>
      <c r="G407" s="198"/>
      <c r="H407" s="198"/>
      <c r="I407" s="198"/>
      <c r="J407" s="198"/>
      <c r="K407" s="198"/>
      <c r="L407" s="198"/>
    </row>
    <row r="408">
      <c r="A408" s="198"/>
      <c r="B408" s="208" t="str">
        <f>vlookup(A408,Price!A:B,2,false)</f>
        <v>#N/A</v>
      </c>
      <c r="C408" s="198"/>
      <c r="D408" s="198"/>
      <c r="E408" s="198"/>
      <c r="F408" s="198"/>
      <c r="G408" s="198"/>
      <c r="H408" s="198"/>
      <c r="I408" s="198"/>
      <c r="J408" s="198"/>
      <c r="K408" s="198"/>
      <c r="L408" s="198"/>
    </row>
    <row r="409">
      <c r="A409" s="198"/>
      <c r="B409" s="208" t="str">
        <f>vlookup(A409,Price!A:B,2,false)</f>
        <v>#N/A</v>
      </c>
      <c r="C409" s="198"/>
      <c r="D409" s="198"/>
      <c r="E409" s="198"/>
      <c r="F409" s="198"/>
      <c r="G409" s="198"/>
      <c r="H409" s="198"/>
      <c r="I409" s="198"/>
      <c r="J409" s="198"/>
      <c r="K409" s="198"/>
      <c r="L409" s="198"/>
    </row>
    <row r="410">
      <c r="A410" s="198"/>
      <c r="B410" s="208" t="str">
        <f>vlookup(A410,Price!A:B,2,false)</f>
        <v>#N/A</v>
      </c>
      <c r="C410" s="198"/>
      <c r="D410" s="198"/>
      <c r="E410" s="198"/>
      <c r="F410" s="198"/>
      <c r="G410" s="198"/>
      <c r="H410" s="198"/>
      <c r="I410" s="198"/>
      <c r="J410" s="198"/>
      <c r="K410" s="198"/>
      <c r="L410" s="198"/>
    </row>
    <row r="411">
      <c r="A411" s="198"/>
      <c r="B411" s="208" t="str">
        <f>vlookup(A411,Price!A:B,2,false)</f>
        <v>#N/A</v>
      </c>
      <c r="C411" s="198"/>
      <c r="D411" s="198"/>
      <c r="E411" s="198"/>
      <c r="F411" s="198"/>
      <c r="G411" s="198"/>
      <c r="H411" s="198"/>
      <c r="I411" s="198"/>
      <c r="J411" s="198"/>
      <c r="K411" s="198"/>
      <c r="L411" s="198"/>
    </row>
    <row r="412">
      <c r="A412" s="198"/>
      <c r="B412" s="208" t="str">
        <f>vlookup(A412,Price!A:B,2,false)</f>
        <v>#N/A</v>
      </c>
      <c r="C412" s="198"/>
      <c r="D412" s="198"/>
      <c r="E412" s="198"/>
      <c r="F412" s="198"/>
      <c r="G412" s="198"/>
      <c r="H412" s="198"/>
      <c r="I412" s="198"/>
      <c r="J412" s="198"/>
      <c r="K412" s="198"/>
      <c r="L412" s="198"/>
    </row>
    <row r="413">
      <c r="A413" s="198"/>
      <c r="B413" s="208" t="str">
        <f>vlookup(A413,Price!A:B,2,false)</f>
        <v>#N/A</v>
      </c>
      <c r="C413" s="198"/>
      <c r="D413" s="198"/>
      <c r="E413" s="198"/>
      <c r="F413" s="198"/>
      <c r="G413" s="198"/>
      <c r="H413" s="198"/>
      <c r="I413" s="198"/>
      <c r="J413" s="198"/>
      <c r="K413" s="198"/>
      <c r="L413" s="198"/>
    </row>
    <row r="414">
      <c r="A414" s="198"/>
      <c r="B414" s="208" t="str">
        <f>vlookup(A414,Price!A:B,2,false)</f>
        <v>#N/A</v>
      </c>
      <c r="C414" s="198"/>
      <c r="D414" s="198"/>
      <c r="E414" s="198"/>
      <c r="F414" s="198"/>
      <c r="G414" s="198"/>
      <c r="H414" s="198"/>
      <c r="I414" s="198"/>
      <c r="J414" s="198"/>
      <c r="K414" s="198"/>
      <c r="L414" s="198"/>
    </row>
    <row r="415">
      <c r="A415" s="198"/>
      <c r="B415" s="208" t="str">
        <f>vlookup(A415,Price!A:B,2,false)</f>
        <v>#N/A</v>
      </c>
      <c r="C415" s="198"/>
      <c r="D415" s="198"/>
      <c r="E415" s="198"/>
      <c r="F415" s="198"/>
      <c r="G415" s="198"/>
      <c r="H415" s="198"/>
      <c r="I415" s="198"/>
      <c r="J415" s="198"/>
      <c r="K415" s="198"/>
      <c r="L415" s="198"/>
    </row>
    <row r="416">
      <c r="A416" s="198"/>
      <c r="B416" s="208" t="str">
        <f>vlookup(A416,Price!A:B,2,false)</f>
        <v>#N/A</v>
      </c>
      <c r="C416" s="198"/>
      <c r="D416" s="198"/>
      <c r="E416" s="198"/>
      <c r="F416" s="198"/>
      <c r="G416" s="198"/>
      <c r="H416" s="198"/>
      <c r="I416" s="198"/>
      <c r="J416" s="198"/>
      <c r="K416" s="198"/>
      <c r="L416" s="198"/>
    </row>
    <row r="417">
      <c r="A417" s="198"/>
      <c r="B417" s="208" t="str">
        <f>vlookup(A417,Price!A:B,2,false)</f>
        <v>#N/A</v>
      </c>
      <c r="C417" s="198"/>
      <c r="D417" s="198"/>
      <c r="E417" s="198"/>
      <c r="F417" s="198"/>
      <c r="G417" s="198"/>
      <c r="H417" s="198"/>
      <c r="I417" s="198"/>
      <c r="J417" s="198"/>
      <c r="K417" s="198"/>
      <c r="L417" s="198"/>
    </row>
    <row r="418">
      <c r="A418" s="198"/>
      <c r="B418" s="208" t="str">
        <f>vlookup(A418,Price!A:B,2,false)</f>
        <v>#N/A</v>
      </c>
      <c r="C418" s="198"/>
      <c r="D418" s="198"/>
      <c r="E418" s="198"/>
      <c r="F418" s="198"/>
      <c r="G418" s="198"/>
      <c r="H418" s="198"/>
      <c r="I418" s="198"/>
      <c r="J418" s="198"/>
      <c r="K418" s="198"/>
      <c r="L418" s="198"/>
    </row>
    <row r="419">
      <c r="A419" s="198"/>
      <c r="B419" s="208" t="str">
        <f>vlookup(A419,Price!A:B,2,false)</f>
        <v>#N/A</v>
      </c>
      <c r="C419" s="198"/>
      <c r="D419" s="198"/>
      <c r="E419" s="198"/>
      <c r="F419" s="198"/>
      <c r="G419" s="198"/>
      <c r="H419" s="198"/>
      <c r="I419" s="198"/>
      <c r="J419" s="198"/>
      <c r="K419" s="198"/>
      <c r="L419" s="198"/>
    </row>
    <row r="420">
      <c r="A420" s="198"/>
      <c r="B420" s="208" t="str">
        <f>vlookup(A420,Price!A:B,2,false)</f>
        <v>#N/A</v>
      </c>
      <c r="C420" s="198"/>
      <c r="D420" s="198"/>
      <c r="E420" s="198"/>
      <c r="F420" s="198"/>
      <c r="G420" s="198"/>
      <c r="H420" s="198"/>
      <c r="I420" s="198"/>
      <c r="J420" s="198"/>
      <c r="K420" s="198"/>
      <c r="L420" s="198"/>
    </row>
    <row r="421">
      <c r="A421" s="198"/>
      <c r="B421" s="208" t="str">
        <f>vlookup(A421,Price!A:B,2,false)</f>
        <v>#N/A</v>
      </c>
      <c r="C421" s="198"/>
      <c r="D421" s="198"/>
      <c r="E421" s="198"/>
      <c r="F421" s="198"/>
      <c r="G421" s="198"/>
      <c r="H421" s="198"/>
      <c r="I421" s="198"/>
      <c r="J421" s="198"/>
      <c r="K421" s="198"/>
      <c r="L421" s="198"/>
    </row>
    <row r="422">
      <c r="A422" s="198"/>
      <c r="B422" s="208" t="str">
        <f>vlookup(A422,Price!A:B,2,false)</f>
        <v>#N/A</v>
      </c>
      <c r="C422" s="198"/>
      <c r="D422" s="198"/>
      <c r="E422" s="198"/>
      <c r="F422" s="198"/>
      <c r="G422" s="198"/>
      <c r="H422" s="198"/>
      <c r="I422" s="198"/>
      <c r="J422" s="198"/>
      <c r="K422" s="198"/>
      <c r="L422" s="198"/>
    </row>
    <row r="423">
      <c r="A423" s="198"/>
      <c r="B423" s="208" t="str">
        <f>vlookup(A423,Price!A:B,2,false)</f>
        <v>#N/A</v>
      </c>
      <c r="C423" s="198"/>
      <c r="D423" s="198"/>
      <c r="E423" s="198"/>
      <c r="F423" s="198"/>
      <c r="G423" s="198"/>
      <c r="H423" s="198"/>
      <c r="I423" s="198"/>
      <c r="J423" s="198"/>
      <c r="K423" s="198"/>
      <c r="L423" s="198"/>
    </row>
    <row r="424">
      <c r="A424" s="198"/>
      <c r="B424" s="208" t="str">
        <f>vlookup(A424,Price!A:B,2,false)</f>
        <v>#N/A</v>
      </c>
      <c r="C424" s="198"/>
      <c r="D424" s="198"/>
      <c r="E424" s="198"/>
      <c r="F424" s="198"/>
      <c r="G424" s="198"/>
      <c r="H424" s="198"/>
      <c r="I424" s="198"/>
      <c r="J424" s="198"/>
      <c r="K424" s="198"/>
      <c r="L424" s="198"/>
    </row>
    <row r="425">
      <c r="A425" s="198"/>
      <c r="B425" s="208" t="str">
        <f>vlookup(A425,Price!A:B,2,false)</f>
        <v>#N/A</v>
      </c>
      <c r="C425" s="198"/>
      <c r="D425" s="198"/>
      <c r="E425" s="198"/>
      <c r="F425" s="198"/>
      <c r="G425" s="198"/>
      <c r="H425" s="198"/>
      <c r="I425" s="198"/>
      <c r="J425" s="198"/>
      <c r="K425" s="198"/>
      <c r="L425" s="198"/>
    </row>
    <row r="426">
      <c r="A426" s="198"/>
      <c r="B426" s="208" t="str">
        <f>vlookup(A426,Price!A:B,2,false)</f>
        <v>#N/A</v>
      </c>
      <c r="C426" s="198"/>
      <c r="D426" s="198"/>
      <c r="E426" s="198"/>
      <c r="F426" s="198"/>
      <c r="G426" s="198"/>
      <c r="H426" s="198"/>
      <c r="I426" s="198"/>
      <c r="J426" s="198"/>
      <c r="K426" s="198"/>
      <c r="L426" s="198"/>
    </row>
    <row r="427">
      <c r="A427" s="198"/>
      <c r="B427" s="208" t="str">
        <f>vlookup(A427,Price!A:B,2,false)</f>
        <v>#N/A</v>
      </c>
      <c r="C427" s="198"/>
      <c r="D427" s="198"/>
      <c r="E427" s="198"/>
      <c r="F427" s="198"/>
      <c r="G427" s="198"/>
      <c r="H427" s="198"/>
      <c r="I427" s="198"/>
      <c r="J427" s="198"/>
      <c r="K427" s="198"/>
      <c r="L427" s="198"/>
    </row>
    <row r="428">
      <c r="A428" s="198"/>
      <c r="B428" s="208" t="str">
        <f>vlookup(A428,Price!A:B,2,false)</f>
        <v>#N/A</v>
      </c>
      <c r="C428" s="198"/>
      <c r="D428" s="198"/>
      <c r="E428" s="198"/>
      <c r="F428" s="198"/>
      <c r="G428" s="198"/>
      <c r="H428" s="198"/>
      <c r="I428" s="198"/>
      <c r="J428" s="198"/>
      <c r="K428" s="198"/>
      <c r="L428" s="198"/>
    </row>
    <row r="429">
      <c r="A429" s="198"/>
      <c r="B429" s="208" t="str">
        <f>vlookup(A429,Price!A:B,2,false)</f>
        <v>#N/A</v>
      </c>
      <c r="C429" s="198"/>
      <c r="D429" s="198"/>
      <c r="E429" s="198"/>
      <c r="F429" s="198"/>
      <c r="G429" s="198"/>
      <c r="H429" s="198"/>
      <c r="I429" s="198"/>
      <c r="J429" s="198"/>
      <c r="K429" s="198"/>
      <c r="L429" s="198"/>
    </row>
    <row r="430">
      <c r="A430" s="198"/>
      <c r="B430" s="208" t="str">
        <f>vlookup(A430,Price!A:B,2,false)</f>
        <v>#N/A</v>
      </c>
      <c r="C430" s="198"/>
      <c r="D430" s="198"/>
      <c r="E430" s="198"/>
      <c r="F430" s="198"/>
      <c r="G430" s="198"/>
      <c r="H430" s="198"/>
      <c r="I430" s="198"/>
      <c r="J430" s="198"/>
      <c r="K430" s="198"/>
      <c r="L430" s="198"/>
    </row>
    <row r="431">
      <c r="A431" s="198"/>
      <c r="B431" s="208" t="str">
        <f>vlookup(A431,Price!A:B,2,false)</f>
        <v>#N/A</v>
      </c>
      <c r="C431" s="198"/>
      <c r="D431" s="198"/>
      <c r="E431" s="198"/>
      <c r="F431" s="198"/>
      <c r="G431" s="198"/>
      <c r="H431" s="198"/>
      <c r="I431" s="198"/>
      <c r="J431" s="198"/>
      <c r="K431" s="198"/>
      <c r="L431" s="198"/>
    </row>
    <row r="432">
      <c r="A432" s="198"/>
      <c r="B432" s="208" t="str">
        <f>vlookup(A432,Price!A:B,2,false)</f>
        <v>#N/A</v>
      </c>
      <c r="C432" s="198"/>
      <c r="D432" s="198"/>
      <c r="E432" s="198"/>
      <c r="F432" s="198"/>
      <c r="G432" s="198"/>
      <c r="H432" s="198"/>
      <c r="I432" s="198"/>
      <c r="J432" s="198"/>
      <c r="K432" s="198"/>
      <c r="L432" s="198"/>
    </row>
    <row r="433">
      <c r="A433" s="198"/>
      <c r="B433" s="208" t="str">
        <f>vlookup(A433,Price!A:B,2,false)</f>
        <v>#N/A</v>
      </c>
      <c r="C433" s="198"/>
      <c r="D433" s="198"/>
      <c r="E433" s="198"/>
      <c r="F433" s="198"/>
      <c r="G433" s="198"/>
      <c r="H433" s="198"/>
      <c r="I433" s="198"/>
      <c r="J433" s="198"/>
      <c r="K433" s="198"/>
      <c r="L433" s="198"/>
    </row>
    <row r="434">
      <c r="A434" s="198"/>
      <c r="B434" s="208" t="str">
        <f>vlookup(A434,Price!A:B,2,false)</f>
        <v>#N/A</v>
      </c>
      <c r="C434" s="198"/>
      <c r="D434" s="198"/>
      <c r="E434" s="198"/>
      <c r="F434" s="198"/>
      <c r="G434" s="198"/>
      <c r="H434" s="198"/>
      <c r="I434" s="198"/>
      <c r="J434" s="198"/>
      <c r="K434" s="198"/>
      <c r="L434" s="198"/>
    </row>
    <row r="435">
      <c r="A435" s="198"/>
      <c r="B435" s="208" t="str">
        <f>vlookup(A435,Price!A:B,2,false)</f>
        <v>#N/A</v>
      </c>
      <c r="C435" s="198"/>
      <c r="D435" s="198"/>
      <c r="E435" s="198"/>
      <c r="F435" s="198"/>
      <c r="G435" s="198"/>
      <c r="H435" s="198"/>
      <c r="I435" s="198"/>
      <c r="J435" s="198"/>
      <c r="K435" s="198"/>
      <c r="L435" s="198"/>
    </row>
    <row r="436">
      <c r="A436" s="198"/>
      <c r="B436" s="208" t="str">
        <f>vlookup(A436,Price!A:B,2,false)</f>
        <v>#N/A</v>
      </c>
      <c r="C436" s="198"/>
      <c r="D436" s="198"/>
      <c r="E436" s="198"/>
      <c r="F436" s="198"/>
      <c r="G436" s="198"/>
      <c r="H436" s="198"/>
      <c r="I436" s="198"/>
      <c r="J436" s="198"/>
      <c r="K436" s="198"/>
      <c r="L436" s="198"/>
    </row>
    <row r="437">
      <c r="A437" s="198"/>
      <c r="B437" s="208" t="str">
        <f>vlookup(A437,Price!A:B,2,false)</f>
        <v>#N/A</v>
      </c>
      <c r="C437" s="198"/>
      <c r="D437" s="198"/>
      <c r="E437" s="198"/>
      <c r="F437" s="198"/>
      <c r="G437" s="198"/>
      <c r="H437" s="198"/>
      <c r="I437" s="198"/>
      <c r="J437" s="198"/>
      <c r="K437" s="198"/>
      <c r="L437" s="198"/>
    </row>
    <row r="438">
      <c r="A438" s="198"/>
      <c r="B438" s="208" t="str">
        <f>vlookup(A438,Price!A:B,2,false)</f>
        <v>#N/A</v>
      </c>
      <c r="C438" s="198"/>
      <c r="D438" s="198"/>
      <c r="E438" s="198"/>
      <c r="F438" s="198"/>
      <c r="G438" s="198"/>
      <c r="H438" s="198"/>
      <c r="I438" s="198"/>
      <c r="J438" s="198"/>
      <c r="K438" s="198"/>
      <c r="L438" s="198"/>
    </row>
    <row r="439">
      <c r="A439" s="198"/>
      <c r="B439" s="208" t="str">
        <f>vlookup(A439,Price!A:B,2,false)</f>
        <v>#N/A</v>
      </c>
      <c r="C439" s="198"/>
      <c r="D439" s="198"/>
      <c r="E439" s="198"/>
      <c r="F439" s="198"/>
      <c r="G439" s="198"/>
      <c r="H439" s="198"/>
      <c r="I439" s="198"/>
      <c r="J439" s="198"/>
      <c r="K439" s="198"/>
      <c r="L439" s="198"/>
    </row>
    <row r="440">
      <c r="A440" s="198"/>
      <c r="B440" s="208" t="str">
        <f>vlookup(A440,Price!A:B,2,false)</f>
        <v>#N/A</v>
      </c>
      <c r="C440" s="198"/>
      <c r="D440" s="198"/>
      <c r="E440" s="198"/>
      <c r="F440" s="198"/>
      <c r="G440" s="198"/>
      <c r="H440" s="198"/>
      <c r="I440" s="198"/>
      <c r="J440" s="198"/>
      <c r="K440" s="198"/>
      <c r="L440" s="198"/>
    </row>
    <row r="441">
      <c r="A441" s="198"/>
      <c r="B441" s="208" t="str">
        <f>vlookup(A441,Price!A:B,2,false)</f>
        <v>#N/A</v>
      </c>
      <c r="C441" s="198"/>
      <c r="D441" s="198"/>
      <c r="E441" s="198"/>
      <c r="F441" s="198"/>
      <c r="G441" s="198"/>
      <c r="H441" s="198"/>
      <c r="I441" s="198"/>
      <c r="J441" s="198"/>
      <c r="K441" s="198"/>
      <c r="L441" s="198"/>
    </row>
    <row r="442">
      <c r="A442" s="198"/>
      <c r="B442" s="208" t="str">
        <f>vlookup(A442,Price!A:B,2,false)</f>
        <v>#N/A</v>
      </c>
      <c r="C442" s="198"/>
      <c r="D442" s="198"/>
      <c r="E442" s="198"/>
      <c r="F442" s="198"/>
      <c r="G442" s="198"/>
      <c r="H442" s="198"/>
      <c r="I442" s="198"/>
      <c r="J442" s="198"/>
      <c r="K442" s="198"/>
      <c r="L442" s="198"/>
    </row>
    <row r="443">
      <c r="A443" s="198"/>
      <c r="B443" s="208" t="str">
        <f>vlookup(A443,Price!A:B,2,false)</f>
        <v>#N/A</v>
      </c>
      <c r="C443" s="198"/>
      <c r="D443" s="198"/>
      <c r="E443" s="198"/>
      <c r="F443" s="198"/>
      <c r="G443" s="198"/>
      <c r="H443" s="198"/>
      <c r="I443" s="198"/>
      <c r="J443" s="198"/>
      <c r="K443" s="198"/>
      <c r="L443" s="198"/>
    </row>
    <row r="444">
      <c r="A444" s="198"/>
      <c r="B444" s="208" t="str">
        <f>vlookup(A444,Price!A:B,2,false)</f>
        <v>#N/A</v>
      </c>
      <c r="C444" s="198"/>
      <c r="D444" s="198"/>
      <c r="E444" s="198"/>
      <c r="F444" s="198"/>
      <c r="G444" s="198"/>
      <c r="H444" s="198"/>
      <c r="I444" s="198"/>
      <c r="J444" s="198"/>
      <c r="K444" s="198"/>
      <c r="L444" s="198"/>
    </row>
    <row r="445">
      <c r="A445" s="198"/>
      <c r="B445" s="208" t="str">
        <f>vlookup(A445,Price!A:B,2,false)</f>
        <v>#N/A</v>
      </c>
      <c r="C445" s="198"/>
      <c r="D445" s="198"/>
      <c r="E445" s="198"/>
      <c r="F445" s="198"/>
      <c r="G445" s="198"/>
      <c r="H445" s="198"/>
      <c r="I445" s="198"/>
      <c r="J445" s="198"/>
      <c r="K445" s="198"/>
      <c r="L445" s="198"/>
    </row>
    <row r="446">
      <c r="A446" s="198"/>
      <c r="B446" s="208" t="str">
        <f>vlookup(A446,Price!A:B,2,false)</f>
        <v>#N/A</v>
      </c>
      <c r="C446" s="198"/>
      <c r="D446" s="198"/>
      <c r="E446" s="198"/>
      <c r="F446" s="198"/>
      <c r="G446" s="198"/>
      <c r="H446" s="198"/>
      <c r="I446" s="198"/>
      <c r="J446" s="198"/>
      <c r="K446" s="198"/>
      <c r="L446" s="198"/>
    </row>
    <row r="447">
      <c r="A447" s="198"/>
      <c r="B447" s="208" t="str">
        <f>vlookup(A447,Price!A:B,2,false)</f>
        <v>#N/A</v>
      </c>
      <c r="C447" s="198"/>
      <c r="D447" s="198"/>
      <c r="E447" s="198"/>
      <c r="F447" s="198"/>
      <c r="G447" s="198"/>
      <c r="H447" s="198"/>
      <c r="I447" s="198"/>
      <c r="J447" s="198"/>
      <c r="K447" s="198"/>
      <c r="L447" s="198"/>
    </row>
    <row r="448">
      <c r="A448" s="198"/>
      <c r="B448" s="208" t="str">
        <f>vlookup(A448,Price!A:B,2,false)</f>
        <v>#N/A</v>
      </c>
      <c r="C448" s="198"/>
      <c r="D448" s="198"/>
      <c r="E448" s="198"/>
      <c r="F448" s="198"/>
      <c r="G448" s="198"/>
      <c r="H448" s="198"/>
      <c r="I448" s="198"/>
      <c r="J448" s="198"/>
      <c r="K448" s="198"/>
      <c r="L448" s="198"/>
    </row>
    <row r="449">
      <c r="A449" s="198"/>
      <c r="B449" s="208" t="str">
        <f>vlookup(A449,Price!A:B,2,false)</f>
        <v>#N/A</v>
      </c>
      <c r="C449" s="198"/>
      <c r="D449" s="198"/>
      <c r="E449" s="198"/>
      <c r="F449" s="198"/>
      <c r="G449" s="198"/>
      <c r="H449" s="198"/>
      <c r="I449" s="198"/>
      <c r="J449" s="198"/>
      <c r="K449" s="198"/>
      <c r="L449" s="198"/>
    </row>
    <row r="450">
      <c r="A450" s="198"/>
      <c r="B450" s="208" t="str">
        <f>vlookup(A450,Price!A:B,2,false)</f>
        <v>#N/A</v>
      </c>
      <c r="C450" s="198"/>
      <c r="D450" s="198"/>
      <c r="E450" s="198"/>
      <c r="F450" s="198"/>
      <c r="G450" s="198"/>
      <c r="H450" s="198"/>
      <c r="I450" s="198"/>
      <c r="J450" s="198"/>
      <c r="K450" s="198"/>
      <c r="L450" s="198"/>
    </row>
    <row r="451">
      <c r="A451" s="198"/>
      <c r="B451" s="208" t="str">
        <f>vlookup(A451,Price!A:B,2,false)</f>
        <v>#N/A</v>
      </c>
      <c r="C451" s="198"/>
      <c r="D451" s="198"/>
      <c r="E451" s="198"/>
      <c r="F451" s="198"/>
      <c r="G451" s="198"/>
      <c r="H451" s="198"/>
      <c r="I451" s="198"/>
      <c r="J451" s="198"/>
      <c r="K451" s="198"/>
      <c r="L451" s="198"/>
    </row>
    <row r="452">
      <c r="A452" s="198"/>
      <c r="B452" s="208" t="str">
        <f>vlookup(A452,Price!A:B,2,false)</f>
        <v>#N/A</v>
      </c>
      <c r="C452" s="198"/>
      <c r="D452" s="198"/>
      <c r="E452" s="198"/>
      <c r="F452" s="198"/>
      <c r="G452" s="198"/>
      <c r="H452" s="198"/>
      <c r="I452" s="198"/>
      <c r="J452" s="198"/>
      <c r="K452" s="198"/>
      <c r="L452" s="198"/>
    </row>
    <row r="453">
      <c r="A453" s="198"/>
      <c r="B453" s="208" t="str">
        <f>vlookup(A453,Price!A:B,2,false)</f>
        <v>#N/A</v>
      </c>
      <c r="C453" s="198"/>
      <c r="D453" s="198"/>
      <c r="E453" s="198"/>
      <c r="F453" s="198"/>
      <c r="G453" s="198"/>
      <c r="H453" s="198"/>
      <c r="I453" s="198"/>
      <c r="J453" s="198"/>
      <c r="K453" s="198"/>
      <c r="L453" s="198"/>
    </row>
    <row r="454">
      <c r="A454" s="198"/>
      <c r="B454" s="208" t="str">
        <f>vlookup(A454,Price!A:B,2,false)</f>
        <v>#N/A</v>
      </c>
      <c r="C454" s="198"/>
      <c r="D454" s="198"/>
      <c r="E454" s="198"/>
      <c r="F454" s="198"/>
      <c r="G454" s="198"/>
      <c r="H454" s="198"/>
      <c r="I454" s="198"/>
      <c r="J454" s="198"/>
      <c r="K454" s="198"/>
      <c r="L454" s="198"/>
    </row>
    <row r="455">
      <c r="A455" s="198"/>
      <c r="B455" s="208" t="str">
        <f>vlookup(A455,Price!A:B,2,false)</f>
        <v>#N/A</v>
      </c>
      <c r="C455" s="198"/>
      <c r="D455" s="198"/>
      <c r="E455" s="198"/>
      <c r="F455" s="198"/>
      <c r="G455" s="198"/>
      <c r="H455" s="198"/>
      <c r="I455" s="198"/>
      <c r="J455" s="198"/>
      <c r="K455" s="198"/>
      <c r="L455" s="198"/>
    </row>
    <row r="456">
      <c r="A456" s="198"/>
      <c r="B456" s="208" t="str">
        <f>vlookup(A456,Price!A:B,2,false)</f>
        <v>#N/A</v>
      </c>
      <c r="C456" s="198"/>
      <c r="D456" s="198"/>
      <c r="E456" s="198"/>
      <c r="F456" s="198"/>
      <c r="G456" s="198"/>
      <c r="H456" s="198"/>
      <c r="I456" s="198"/>
      <c r="J456" s="198"/>
      <c r="K456" s="198"/>
      <c r="L456" s="198"/>
    </row>
    <row r="457">
      <c r="A457" s="198"/>
      <c r="B457" s="208" t="str">
        <f>vlookup(A457,Price!A:B,2,false)</f>
        <v>#N/A</v>
      </c>
      <c r="C457" s="198"/>
      <c r="D457" s="198"/>
      <c r="E457" s="198"/>
      <c r="F457" s="198"/>
      <c r="G457" s="198"/>
      <c r="H457" s="198"/>
      <c r="I457" s="198"/>
      <c r="J457" s="198"/>
      <c r="K457" s="198"/>
      <c r="L457" s="198"/>
    </row>
    <row r="458">
      <c r="A458" s="198"/>
      <c r="B458" s="208" t="str">
        <f>vlookup(A458,Price!A:B,2,false)</f>
        <v>#N/A</v>
      </c>
      <c r="C458" s="198"/>
      <c r="D458" s="198"/>
      <c r="E458" s="198"/>
      <c r="F458" s="198"/>
      <c r="G458" s="198"/>
      <c r="H458" s="198"/>
      <c r="I458" s="198"/>
      <c r="J458" s="198"/>
      <c r="K458" s="198"/>
      <c r="L458" s="198"/>
    </row>
    <row r="459">
      <c r="A459" s="198"/>
      <c r="B459" s="208" t="str">
        <f>vlookup(A459,Price!A:B,2,false)</f>
        <v>#N/A</v>
      </c>
      <c r="C459" s="198"/>
      <c r="D459" s="198"/>
      <c r="E459" s="198"/>
      <c r="F459" s="198"/>
      <c r="G459" s="198"/>
      <c r="H459" s="198"/>
      <c r="I459" s="198"/>
      <c r="J459" s="198"/>
      <c r="K459" s="198"/>
      <c r="L459" s="198"/>
    </row>
    <row r="460">
      <c r="A460" s="198"/>
      <c r="B460" s="208" t="str">
        <f>vlookup(A460,Price!A:B,2,false)</f>
        <v>#N/A</v>
      </c>
      <c r="C460" s="198"/>
      <c r="D460" s="198"/>
      <c r="E460" s="198"/>
      <c r="F460" s="198"/>
      <c r="G460" s="198"/>
      <c r="H460" s="198"/>
      <c r="I460" s="198"/>
      <c r="J460" s="198"/>
      <c r="K460" s="198"/>
      <c r="L460" s="198"/>
    </row>
    <row r="461">
      <c r="A461" s="198"/>
      <c r="B461" s="208" t="str">
        <f>vlookup(A461,Price!A:B,2,false)</f>
        <v>#N/A</v>
      </c>
      <c r="C461" s="198"/>
      <c r="D461" s="198"/>
      <c r="E461" s="198"/>
      <c r="F461" s="198"/>
      <c r="G461" s="198"/>
      <c r="H461" s="198"/>
      <c r="I461" s="198"/>
      <c r="J461" s="198"/>
      <c r="K461" s="198"/>
      <c r="L461" s="198"/>
    </row>
    <row r="462">
      <c r="A462" s="198"/>
      <c r="B462" s="208" t="str">
        <f>vlookup(A462,Price!A:B,2,false)</f>
        <v>#N/A</v>
      </c>
      <c r="C462" s="198"/>
      <c r="D462" s="198"/>
      <c r="E462" s="198"/>
      <c r="F462" s="198"/>
      <c r="G462" s="198"/>
      <c r="H462" s="198"/>
      <c r="I462" s="198"/>
      <c r="J462" s="198"/>
      <c r="K462" s="198"/>
      <c r="L462" s="198"/>
    </row>
    <row r="463">
      <c r="A463" s="198"/>
      <c r="B463" s="208" t="str">
        <f>vlookup(A463,Price!A:B,2,false)</f>
        <v>#N/A</v>
      </c>
      <c r="C463" s="198"/>
      <c r="D463" s="198"/>
      <c r="E463" s="198"/>
      <c r="F463" s="198"/>
      <c r="G463" s="198"/>
      <c r="H463" s="198"/>
      <c r="I463" s="198"/>
      <c r="J463" s="198"/>
      <c r="K463" s="198"/>
      <c r="L463" s="198"/>
    </row>
    <row r="464">
      <c r="A464" s="198"/>
      <c r="B464" s="208" t="str">
        <f>vlookup(A464,Price!A:B,2,false)</f>
        <v>#N/A</v>
      </c>
      <c r="C464" s="198"/>
      <c r="D464" s="198"/>
      <c r="E464" s="198"/>
      <c r="F464" s="198"/>
      <c r="G464" s="198"/>
      <c r="H464" s="198"/>
      <c r="I464" s="198"/>
      <c r="J464" s="198"/>
      <c r="K464" s="198"/>
      <c r="L464" s="198"/>
    </row>
    <row r="465">
      <c r="A465" s="198"/>
      <c r="B465" s="208" t="str">
        <f>vlookup(A465,Price!A:B,2,false)</f>
        <v>#N/A</v>
      </c>
      <c r="C465" s="198"/>
      <c r="D465" s="198"/>
      <c r="E465" s="198"/>
      <c r="F465" s="198"/>
      <c r="G465" s="198"/>
      <c r="H465" s="198"/>
      <c r="I465" s="198"/>
      <c r="J465" s="198"/>
      <c r="K465" s="198"/>
      <c r="L465" s="198"/>
    </row>
    <row r="466">
      <c r="A466" s="198"/>
      <c r="B466" s="208" t="str">
        <f>vlookup(A466,Price!A:B,2,false)</f>
        <v>#N/A</v>
      </c>
      <c r="C466" s="198"/>
      <c r="D466" s="198"/>
      <c r="E466" s="198"/>
      <c r="F466" s="198"/>
      <c r="G466" s="198"/>
      <c r="H466" s="198"/>
      <c r="I466" s="198"/>
      <c r="J466" s="198"/>
      <c r="K466" s="198"/>
      <c r="L466" s="198"/>
    </row>
    <row r="467">
      <c r="A467" s="198"/>
      <c r="B467" s="208" t="str">
        <f>vlookup(A467,Price!A:B,2,false)</f>
        <v>#N/A</v>
      </c>
      <c r="C467" s="198"/>
      <c r="D467" s="198"/>
      <c r="E467" s="198"/>
      <c r="F467" s="198"/>
      <c r="G467" s="198"/>
      <c r="H467" s="198"/>
      <c r="I467" s="198"/>
      <c r="J467" s="198"/>
      <c r="K467" s="198"/>
      <c r="L467" s="198"/>
    </row>
    <row r="468">
      <c r="A468" s="198"/>
      <c r="B468" s="208" t="str">
        <f>vlookup(A468,Price!A:B,2,false)</f>
        <v>#N/A</v>
      </c>
      <c r="C468" s="198"/>
      <c r="D468" s="198"/>
      <c r="E468" s="198"/>
      <c r="F468" s="198"/>
      <c r="G468" s="198"/>
      <c r="H468" s="198"/>
      <c r="I468" s="198"/>
      <c r="J468" s="198"/>
      <c r="K468" s="198"/>
      <c r="L468" s="198"/>
    </row>
    <row r="469">
      <c r="A469" s="198"/>
      <c r="B469" s="208" t="str">
        <f>vlookup(A469,Price!A:B,2,false)</f>
        <v>#N/A</v>
      </c>
      <c r="C469" s="198"/>
      <c r="D469" s="198"/>
      <c r="E469" s="198"/>
      <c r="F469" s="198"/>
      <c r="G469" s="198"/>
      <c r="H469" s="198"/>
      <c r="I469" s="198"/>
      <c r="J469" s="198"/>
      <c r="K469" s="198"/>
      <c r="L469" s="198"/>
    </row>
    <row r="470">
      <c r="A470" s="198"/>
      <c r="B470" s="208" t="str">
        <f>vlookup(A470,Price!A:B,2,false)</f>
        <v>#N/A</v>
      </c>
      <c r="C470" s="198"/>
      <c r="D470" s="198"/>
      <c r="E470" s="198"/>
      <c r="F470" s="198"/>
      <c r="G470" s="198"/>
      <c r="H470" s="198"/>
      <c r="I470" s="198"/>
      <c r="J470" s="198"/>
      <c r="K470" s="198"/>
      <c r="L470" s="198"/>
    </row>
    <row r="471">
      <c r="A471" s="198"/>
      <c r="B471" s="208" t="str">
        <f>vlookup(A471,Price!A:B,2,false)</f>
        <v>#N/A</v>
      </c>
      <c r="C471" s="198"/>
      <c r="D471" s="198"/>
      <c r="E471" s="198"/>
      <c r="F471" s="198"/>
      <c r="G471" s="198"/>
      <c r="H471" s="198"/>
      <c r="I471" s="198"/>
      <c r="J471" s="198"/>
      <c r="K471" s="198"/>
      <c r="L471" s="198"/>
    </row>
    <row r="472">
      <c r="A472" s="198"/>
      <c r="B472" s="208" t="str">
        <f>vlookup(A472,Price!A:B,2,false)</f>
        <v>#N/A</v>
      </c>
      <c r="C472" s="198"/>
      <c r="D472" s="198"/>
      <c r="E472" s="198"/>
      <c r="F472" s="198"/>
      <c r="G472" s="198"/>
      <c r="H472" s="198"/>
      <c r="I472" s="198"/>
      <c r="J472" s="198"/>
      <c r="K472" s="198"/>
      <c r="L472" s="198"/>
    </row>
    <row r="473">
      <c r="A473" s="198"/>
      <c r="B473" s="208" t="str">
        <f>vlookup(A473,Price!A:B,2,false)</f>
        <v>#N/A</v>
      </c>
      <c r="C473" s="198"/>
      <c r="D473" s="198"/>
      <c r="E473" s="198"/>
      <c r="F473" s="198"/>
      <c r="G473" s="198"/>
      <c r="H473" s="198"/>
      <c r="I473" s="198"/>
      <c r="J473" s="198"/>
      <c r="K473" s="198"/>
      <c r="L473" s="198"/>
    </row>
    <row r="474">
      <c r="A474" s="198"/>
      <c r="B474" s="208" t="str">
        <f>vlookup(A474,Price!A:B,2,false)</f>
        <v>#N/A</v>
      </c>
      <c r="C474" s="198"/>
      <c r="D474" s="198"/>
      <c r="E474" s="198"/>
      <c r="F474" s="198"/>
      <c r="G474" s="198"/>
      <c r="H474" s="198"/>
      <c r="I474" s="198"/>
      <c r="J474" s="198"/>
      <c r="K474" s="198"/>
      <c r="L474" s="198"/>
    </row>
    <row r="475">
      <c r="A475" s="198"/>
      <c r="B475" s="208" t="str">
        <f>vlookup(A475,Price!A:B,2,false)</f>
        <v>#N/A</v>
      </c>
      <c r="C475" s="198"/>
      <c r="D475" s="198"/>
      <c r="E475" s="198"/>
      <c r="F475" s="198"/>
      <c r="G475" s="198"/>
      <c r="H475" s="198"/>
      <c r="I475" s="198"/>
      <c r="J475" s="198"/>
      <c r="K475" s="198"/>
      <c r="L475" s="198"/>
    </row>
    <row r="476">
      <c r="A476" s="198"/>
      <c r="B476" s="208" t="str">
        <f>vlookup(A476,Price!A:B,2,false)</f>
        <v>#N/A</v>
      </c>
      <c r="C476" s="198"/>
      <c r="D476" s="198"/>
      <c r="E476" s="198"/>
      <c r="F476" s="198"/>
      <c r="G476" s="198"/>
      <c r="H476" s="198"/>
      <c r="I476" s="198"/>
      <c r="J476" s="198"/>
      <c r="K476" s="198"/>
      <c r="L476" s="198"/>
    </row>
    <row r="477">
      <c r="A477" s="198"/>
      <c r="B477" s="208" t="str">
        <f>vlookup(A477,Price!A:B,2,false)</f>
        <v>#N/A</v>
      </c>
      <c r="C477" s="198"/>
      <c r="D477" s="198"/>
      <c r="E477" s="198"/>
      <c r="F477" s="198"/>
      <c r="G477" s="198"/>
      <c r="H477" s="198"/>
      <c r="I477" s="198"/>
      <c r="J477" s="198"/>
      <c r="K477" s="198"/>
      <c r="L477" s="198"/>
    </row>
    <row r="478">
      <c r="A478" s="198"/>
      <c r="B478" s="208" t="str">
        <f>vlookup(A478,Price!A:B,2,false)</f>
        <v>#N/A</v>
      </c>
      <c r="C478" s="198"/>
      <c r="D478" s="198"/>
      <c r="E478" s="198"/>
      <c r="F478" s="198"/>
      <c r="G478" s="198"/>
      <c r="H478" s="198"/>
      <c r="I478" s="198"/>
      <c r="J478" s="198"/>
      <c r="K478" s="198"/>
      <c r="L478" s="198"/>
    </row>
    <row r="479">
      <c r="A479" s="198"/>
      <c r="B479" s="208" t="str">
        <f>vlookup(A479,Price!A:B,2,false)</f>
        <v>#N/A</v>
      </c>
      <c r="C479" s="198"/>
      <c r="D479" s="198"/>
      <c r="E479" s="198"/>
      <c r="F479" s="198"/>
      <c r="G479" s="198"/>
      <c r="H479" s="198"/>
      <c r="I479" s="198"/>
      <c r="J479" s="198"/>
      <c r="K479" s="198"/>
      <c r="L479" s="198"/>
    </row>
    <row r="480">
      <c r="A480" s="198"/>
      <c r="B480" s="208" t="str">
        <f>vlookup(A480,Price!A:B,2,false)</f>
        <v>#N/A</v>
      </c>
      <c r="C480" s="198"/>
      <c r="D480" s="198"/>
      <c r="E480" s="198"/>
      <c r="F480" s="198"/>
      <c r="G480" s="198"/>
      <c r="H480" s="198"/>
      <c r="I480" s="198"/>
      <c r="J480" s="198"/>
      <c r="K480" s="198"/>
      <c r="L480" s="198"/>
    </row>
    <row r="481">
      <c r="A481" s="198"/>
      <c r="B481" s="208" t="str">
        <f>vlookup(A481,Price!A:B,2,false)</f>
        <v>#N/A</v>
      </c>
      <c r="C481" s="198"/>
      <c r="D481" s="198"/>
      <c r="E481" s="198"/>
      <c r="F481" s="198"/>
      <c r="G481" s="198"/>
      <c r="H481" s="198"/>
      <c r="I481" s="198"/>
      <c r="J481" s="198"/>
      <c r="K481" s="198"/>
      <c r="L481" s="198"/>
    </row>
    <row r="482">
      <c r="A482" s="198"/>
      <c r="B482" s="208" t="str">
        <f>vlookup(A482,Price!A:B,2,false)</f>
        <v>#N/A</v>
      </c>
      <c r="C482" s="198"/>
      <c r="D482" s="198"/>
      <c r="E482" s="198"/>
      <c r="F482" s="198"/>
      <c r="G482" s="198"/>
      <c r="H482" s="198"/>
      <c r="I482" s="198"/>
      <c r="J482" s="198"/>
      <c r="K482" s="198"/>
      <c r="L482" s="198"/>
    </row>
    <row r="483">
      <c r="A483" s="198"/>
      <c r="B483" s="208" t="str">
        <f>vlookup(A483,Price!A:B,2,false)</f>
        <v>#N/A</v>
      </c>
      <c r="C483" s="198"/>
      <c r="D483" s="198"/>
      <c r="E483" s="198"/>
      <c r="F483" s="198"/>
      <c r="G483" s="198"/>
      <c r="H483" s="198"/>
      <c r="I483" s="198"/>
      <c r="J483" s="198"/>
      <c r="K483" s="198"/>
      <c r="L483" s="198"/>
    </row>
    <row r="484">
      <c r="A484" s="198"/>
      <c r="B484" s="208" t="str">
        <f>vlookup(A484,Price!A:B,2,false)</f>
        <v>#N/A</v>
      </c>
      <c r="C484" s="198"/>
      <c r="D484" s="198"/>
      <c r="E484" s="198"/>
      <c r="F484" s="198"/>
      <c r="G484" s="198"/>
      <c r="H484" s="198"/>
      <c r="I484" s="198"/>
      <c r="J484" s="198"/>
      <c r="K484" s="198"/>
      <c r="L484" s="198"/>
    </row>
    <row r="485">
      <c r="A485" s="198"/>
      <c r="B485" s="208" t="str">
        <f>vlookup(A485,Price!A:B,2,false)</f>
        <v>#N/A</v>
      </c>
      <c r="C485" s="198"/>
      <c r="D485" s="198"/>
      <c r="E485" s="198"/>
      <c r="F485" s="198"/>
      <c r="G485" s="198"/>
      <c r="H485" s="198"/>
      <c r="I485" s="198"/>
      <c r="J485" s="198"/>
      <c r="K485" s="198"/>
      <c r="L485" s="198"/>
    </row>
    <row r="486">
      <c r="A486" s="198"/>
      <c r="B486" s="208" t="str">
        <f>vlookup(A486,Price!A:B,2,false)</f>
        <v>#N/A</v>
      </c>
      <c r="C486" s="198"/>
      <c r="D486" s="198"/>
      <c r="E486" s="198"/>
      <c r="F486" s="198"/>
      <c r="G486" s="198"/>
      <c r="H486" s="198"/>
      <c r="I486" s="198"/>
      <c r="J486" s="198"/>
      <c r="K486" s="198"/>
      <c r="L486" s="198"/>
    </row>
    <row r="487">
      <c r="A487" s="198"/>
      <c r="B487" s="208" t="str">
        <f>vlookup(A487,Price!A:B,2,false)</f>
        <v>#N/A</v>
      </c>
      <c r="C487" s="198"/>
      <c r="D487" s="198"/>
      <c r="E487" s="198"/>
      <c r="F487" s="198"/>
      <c r="G487" s="198"/>
      <c r="H487" s="198"/>
      <c r="I487" s="198"/>
      <c r="J487" s="198"/>
      <c r="K487" s="198"/>
      <c r="L487" s="198"/>
    </row>
    <row r="488">
      <c r="A488" s="198"/>
      <c r="B488" s="208" t="str">
        <f>vlookup(A488,Price!A:B,2,false)</f>
        <v>#N/A</v>
      </c>
      <c r="C488" s="198"/>
      <c r="D488" s="198"/>
      <c r="E488" s="198"/>
      <c r="F488" s="198"/>
      <c r="G488" s="198"/>
      <c r="H488" s="198"/>
      <c r="I488" s="198"/>
      <c r="J488" s="198"/>
      <c r="K488" s="198"/>
      <c r="L488" s="198"/>
    </row>
    <row r="489">
      <c r="A489" s="198"/>
      <c r="B489" s="208" t="str">
        <f>vlookup(A489,Price!A:B,2,false)</f>
        <v>#N/A</v>
      </c>
      <c r="C489" s="198"/>
      <c r="D489" s="198"/>
      <c r="E489" s="198"/>
      <c r="F489" s="198"/>
      <c r="G489" s="198"/>
      <c r="H489" s="198"/>
      <c r="I489" s="198"/>
      <c r="J489" s="198"/>
      <c r="K489" s="198"/>
      <c r="L489" s="198"/>
    </row>
    <row r="490">
      <c r="A490" s="198"/>
      <c r="B490" s="208" t="str">
        <f>vlookup(A490,Price!A:B,2,false)</f>
        <v>#N/A</v>
      </c>
      <c r="C490" s="198"/>
      <c r="D490" s="198"/>
      <c r="E490" s="198"/>
      <c r="F490" s="198"/>
      <c r="G490" s="198"/>
      <c r="H490" s="198"/>
      <c r="I490" s="198"/>
      <c r="J490" s="198"/>
      <c r="K490" s="198"/>
      <c r="L490" s="198"/>
    </row>
    <row r="491">
      <c r="A491" s="198"/>
      <c r="B491" s="208" t="str">
        <f>vlookup(A491,Price!A:B,2,false)</f>
        <v>#N/A</v>
      </c>
      <c r="C491" s="198"/>
      <c r="D491" s="198"/>
      <c r="E491" s="198"/>
      <c r="F491" s="198"/>
      <c r="G491" s="198"/>
      <c r="H491" s="198"/>
      <c r="I491" s="198"/>
      <c r="J491" s="198"/>
      <c r="K491" s="198"/>
      <c r="L491" s="198"/>
    </row>
    <row r="492">
      <c r="A492" s="198"/>
      <c r="B492" s="208" t="str">
        <f>vlookup(A492,Price!A:B,2,false)</f>
        <v>#N/A</v>
      </c>
      <c r="C492" s="198"/>
      <c r="D492" s="198"/>
      <c r="E492" s="198"/>
      <c r="F492" s="198"/>
      <c r="G492" s="198"/>
      <c r="H492" s="198"/>
      <c r="I492" s="198"/>
      <c r="J492" s="198"/>
      <c r="K492" s="198"/>
      <c r="L492" s="198"/>
    </row>
    <row r="493">
      <c r="A493" s="198"/>
      <c r="B493" s="208" t="str">
        <f>vlookup(A493,Price!A:B,2,false)</f>
        <v>#N/A</v>
      </c>
      <c r="C493" s="198"/>
      <c r="D493" s="198"/>
      <c r="E493" s="198"/>
      <c r="F493" s="198"/>
      <c r="G493" s="198"/>
      <c r="H493" s="198"/>
      <c r="I493" s="198"/>
      <c r="J493" s="198"/>
      <c r="K493" s="198"/>
      <c r="L493" s="198"/>
    </row>
    <row r="494">
      <c r="A494" s="198"/>
      <c r="B494" s="208" t="str">
        <f>vlookup(A494,Price!A:B,2,false)</f>
        <v>#N/A</v>
      </c>
      <c r="C494" s="198"/>
      <c r="D494" s="198"/>
      <c r="E494" s="198"/>
      <c r="F494" s="198"/>
      <c r="G494" s="198"/>
      <c r="H494" s="198"/>
      <c r="I494" s="198"/>
      <c r="J494" s="198"/>
      <c r="K494" s="198"/>
      <c r="L494" s="198"/>
    </row>
    <row r="495">
      <c r="A495" s="198"/>
      <c r="B495" s="208" t="str">
        <f>vlookup(A495,Price!A:B,2,false)</f>
        <v>#N/A</v>
      </c>
      <c r="C495" s="198"/>
      <c r="D495" s="198"/>
      <c r="E495" s="198"/>
      <c r="F495" s="198"/>
      <c r="G495" s="198"/>
      <c r="H495" s="198"/>
      <c r="I495" s="198"/>
      <c r="J495" s="198"/>
      <c r="K495" s="198"/>
      <c r="L495" s="198"/>
    </row>
    <row r="496">
      <c r="A496" s="198"/>
      <c r="B496" s="208" t="str">
        <f>vlookup(A496,Price!A:B,2,false)</f>
        <v>#N/A</v>
      </c>
      <c r="C496" s="198"/>
      <c r="D496" s="198"/>
      <c r="E496" s="198"/>
      <c r="F496" s="198"/>
      <c r="G496" s="198"/>
      <c r="H496" s="198"/>
      <c r="I496" s="198"/>
      <c r="J496" s="198"/>
      <c r="K496" s="198"/>
      <c r="L496" s="198"/>
    </row>
    <row r="497">
      <c r="A497" s="198"/>
      <c r="B497" s="208" t="str">
        <f>vlookup(A497,Price!A:B,2,false)</f>
        <v>#N/A</v>
      </c>
      <c r="C497" s="198"/>
      <c r="D497" s="198"/>
      <c r="E497" s="198"/>
      <c r="F497" s="198"/>
      <c r="G497" s="198"/>
      <c r="H497" s="198"/>
      <c r="I497" s="198"/>
      <c r="J497" s="198"/>
      <c r="K497" s="198"/>
      <c r="L497" s="198"/>
    </row>
    <row r="498">
      <c r="A498" s="198"/>
      <c r="B498" s="208" t="str">
        <f>vlookup(A498,Price!A:B,2,false)</f>
        <v>#N/A</v>
      </c>
      <c r="C498" s="198"/>
      <c r="D498" s="198"/>
      <c r="E498" s="198"/>
      <c r="F498" s="198"/>
      <c r="G498" s="198"/>
      <c r="H498" s="198"/>
      <c r="I498" s="198"/>
      <c r="J498" s="198"/>
      <c r="K498" s="198"/>
      <c r="L498" s="198"/>
    </row>
    <row r="499">
      <c r="A499" s="198"/>
      <c r="B499" s="208" t="str">
        <f>vlookup(A499,Price!A:B,2,false)</f>
        <v>#N/A</v>
      </c>
      <c r="C499" s="198"/>
      <c r="D499" s="198"/>
      <c r="E499" s="198"/>
      <c r="F499" s="198"/>
      <c r="G499" s="198"/>
      <c r="H499" s="198"/>
      <c r="I499" s="198"/>
      <c r="J499" s="198"/>
      <c r="K499" s="198"/>
      <c r="L499" s="198"/>
    </row>
    <row r="500">
      <c r="A500" s="198"/>
      <c r="B500" s="208" t="str">
        <f>vlookup(A500,Price!A:B,2,false)</f>
        <v>#N/A</v>
      </c>
      <c r="C500" s="198"/>
      <c r="D500" s="198"/>
      <c r="E500" s="198"/>
      <c r="F500" s="198"/>
      <c r="G500" s="198"/>
      <c r="H500" s="198"/>
      <c r="I500" s="198"/>
      <c r="J500" s="198"/>
      <c r="K500" s="198"/>
      <c r="L500" s="198"/>
    </row>
    <row r="501">
      <c r="A501" s="198"/>
      <c r="B501" s="208" t="str">
        <f>vlookup(A501,Price!A:B,2,false)</f>
        <v>#N/A</v>
      </c>
      <c r="C501" s="198"/>
      <c r="D501" s="198"/>
      <c r="E501" s="198"/>
      <c r="F501" s="198"/>
      <c r="G501" s="198"/>
      <c r="H501" s="198"/>
      <c r="I501" s="198"/>
      <c r="J501" s="198"/>
      <c r="K501" s="198"/>
      <c r="L501" s="198"/>
    </row>
    <row r="502">
      <c r="A502" s="198"/>
      <c r="B502" s="208" t="str">
        <f>vlookup(A502,Price!A:B,2,false)</f>
        <v>#N/A</v>
      </c>
      <c r="C502" s="198"/>
      <c r="D502" s="198"/>
      <c r="E502" s="198"/>
      <c r="F502" s="198"/>
      <c r="G502" s="198"/>
      <c r="H502" s="198"/>
      <c r="I502" s="198"/>
      <c r="J502" s="198"/>
      <c r="K502" s="198"/>
      <c r="L502" s="198"/>
    </row>
    <row r="503">
      <c r="A503" s="198"/>
      <c r="B503" s="208" t="str">
        <f>vlookup(A503,Price!A:B,2,false)</f>
        <v>#N/A</v>
      </c>
      <c r="C503" s="198"/>
      <c r="D503" s="198"/>
      <c r="E503" s="198"/>
      <c r="F503" s="198"/>
      <c r="G503" s="198"/>
      <c r="H503" s="198"/>
      <c r="I503" s="198"/>
      <c r="J503" s="198"/>
      <c r="K503" s="198"/>
      <c r="L503" s="198"/>
    </row>
    <row r="504">
      <c r="A504" s="198"/>
      <c r="B504" s="208" t="str">
        <f>vlookup(A504,Price!A:B,2,false)</f>
        <v>#N/A</v>
      </c>
      <c r="C504" s="198"/>
      <c r="D504" s="198"/>
      <c r="E504" s="198"/>
      <c r="F504" s="198"/>
      <c r="G504" s="198"/>
      <c r="H504" s="198"/>
      <c r="I504" s="198"/>
      <c r="J504" s="198"/>
      <c r="K504" s="198"/>
      <c r="L504" s="198"/>
    </row>
    <row r="505">
      <c r="A505" s="198"/>
      <c r="B505" s="208" t="str">
        <f>vlookup(A505,Price!A:B,2,false)</f>
        <v>#N/A</v>
      </c>
      <c r="C505" s="198"/>
      <c r="D505" s="198"/>
      <c r="E505" s="198"/>
      <c r="F505" s="198"/>
      <c r="G505" s="198"/>
      <c r="H505" s="198"/>
      <c r="I505" s="198"/>
      <c r="J505" s="198"/>
      <c r="K505" s="198"/>
      <c r="L505" s="198"/>
    </row>
    <row r="506">
      <c r="A506" s="198"/>
      <c r="B506" s="208" t="str">
        <f>vlookup(A506,Price!A:B,2,false)</f>
        <v>#N/A</v>
      </c>
      <c r="C506" s="198"/>
      <c r="D506" s="198"/>
      <c r="E506" s="198"/>
      <c r="F506" s="198"/>
      <c r="G506" s="198"/>
      <c r="H506" s="198"/>
      <c r="I506" s="198"/>
      <c r="J506" s="198"/>
      <c r="K506" s="198"/>
      <c r="L506" s="198"/>
    </row>
    <row r="507">
      <c r="A507" s="198"/>
      <c r="B507" s="208" t="str">
        <f>vlookup(A507,Price!A:B,2,false)</f>
        <v>#N/A</v>
      </c>
      <c r="C507" s="198"/>
      <c r="D507" s="198"/>
      <c r="E507" s="198"/>
      <c r="F507" s="198"/>
      <c r="G507" s="198"/>
      <c r="H507" s="198"/>
      <c r="I507" s="198"/>
      <c r="J507" s="198"/>
      <c r="K507" s="198"/>
      <c r="L507" s="198"/>
    </row>
    <row r="508">
      <c r="A508" s="198"/>
      <c r="B508" s="208" t="str">
        <f>vlookup(A508,Price!A:B,2,false)</f>
        <v>#N/A</v>
      </c>
      <c r="C508" s="198"/>
      <c r="D508" s="198"/>
      <c r="E508" s="198"/>
      <c r="F508" s="198"/>
      <c r="G508" s="198"/>
      <c r="H508" s="198"/>
      <c r="I508" s="198"/>
      <c r="J508" s="198"/>
      <c r="K508" s="198"/>
      <c r="L508" s="198"/>
    </row>
    <row r="509">
      <c r="A509" s="198"/>
      <c r="B509" s="208" t="str">
        <f>vlookup(A509,Price!A:B,2,false)</f>
        <v>#N/A</v>
      </c>
      <c r="C509" s="198"/>
      <c r="D509" s="198"/>
      <c r="E509" s="198"/>
      <c r="F509" s="198"/>
      <c r="G509" s="198"/>
      <c r="H509" s="198"/>
      <c r="I509" s="198"/>
      <c r="J509" s="198"/>
      <c r="K509" s="198"/>
      <c r="L509" s="198"/>
    </row>
    <row r="510">
      <c r="A510" s="198"/>
      <c r="B510" s="208" t="str">
        <f>vlookup(A510,Price!A:B,2,false)</f>
        <v>#N/A</v>
      </c>
      <c r="C510" s="198"/>
      <c r="D510" s="198"/>
      <c r="E510" s="198"/>
      <c r="F510" s="198"/>
      <c r="G510" s="198"/>
      <c r="H510" s="198"/>
      <c r="I510" s="198"/>
      <c r="J510" s="198"/>
      <c r="K510" s="198"/>
      <c r="L510" s="198"/>
    </row>
    <row r="511">
      <c r="A511" s="198"/>
      <c r="B511" s="208" t="str">
        <f>vlookup(A511,Price!A:B,2,false)</f>
        <v>#N/A</v>
      </c>
      <c r="C511" s="198"/>
      <c r="D511" s="198"/>
      <c r="E511" s="198"/>
      <c r="F511" s="198"/>
      <c r="G511" s="198"/>
      <c r="H511" s="198"/>
      <c r="I511" s="198"/>
      <c r="J511" s="198"/>
      <c r="K511" s="198"/>
      <c r="L511" s="198"/>
    </row>
    <row r="512">
      <c r="A512" s="198"/>
      <c r="B512" s="208" t="str">
        <f>vlookup(A512,Price!A:B,2,false)</f>
        <v>#N/A</v>
      </c>
      <c r="C512" s="198"/>
      <c r="D512" s="198"/>
      <c r="E512" s="198"/>
      <c r="F512" s="198"/>
      <c r="G512" s="198"/>
      <c r="H512" s="198"/>
      <c r="I512" s="198"/>
      <c r="J512" s="198"/>
      <c r="K512" s="198"/>
      <c r="L512" s="198"/>
    </row>
    <row r="513">
      <c r="A513" s="198"/>
      <c r="B513" s="208" t="str">
        <f>vlookup(A513,Price!A:B,2,false)</f>
        <v>#N/A</v>
      </c>
      <c r="C513" s="198"/>
      <c r="D513" s="198"/>
      <c r="E513" s="198"/>
      <c r="F513" s="198"/>
      <c r="G513" s="198"/>
      <c r="H513" s="198"/>
      <c r="I513" s="198"/>
      <c r="J513" s="198"/>
      <c r="K513" s="198"/>
      <c r="L513" s="198"/>
    </row>
    <row r="514">
      <c r="A514" s="198"/>
      <c r="B514" s="208" t="str">
        <f>vlookup(A514,Price!A:B,2,false)</f>
        <v>#N/A</v>
      </c>
      <c r="C514" s="198"/>
      <c r="D514" s="198"/>
      <c r="E514" s="198"/>
      <c r="F514" s="198"/>
      <c r="G514" s="198"/>
      <c r="H514" s="198"/>
      <c r="I514" s="198"/>
      <c r="J514" s="198"/>
      <c r="K514" s="198"/>
      <c r="L514" s="198"/>
    </row>
    <row r="515">
      <c r="A515" s="198"/>
      <c r="B515" s="208" t="str">
        <f>vlookup(A515,Price!A:B,2,false)</f>
        <v>#N/A</v>
      </c>
      <c r="C515" s="198"/>
      <c r="D515" s="198"/>
      <c r="E515" s="198"/>
      <c r="F515" s="198"/>
      <c r="G515" s="198"/>
      <c r="H515" s="198"/>
      <c r="I515" s="198"/>
      <c r="J515" s="198"/>
      <c r="K515" s="198"/>
      <c r="L515" s="198"/>
    </row>
    <row r="516">
      <c r="A516" s="198"/>
      <c r="B516" s="208" t="str">
        <f>vlookup(A516,Price!A:B,2,false)</f>
        <v>#N/A</v>
      </c>
      <c r="C516" s="198"/>
      <c r="D516" s="198"/>
      <c r="E516" s="198"/>
      <c r="F516" s="198"/>
      <c r="G516" s="198"/>
      <c r="H516" s="198"/>
      <c r="I516" s="198"/>
      <c r="J516" s="198"/>
      <c r="K516" s="198"/>
      <c r="L516" s="198"/>
    </row>
    <row r="517">
      <c r="A517" s="198"/>
      <c r="B517" s="208" t="str">
        <f>vlookup(A517,Price!A:B,2,false)</f>
        <v>#N/A</v>
      </c>
      <c r="C517" s="198"/>
      <c r="D517" s="198"/>
      <c r="E517" s="198"/>
      <c r="F517" s="198"/>
      <c r="G517" s="198"/>
      <c r="H517" s="198"/>
      <c r="I517" s="198"/>
      <c r="J517" s="198"/>
      <c r="K517" s="198"/>
      <c r="L517" s="198"/>
    </row>
    <row r="518">
      <c r="A518" s="198"/>
      <c r="B518" s="208" t="str">
        <f>vlookup(A518,Price!A:B,2,false)</f>
        <v>#N/A</v>
      </c>
      <c r="C518" s="198"/>
      <c r="D518" s="198"/>
      <c r="E518" s="198"/>
      <c r="F518" s="198"/>
      <c r="G518" s="198"/>
      <c r="H518" s="198"/>
      <c r="I518" s="198"/>
      <c r="J518" s="198"/>
      <c r="K518" s="198"/>
      <c r="L518" s="198"/>
    </row>
    <row r="519">
      <c r="A519" s="198"/>
      <c r="B519" s="208" t="str">
        <f>vlookup(A519,Price!A:B,2,false)</f>
        <v>#N/A</v>
      </c>
      <c r="C519" s="198"/>
      <c r="D519" s="198"/>
      <c r="E519" s="198"/>
      <c r="F519" s="198"/>
      <c r="G519" s="198"/>
      <c r="H519" s="198"/>
      <c r="I519" s="198"/>
      <c r="J519" s="198"/>
      <c r="K519" s="198"/>
      <c r="L519" s="198"/>
    </row>
    <row r="520">
      <c r="A520" s="198"/>
      <c r="B520" s="208" t="str">
        <f>vlookup(A520,Price!A:B,2,false)</f>
        <v>#N/A</v>
      </c>
      <c r="C520" s="198"/>
      <c r="D520" s="198"/>
      <c r="E520" s="198"/>
      <c r="F520" s="198"/>
      <c r="G520" s="198"/>
      <c r="H520" s="198"/>
      <c r="I520" s="198"/>
      <c r="J520" s="198"/>
      <c r="K520" s="198"/>
      <c r="L520" s="198"/>
    </row>
    <row r="521">
      <c r="A521" s="198"/>
      <c r="B521" s="208" t="str">
        <f>vlookup(A521,Price!A:B,2,false)</f>
        <v>#N/A</v>
      </c>
      <c r="C521" s="198"/>
      <c r="D521" s="198"/>
      <c r="E521" s="198"/>
      <c r="F521" s="198"/>
      <c r="G521" s="198"/>
      <c r="H521" s="198"/>
      <c r="I521" s="198"/>
      <c r="J521" s="198"/>
      <c r="K521" s="198"/>
      <c r="L521" s="198"/>
    </row>
    <row r="522">
      <c r="A522" s="198"/>
      <c r="B522" s="208" t="str">
        <f>vlookup(A522,Price!A:B,2,false)</f>
        <v>#N/A</v>
      </c>
      <c r="C522" s="198"/>
      <c r="D522" s="198"/>
      <c r="E522" s="198"/>
      <c r="F522" s="198"/>
      <c r="G522" s="198"/>
      <c r="H522" s="198"/>
      <c r="I522" s="198"/>
      <c r="J522" s="198"/>
      <c r="K522" s="198"/>
      <c r="L522" s="198"/>
    </row>
    <row r="523">
      <c r="A523" s="198"/>
      <c r="B523" s="208" t="str">
        <f>vlookup(A523,Price!A:B,2,false)</f>
        <v>#N/A</v>
      </c>
      <c r="C523" s="198"/>
      <c r="D523" s="198"/>
      <c r="E523" s="198"/>
      <c r="F523" s="198"/>
      <c r="G523" s="198"/>
      <c r="H523" s="198"/>
      <c r="I523" s="198"/>
      <c r="J523" s="198"/>
      <c r="K523" s="198"/>
      <c r="L523" s="198"/>
    </row>
    <row r="524">
      <c r="A524" s="198"/>
      <c r="B524" s="208" t="str">
        <f>vlookup(A524,Price!A:B,2,false)</f>
        <v>#N/A</v>
      </c>
      <c r="C524" s="198"/>
      <c r="D524" s="198"/>
      <c r="E524" s="198"/>
      <c r="F524" s="198"/>
      <c r="G524" s="198"/>
      <c r="H524" s="198"/>
      <c r="I524" s="198"/>
      <c r="J524" s="198"/>
      <c r="K524" s="198"/>
      <c r="L524" s="198"/>
    </row>
    <row r="525">
      <c r="A525" s="198"/>
      <c r="B525" s="208" t="str">
        <f>vlookup(A525,Price!A:B,2,false)</f>
        <v>#N/A</v>
      </c>
      <c r="C525" s="198"/>
      <c r="D525" s="198"/>
      <c r="E525" s="198"/>
      <c r="F525" s="198"/>
      <c r="G525" s="198"/>
      <c r="H525" s="198"/>
      <c r="I525" s="198"/>
      <c r="J525" s="198"/>
      <c r="K525" s="198"/>
      <c r="L525" s="198"/>
    </row>
    <row r="526">
      <c r="A526" s="198"/>
      <c r="B526" s="208" t="str">
        <f>vlookup(A526,Price!A:B,2,false)</f>
        <v>#N/A</v>
      </c>
      <c r="C526" s="198"/>
      <c r="D526" s="198"/>
      <c r="E526" s="198"/>
      <c r="F526" s="198"/>
      <c r="G526" s="198"/>
      <c r="H526" s="198"/>
      <c r="I526" s="198"/>
      <c r="J526" s="198"/>
      <c r="K526" s="198"/>
      <c r="L526" s="198"/>
    </row>
    <row r="527">
      <c r="A527" s="198"/>
      <c r="B527" s="208" t="str">
        <f>vlookup(A527,Price!A:B,2,false)</f>
        <v>#N/A</v>
      </c>
      <c r="C527" s="198"/>
      <c r="D527" s="198"/>
      <c r="E527" s="198"/>
      <c r="F527" s="198"/>
      <c r="G527" s="198"/>
      <c r="H527" s="198"/>
      <c r="I527" s="198"/>
      <c r="J527" s="198"/>
      <c r="K527" s="198"/>
      <c r="L527" s="198"/>
    </row>
    <row r="528">
      <c r="A528" s="198"/>
      <c r="B528" s="208" t="str">
        <f>vlookup(A528,Price!A:B,2,false)</f>
        <v>#N/A</v>
      </c>
      <c r="C528" s="198"/>
      <c r="D528" s="198"/>
      <c r="E528" s="198"/>
      <c r="F528" s="198"/>
      <c r="G528" s="198"/>
      <c r="H528" s="198"/>
      <c r="I528" s="198"/>
      <c r="J528" s="198"/>
      <c r="K528" s="198"/>
      <c r="L528" s="198"/>
    </row>
    <row r="529">
      <c r="A529" s="198"/>
      <c r="B529" s="208" t="str">
        <f>vlookup(A529,Price!A:B,2,false)</f>
        <v>#N/A</v>
      </c>
      <c r="C529" s="198"/>
      <c r="D529" s="198"/>
      <c r="E529" s="198"/>
      <c r="F529" s="198"/>
      <c r="G529" s="198"/>
      <c r="H529" s="198"/>
      <c r="I529" s="198"/>
      <c r="J529" s="198"/>
      <c r="K529" s="198"/>
      <c r="L529" s="198"/>
    </row>
    <row r="530">
      <c r="A530" s="198"/>
      <c r="B530" s="208" t="str">
        <f>vlookup(A530,Price!A:B,2,false)</f>
        <v>#N/A</v>
      </c>
      <c r="C530" s="198"/>
      <c r="D530" s="198"/>
      <c r="E530" s="198"/>
      <c r="F530" s="198"/>
      <c r="G530" s="198"/>
      <c r="H530" s="198"/>
      <c r="I530" s="198"/>
      <c r="J530" s="198"/>
      <c r="K530" s="198"/>
      <c r="L530" s="198"/>
    </row>
    <row r="531">
      <c r="A531" s="198"/>
      <c r="B531" s="208" t="str">
        <f>vlookup(A531,Price!A:B,2,false)</f>
        <v>#N/A</v>
      </c>
      <c r="C531" s="198"/>
      <c r="D531" s="198"/>
      <c r="E531" s="198"/>
      <c r="F531" s="198"/>
      <c r="G531" s="198"/>
      <c r="H531" s="198"/>
      <c r="I531" s="198"/>
      <c r="J531" s="198"/>
      <c r="K531" s="198"/>
      <c r="L531" s="198"/>
    </row>
    <row r="532">
      <c r="A532" s="198"/>
      <c r="B532" s="208" t="str">
        <f>vlookup(A532,Price!A:B,2,false)</f>
        <v>#N/A</v>
      </c>
      <c r="C532" s="198"/>
      <c r="D532" s="198"/>
      <c r="E532" s="198"/>
      <c r="F532" s="198"/>
      <c r="G532" s="198"/>
      <c r="H532" s="198"/>
      <c r="I532" s="198"/>
      <c r="J532" s="198"/>
      <c r="K532" s="198"/>
      <c r="L532" s="198"/>
    </row>
    <row r="533">
      <c r="A533" s="198"/>
      <c r="B533" s="208" t="str">
        <f>vlookup(A533,Price!A:B,2,false)</f>
        <v>#N/A</v>
      </c>
      <c r="C533" s="198"/>
      <c r="D533" s="198"/>
      <c r="E533" s="198"/>
      <c r="F533" s="198"/>
      <c r="G533" s="198"/>
      <c r="H533" s="198"/>
      <c r="I533" s="198"/>
      <c r="J533" s="198"/>
      <c r="K533" s="198"/>
      <c r="L533" s="198"/>
    </row>
    <row r="534">
      <c r="A534" s="198"/>
      <c r="B534" s="208" t="str">
        <f>vlookup(A534,Price!A:B,2,false)</f>
        <v>#N/A</v>
      </c>
      <c r="C534" s="198"/>
      <c r="D534" s="198"/>
      <c r="E534" s="198"/>
      <c r="F534" s="198"/>
      <c r="G534" s="198"/>
      <c r="H534" s="198"/>
      <c r="I534" s="198"/>
      <c r="J534" s="198"/>
      <c r="K534" s="198"/>
      <c r="L534" s="198"/>
    </row>
    <row r="535">
      <c r="A535" s="198"/>
      <c r="B535" s="208" t="str">
        <f>vlookup(A535,Price!A:B,2,false)</f>
        <v>#N/A</v>
      </c>
      <c r="C535" s="198"/>
      <c r="D535" s="198"/>
      <c r="E535" s="198"/>
      <c r="F535" s="198"/>
      <c r="G535" s="198"/>
      <c r="H535" s="198"/>
      <c r="I535" s="198"/>
      <c r="J535" s="198"/>
      <c r="K535" s="198"/>
      <c r="L535" s="198"/>
    </row>
    <row r="536">
      <c r="A536" s="198"/>
      <c r="B536" s="208" t="str">
        <f>vlookup(A536,Price!A:B,2,false)</f>
        <v>#N/A</v>
      </c>
      <c r="C536" s="198"/>
      <c r="D536" s="198"/>
      <c r="E536" s="198"/>
      <c r="F536" s="198"/>
      <c r="G536" s="198"/>
      <c r="H536" s="198"/>
      <c r="I536" s="198"/>
      <c r="J536" s="198"/>
      <c r="K536" s="198"/>
      <c r="L536" s="198"/>
    </row>
    <row r="537">
      <c r="A537" s="198"/>
      <c r="B537" s="208" t="str">
        <f>vlookup(A537,Price!A:B,2,false)</f>
        <v>#N/A</v>
      </c>
      <c r="C537" s="198"/>
      <c r="D537" s="198"/>
      <c r="E537" s="198"/>
      <c r="F537" s="198"/>
      <c r="G537" s="198"/>
      <c r="H537" s="198"/>
      <c r="I537" s="198"/>
      <c r="J537" s="198"/>
      <c r="K537" s="198"/>
      <c r="L537" s="198"/>
    </row>
    <row r="538">
      <c r="A538" s="198"/>
      <c r="B538" s="208" t="str">
        <f>vlookup(A538,Price!A:B,2,false)</f>
        <v>#N/A</v>
      </c>
      <c r="C538" s="198"/>
      <c r="D538" s="198"/>
      <c r="E538" s="198"/>
      <c r="F538" s="198"/>
      <c r="G538" s="198"/>
      <c r="H538" s="198"/>
      <c r="I538" s="198"/>
      <c r="J538" s="198"/>
      <c r="K538" s="198"/>
      <c r="L538" s="198"/>
    </row>
    <row r="539">
      <c r="A539" s="198"/>
      <c r="B539" s="208" t="str">
        <f>vlookup(A539,Price!A:B,2,false)</f>
        <v>#N/A</v>
      </c>
      <c r="C539" s="198"/>
      <c r="D539" s="198"/>
      <c r="E539" s="198"/>
      <c r="F539" s="198"/>
      <c r="G539" s="198"/>
      <c r="H539" s="198"/>
      <c r="I539" s="198"/>
      <c r="J539" s="198"/>
      <c r="K539" s="198"/>
      <c r="L539" s="198"/>
    </row>
    <row r="540">
      <c r="A540" s="198"/>
      <c r="B540" s="208" t="str">
        <f>vlookup(A540,Price!A:B,2,false)</f>
        <v>#N/A</v>
      </c>
      <c r="C540" s="198"/>
      <c r="D540" s="198"/>
      <c r="E540" s="198"/>
      <c r="F540" s="198"/>
      <c r="G540" s="198"/>
      <c r="H540" s="198"/>
      <c r="I540" s="198"/>
      <c r="J540" s="198"/>
      <c r="K540" s="198"/>
      <c r="L540" s="198"/>
    </row>
    <row r="541">
      <c r="A541" s="198"/>
      <c r="B541" s="208" t="str">
        <f>vlookup(A541,Price!A:B,2,false)</f>
        <v>#N/A</v>
      </c>
      <c r="C541" s="198"/>
      <c r="D541" s="198"/>
      <c r="E541" s="198"/>
      <c r="F541" s="198"/>
      <c r="G541" s="198"/>
      <c r="H541" s="198"/>
      <c r="I541" s="198"/>
      <c r="J541" s="198"/>
      <c r="K541" s="198"/>
      <c r="L541" s="198"/>
    </row>
    <row r="542">
      <c r="A542" s="198"/>
      <c r="B542" s="208" t="str">
        <f>vlookup(A542,Price!A:B,2,false)</f>
        <v>#N/A</v>
      </c>
      <c r="C542" s="198"/>
      <c r="D542" s="198"/>
      <c r="E542" s="198"/>
      <c r="F542" s="198"/>
      <c r="G542" s="198"/>
      <c r="H542" s="198"/>
      <c r="I542" s="198"/>
      <c r="J542" s="198"/>
      <c r="K542" s="198"/>
      <c r="L542" s="198"/>
    </row>
    <row r="543">
      <c r="A543" s="198"/>
      <c r="B543" s="208" t="str">
        <f>vlookup(A543,Price!A:B,2,false)</f>
        <v>#N/A</v>
      </c>
      <c r="C543" s="198"/>
      <c r="D543" s="198"/>
      <c r="E543" s="198"/>
      <c r="F543" s="198"/>
      <c r="G543" s="198"/>
      <c r="H543" s="198"/>
      <c r="I543" s="198"/>
      <c r="J543" s="198"/>
      <c r="K543" s="198"/>
      <c r="L543" s="198"/>
    </row>
    <row r="544">
      <c r="A544" s="198"/>
      <c r="B544" s="208" t="str">
        <f>vlookup(A544,Price!A:B,2,false)</f>
        <v>#N/A</v>
      </c>
      <c r="C544" s="198"/>
      <c r="D544" s="198"/>
      <c r="E544" s="198"/>
      <c r="F544" s="198"/>
      <c r="G544" s="198"/>
      <c r="H544" s="198"/>
      <c r="I544" s="198"/>
      <c r="J544" s="198"/>
      <c r="K544" s="198"/>
      <c r="L544" s="198"/>
    </row>
    <row r="545">
      <c r="A545" s="198"/>
      <c r="B545" s="208" t="str">
        <f>vlookup(A545,Price!A:B,2,false)</f>
        <v>#N/A</v>
      </c>
      <c r="C545" s="198"/>
      <c r="D545" s="198"/>
      <c r="E545" s="198"/>
      <c r="F545" s="198"/>
      <c r="G545" s="198"/>
      <c r="H545" s="198"/>
      <c r="I545" s="198"/>
      <c r="J545" s="198"/>
      <c r="K545" s="198"/>
      <c r="L545" s="198"/>
    </row>
    <row r="546">
      <c r="A546" s="198"/>
      <c r="B546" s="208" t="str">
        <f>vlookup(A546,Price!A:B,2,false)</f>
        <v>#N/A</v>
      </c>
      <c r="C546" s="198"/>
      <c r="D546" s="198"/>
      <c r="E546" s="198"/>
      <c r="F546" s="198"/>
      <c r="G546" s="198"/>
      <c r="H546" s="198"/>
      <c r="I546" s="198"/>
      <c r="J546" s="198"/>
      <c r="K546" s="198"/>
      <c r="L546" s="198"/>
    </row>
    <row r="547">
      <c r="A547" s="198"/>
      <c r="B547" s="208" t="str">
        <f>vlookup(A547,Price!A:B,2,false)</f>
        <v>#N/A</v>
      </c>
      <c r="C547" s="198"/>
      <c r="D547" s="198"/>
      <c r="E547" s="198"/>
      <c r="F547" s="198"/>
      <c r="G547" s="198"/>
      <c r="H547" s="198"/>
      <c r="I547" s="198"/>
      <c r="J547" s="198"/>
      <c r="K547" s="198"/>
      <c r="L547" s="198"/>
    </row>
    <row r="548">
      <c r="A548" s="198"/>
      <c r="B548" s="208" t="str">
        <f>vlookup(A548,Price!A:B,2,false)</f>
        <v>#N/A</v>
      </c>
      <c r="C548" s="198"/>
      <c r="D548" s="198"/>
      <c r="E548" s="198"/>
      <c r="F548" s="198"/>
      <c r="G548" s="198"/>
      <c r="H548" s="198"/>
      <c r="I548" s="198"/>
      <c r="J548" s="198"/>
      <c r="K548" s="198"/>
      <c r="L548" s="198"/>
    </row>
    <row r="549">
      <c r="A549" s="198"/>
      <c r="B549" s="208" t="str">
        <f>vlookup(A549,Price!A:B,2,false)</f>
        <v>#N/A</v>
      </c>
      <c r="C549" s="198"/>
      <c r="D549" s="198"/>
      <c r="E549" s="198"/>
      <c r="F549" s="198"/>
      <c r="G549" s="198"/>
      <c r="H549" s="198"/>
      <c r="I549" s="198"/>
      <c r="J549" s="198"/>
      <c r="K549" s="198"/>
      <c r="L549" s="198"/>
    </row>
    <row r="550">
      <c r="A550" s="198"/>
      <c r="B550" s="208" t="str">
        <f>vlookup(A550,Price!A:B,2,false)</f>
        <v>#N/A</v>
      </c>
      <c r="C550" s="198"/>
      <c r="D550" s="198"/>
      <c r="E550" s="198"/>
      <c r="F550" s="198"/>
      <c r="G550" s="198"/>
      <c r="H550" s="198"/>
      <c r="I550" s="198"/>
      <c r="J550" s="198"/>
      <c r="K550" s="198"/>
      <c r="L550" s="198"/>
    </row>
    <row r="551">
      <c r="A551" s="198"/>
      <c r="B551" s="208" t="str">
        <f>vlookup(A551,Price!A:B,2,false)</f>
        <v>#N/A</v>
      </c>
      <c r="C551" s="198"/>
      <c r="D551" s="198"/>
      <c r="E551" s="198"/>
      <c r="F551" s="198"/>
      <c r="G551" s="198"/>
      <c r="H551" s="198"/>
      <c r="I551" s="198"/>
      <c r="J551" s="198"/>
      <c r="K551" s="198"/>
      <c r="L551" s="198"/>
    </row>
    <row r="552">
      <c r="A552" s="198"/>
      <c r="B552" s="208" t="str">
        <f>vlookup(A552,Price!A:B,2,false)</f>
        <v>#N/A</v>
      </c>
      <c r="C552" s="198"/>
      <c r="D552" s="198"/>
      <c r="E552" s="198"/>
      <c r="F552" s="198"/>
      <c r="G552" s="198"/>
      <c r="H552" s="198"/>
      <c r="I552" s="198"/>
      <c r="J552" s="198"/>
      <c r="K552" s="198"/>
      <c r="L552" s="198"/>
    </row>
    <row r="553">
      <c r="A553" s="198"/>
      <c r="B553" s="208" t="str">
        <f>vlookup(A553,Price!A:B,2,false)</f>
        <v>#N/A</v>
      </c>
      <c r="C553" s="198"/>
      <c r="D553" s="198"/>
      <c r="E553" s="198"/>
      <c r="F553" s="198"/>
      <c r="G553" s="198"/>
      <c r="H553" s="198"/>
      <c r="I553" s="198"/>
      <c r="J553" s="198"/>
      <c r="K553" s="198"/>
      <c r="L553" s="198"/>
    </row>
    <row r="554">
      <c r="A554" s="198"/>
      <c r="B554" s="208" t="str">
        <f>vlookup(A554,Price!A:B,2,false)</f>
        <v>#N/A</v>
      </c>
      <c r="C554" s="198"/>
      <c r="D554" s="198"/>
      <c r="E554" s="198"/>
      <c r="F554" s="198"/>
      <c r="G554" s="198"/>
      <c r="H554" s="198"/>
      <c r="I554" s="198"/>
      <c r="J554" s="198"/>
      <c r="K554" s="198"/>
      <c r="L554" s="198"/>
    </row>
    <row r="555">
      <c r="A555" s="198"/>
      <c r="B555" s="208" t="str">
        <f>vlookup(A555,Price!A:B,2,false)</f>
        <v>#N/A</v>
      </c>
      <c r="C555" s="198"/>
      <c r="D555" s="198"/>
      <c r="E555" s="198"/>
      <c r="F555" s="198"/>
      <c r="G555" s="198"/>
      <c r="H555" s="198"/>
      <c r="I555" s="198"/>
      <c r="J555" s="198"/>
      <c r="K555" s="198"/>
      <c r="L555" s="198"/>
    </row>
    <row r="556">
      <c r="A556" s="198"/>
      <c r="B556" s="208" t="str">
        <f>vlookup(A556,Price!A:B,2,false)</f>
        <v>#N/A</v>
      </c>
      <c r="C556" s="198"/>
      <c r="D556" s="198"/>
      <c r="E556" s="198"/>
      <c r="F556" s="198"/>
      <c r="G556" s="198"/>
      <c r="H556" s="198"/>
      <c r="I556" s="198"/>
      <c r="J556" s="198"/>
      <c r="K556" s="198"/>
      <c r="L556" s="198"/>
    </row>
    <row r="557">
      <c r="A557" s="198"/>
      <c r="B557" s="208" t="str">
        <f>vlookup(A557,Price!A:B,2,false)</f>
        <v>#N/A</v>
      </c>
      <c r="C557" s="198"/>
      <c r="D557" s="198"/>
      <c r="E557" s="198"/>
      <c r="F557" s="198"/>
      <c r="G557" s="198"/>
      <c r="H557" s="198"/>
      <c r="I557" s="198"/>
      <c r="J557" s="198"/>
      <c r="K557" s="198"/>
      <c r="L557" s="198"/>
    </row>
    <row r="558">
      <c r="A558" s="198"/>
      <c r="B558" s="208" t="str">
        <f>vlookup(A558,Price!A:B,2,false)</f>
        <v>#N/A</v>
      </c>
      <c r="C558" s="198"/>
      <c r="D558" s="198"/>
      <c r="E558" s="198"/>
      <c r="F558" s="198"/>
      <c r="G558" s="198"/>
      <c r="H558" s="198"/>
      <c r="I558" s="198"/>
      <c r="J558" s="198"/>
      <c r="K558" s="198"/>
      <c r="L558" s="198"/>
    </row>
    <row r="559">
      <c r="A559" s="198"/>
      <c r="B559" s="208" t="str">
        <f>vlookup(A559,Price!A:B,2,false)</f>
        <v>#N/A</v>
      </c>
      <c r="C559" s="198"/>
      <c r="D559" s="198"/>
      <c r="E559" s="198"/>
      <c r="F559" s="198"/>
      <c r="G559" s="198"/>
      <c r="H559" s="198"/>
      <c r="I559" s="198"/>
      <c r="J559" s="198"/>
      <c r="K559" s="198"/>
      <c r="L559" s="198"/>
    </row>
    <row r="560">
      <c r="A560" s="198"/>
      <c r="B560" s="208" t="str">
        <f>vlookup(A560,Price!A:B,2,false)</f>
        <v>#N/A</v>
      </c>
      <c r="C560" s="198"/>
      <c r="D560" s="198"/>
      <c r="E560" s="198"/>
      <c r="F560" s="198"/>
      <c r="G560" s="198"/>
      <c r="H560" s="198"/>
      <c r="I560" s="198"/>
      <c r="J560" s="198"/>
      <c r="K560" s="198"/>
      <c r="L560" s="198"/>
    </row>
    <row r="561">
      <c r="A561" s="198"/>
      <c r="B561" s="208" t="str">
        <f>vlookup(A561,Price!A:B,2,false)</f>
        <v>#N/A</v>
      </c>
      <c r="C561" s="198"/>
      <c r="D561" s="198"/>
      <c r="E561" s="198"/>
      <c r="F561" s="198"/>
      <c r="G561" s="198"/>
      <c r="H561" s="198"/>
      <c r="I561" s="198"/>
      <c r="J561" s="198"/>
      <c r="K561" s="198"/>
      <c r="L561" s="198"/>
    </row>
    <row r="562">
      <c r="A562" s="198"/>
      <c r="B562" s="208" t="str">
        <f>vlookup(A562,Price!A:B,2,false)</f>
        <v>#N/A</v>
      </c>
      <c r="C562" s="198"/>
      <c r="D562" s="198"/>
      <c r="E562" s="198"/>
      <c r="F562" s="198"/>
      <c r="G562" s="198"/>
      <c r="H562" s="198"/>
      <c r="I562" s="198"/>
      <c r="J562" s="198"/>
      <c r="K562" s="198"/>
      <c r="L562" s="198"/>
    </row>
    <row r="563">
      <c r="A563" s="198"/>
      <c r="B563" s="208" t="str">
        <f>vlookup(A563,Price!A:B,2,false)</f>
        <v>#N/A</v>
      </c>
      <c r="C563" s="198"/>
      <c r="D563" s="198"/>
      <c r="E563" s="198"/>
      <c r="F563" s="198"/>
      <c r="G563" s="198"/>
      <c r="H563" s="198"/>
      <c r="I563" s="198"/>
      <c r="J563" s="198"/>
      <c r="K563" s="198"/>
      <c r="L563" s="198"/>
    </row>
    <row r="564">
      <c r="A564" s="198"/>
      <c r="B564" s="208" t="str">
        <f>vlookup(A564,Price!A:B,2,false)</f>
        <v>#N/A</v>
      </c>
      <c r="C564" s="198"/>
      <c r="D564" s="198"/>
      <c r="E564" s="198"/>
      <c r="F564" s="198"/>
      <c r="G564" s="198"/>
      <c r="H564" s="198"/>
      <c r="I564" s="198"/>
      <c r="J564" s="198"/>
      <c r="K564" s="198"/>
      <c r="L564" s="198"/>
    </row>
    <row r="565">
      <c r="A565" s="198"/>
      <c r="B565" s="208" t="str">
        <f>vlookup(A565,Price!A:B,2,false)</f>
        <v>#N/A</v>
      </c>
      <c r="C565" s="198"/>
      <c r="D565" s="198"/>
      <c r="E565" s="198"/>
      <c r="F565" s="198"/>
      <c r="G565" s="198"/>
      <c r="H565" s="198"/>
      <c r="I565" s="198"/>
      <c r="J565" s="198"/>
      <c r="K565" s="198"/>
      <c r="L565" s="198"/>
    </row>
    <row r="566">
      <c r="A566" s="198"/>
      <c r="B566" s="208" t="str">
        <f>vlookup(A566,Price!A:B,2,false)</f>
        <v>#N/A</v>
      </c>
      <c r="C566" s="198"/>
      <c r="D566" s="198"/>
      <c r="E566" s="198"/>
      <c r="F566" s="198"/>
      <c r="G566" s="198"/>
      <c r="H566" s="198"/>
      <c r="I566" s="198"/>
      <c r="J566" s="198"/>
      <c r="K566" s="198"/>
      <c r="L566" s="198"/>
    </row>
    <row r="567">
      <c r="A567" s="198"/>
      <c r="B567" s="208" t="str">
        <f>vlookup(A567,Price!A:B,2,false)</f>
        <v>#N/A</v>
      </c>
      <c r="C567" s="198"/>
      <c r="D567" s="198"/>
      <c r="E567" s="198"/>
      <c r="F567" s="198"/>
      <c r="G567" s="198"/>
      <c r="H567" s="198"/>
      <c r="I567" s="198"/>
      <c r="J567" s="198"/>
      <c r="K567" s="198"/>
      <c r="L567" s="198"/>
    </row>
    <row r="568">
      <c r="A568" s="198"/>
      <c r="B568" s="208" t="str">
        <f>vlookup(A568,Price!A:B,2,false)</f>
        <v>#N/A</v>
      </c>
      <c r="C568" s="198"/>
      <c r="D568" s="198"/>
      <c r="E568" s="198"/>
      <c r="F568" s="198"/>
      <c r="G568" s="198"/>
      <c r="H568" s="198"/>
      <c r="I568" s="198"/>
      <c r="J568" s="198"/>
      <c r="K568" s="198"/>
      <c r="L568" s="198"/>
    </row>
    <row r="569">
      <c r="A569" s="198"/>
      <c r="B569" s="208" t="str">
        <f>vlookup(A569,Price!A:B,2,false)</f>
        <v>#N/A</v>
      </c>
      <c r="C569" s="198"/>
      <c r="D569" s="198"/>
      <c r="E569" s="198"/>
      <c r="F569" s="198"/>
      <c r="G569" s="198"/>
      <c r="H569" s="198"/>
      <c r="I569" s="198"/>
      <c r="J569" s="198"/>
      <c r="K569" s="198"/>
      <c r="L569" s="198"/>
    </row>
    <row r="570">
      <c r="A570" s="198"/>
      <c r="B570" s="208" t="str">
        <f>vlookup(A570,Price!A:B,2,false)</f>
        <v>#N/A</v>
      </c>
      <c r="C570" s="198"/>
      <c r="D570" s="198"/>
      <c r="E570" s="198"/>
      <c r="F570" s="198"/>
      <c r="G570" s="198"/>
      <c r="H570" s="198"/>
      <c r="I570" s="198"/>
      <c r="J570" s="198"/>
      <c r="K570" s="198"/>
      <c r="L570" s="198"/>
    </row>
    <row r="571">
      <c r="A571" s="198"/>
      <c r="B571" s="208" t="str">
        <f>vlookup(A571,Price!A:B,2,false)</f>
        <v>#N/A</v>
      </c>
      <c r="C571" s="198"/>
      <c r="D571" s="198"/>
      <c r="E571" s="198"/>
      <c r="F571" s="198"/>
      <c r="G571" s="198"/>
      <c r="H571" s="198"/>
      <c r="I571" s="198"/>
      <c r="J571" s="198"/>
      <c r="K571" s="198"/>
      <c r="L571" s="198"/>
    </row>
    <row r="572">
      <c r="A572" s="198"/>
      <c r="B572" s="208" t="str">
        <f>vlookup(A572,Price!A:B,2,false)</f>
        <v>#N/A</v>
      </c>
      <c r="C572" s="198"/>
      <c r="D572" s="198"/>
      <c r="E572" s="198"/>
      <c r="F572" s="198"/>
      <c r="G572" s="198"/>
      <c r="H572" s="198"/>
      <c r="I572" s="198"/>
      <c r="J572" s="198"/>
      <c r="K572" s="198"/>
      <c r="L572" s="198"/>
    </row>
    <row r="573">
      <c r="A573" s="198"/>
      <c r="B573" s="208" t="str">
        <f>vlookup(A573,Price!A:B,2,false)</f>
        <v>#N/A</v>
      </c>
      <c r="C573" s="198"/>
      <c r="D573" s="198"/>
      <c r="E573" s="198"/>
      <c r="F573" s="198"/>
      <c r="G573" s="198"/>
      <c r="H573" s="198"/>
      <c r="I573" s="198"/>
      <c r="J573" s="198"/>
      <c r="K573" s="198"/>
      <c r="L573" s="198"/>
    </row>
    <row r="574">
      <c r="A574" s="198"/>
      <c r="B574" s="208" t="str">
        <f>vlookup(A574,Price!A:B,2,false)</f>
        <v>#N/A</v>
      </c>
      <c r="C574" s="198"/>
      <c r="D574" s="198"/>
      <c r="E574" s="198"/>
      <c r="F574" s="198"/>
      <c r="G574" s="198"/>
      <c r="H574" s="198"/>
      <c r="I574" s="198"/>
      <c r="J574" s="198"/>
      <c r="K574" s="198"/>
      <c r="L574" s="198"/>
    </row>
    <row r="575">
      <c r="A575" s="198"/>
      <c r="B575" s="208" t="str">
        <f>vlookup(A575,Price!A:B,2,false)</f>
        <v>#N/A</v>
      </c>
      <c r="C575" s="198"/>
      <c r="D575" s="198"/>
      <c r="E575" s="198"/>
      <c r="F575" s="198"/>
      <c r="G575" s="198"/>
      <c r="H575" s="198"/>
      <c r="I575" s="198"/>
      <c r="J575" s="198"/>
      <c r="K575" s="198"/>
      <c r="L575" s="198"/>
    </row>
    <row r="576">
      <c r="A576" s="198"/>
      <c r="B576" s="208" t="str">
        <f>vlookup(A576,Price!A:B,2,false)</f>
        <v>#N/A</v>
      </c>
      <c r="C576" s="198"/>
      <c r="D576" s="198"/>
      <c r="E576" s="198"/>
      <c r="F576" s="198"/>
      <c r="G576" s="198"/>
      <c r="H576" s="198"/>
      <c r="I576" s="198"/>
      <c r="J576" s="198"/>
      <c r="K576" s="198"/>
      <c r="L576" s="198"/>
    </row>
    <row r="577">
      <c r="A577" s="198"/>
      <c r="B577" s="208" t="str">
        <f>vlookup(A577,Price!A:B,2,false)</f>
        <v>#N/A</v>
      </c>
      <c r="C577" s="198"/>
      <c r="D577" s="198"/>
      <c r="E577" s="198"/>
      <c r="F577" s="198"/>
      <c r="G577" s="198"/>
      <c r="H577" s="198"/>
      <c r="I577" s="198"/>
      <c r="J577" s="198"/>
      <c r="K577" s="198"/>
      <c r="L577" s="198"/>
    </row>
    <row r="578">
      <c r="A578" s="198"/>
      <c r="B578" s="208" t="str">
        <f>vlookup(A578,Price!A:B,2,false)</f>
        <v>#N/A</v>
      </c>
      <c r="C578" s="198"/>
      <c r="D578" s="198"/>
      <c r="E578" s="198"/>
      <c r="F578" s="198"/>
      <c r="G578" s="198"/>
      <c r="H578" s="198"/>
      <c r="I578" s="198"/>
      <c r="J578" s="198"/>
      <c r="K578" s="198"/>
      <c r="L578" s="198"/>
    </row>
    <row r="579">
      <c r="A579" s="198"/>
      <c r="B579" s="208" t="str">
        <f>vlookup(A579,Price!A:B,2,false)</f>
        <v>#N/A</v>
      </c>
      <c r="C579" s="198"/>
      <c r="D579" s="198"/>
      <c r="E579" s="198"/>
      <c r="F579" s="198"/>
      <c r="G579" s="198"/>
      <c r="H579" s="198"/>
      <c r="I579" s="198"/>
      <c r="J579" s="198"/>
      <c r="K579" s="198"/>
      <c r="L579" s="198"/>
    </row>
    <row r="580">
      <c r="A580" s="198"/>
      <c r="B580" s="208" t="str">
        <f>vlookup(A580,Price!A:B,2,false)</f>
        <v>#N/A</v>
      </c>
      <c r="C580" s="198"/>
      <c r="D580" s="198"/>
      <c r="E580" s="198"/>
      <c r="F580" s="198"/>
      <c r="G580" s="198"/>
      <c r="H580" s="198"/>
      <c r="I580" s="198"/>
      <c r="J580" s="198"/>
      <c r="K580" s="198"/>
      <c r="L580" s="198"/>
    </row>
    <row r="581">
      <c r="A581" s="198"/>
      <c r="B581" s="208" t="str">
        <f>vlookup(A581,Price!A:B,2,false)</f>
        <v>#N/A</v>
      </c>
      <c r="C581" s="198"/>
      <c r="D581" s="198"/>
      <c r="E581" s="198"/>
      <c r="F581" s="198"/>
      <c r="G581" s="198"/>
      <c r="H581" s="198"/>
      <c r="I581" s="198"/>
      <c r="J581" s="198"/>
      <c r="K581" s="198"/>
      <c r="L581" s="198"/>
    </row>
    <row r="582">
      <c r="A582" s="198"/>
      <c r="B582" s="208" t="str">
        <f>vlookup(A582,Price!A:B,2,false)</f>
        <v>#N/A</v>
      </c>
      <c r="C582" s="198"/>
      <c r="D582" s="198"/>
      <c r="E582" s="198"/>
      <c r="F582" s="198"/>
      <c r="G582" s="198"/>
      <c r="H582" s="198"/>
      <c r="I582" s="198"/>
      <c r="J582" s="198"/>
      <c r="K582" s="198"/>
      <c r="L582" s="198"/>
    </row>
    <row r="583">
      <c r="A583" s="198"/>
      <c r="B583" s="208" t="str">
        <f>vlookup(A583,Price!A:B,2,false)</f>
        <v>#N/A</v>
      </c>
      <c r="C583" s="198"/>
      <c r="D583" s="198"/>
      <c r="E583" s="198"/>
      <c r="F583" s="198"/>
      <c r="G583" s="198"/>
      <c r="H583" s="198"/>
      <c r="I583" s="198"/>
      <c r="J583" s="198"/>
      <c r="K583" s="198"/>
      <c r="L583" s="198"/>
    </row>
    <row r="584">
      <c r="A584" s="198"/>
      <c r="B584" s="208" t="str">
        <f>vlookup(A584,Price!A:B,2,false)</f>
        <v>#N/A</v>
      </c>
      <c r="C584" s="198"/>
      <c r="D584" s="198"/>
      <c r="E584" s="198"/>
      <c r="F584" s="198"/>
      <c r="G584" s="198"/>
      <c r="H584" s="198"/>
      <c r="I584" s="198"/>
      <c r="J584" s="198"/>
      <c r="K584" s="198"/>
      <c r="L584" s="198"/>
    </row>
    <row r="585">
      <c r="A585" s="198"/>
      <c r="B585" s="208" t="str">
        <f>vlookup(A585,Price!A:B,2,false)</f>
        <v>#N/A</v>
      </c>
      <c r="C585" s="198"/>
      <c r="D585" s="198"/>
      <c r="E585" s="198"/>
      <c r="F585" s="198"/>
      <c r="G585" s="198"/>
      <c r="H585" s="198"/>
      <c r="I585" s="198"/>
      <c r="J585" s="198"/>
      <c r="K585" s="198"/>
      <c r="L585" s="198"/>
    </row>
    <row r="586">
      <c r="A586" s="198"/>
      <c r="B586" s="208" t="str">
        <f>vlookup(A586,Price!A:B,2,false)</f>
        <v>#N/A</v>
      </c>
      <c r="C586" s="198"/>
      <c r="D586" s="198"/>
      <c r="E586" s="198"/>
      <c r="F586" s="198"/>
      <c r="G586" s="198"/>
      <c r="H586" s="198"/>
      <c r="I586" s="198"/>
      <c r="J586" s="198"/>
      <c r="K586" s="198"/>
      <c r="L586" s="198"/>
    </row>
    <row r="587">
      <c r="A587" s="198"/>
      <c r="B587" s="208" t="str">
        <f>vlookup(A587,Price!A:B,2,false)</f>
        <v>#N/A</v>
      </c>
      <c r="C587" s="198"/>
      <c r="D587" s="198"/>
      <c r="E587" s="198"/>
      <c r="F587" s="198"/>
      <c r="G587" s="198"/>
      <c r="H587" s="198"/>
      <c r="I587" s="198"/>
      <c r="J587" s="198"/>
      <c r="K587" s="198"/>
      <c r="L587" s="198"/>
    </row>
    <row r="588">
      <c r="A588" s="198"/>
      <c r="B588" s="208" t="str">
        <f>vlookup(A588,Price!A:B,2,false)</f>
        <v>#N/A</v>
      </c>
      <c r="C588" s="198"/>
      <c r="D588" s="198"/>
      <c r="E588" s="198"/>
      <c r="F588" s="198"/>
      <c r="G588" s="198"/>
      <c r="H588" s="198"/>
      <c r="I588" s="198"/>
      <c r="J588" s="198"/>
      <c r="K588" s="198"/>
      <c r="L588" s="198"/>
    </row>
    <row r="589">
      <c r="A589" s="198"/>
      <c r="B589" s="208" t="str">
        <f>vlookup(A589,Price!A:B,2,false)</f>
        <v>#N/A</v>
      </c>
      <c r="C589" s="198"/>
      <c r="D589" s="198"/>
      <c r="E589" s="198"/>
      <c r="F589" s="198"/>
      <c r="G589" s="198"/>
      <c r="H589" s="198"/>
      <c r="I589" s="198"/>
      <c r="J589" s="198"/>
      <c r="K589" s="198"/>
      <c r="L589" s="198"/>
    </row>
    <row r="590">
      <c r="A590" s="198"/>
      <c r="B590" s="208" t="str">
        <f>vlookup(A590,Price!A:B,2,false)</f>
        <v>#N/A</v>
      </c>
      <c r="C590" s="198"/>
      <c r="D590" s="198"/>
      <c r="E590" s="198"/>
      <c r="F590" s="198"/>
      <c r="G590" s="198"/>
      <c r="H590" s="198"/>
      <c r="I590" s="198"/>
      <c r="J590" s="198"/>
      <c r="K590" s="198"/>
      <c r="L590" s="198"/>
    </row>
    <row r="591">
      <c r="A591" s="198"/>
      <c r="B591" s="208" t="str">
        <f>vlookup(A591,Price!A:B,2,false)</f>
        <v>#N/A</v>
      </c>
      <c r="C591" s="198"/>
      <c r="D591" s="198"/>
      <c r="E591" s="198"/>
      <c r="F591" s="198"/>
      <c r="G591" s="198"/>
      <c r="H591" s="198"/>
      <c r="I591" s="198"/>
      <c r="J591" s="198"/>
      <c r="K591" s="198"/>
      <c r="L591" s="198"/>
    </row>
    <row r="592">
      <c r="A592" s="198"/>
      <c r="B592" s="208" t="str">
        <f>vlookup(A592,Price!A:B,2,false)</f>
        <v>#N/A</v>
      </c>
      <c r="C592" s="198"/>
      <c r="D592" s="198"/>
      <c r="E592" s="198"/>
      <c r="F592" s="198"/>
      <c r="G592" s="198"/>
      <c r="H592" s="198"/>
      <c r="I592" s="198"/>
      <c r="J592" s="198"/>
      <c r="K592" s="198"/>
      <c r="L592" s="198"/>
    </row>
    <row r="593">
      <c r="A593" s="198"/>
      <c r="B593" s="208" t="str">
        <f>vlookup(A593,Price!A:B,2,false)</f>
        <v>#N/A</v>
      </c>
      <c r="C593" s="198"/>
      <c r="D593" s="198"/>
      <c r="E593" s="198"/>
      <c r="F593" s="198"/>
      <c r="G593" s="198"/>
      <c r="H593" s="198"/>
      <c r="I593" s="198"/>
      <c r="J593" s="198"/>
      <c r="K593" s="198"/>
      <c r="L593" s="198"/>
    </row>
    <row r="594">
      <c r="A594" s="198"/>
      <c r="B594" s="208" t="str">
        <f>vlookup(A594,Price!A:B,2,false)</f>
        <v>#N/A</v>
      </c>
      <c r="C594" s="198"/>
      <c r="D594" s="198"/>
      <c r="E594" s="198"/>
      <c r="F594" s="198"/>
      <c r="G594" s="198"/>
      <c r="H594" s="198"/>
      <c r="I594" s="198"/>
      <c r="J594" s="198"/>
      <c r="K594" s="198"/>
      <c r="L594" s="198"/>
    </row>
    <row r="595">
      <c r="A595" s="198"/>
      <c r="B595" s="208" t="str">
        <f>vlookup(A595,Price!A:B,2,false)</f>
        <v>#N/A</v>
      </c>
      <c r="C595" s="198"/>
      <c r="D595" s="198"/>
      <c r="E595" s="198"/>
      <c r="F595" s="198"/>
      <c r="G595" s="198"/>
      <c r="H595" s="198"/>
      <c r="I595" s="198"/>
      <c r="J595" s="198"/>
      <c r="K595" s="198"/>
      <c r="L595" s="198"/>
    </row>
    <row r="596">
      <c r="A596" s="198"/>
      <c r="B596" s="208" t="str">
        <f>vlookup(A596,Price!A:B,2,false)</f>
        <v>#N/A</v>
      </c>
      <c r="C596" s="198"/>
      <c r="D596" s="198"/>
      <c r="E596" s="198"/>
      <c r="F596" s="198"/>
      <c r="G596" s="198"/>
      <c r="H596" s="198"/>
      <c r="I596" s="198"/>
      <c r="J596" s="198"/>
      <c r="K596" s="198"/>
      <c r="L596" s="198"/>
    </row>
    <row r="597">
      <c r="A597" s="198"/>
      <c r="B597" s="208" t="str">
        <f>vlookup(A597,Price!A:B,2,false)</f>
        <v>#N/A</v>
      </c>
      <c r="C597" s="198"/>
      <c r="D597" s="198"/>
      <c r="E597" s="198"/>
      <c r="F597" s="198"/>
      <c r="G597" s="198"/>
      <c r="H597" s="198"/>
      <c r="I597" s="198"/>
      <c r="J597" s="198"/>
      <c r="K597" s="198"/>
      <c r="L597" s="198"/>
    </row>
    <row r="598">
      <c r="A598" s="198"/>
      <c r="B598" s="208" t="str">
        <f>vlookup(A598,Price!A:B,2,false)</f>
        <v>#N/A</v>
      </c>
      <c r="C598" s="198"/>
      <c r="D598" s="198"/>
      <c r="E598" s="198"/>
      <c r="F598" s="198"/>
      <c r="G598" s="198"/>
      <c r="H598" s="198"/>
      <c r="I598" s="198"/>
      <c r="J598" s="198"/>
      <c r="K598" s="198"/>
      <c r="L598" s="198"/>
    </row>
    <row r="599">
      <c r="A599" s="198"/>
      <c r="B599" s="208" t="str">
        <f>vlookup(A599,Price!A:B,2,false)</f>
        <v>#N/A</v>
      </c>
      <c r="C599" s="198"/>
      <c r="D599" s="198"/>
      <c r="E599" s="198"/>
      <c r="F599" s="198"/>
      <c r="G599" s="198"/>
      <c r="H599" s="198"/>
      <c r="I599" s="198"/>
      <c r="J599" s="198"/>
      <c r="K599" s="198"/>
      <c r="L599" s="198"/>
    </row>
    <row r="600">
      <c r="A600" s="198"/>
      <c r="B600" s="208" t="str">
        <f>vlookup(A600,Price!A:B,2,false)</f>
        <v>#N/A</v>
      </c>
      <c r="C600" s="198"/>
      <c r="D600" s="198"/>
      <c r="E600" s="198"/>
      <c r="F600" s="198"/>
      <c r="G600" s="198"/>
      <c r="H600" s="198"/>
      <c r="I600" s="198"/>
      <c r="J600" s="198"/>
      <c r="K600" s="198"/>
      <c r="L600" s="198"/>
    </row>
    <row r="601">
      <c r="A601" s="198"/>
      <c r="B601" s="208" t="str">
        <f>vlookup(A601,Price!A:B,2,false)</f>
        <v>#N/A</v>
      </c>
      <c r="C601" s="198"/>
      <c r="D601" s="198"/>
      <c r="E601" s="198"/>
      <c r="F601" s="198"/>
      <c r="G601" s="198"/>
      <c r="H601" s="198"/>
      <c r="I601" s="198"/>
      <c r="J601" s="198"/>
      <c r="K601" s="198"/>
      <c r="L601" s="198"/>
    </row>
    <row r="602">
      <c r="A602" s="198"/>
      <c r="B602" s="208" t="str">
        <f>vlookup(A602,Price!A:B,2,false)</f>
        <v>#N/A</v>
      </c>
      <c r="C602" s="198"/>
      <c r="D602" s="198"/>
      <c r="E602" s="198"/>
      <c r="F602" s="198"/>
      <c r="G602" s="198"/>
      <c r="H602" s="198"/>
      <c r="I602" s="198"/>
      <c r="J602" s="198"/>
      <c r="K602" s="198"/>
      <c r="L602" s="198"/>
    </row>
    <row r="603">
      <c r="A603" s="198"/>
      <c r="B603" s="208" t="str">
        <f>vlookup(A603,Price!A:B,2,false)</f>
        <v>#N/A</v>
      </c>
      <c r="C603" s="198"/>
      <c r="D603" s="198"/>
      <c r="E603" s="198"/>
      <c r="F603" s="198"/>
      <c r="G603" s="198"/>
      <c r="H603" s="198"/>
      <c r="I603" s="198"/>
      <c r="J603" s="198"/>
      <c r="K603" s="198"/>
      <c r="L603" s="198"/>
    </row>
    <row r="604">
      <c r="A604" s="198"/>
      <c r="B604" s="208" t="str">
        <f>vlookup(A604,Price!A:B,2,false)</f>
        <v>#N/A</v>
      </c>
      <c r="C604" s="198"/>
      <c r="D604" s="198"/>
      <c r="E604" s="198"/>
      <c r="F604" s="198"/>
      <c r="G604" s="198"/>
      <c r="H604" s="198"/>
      <c r="I604" s="198"/>
      <c r="J604" s="198"/>
      <c r="K604" s="198"/>
      <c r="L604" s="198"/>
    </row>
    <row r="605">
      <c r="A605" s="198"/>
      <c r="B605" s="208" t="str">
        <f>vlookup(A605,Price!A:B,2,false)</f>
        <v>#N/A</v>
      </c>
      <c r="C605" s="198"/>
      <c r="D605" s="198"/>
      <c r="E605" s="198"/>
      <c r="F605" s="198"/>
      <c r="G605" s="198"/>
      <c r="H605" s="198"/>
      <c r="I605" s="198"/>
      <c r="J605" s="198"/>
      <c r="K605" s="198"/>
      <c r="L605" s="198"/>
    </row>
    <row r="606">
      <c r="A606" s="198"/>
      <c r="B606" s="208" t="str">
        <f>vlookup(A606,Price!A:B,2,false)</f>
        <v>#N/A</v>
      </c>
      <c r="C606" s="198"/>
      <c r="D606" s="198"/>
      <c r="E606" s="198"/>
      <c r="F606" s="198"/>
      <c r="G606" s="198"/>
      <c r="H606" s="198"/>
      <c r="I606" s="198"/>
      <c r="J606" s="198"/>
      <c r="K606" s="198"/>
      <c r="L606" s="198"/>
    </row>
    <row r="607">
      <c r="A607" s="198"/>
      <c r="B607" s="208" t="str">
        <f>vlookup(A607,Price!A:B,2,false)</f>
        <v>#N/A</v>
      </c>
      <c r="C607" s="198"/>
      <c r="D607" s="198"/>
      <c r="E607" s="198"/>
      <c r="F607" s="198"/>
      <c r="G607" s="198"/>
      <c r="H607" s="198"/>
      <c r="I607" s="198"/>
      <c r="J607" s="198"/>
      <c r="K607" s="198"/>
      <c r="L607" s="198"/>
    </row>
    <row r="608">
      <c r="A608" s="198"/>
      <c r="B608" s="208" t="str">
        <f>vlookup(A608,Price!A:B,2,false)</f>
        <v>#N/A</v>
      </c>
      <c r="C608" s="198"/>
      <c r="D608" s="198"/>
      <c r="E608" s="198"/>
      <c r="F608" s="198"/>
      <c r="G608" s="198"/>
      <c r="H608" s="198"/>
      <c r="I608" s="198"/>
      <c r="J608" s="198"/>
      <c r="K608" s="198"/>
      <c r="L608" s="198"/>
    </row>
    <row r="609">
      <c r="A609" s="198"/>
      <c r="B609" s="208" t="str">
        <f>vlookup(A609,Price!A:B,2,false)</f>
        <v>#N/A</v>
      </c>
      <c r="C609" s="198"/>
      <c r="D609" s="198"/>
      <c r="E609" s="198"/>
      <c r="F609" s="198"/>
      <c r="G609" s="198"/>
      <c r="H609" s="198"/>
      <c r="I609" s="198"/>
      <c r="J609" s="198"/>
      <c r="K609" s="198"/>
      <c r="L609" s="198"/>
    </row>
    <row r="610">
      <c r="A610" s="198"/>
      <c r="B610" s="208" t="str">
        <f>vlookup(A610,Price!A:B,2,false)</f>
        <v>#N/A</v>
      </c>
      <c r="C610" s="198"/>
      <c r="D610" s="198"/>
      <c r="E610" s="198"/>
      <c r="F610" s="198"/>
      <c r="G610" s="198"/>
      <c r="H610" s="198"/>
      <c r="I610" s="198"/>
      <c r="J610" s="198"/>
      <c r="K610" s="198"/>
      <c r="L610" s="198"/>
    </row>
    <row r="611">
      <c r="A611" s="198"/>
      <c r="B611" s="208" t="str">
        <f>vlookup(A611,Price!A:B,2,false)</f>
        <v>#N/A</v>
      </c>
      <c r="C611" s="198"/>
      <c r="D611" s="198"/>
      <c r="E611" s="198"/>
      <c r="F611" s="198"/>
      <c r="G611" s="198"/>
      <c r="H611" s="198"/>
      <c r="I611" s="198"/>
      <c r="J611" s="198"/>
      <c r="K611" s="198"/>
      <c r="L611" s="198"/>
    </row>
    <row r="612">
      <c r="A612" s="198"/>
      <c r="B612" s="208" t="str">
        <f>vlookup(A612,Price!A:B,2,false)</f>
        <v>#N/A</v>
      </c>
      <c r="C612" s="198"/>
      <c r="D612" s="198"/>
      <c r="E612" s="198"/>
      <c r="F612" s="198"/>
      <c r="G612" s="198"/>
      <c r="H612" s="198"/>
      <c r="I612" s="198"/>
      <c r="J612" s="198"/>
      <c r="K612" s="198"/>
      <c r="L612" s="198"/>
    </row>
    <row r="613">
      <c r="A613" s="198"/>
      <c r="B613" s="208" t="str">
        <f>vlookup(A613,Price!A:B,2,false)</f>
        <v>#N/A</v>
      </c>
      <c r="C613" s="198"/>
      <c r="D613" s="198"/>
      <c r="E613" s="198"/>
      <c r="F613" s="198"/>
      <c r="G613" s="198"/>
      <c r="H613" s="198"/>
      <c r="I613" s="198"/>
      <c r="J613" s="198"/>
      <c r="K613" s="198"/>
      <c r="L613" s="198"/>
    </row>
    <row r="614">
      <c r="A614" s="198"/>
      <c r="B614" s="208" t="str">
        <f>vlookup(A614,Price!A:B,2,false)</f>
        <v>#N/A</v>
      </c>
      <c r="C614" s="198"/>
      <c r="D614" s="198"/>
      <c r="E614" s="198"/>
      <c r="F614" s="198"/>
      <c r="G614" s="198"/>
      <c r="H614" s="198"/>
      <c r="I614" s="198"/>
      <c r="J614" s="198"/>
      <c r="K614" s="198"/>
      <c r="L614" s="198"/>
    </row>
    <row r="615">
      <c r="A615" s="198"/>
      <c r="B615" s="208" t="str">
        <f>vlookup(A615,Price!A:B,2,false)</f>
        <v>#N/A</v>
      </c>
      <c r="C615" s="198"/>
      <c r="D615" s="198"/>
      <c r="E615" s="198"/>
      <c r="F615" s="198"/>
      <c r="G615" s="198"/>
      <c r="H615" s="198"/>
      <c r="I615" s="198"/>
      <c r="J615" s="198"/>
      <c r="K615" s="198"/>
      <c r="L615" s="198"/>
    </row>
    <row r="616">
      <c r="A616" s="198"/>
      <c r="B616" s="208" t="str">
        <f>vlookup(A616,Price!A:B,2,false)</f>
        <v>#N/A</v>
      </c>
      <c r="C616" s="198"/>
      <c r="D616" s="198"/>
      <c r="E616" s="198"/>
      <c r="F616" s="198"/>
      <c r="G616" s="198"/>
      <c r="H616" s="198"/>
      <c r="I616" s="198"/>
      <c r="J616" s="198"/>
      <c r="K616" s="198"/>
      <c r="L616" s="198"/>
    </row>
    <row r="617">
      <c r="A617" s="198"/>
      <c r="B617" s="208" t="str">
        <f>vlookup(A617,Price!A:B,2,false)</f>
        <v>#N/A</v>
      </c>
      <c r="C617" s="198"/>
      <c r="D617" s="198"/>
      <c r="E617" s="198"/>
      <c r="F617" s="198"/>
      <c r="G617" s="198"/>
      <c r="H617" s="198"/>
      <c r="I617" s="198"/>
      <c r="J617" s="198"/>
      <c r="K617" s="198"/>
      <c r="L617" s="198"/>
    </row>
    <row r="618">
      <c r="A618" s="198"/>
      <c r="B618" s="208" t="str">
        <f>vlookup(A618,Price!A:B,2,false)</f>
        <v>#N/A</v>
      </c>
      <c r="C618" s="198"/>
      <c r="D618" s="198"/>
      <c r="E618" s="198"/>
      <c r="F618" s="198"/>
      <c r="G618" s="198"/>
      <c r="H618" s="198"/>
      <c r="I618" s="198"/>
      <c r="J618" s="198"/>
      <c r="K618" s="198"/>
      <c r="L618" s="198"/>
    </row>
    <row r="619">
      <c r="A619" s="198"/>
      <c r="B619" s="208" t="str">
        <f>vlookup(A619,Price!A:B,2,false)</f>
        <v>#N/A</v>
      </c>
      <c r="C619" s="198"/>
      <c r="D619" s="198"/>
      <c r="E619" s="198"/>
      <c r="F619" s="198"/>
      <c r="G619" s="198"/>
      <c r="H619" s="198"/>
      <c r="I619" s="198"/>
      <c r="J619" s="198"/>
      <c r="K619" s="198"/>
      <c r="L619" s="198"/>
    </row>
    <row r="620">
      <c r="A620" s="198"/>
      <c r="B620" s="208" t="str">
        <f>vlookup(A620,Price!A:B,2,false)</f>
        <v>#N/A</v>
      </c>
      <c r="C620" s="198"/>
      <c r="D620" s="198"/>
      <c r="E620" s="198"/>
      <c r="F620" s="198"/>
      <c r="G620" s="198"/>
      <c r="H620" s="198"/>
      <c r="I620" s="198"/>
      <c r="J620" s="198"/>
      <c r="K620" s="198"/>
      <c r="L620" s="198"/>
    </row>
    <row r="621">
      <c r="A621" s="198"/>
      <c r="B621" s="208" t="str">
        <f>vlookup(A621,Price!A:B,2,false)</f>
        <v>#N/A</v>
      </c>
      <c r="C621" s="198"/>
      <c r="D621" s="198"/>
      <c r="E621" s="198"/>
      <c r="F621" s="198"/>
      <c r="G621" s="198"/>
      <c r="H621" s="198"/>
      <c r="I621" s="198"/>
      <c r="J621" s="198"/>
      <c r="K621" s="198"/>
      <c r="L621" s="198"/>
    </row>
    <row r="622">
      <c r="A622" s="198"/>
      <c r="B622" s="208" t="str">
        <f>vlookup(A622,Price!A:B,2,false)</f>
        <v>#N/A</v>
      </c>
      <c r="C622" s="198"/>
      <c r="D622" s="198"/>
      <c r="E622" s="198"/>
      <c r="F622" s="198"/>
      <c r="G622" s="198"/>
      <c r="H622" s="198"/>
      <c r="I622" s="198"/>
      <c r="J622" s="198"/>
      <c r="K622" s="198"/>
      <c r="L622" s="198"/>
    </row>
    <row r="623">
      <c r="A623" s="198"/>
      <c r="B623" s="208" t="str">
        <f>vlookup(A623,Price!A:B,2,false)</f>
        <v>#N/A</v>
      </c>
      <c r="C623" s="198"/>
      <c r="D623" s="198"/>
      <c r="E623" s="198"/>
      <c r="F623" s="198"/>
      <c r="G623" s="198"/>
      <c r="H623" s="198"/>
      <c r="I623" s="198"/>
      <c r="J623" s="198"/>
      <c r="K623" s="198"/>
      <c r="L623" s="198"/>
    </row>
    <row r="624">
      <c r="A624" s="198"/>
      <c r="B624" s="208" t="str">
        <f>vlookup(A624,Price!A:B,2,false)</f>
        <v>#N/A</v>
      </c>
      <c r="C624" s="198"/>
      <c r="D624" s="198"/>
      <c r="E624" s="198"/>
      <c r="F624" s="198"/>
      <c r="G624" s="198"/>
      <c r="H624" s="198"/>
      <c r="I624" s="198"/>
      <c r="J624" s="198"/>
      <c r="K624" s="198"/>
      <c r="L624" s="198"/>
    </row>
    <row r="625">
      <c r="A625" s="198"/>
      <c r="B625" s="208" t="str">
        <f>vlookup(A625,Price!A:B,2,false)</f>
        <v>#N/A</v>
      </c>
      <c r="C625" s="198"/>
      <c r="D625" s="198"/>
      <c r="E625" s="198"/>
      <c r="F625" s="198"/>
      <c r="G625" s="198"/>
      <c r="H625" s="198"/>
      <c r="I625" s="198"/>
      <c r="J625" s="198"/>
      <c r="K625" s="198"/>
      <c r="L625" s="198"/>
    </row>
    <row r="626">
      <c r="A626" s="198"/>
      <c r="B626" s="208" t="str">
        <f>vlookup(A626,Price!A:B,2,false)</f>
        <v>#N/A</v>
      </c>
      <c r="C626" s="198"/>
      <c r="D626" s="198"/>
      <c r="E626" s="198"/>
      <c r="F626" s="198"/>
      <c r="G626" s="198"/>
      <c r="H626" s="198"/>
      <c r="I626" s="198"/>
      <c r="J626" s="198"/>
      <c r="K626" s="198"/>
      <c r="L626" s="198"/>
    </row>
    <row r="627">
      <c r="A627" s="198"/>
      <c r="B627" s="208" t="str">
        <f>vlookup(A627,Price!A:B,2,false)</f>
        <v>#N/A</v>
      </c>
      <c r="C627" s="198"/>
      <c r="D627" s="198"/>
      <c r="E627" s="198"/>
      <c r="F627" s="198"/>
      <c r="G627" s="198"/>
      <c r="H627" s="198"/>
      <c r="I627" s="198"/>
      <c r="J627" s="198"/>
      <c r="K627" s="198"/>
      <c r="L627" s="198"/>
    </row>
    <row r="628">
      <c r="A628" s="198"/>
      <c r="B628" s="208" t="str">
        <f>vlookup(A628,Price!A:B,2,false)</f>
        <v>#N/A</v>
      </c>
      <c r="C628" s="198"/>
      <c r="D628" s="198"/>
      <c r="E628" s="198"/>
      <c r="F628" s="198"/>
      <c r="G628" s="198"/>
      <c r="H628" s="198"/>
      <c r="I628" s="198"/>
      <c r="J628" s="198"/>
      <c r="K628" s="198"/>
      <c r="L628" s="198"/>
    </row>
    <row r="629">
      <c r="A629" s="198"/>
      <c r="B629" s="208" t="str">
        <f>vlookup(A629,Price!A:B,2,false)</f>
        <v>#N/A</v>
      </c>
      <c r="C629" s="198"/>
      <c r="D629" s="198"/>
      <c r="E629" s="198"/>
      <c r="F629" s="198"/>
      <c r="G629" s="198"/>
      <c r="H629" s="198"/>
      <c r="I629" s="198"/>
      <c r="J629" s="198"/>
      <c r="K629" s="198"/>
      <c r="L629" s="198"/>
    </row>
    <row r="630">
      <c r="A630" s="198"/>
      <c r="B630" s="208" t="str">
        <f>vlookup(A630,Price!A:B,2,false)</f>
        <v>#N/A</v>
      </c>
      <c r="C630" s="198"/>
      <c r="D630" s="198"/>
      <c r="E630" s="198"/>
      <c r="F630" s="198"/>
      <c r="G630" s="198"/>
      <c r="H630" s="198"/>
      <c r="I630" s="198"/>
      <c r="J630" s="198"/>
      <c r="K630" s="198"/>
      <c r="L630" s="198"/>
    </row>
    <row r="631">
      <c r="A631" s="198"/>
      <c r="B631" s="208" t="str">
        <f>vlookup(A631,Price!A:B,2,false)</f>
        <v>#N/A</v>
      </c>
      <c r="C631" s="198"/>
      <c r="D631" s="198"/>
      <c r="E631" s="198"/>
      <c r="F631" s="198"/>
      <c r="G631" s="198"/>
      <c r="H631" s="198"/>
      <c r="I631" s="198"/>
      <c r="J631" s="198"/>
      <c r="K631" s="198"/>
      <c r="L631" s="198"/>
    </row>
    <row r="632">
      <c r="A632" s="198"/>
      <c r="B632" s="208" t="str">
        <f>vlookup(A632,Price!A:B,2,false)</f>
        <v>#N/A</v>
      </c>
      <c r="C632" s="198"/>
      <c r="D632" s="198"/>
      <c r="E632" s="198"/>
      <c r="F632" s="198"/>
      <c r="G632" s="198"/>
      <c r="H632" s="198"/>
      <c r="I632" s="198"/>
      <c r="J632" s="198"/>
      <c r="K632" s="198"/>
      <c r="L632" s="198"/>
    </row>
    <row r="633">
      <c r="A633" s="198"/>
      <c r="B633" s="208" t="str">
        <f>vlookup(A633,Price!A:B,2,false)</f>
        <v>#N/A</v>
      </c>
      <c r="C633" s="198"/>
      <c r="D633" s="198"/>
      <c r="E633" s="198"/>
      <c r="F633" s="198"/>
      <c r="G633" s="198"/>
      <c r="H633" s="198"/>
      <c r="I633" s="198"/>
      <c r="J633" s="198"/>
      <c r="K633" s="198"/>
      <c r="L633" s="198"/>
    </row>
    <row r="634">
      <c r="A634" s="198"/>
      <c r="B634" s="208" t="str">
        <f>vlookup(A634,Price!A:B,2,false)</f>
        <v>#N/A</v>
      </c>
      <c r="C634" s="198"/>
      <c r="D634" s="198"/>
      <c r="E634" s="198"/>
      <c r="F634" s="198"/>
      <c r="G634" s="198"/>
      <c r="H634" s="198"/>
      <c r="I634" s="198"/>
      <c r="J634" s="198"/>
      <c r="K634" s="198"/>
      <c r="L634" s="198"/>
    </row>
    <row r="635">
      <c r="A635" s="198"/>
      <c r="B635" s="208" t="str">
        <f>vlookup(A635,Price!A:B,2,false)</f>
        <v>#N/A</v>
      </c>
      <c r="C635" s="198"/>
      <c r="D635" s="198"/>
      <c r="E635" s="198"/>
      <c r="F635" s="198"/>
      <c r="G635" s="198"/>
      <c r="H635" s="198"/>
      <c r="I635" s="198"/>
      <c r="J635" s="198"/>
      <c r="K635" s="198"/>
      <c r="L635" s="198"/>
    </row>
    <row r="636">
      <c r="A636" s="198"/>
      <c r="B636" s="208" t="str">
        <f>vlookup(A636,Price!A:B,2,false)</f>
        <v>#N/A</v>
      </c>
      <c r="C636" s="198"/>
      <c r="D636" s="198"/>
      <c r="E636" s="198"/>
      <c r="F636" s="198"/>
      <c r="G636" s="198"/>
      <c r="H636" s="198"/>
      <c r="I636" s="198"/>
      <c r="J636" s="198"/>
      <c r="K636" s="198"/>
      <c r="L636" s="198"/>
    </row>
    <row r="637">
      <c r="A637" s="198"/>
      <c r="B637" s="208" t="str">
        <f>vlookup(A637,Price!A:B,2,false)</f>
        <v>#N/A</v>
      </c>
      <c r="C637" s="198"/>
      <c r="D637" s="198"/>
      <c r="E637" s="198"/>
      <c r="F637" s="198"/>
      <c r="G637" s="198"/>
      <c r="H637" s="198"/>
      <c r="I637" s="198"/>
      <c r="J637" s="198"/>
      <c r="K637" s="198"/>
      <c r="L637" s="198"/>
    </row>
    <row r="638">
      <c r="A638" s="198"/>
      <c r="B638" s="208" t="str">
        <f>vlookup(A638,Price!A:B,2,false)</f>
        <v>#N/A</v>
      </c>
      <c r="C638" s="198"/>
      <c r="D638" s="198"/>
      <c r="E638" s="198"/>
      <c r="F638" s="198"/>
      <c r="G638" s="198"/>
      <c r="H638" s="198"/>
      <c r="I638" s="198"/>
      <c r="J638" s="198"/>
      <c r="K638" s="198"/>
      <c r="L638" s="198"/>
    </row>
    <row r="639">
      <c r="A639" s="198"/>
      <c r="B639" s="208" t="str">
        <f>vlookup(A639,Price!A:B,2,false)</f>
        <v>#N/A</v>
      </c>
      <c r="C639" s="198"/>
      <c r="D639" s="198"/>
      <c r="E639" s="198"/>
      <c r="F639" s="198"/>
      <c r="G639" s="198"/>
      <c r="H639" s="198"/>
      <c r="I639" s="198"/>
      <c r="J639" s="198"/>
      <c r="K639" s="198"/>
      <c r="L639" s="198"/>
    </row>
    <row r="640">
      <c r="A640" s="198"/>
      <c r="B640" s="208" t="str">
        <f>vlookup(A640,Price!A:B,2,false)</f>
        <v>#N/A</v>
      </c>
      <c r="C640" s="198"/>
      <c r="D640" s="198"/>
      <c r="E640" s="198"/>
      <c r="F640" s="198"/>
      <c r="G640" s="198"/>
      <c r="H640" s="198"/>
      <c r="I640" s="198"/>
      <c r="J640" s="198"/>
      <c r="K640" s="198"/>
      <c r="L640" s="198"/>
    </row>
    <row r="641">
      <c r="A641" s="198"/>
      <c r="B641" s="208" t="str">
        <f>vlookup(A641,Price!A:B,2,false)</f>
        <v>#N/A</v>
      </c>
      <c r="C641" s="198"/>
      <c r="D641" s="198"/>
      <c r="E641" s="198"/>
      <c r="F641" s="198"/>
      <c r="G641" s="198"/>
      <c r="H641" s="198"/>
      <c r="I641" s="198"/>
      <c r="J641" s="198"/>
      <c r="K641" s="198"/>
      <c r="L641" s="198"/>
    </row>
    <row r="642">
      <c r="A642" s="198"/>
      <c r="B642" s="208" t="str">
        <f>vlookup(A642,Price!A:B,2,false)</f>
        <v>#N/A</v>
      </c>
      <c r="C642" s="198"/>
      <c r="D642" s="198"/>
      <c r="E642" s="198"/>
      <c r="F642" s="198"/>
      <c r="G642" s="198"/>
      <c r="H642" s="198"/>
      <c r="I642" s="198"/>
      <c r="J642" s="198"/>
      <c r="K642" s="198"/>
      <c r="L642" s="198"/>
    </row>
    <row r="643">
      <c r="A643" s="198"/>
      <c r="B643" s="208" t="str">
        <f>vlookup(A643,Price!A:B,2,false)</f>
        <v>#N/A</v>
      </c>
      <c r="C643" s="198"/>
      <c r="D643" s="198"/>
      <c r="E643" s="198"/>
      <c r="F643" s="198"/>
      <c r="G643" s="198"/>
      <c r="H643" s="198"/>
      <c r="I643" s="198"/>
      <c r="J643" s="198"/>
      <c r="K643" s="198"/>
      <c r="L643" s="198"/>
    </row>
    <row r="644">
      <c r="A644" s="198"/>
      <c r="B644" s="208" t="str">
        <f>vlookup(A644,Price!A:B,2,false)</f>
        <v>#N/A</v>
      </c>
      <c r="C644" s="198"/>
      <c r="D644" s="198"/>
      <c r="E644" s="198"/>
      <c r="F644" s="198"/>
      <c r="G644" s="198"/>
      <c r="H644" s="198"/>
      <c r="I644" s="198"/>
      <c r="J644" s="198"/>
      <c r="K644" s="198"/>
      <c r="L644" s="198"/>
    </row>
    <row r="645">
      <c r="A645" s="198"/>
      <c r="B645" s="208" t="str">
        <f>vlookup(A645,Price!A:B,2,false)</f>
        <v>#N/A</v>
      </c>
      <c r="C645" s="198"/>
      <c r="D645" s="198"/>
      <c r="E645" s="198"/>
      <c r="F645" s="198"/>
      <c r="G645" s="198"/>
      <c r="H645" s="198"/>
      <c r="I645" s="198"/>
      <c r="J645" s="198"/>
      <c r="K645" s="198"/>
      <c r="L645" s="198"/>
    </row>
    <row r="646">
      <c r="A646" s="198"/>
      <c r="B646" s="208" t="str">
        <f>vlookup(A646,Price!A:B,2,false)</f>
        <v>#N/A</v>
      </c>
      <c r="C646" s="198"/>
      <c r="D646" s="198"/>
      <c r="E646" s="198"/>
      <c r="F646" s="198"/>
      <c r="G646" s="198"/>
      <c r="H646" s="198"/>
      <c r="I646" s="198"/>
      <c r="J646" s="198"/>
      <c r="K646" s="198"/>
      <c r="L646" s="198"/>
    </row>
    <row r="647">
      <c r="A647" s="198"/>
      <c r="B647" s="208" t="str">
        <f>vlookup(A647,Price!A:B,2,false)</f>
        <v>#N/A</v>
      </c>
      <c r="C647" s="198"/>
      <c r="D647" s="198"/>
      <c r="E647" s="198"/>
      <c r="F647" s="198"/>
      <c r="G647" s="198"/>
      <c r="H647" s="198"/>
      <c r="I647" s="198"/>
      <c r="J647" s="198"/>
      <c r="K647" s="198"/>
      <c r="L647" s="198"/>
    </row>
    <row r="648">
      <c r="A648" s="198"/>
      <c r="B648" s="208" t="str">
        <f>vlookup(A648,Price!A:B,2,false)</f>
        <v>#N/A</v>
      </c>
      <c r="C648" s="198"/>
      <c r="D648" s="198"/>
      <c r="E648" s="198"/>
      <c r="F648" s="198"/>
      <c r="G648" s="198"/>
      <c r="H648" s="198"/>
      <c r="I648" s="198"/>
      <c r="J648" s="198"/>
      <c r="K648" s="198"/>
      <c r="L648" s="198"/>
    </row>
    <row r="649">
      <c r="A649" s="198"/>
      <c r="B649" s="208" t="str">
        <f>vlookup(A649,Price!A:B,2,false)</f>
        <v>#N/A</v>
      </c>
      <c r="C649" s="198"/>
      <c r="D649" s="198"/>
      <c r="E649" s="198"/>
      <c r="F649" s="198"/>
      <c r="G649" s="198"/>
      <c r="H649" s="198"/>
      <c r="I649" s="198"/>
      <c r="J649" s="198"/>
      <c r="K649" s="198"/>
      <c r="L649" s="198"/>
    </row>
    <row r="650">
      <c r="A650" s="198"/>
      <c r="B650" s="208" t="str">
        <f>vlookup(A650,Price!A:B,2,false)</f>
        <v>#N/A</v>
      </c>
      <c r="C650" s="198"/>
      <c r="D650" s="198"/>
      <c r="E650" s="198"/>
      <c r="F650" s="198"/>
      <c r="G650" s="198"/>
      <c r="H650" s="198"/>
      <c r="I650" s="198"/>
      <c r="J650" s="198"/>
      <c r="K650" s="198"/>
      <c r="L650" s="198"/>
    </row>
    <row r="651">
      <c r="A651" s="198"/>
      <c r="B651" s="208" t="str">
        <f>vlookup(A651,Price!A:B,2,false)</f>
        <v>#N/A</v>
      </c>
      <c r="C651" s="198"/>
      <c r="D651" s="198"/>
      <c r="E651" s="198"/>
      <c r="F651" s="198"/>
      <c r="G651" s="198"/>
      <c r="H651" s="198"/>
      <c r="I651" s="198"/>
      <c r="J651" s="198"/>
      <c r="K651" s="198"/>
      <c r="L651" s="198"/>
    </row>
    <row r="652">
      <c r="A652" s="198"/>
      <c r="B652" s="208" t="str">
        <f>vlookup(A652,Price!A:B,2,false)</f>
        <v>#N/A</v>
      </c>
      <c r="C652" s="198"/>
      <c r="D652" s="198"/>
      <c r="E652" s="198"/>
      <c r="F652" s="198"/>
      <c r="G652" s="198"/>
      <c r="H652" s="198"/>
      <c r="I652" s="198"/>
      <c r="J652" s="198"/>
      <c r="K652" s="198"/>
      <c r="L652" s="198"/>
    </row>
    <row r="653">
      <c r="A653" s="198"/>
      <c r="B653" s="208" t="str">
        <f>vlookup(A653,Price!A:B,2,false)</f>
        <v>#N/A</v>
      </c>
      <c r="C653" s="198"/>
      <c r="D653" s="198"/>
      <c r="E653" s="198"/>
      <c r="F653" s="198"/>
      <c r="G653" s="198"/>
      <c r="H653" s="198"/>
      <c r="I653" s="198"/>
      <c r="J653" s="198"/>
      <c r="K653" s="198"/>
      <c r="L653" s="198"/>
    </row>
    <row r="654">
      <c r="A654" s="198"/>
      <c r="B654" s="208" t="str">
        <f>vlookup(A654,Price!A:B,2,false)</f>
        <v>#N/A</v>
      </c>
      <c r="C654" s="198"/>
      <c r="D654" s="198"/>
      <c r="E654" s="198"/>
      <c r="F654" s="198"/>
      <c r="G654" s="198"/>
      <c r="H654" s="198"/>
      <c r="I654" s="198"/>
      <c r="J654" s="198"/>
      <c r="K654" s="198"/>
      <c r="L654" s="198"/>
    </row>
    <row r="655">
      <c r="A655" s="198"/>
      <c r="B655" s="208" t="str">
        <f>vlookup(A655,Price!A:B,2,false)</f>
        <v>#N/A</v>
      </c>
      <c r="C655" s="198"/>
      <c r="D655" s="198"/>
      <c r="E655" s="198"/>
      <c r="F655" s="198"/>
      <c r="G655" s="198"/>
      <c r="H655" s="198"/>
      <c r="I655" s="198"/>
      <c r="J655" s="198"/>
      <c r="K655" s="198"/>
      <c r="L655" s="198"/>
    </row>
    <row r="656">
      <c r="A656" s="198"/>
      <c r="B656" s="208" t="str">
        <f>vlookup(A656,Price!A:B,2,false)</f>
        <v>#N/A</v>
      </c>
      <c r="C656" s="198"/>
      <c r="D656" s="198"/>
      <c r="E656" s="198"/>
      <c r="F656" s="198"/>
      <c r="G656" s="198"/>
      <c r="H656" s="198"/>
      <c r="I656" s="198"/>
      <c r="J656" s="198"/>
      <c r="K656" s="198"/>
      <c r="L656" s="198"/>
    </row>
    <row r="657">
      <c r="A657" s="198"/>
      <c r="B657" s="208" t="str">
        <f>vlookup(A657,Price!A:B,2,false)</f>
        <v>#N/A</v>
      </c>
      <c r="C657" s="198"/>
      <c r="D657" s="198"/>
      <c r="E657" s="198"/>
      <c r="F657" s="198"/>
      <c r="G657" s="198"/>
      <c r="H657" s="198"/>
      <c r="I657" s="198"/>
      <c r="J657" s="198"/>
      <c r="K657" s="198"/>
      <c r="L657" s="198"/>
    </row>
    <row r="658">
      <c r="A658" s="198"/>
      <c r="B658" s="208" t="str">
        <f>vlookup(A658,Price!A:B,2,false)</f>
        <v>#N/A</v>
      </c>
      <c r="C658" s="198"/>
      <c r="D658" s="198"/>
      <c r="E658" s="198"/>
      <c r="F658" s="198"/>
      <c r="G658" s="198"/>
      <c r="H658" s="198"/>
      <c r="I658" s="198"/>
      <c r="J658" s="198"/>
      <c r="K658" s="198"/>
      <c r="L658" s="198"/>
    </row>
    <row r="659">
      <c r="A659" s="198"/>
      <c r="B659" s="208" t="str">
        <f>vlookup(A659,Price!A:B,2,false)</f>
        <v>#N/A</v>
      </c>
      <c r="C659" s="198"/>
      <c r="D659" s="198"/>
      <c r="E659" s="198"/>
      <c r="F659" s="198"/>
      <c r="G659" s="198"/>
      <c r="H659" s="198"/>
      <c r="I659" s="198"/>
      <c r="J659" s="198"/>
      <c r="K659" s="198"/>
      <c r="L659" s="198"/>
    </row>
    <row r="660">
      <c r="A660" s="198"/>
      <c r="B660" s="208" t="str">
        <f>vlookup(A660,Price!A:B,2,false)</f>
        <v>#N/A</v>
      </c>
      <c r="C660" s="198"/>
      <c r="D660" s="198"/>
      <c r="E660" s="198"/>
      <c r="F660" s="198"/>
      <c r="G660" s="198"/>
      <c r="H660" s="198"/>
      <c r="I660" s="198"/>
      <c r="J660" s="198"/>
      <c r="K660" s="198"/>
      <c r="L660" s="198"/>
    </row>
    <row r="661">
      <c r="A661" s="198"/>
      <c r="B661" s="208" t="str">
        <f>vlookup(A661,Price!A:B,2,false)</f>
        <v>#N/A</v>
      </c>
      <c r="C661" s="198"/>
      <c r="D661" s="198"/>
      <c r="E661" s="198"/>
      <c r="F661" s="198"/>
      <c r="G661" s="198"/>
      <c r="H661" s="198"/>
      <c r="I661" s="198"/>
      <c r="J661" s="198"/>
      <c r="K661" s="198"/>
      <c r="L661" s="198"/>
    </row>
    <row r="662">
      <c r="A662" s="198"/>
      <c r="B662" s="208" t="str">
        <f>vlookup(A662,Price!A:B,2,false)</f>
        <v>#N/A</v>
      </c>
      <c r="C662" s="198"/>
      <c r="D662" s="198"/>
      <c r="E662" s="198"/>
      <c r="F662" s="198"/>
      <c r="G662" s="198"/>
      <c r="H662" s="198"/>
      <c r="I662" s="198"/>
      <c r="J662" s="198"/>
      <c r="K662" s="198"/>
      <c r="L662" s="198"/>
    </row>
    <row r="663">
      <c r="A663" s="198"/>
      <c r="B663" s="208" t="str">
        <f>vlookup(A663,Price!A:B,2,false)</f>
        <v>#N/A</v>
      </c>
      <c r="C663" s="198"/>
      <c r="D663" s="198"/>
      <c r="E663" s="198"/>
      <c r="F663" s="198"/>
      <c r="G663" s="198"/>
      <c r="H663" s="198"/>
      <c r="I663" s="198"/>
      <c r="J663" s="198"/>
      <c r="K663" s="198"/>
      <c r="L663" s="198"/>
    </row>
    <row r="664">
      <c r="A664" s="198"/>
      <c r="B664" s="208" t="str">
        <f>vlookup(A664,Price!A:B,2,false)</f>
        <v>#N/A</v>
      </c>
      <c r="C664" s="198"/>
      <c r="D664" s="198"/>
      <c r="E664" s="198"/>
      <c r="F664" s="198"/>
      <c r="G664" s="198"/>
      <c r="H664" s="198"/>
      <c r="I664" s="198"/>
      <c r="J664" s="198"/>
      <c r="K664" s="198"/>
      <c r="L664" s="198"/>
    </row>
    <row r="665">
      <c r="A665" s="198"/>
      <c r="B665" s="208" t="str">
        <f>vlookup(A665,Price!A:B,2,false)</f>
        <v>#N/A</v>
      </c>
      <c r="C665" s="198"/>
      <c r="D665" s="198"/>
      <c r="E665" s="198"/>
      <c r="F665" s="198"/>
      <c r="G665" s="198"/>
      <c r="H665" s="198"/>
      <c r="I665" s="198"/>
      <c r="J665" s="198"/>
      <c r="K665" s="198"/>
      <c r="L665" s="198"/>
    </row>
    <row r="666">
      <c r="A666" s="198"/>
      <c r="B666" s="208" t="str">
        <f>vlookup(A666,Price!A:B,2,false)</f>
        <v>#N/A</v>
      </c>
      <c r="C666" s="198"/>
      <c r="D666" s="198"/>
      <c r="E666" s="198"/>
      <c r="F666" s="198"/>
      <c r="G666" s="198"/>
      <c r="H666" s="198"/>
      <c r="I666" s="198"/>
      <c r="J666" s="198"/>
      <c r="K666" s="198"/>
      <c r="L666" s="198"/>
    </row>
    <row r="667">
      <c r="A667" s="198"/>
      <c r="B667" s="208" t="str">
        <f>vlookup(A667,Price!A:B,2,false)</f>
        <v>#N/A</v>
      </c>
      <c r="C667" s="198"/>
      <c r="D667" s="198"/>
      <c r="E667" s="198"/>
      <c r="F667" s="198"/>
      <c r="G667" s="198"/>
      <c r="H667" s="198"/>
      <c r="I667" s="198"/>
      <c r="J667" s="198"/>
      <c r="K667" s="198"/>
      <c r="L667" s="198"/>
    </row>
    <row r="668">
      <c r="A668" s="198"/>
      <c r="B668" s="208" t="str">
        <f>vlookup(A668,Price!A:B,2,false)</f>
        <v>#N/A</v>
      </c>
      <c r="C668" s="198"/>
      <c r="D668" s="198"/>
      <c r="E668" s="198"/>
      <c r="F668" s="198"/>
      <c r="G668" s="198"/>
      <c r="H668" s="198"/>
      <c r="I668" s="198"/>
      <c r="J668" s="198"/>
      <c r="K668" s="198"/>
      <c r="L668" s="198"/>
    </row>
    <row r="669">
      <c r="A669" s="198"/>
      <c r="B669" s="208" t="str">
        <f>vlookup(A669,Price!A:B,2,false)</f>
        <v>#N/A</v>
      </c>
      <c r="C669" s="198"/>
      <c r="D669" s="198"/>
      <c r="E669" s="198"/>
      <c r="F669" s="198"/>
      <c r="G669" s="198"/>
      <c r="H669" s="198"/>
      <c r="I669" s="198"/>
      <c r="J669" s="198"/>
      <c r="K669" s="198"/>
      <c r="L669" s="198"/>
    </row>
    <row r="670">
      <c r="A670" s="198"/>
      <c r="B670" s="208" t="str">
        <f>vlookup(A670,Price!A:B,2,false)</f>
        <v>#N/A</v>
      </c>
      <c r="C670" s="198"/>
      <c r="D670" s="198"/>
      <c r="E670" s="198"/>
      <c r="F670" s="198"/>
      <c r="G670" s="198"/>
      <c r="H670" s="198"/>
      <c r="I670" s="198"/>
      <c r="J670" s="198"/>
      <c r="K670" s="198"/>
      <c r="L670" s="198"/>
    </row>
    <row r="671">
      <c r="A671" s="198"/>
      <c r="B671" s="208" t="str">
        <f>vlookup(A671,Price!A:B,2,false)</f>
        <v>#N/A</v>
      </c>
      <c r="C671" s="198"/>
      <c r="D671" s="198"/>
      <c r="E671" s="198"/>
      <c r="F671" s="198"/>
      <c r="G671" s="198"/>
      <c r="H671" s="198"/>
      <c r="I671" s="198"/>
      <c r="J671" s="198"/>
      <c r="K671" s="198"/>
      <c r="L671" s="198"/>
    </row>
    <row r="672">
      <c r="A672" s="198"/>
      <c r="B672" s="208" t="str">
        <f>vlookup(A672,Price!A:B,2,false)</f>
        <v>#N/A</v>
      </c>
      <c r="C672" s="198"/>
      <c r="D672" s="198"/>
      <c r="E672" s="198"/>
      <c r="F672" s="198"/>
      <c r="G672" s="198"/>
      <c r="H672" s="198"/>
      <c r="I672" s="198"/>
      <c r="J672" s="198"/>
      <c r="K672" s="198"/>
      <c r="L672" s="198"/>
    </row>
    <row r="673">
      <c r="A673" s="198"/>
      <c r="B673" s="208" t="str">
        <f>vlookup(A673,Price!A:B,2,false)</f>
        <v>#N/A</v>
      </c>
      <c r="C673" s="198"/>
      <c r="D673" s="198"/>
      <c r="E673" s="198"/>
      <c r="F673" s="198"/>
      <c r="G673" s="198"/>
      <c r="H673" s="198"/>
      <c r="I673" s="198"/>
      <c r="J673" s="198"/>
      <c r="K673" s="198"/>
      <c r="L673" s="198"/>
    </row>
    <row r="674">
      <c r="A674" s="198"/>
      <c r="B674" s="208" t="str">
        <f>vlookup(A674,Price!A:B,2,false)</f>
        <v>#N/A</v>
      </c>
      <c r="C674" s="198"/>
      <c r="D674" s="198"/>
      <c r="E674" s="198"/>
      <c r="F674" s="198"/>
      <c r="G674" s="198"/>
      <c r="H674" s="198"/>
      <c r="I674" s="198"/>
      <c r="J674" s="198"/>
      <c r="K674" s="198"/>
      <c r="L674" s="198"/>
    </row>
    <row r="675">
      <c r="A675" s="198"/>
      <c r="B675" s="208" t="str">
        <f>vlookup(A675,Price!A:B,2,false)</f>
        <v>#N/A</v>
      </c>
      <c r="C675" s="198"/>
      <c r="D675" s="198"/>
      <c r="E675" s="198"/>
      <c r="F675" s="198"/>
      <c r="G675" s="198"/>
      <c r="H675" s="198"/>
      <c r="I675" s="198"/>
      <c r="J675" s="198"/>
      <c r="K675" s="198"/>
      <c r="L675" s="198"/>
    </row>
    <row r="676">
      <c r="A676" s="198"/>
      <c r="B676" s="208" t="str">
        <f>vlookup(A676,Price!A:B,2,false)</f>
        <v>#N/A</v>
      </c>
      <c r="C676" s="198"/>
      <c r="D676" s="198"/>
      <c r="E676" s="198"/>
      <c r="F676" s="198"/>
      <c r="G676" s="198"/>
      <c r="H676" s="198"/>
      <c r="I676" s="198"/>
      <c r="J676" s="198"/>
      <c r="K676" s="198"/>
      <c r="L676" s="198"/>
    </row>
    <row r="677">
      <c r="A677" s="198"/>
      <c r="B677" s="208" t="str">
        <f>vlookup(A677,Price!A:B,2,false)</f>
        <v>#N/A</v>
      </c>
      <c r="C677" s="198"/>
      <c r="D677" s="198"/>
      <c r="E677" s="198"/>
      <c r="F677" s="198"/>
      <c r="G677" s="198"/>
      <c r="H677" s="198"/>
      <c r="I677" s="198"/>
      <c r="J677" s="198"/>
      <c r="K677" s="198"/>
      <c r="L677" s="198"/>
    </row>
    <row r="678">
      <c r="A678" s="198"/>
      <c r="B678" s="208" t="str">
        <f>vlookup(A678,Price!A:B,2,false)</f>
        <v>#N/A</v>
      </c>
      <c r="C678" s="198"/>
      <c r="D678" s="198"/>
      <c r="E678" s="198"/>
      <c r="F678" s="198"/>
      <c r="G678" s="198"/>
      <c r="H678" s="198"/>
      <c r="I678" s="198"/>
      <c r="J678" s="198"/>
      <c r="K678" s="198"/>
      <c r="L678" s="198"/>
    </row>
    <row r="679">
      <c r="A679" s="198"/>
      <c r="B679" s="208" t="str">
        <f>vlookup(A679,Price!A:B,2,false)</f>
        <v>#N/A</v>
      </c>
      <c r="C679" s="198"/>
      <c r="D679" s="198"/>
      <c r="E679" s="198"/>
      <c r="F679" s="198"/>
      <c r="G679" s="198"/>
      <c r="H679" s="198"/>
      <c r="I679" s="198"/>
      <c r="J679" s="198"/>
      <c r="K679" s="198"/>
      <c r="L679" s="198"/>
    </row>
    <row r="680">
      <c r="A680" s="198"/>
      <c r="B680" s="208" t="str">
        <f>vlookup(A680,Price!A:B,2,false)</f>
        <v>#N/A</v>
      </c>
      <c r="C680" s="198"/>
      <c r="D680" s="198"/>
      <c r="E680" s="198"/>
      <c r="F680" s="198"/>
      <c r="G680" s="198"/>
      <c r="H680" s="198"/>
      <c r="I680" s="198"/>
      <c r="J680" s="198"/>
      <c r="K680" s="198"/>
      <c r="L680" s="198"/>
    </row>
    <row r="681">
      <c r="A681" s="198"/>
      <c r="B681" s="208" t="str">
        <f>vlookup(A681,Price!A:B,2,false)</f>
        <v>#N/A</v>
      </c>
      <c r="C681" s="198"/>
      <c r="D681" s="198"/>
      <c r="E681" s="198"/>
      <c r="F681" s="198"/>
      <c r="G681" s="198"/>
      <c r="H681" s="198"/>
      <c r="I681" s="198"/>
      <c r="J681" s="198"/>
      <c r="K681" s="198"/>
      <c r="L681" s="198"/>
    </row>
    <row r="682">
      <c r="A682" s="198"/>
      <c r="B682" s="208" t="str">
        <f>vlookup(A682,Price!A:B,2,false)</f>
        <v>#N/A</v>
      </c>
      <c r="C682" s="198"/>
      <c r="D682" s="198"/>
      <c r="E682" s="198"/>
      <c r="F682" s="198"/>
      <c r="G682" s="198"/>
      <c r="H682" s="198"/>
      <c r="I682" s="198"/>
      <c r="J682" s="198"/>
      <c r="K682" s="198"/>
      <c r="L682" s="198"/>
    </row>
    <row r="683">
      <c r="A683" s="198"/>
      <c r="B683" s="208" t="str">
        <f>vlookup(A683,Price!A:B,2,false)</f>
        <v>#N/A</v>
      </c>
      <c r="C683" s="198"/>
      <c r="D683" s="198"/>
      <c r="E683" s="198"/>
      <c r="F683" s="198"/>
      <c r="G683" s="198"/>
      <c r="H683" s="198"/>
      <c r="I683" s="198"/>
      <c r="J683" s="198"/>
      <c r="K683" s="198"/>
      <c r="L683" s="198"/>
    </row>
    <row r="684">
      <c r="A684" s="198"/>
      <c r="B684" s="208" t="str">
        <f>vlookup(A684,Price!A:B,2,false)</f>
        <v>#N/A</v>
      </c>
      <c r="C684" s="198"/>
      <c r="D684" s="198"/>
      <c r="E684" s="198"/>
      <c r="F684" s="198"/>
      <c r="G684" s="198"/>
      <c r="H684" s="198"/>
      <c r="I684" s="198"/>
      <c r="J684" s="198"/>
      <c r="K684" s="198"/>
      <c r="L684" s="198"/>
    </row>
    <row r="685">
      <c r="A685" s="198"/>
      <c r="B685" s="208" t="str">
        <f>vlookup(A685,Price!A:B,2,false)</f>
        <v>#N/A</v>
      </c>
      <c r="C685" s="198"/>
      <c r="D685" s="198"/>
      <c r="E685" s="198"/>
      <c r="F685" s="198"/>
      <c r="G685" s="198"/>
      <c r="H685" s="198"/>
      <c r="I685" s="198"/>
      <c r="J685" s="198"/>
      <c r="K685" s="198"/>
      <c r="L685" s="198"/>
    </row>
    <row r="686">
      <c r="A686" s="198"/>
      <c r="B686" s="208" t="str">
        <f>vlookup(A686,Price!A:B,2,false)</f>
        <v>#N/A</v>
      </c>
      <c r="C686" s="198"/>
      <c r="D686" s="198"/>
      <c r="E686" s="198"/>
      <c r="F686" s="198"/>
      <c r="G686" s="198"/>
      <c r="H686" s="198"/>
      <c r="I686" s="198"/>
      <c r="J686" s="198"/>
      <c r="K686" s="198"/>
      <c r="L686" s="198"/>
    </row>
    <row r="687">
      <c r="A687" s="198"/>
      <c r="B687" s="208" t="str">
        <f>vlookup(A687,Price!A:B,2,false)</f>
        <v>#N/A</v>
      </c>
      <c r="C687" s="198"/>
      <c r="D687" s="198"/>
      <c r="E687" s="198"/>
      <c r="F687" s="198"/>
      <c r="G687" s="198"/>
      <c r="H687" s="198"/>
      <c r="I687" s="198"/>
      <c r="J687" s="198"/>
      <c r="K687" s="198"/>
      <c r="L687" s="198"/>
    </row>
    <row r="688">
      <c r="A688" s="198"/>
      <c r="B688" s="208" t="str">
        <f>vlookup(A688,Price!A:B,2,false)</f>
        <v>#N/A</v>
      </c>
      <c r="C688" s="198"/>
      <c r="D688" s="198"/>
      <c r="E688" s="198"/>
      <c r="F688" s="198"/>
      <c r="G688" s="198"/>
      <c r="H688" s="198"/>
      <c r="I688" s="198"/>
      <c r="J688" s="198"/>
      <c r="K688" s="198"/>
      <c r="L688" s="198"/>
    </row>
    <row r="689">
      <c r="A689" s="198"/>
      <c r="B689" s="208" t="str">
        <f>vlookup(A689,Price!A:B,2,false)</f>
        <v>#N/A</v>
      </c>
      <c r="C689" s="198"/>
      <c r="D689" s="198"/>
      <c r="E689" s="198"/>
      <c r="F689" s="198"/>
      <c r="G689" s="198"/>
      <c r="H689" s="198"/>
      <c r="I689" s="198"/>
      <c r="J689" s="198"/>
      <c r="K689" s="198"/>
      <c r="L689" s="198"/>
    </row>
    <row r="690">
      <c r="A690" s="198"/>
      <c r="B690" s="208" t="str">
        <f>vlookup(A690,Price!A:B,2,false)</f>
        <v>#N/A</v>
      </c>
      <c r="C690" s="198"/>
      <c r="D690" s="198"/>
      <c r="E690" s="198"/>
      <c r="F690" s="198"/>
      <c r="G690" s="198"/>
      <c r="H690" s="198"/>
      <c r="I690" s="198"/>
      <c r="J690" s="198"/>
      <c r="K690" s="198"/>
      <c r="L690" s="198"/>
    </row>
    <row r="691">
      <c r="A691" s="198"/>
      <c r="B691" s="208" t="str">
        <f>vlookup(A691,Price!A:B,2,false)</f>
        <v>#N/A</v>
      </c>
      <c r="C691" s="198"/>
      <c r="D691" s="198"/>
      <c r="E691" s="198"/>
      <c r="F691" s="198"/>
      <c r="G691" s="198"/>
      <c r="H691" s="198"/>
      <c r="I691" s="198"/>
      <c r="J691" s="198"/>
      <c r="K691" s="198"/>
      <c r="L691" s="198"/>
    </row>
    <row r="692">
      <c r="A692" s="198"/>
      <c r="B692" s="208" t="str">
        <f>vlookup(A692,Price!A:B,2,false)</f>
        <v>#N/A</v>
      </c>
      <c r="C692" s="198"/>
      <c r="D692" s="198"/>
      <c r="E692" s="198"/>
      <c r="F692" s="198"/>
      <c r="G692" s="198"/>
      <c r="H692" s="198"/>
      <c r="I692" s="198"/>
      <c r="J692" s="198"/>
      <c r="K692" s="198"/>
      <c r="L692" s="198"/>
    </row>
    <row r="693">
      <c r="A693" s="198"/>
      <c r="B693" s="208" t="str">
        <f>vlookup(A693,Price!A:B,2,false)</f>
        <v>#N/A</v>
      </c>
      <c r="C693" s="198"/>
      <c r="D693" s="198"/>
      <c r="E693" s="198"/>
      <c r="F693" s="198"/>
      <c r="G693" s="198"/>
      <c r="H693" s="198"/>
      <c r="I693" s="198"/>
      <c r="J693" s="198"/>
      <c r="K693" s="198"/>
      <c r="L693" s="198"/>
    </row>
    <row r="694">
      <c r="A694" s="198"/>
      <c r="B694" s="208" t="str">
        <f>vlookup(A694,Price!A:B,2,false)</f>
        <v>#N/A</v>
      </c>
      <c r="C694" s="198"/>
      <c r="D694" s="198"/>
      <c r="E694" s="198"/>
      <c r="F694" s="198"/>
      <c r="G694" s="198"/>
      <c r="H694" s="198"/>
      <c r="I694" s="198"/>
      <c r="J694" s="198"/>
      <c r="K694" s="198"/>
      <c r="L694" s="198"/>
    </row>
    <row r="695">
      <c r="A695" s="198"/>
      <c r="B695" s="208" t="str">
        <f>vlookup(A695,Price!A:B,2,false)</f>
        <v>#N/A</v>
      </c>
      <c r="C695" s="198"/>
      <c r="D695" s="198"/>
      <c r="E695" s="198"/>
      <c r="F695" s="198"/>
      <c r="G695" s="198"/>
      <c r="H695" s="198"/>
      <c r="I695" s="198"/>
      <c r="J695" s="198"/>
      <c r="K695" s="198"/>
      <c r="L695" s="198"/>
    </row>
    <row r="696">
      <c r="A696" s="198"/>
      <c r="B696" s="208" t="str">
        <f>vlookup(A696,Price!A:B,2,false)</f>
        <v>#N/A</v>
      </c>
      <c r="C696" s="198"/>
      <c r="D696" s="198"/>
      <c r="E696" s="198"/>
      <c r="F696" s="198"/>
      <c r="G696" s="198"/>
      <c r="H696" s="198"/>
      <c r="I696" s="198"/>
      <c r="J696" s="198"/>
      <c r="K696" s="198"/>
      <c r="L696" s="198"/>
    </row>
    <row r="697">
      <c r="A697" s="198"/>
      <c r="B697" s="208" t="str">
        <f>vlookup(A697,Price!A:B,2,false)</f>
        <v>#N/A</v>
      </c>
      <c r="C697" s="198"/>
      <c r="D697" s="198"/>
      <c r="E697" s="198"/>
      <c r="F697" s="198"/>
      <c r="G697" s="198"/>
      <c r="H697" s="198"/>
      <c r="I697" s="198"/>
      <c r="J697" s="198"/>
      <c r="K697" s="198"/>
      <c r="L697" s="198"/>
    </row>
    <row r="698">
      <c r="A698" s="198"/>
      <c r="B698" s="208" t="str">
        <f>vlookup(A698,Price!A:B,2,false)</f>
        <v>#N/A</v>
      </c>
      <c r="C698" s="198"/>
      <c r="D698" s="198"/>
      <c r="E698" s="198"/>
      <c r="F698" s="198"/>
      <c r="G698" s="198"/>
      <c r="H698" s="198"/>
      <c r="I698" s="198"/>
      <c r="J698" s="198"/>
      <c r="K698" s="198"/>
      <c r="L698" s="198"/>
    </row>
    <row r="699">
      <c r="A699" s="198"/>
      <c r="B699" s="208" t="str">
        <f>vlookup(A699,Price!A:B,2,false)</f>
        <v>#N/A</v>
      </c>
      <c r="C699" s="198"/>
      <c r="D699" s="198"/>
      <c r="E699" s="198"/>
      <c r="F699" s="198"/>
      <c r="G699" s="198"/>
      <c r="H699" s="198"/>
      <c r="I699" s="198"/>
      <c r="J699" s="198"/>
      <c r="K699" s="198"/>
      <c r="L699" s="198"/>
    </row>
    <row r="700">
      <c r="A700" s="198"/>
      <c r="B700" s="208" t="str">
        <f>vlookup(A700,Price!A:B,2,false)</f>
        <v>#N/A</v>
      </c>
      <c r="C700" s="198"/>
      <c r="D700" s="198"/>
      <c r="E700" s="198"/>
      <c r="F700" s="198"/>
      <c r="G700" s="198"/>
      <c r="H700" s="198"/>
      <c r="I700" s="198"/>
      <c r="J700" s="198"/>
      <c r="K700" s="198"/>
      <c r="L700" s="198"/>
    </row>
    <row r="701">
      <c r="A701" s="198"/>
      <c r="B701" s="208" t="str">
        <f>vlookup(A701,Price!A:B,2,false)</f>
        <v>#N/A</v>
      </c>
      <c r="C701" s="198"/>
      <c r="D701" s="198"/>
      <c r="E701" s="198"/>
      <c r="F701" s="198"/>
      <c r="G701" s="198"/>
      <c r="H701" s="198"/>
      <c r="I701" s="198"/>
      <c r="J701" s="198"/>
      <c r="K701" s="198"/>
      <c r="L701" s="198"/>
    </row>
    <row r="702">
      <c r="A702" s="198"/>
      <c r="B702" s="208" t="str">
        <f>vlookup(A702,Price!A:B,2,false)</f>
        <v>#N/A</v>
      </c>
      <c r="C702" s="198"/>
      <c r="D702" s="198"/>
      <c r="E702" s="198"/>
      <c r="F702" s="198"/>
      <c r="G702" s="198"/>
      <c r="H702" s="198"/>
      <c r="I702" s="198"/>
      <c r="J702" s="198"/>
      <c r="K702" s="198"/>
      <c r="L702" s="198"/>
    </row>
    <row r="703">
      <c r="A703" s="198"/>
      <c r="B703" s="208" t="str">
        <f>vlookup(A703,Price!A:B,2,false)</f>
        <v>#N/A</v>
      </c>
      <c r="C703" s="198"/>
      <c r="D703" s="198"/>
      <c r="E703" s="198"/>
      <c r="F703" s="198"/>
      <c r="G703" s="198"/>
      <c r="H703" s="198"/>
      <c r="I703" s="198"/>
      <c r="J703" s="198"/>
      <c r="K703" s="198"/>
      <c r="L703" s="198"/>
    </row>
    <row r="704">
      <c r="A704" s="198"/>
      <c r="B704" s="208" t="str">
        <f>vlookup(A704,Price!A:B,2,false)</f>
        <v>#N/A</v>
      </c>
      <c r="C704" s="198"/>
      <c r="D704" s="198"/>
      <c r="E704" s="198"/>
      <c r="F704" s="198"/>
      <c r="G704" s="198"/>
      <c r="H704" s="198"/>
      <c r="I704" s="198"/>
      <c r="J704" s="198"/>
      <c r="K704" s="198"/>
      <c r="L704" s="198"/>
    </row>
    <row r="705">
      <c r="A705" s="198"/>
      <c r="B705" s="208" t="str">
        <f>vlookup(A705,Price!A:B,2,false)</f>
        <v>#N/A</v>
      </c>
      <c r="C705" s="198"/>
      <c r="D705" s="198"/>
      <c r="E705" s="198"/>
      <c r="F705" s="198"/>
      <c r="G705" s="198"/>
      <c r="H705" s="198"/>
      <c r="I705" s="198"/>
      <c r="J705" s="198"/>
      <c r="K705" s="198"/>
      <c r="L705" s="198"/>
    </row>
    <row r="706">
      <c r="A706" s="198"/>
      <c r="B706" s="208" t="str">
        <f>vlookup(A706,Price!A:B,2,false)</f>
        <v>#N/A</v>
      </c>
      <c r="C706" s="198"/>
      <c r="D706" s="198"/>
      <c r="E706" s="198"/>
      <c r="F706" s="198"/>
      <c r="G706" s="198"/>
      <c r="H706" s="198"/>
      <c r="I706" s="198"/>
      <c r="J706" s="198"/>
      <c r="K706" s="198"/>
      <c r="L706" s="198"/>
    </row>
    <row r="707">
      <c r="A707" s="198"/>
      <c r="B707" s="208" t="str">
        <f>vlookup(A707,Price!A:B,2,false)</f>
        <v>#N/A</v>
      </c>
      <c r="C707" s="198"/>
      <c r="D707" s="198"/>
      <c r="E707" s="198"/>
      <c r="F707" s="198"/>
      <c r="G707" s="198"/>
      <c r="H707" s="198"/>
      <c r="I707" s="198"/>
      <c r="J707" s="198"/>
      <c r="K707" s="198"/>
      <c r="L707" s="198"/>
    </row>
    <row r="708">
      <c r="A708" s="198"/>
      <c r="B708" s="208" t="str">
        <f>vlookup(A708,Price!A:B,2,false)</f>
        <v>#N/A</v>
      </c>
      <c r="C708" s="198"/>
      <c r="D708" s="198"/>
      <c r="E708" s="198"/>
      <c r="F708" s="198"/>
      <c r="G708" s="198"/>
      <c r="H708" s="198"/>
      <c r="I708" s="198"/>
      <c r="J708" s="198"/>
      <c r="K708" s="198"/>
      <c r="L708" s="198"/>
    </row>
    <row r="709">
      <c r="A709" s="198"/>
      <c r="B709" s="208" t="str">
        <f>vlookup(A709,Price!A:B,2,false)</f>
        <v>#N/A</v>
      </c>
      <c r="C709" s="198"/>
      <c r="D709" s="198"/>
      <c r="E709" s="198"/>
      <c r="F709" s="198"/>
      <c r="G709" s="198"/>
      <c r="H709" s="198"/>
      <c r="I709" s="198"/>
      <c r="J709" s="198"/>
      <c r="K709" s="198"/>
      <c r="L709" s="198"/>
    </row>
    <row r="710">
      <c r="A710" s="198"/>
      <c r="B710" s="208" t="str">
        <f>vlookup(A710,Price!A:B,2,false)</f>
        <v>#N/A</v>
      </c>
      <c r="C710" s="198"/>
      <c r="D710" s="198"/>
      <c r="E710" s="198"/>
      <c r="F710" s="198"/>
      <c r="G710" s="198"/>
      <c r="H710" s="198"/>
      <c r="I710" s="198"/>
      <c r="J710" s="198"/>
      <c r="K710" s="198"/>
      <c r="L710" s="198"/>
    </row>
    <row r="711">
      <c r="A711" s="198"/>
      <c r="B711" s="208" t="str">
        <f>vlookup(A711,Price!A:B,2,false)</f>
        <v>#N/A</v>
      </c>
      <c r="C711" s="198"/>
      <c r="D711" s="198"/>
      <c r="E711" s="198"/>
      <c r="F711" s="198"/>
      <c r="G711" s="198"/>
      <c r="H711" s="198"/>
      <c r="I711" s="198"/>
      <c r="J711" s="198"/>
      <c r="K711" s="198"/>
      <c r="L711" s="198"/>
    </row>
    <row r="712">
      <c r="A712" s="198"/>
      <c r="B712" s="208" t="str">
        <f>vlookup(A712,Price!A:B,2,false)</f>
        <v>#N/A</v>
      </c>
      <c r="C712" s="198"/>
      <c r="D712" s="198"/>
      <c r="E712" s="198"/>
      <c r="F712" s="198"/>
      <c r="G712" s="198"/>
      <c r="H712" s="198"/>
      <c r="I712" s="198"/>
      <c r="J712" s="198"/>
      <c r="K712" s="198"/>
      <c r="L712" s="198"/>
    </row>
    <row r="713">
      <c r="A713" s="198"/>
      <c r="B713" s="208" t="str">
        <f>vlookup(A713,Price!A:B,2,false)</f>
        <v>#N/A</v>
      </c>
      <c r="C713" s="198"/>
      <c r="D713" s="198"/>
      <c r="E713" s="198"/>
      <c r="F713" s="198"/>
      <c r="G713" s="198"/>
      <c r="H713" s="198"/>
      <c r="I713" s="198"/>
      <c r="J713" s="198"/>
      <c r="K713" s="198"/>
      <c r="L713" s="198"/>
    </row>
    <row r="714">
      <c r="A714" s="198"/>
      <c r="B714" s="208" t="str">
        <f>vlookup(A714,Price!A:B,2,false)</f>
        <v>#N/A</v>
      </c>
      <c r="C714" s="198"/>
      <c r="D714" s="198"/>
      <c r="E714" s="198"/>
      <c r="F714" s="198"/>
      <c r="G714" s="198"/>
      <c r="H714" s="198"/>
      <c r="I714" s="198"/>
      <c r="J714" s="198"/>
      <c r="K714" s="198"/>
      <c r="L714" s="198"/>
    </row>
    <row r="715">
      <c r="A715" s="198"/>
      <c r="B715" s="208" t="str">
        <f>vlookup(A715,Price!A:B,2,false)</f>
        <v>#N/A</v>
      </c>
      <c r="C715" s="198"/>
      <c r="D715" s="198"/>
      <c r="E715" s="198"/>
      <c r="F715" s="198"/>
      <c r="G715" s="198"/>
      <c r="H715" s="198"/>
      <c r="I715" s="198"/>
      <c r="J715" s="198"/>
      <c r="K715" s="198"/>
      <c r="L715" s="198"/>
    </row>
    <row r="716">
      <c r="A716" s="198"/>
      <c r="B716" s="208" t="str">
        <f>vlookup(A716,Price!A:B,2,false)</f>
        <v>#N/A</v>
      </c>
      <c r="C716" s="198"/>
      <c r="D716" s="198"/>
      <c r="E716" s="198"/>
      <c r="F716" s="198"/>
      <c r="G716" s="198"/>
      <c r="H716" s="198"/>
      <c r="I716" s="198"/>
      <c r="J716" s="198"/>
      <c r="K716" s="198"/>
      <c r="L716" s="198"/>
    </row>
    <row r="717">
      <c r="A717" s="198"/>
      <c r="B717" s="208" t="str">
        <f>vlookup(A717,Price!A:B,2,false)</f>
        <v>#N/A</v>
      </c>
      <c r="C717" s="198"/>
      <c r="D717" s="198"/>
      <c r="E717" s="198"/>
      <c r="F717" s="198"/>
      <c r="G717" s="198"/>
      <c r="H717" s="198"/>
      <c r="I717" s="198"/>
      <c r="J717" s="198"/>
      <c r="K717" s="198"/>
      <c r="L717" s="198"/>
    </row>
    <row r="718">
      <c r="A718" s="198"/>
      <c r="B718" s="208" t="str">
        <f>vlookup(A718,Price!A:B,2,false)</f>
        <v>#N/A</v>
      </c>
      <c r="C718" s="198"/>
      <c r="D718" s="198"/>
      <c r="E718" s="198"/>
      <c r="F718" s="198"/>
      <c r="G718" s="198"/>
      <c r="H718" s="198"/>
      <c r="I718" s="198"/>
      <c r="J718" s="198"/>
      <c r="K718" s="198"/>
      <c r="L718" s="198"/>
    </row>
    <row r="719">
      <c r="A719" s="198"/>
      <c r="B719" s="208" t="str">
        <f>vlookup(A719,Price!A:B,2,false)</f>
        <v>#N/A</v>
      </c>
      <c r="C719" s="198"/>
      <c r="D719" s="198"/>
      <c r="E719" s="198"/>
      <c r="F719" s="198"/>
      <c r="G719" s="198"/>
      <c r="H719" s="198"/>
      <c r="I719" s="198"/>
      <c r="J719" s="198"/>
      <c r="K719" s="198"/>
      <c r="L719" s="198"/>
    </row>
    <row r="720">
      <c r="A720" s="198"/>
      <c r="B720" s="208" t="str">
        <f>vlookup(A720,Price!A:B,2,false)</f>
        <v>#N/A</v>
      </c>
      <c r="C720" s="198"/>
      <c r="D720" s="198"/>
      <c r="E720" s="198"/>
      <c r="F720" s="198"/>
      <c r="G720" s="198"/>
      <c r="H720" s="198"/>
      <c r="I720" s="198"/>
      <c r="J720" s="198"/>
      <c r="K720" s="198"/>
      <c r="L720" s="198"/>
    </row>
    <row r="721">
      <c r="A721" s="198"/>
      <c r="B721" s="208" t="str">
        <f>vlookup(A721,Price!A:B,2,false)</f>
        <v>#N/A</v>
      </c>
      <c r="C721" s="198"/>
      <c r="D721" s="198"/>
      <c r="E721" s="198"/>
      <c r="F721" s="198"/>
      <c r="G721" s="198"/>
      <c r="H721" s="198"/>
      <c r="I721" s="198"/>
      <c r="J721" s="198"/>
      <c r="K721" s="198"/>
      <c r="L721" s="198"/>
    </row>
    <row r="722">
      <c r="A722" s="198"/>
      <c r="B722" s="208" t="str">
        <f>vlookup(A722,Price!A:B,2,false)</f>
        <v>#N/A</v>
      </c>
      <c r="C722" s="198"/>
      <c r="D722" s="198"/>
      <c r="E722" s="198"/>
      <c r="F722" s="198"/>
      <c r="G722" s="198"/>
      <c r="H722" s="198"/>
      <c r="I722" s="198"/>
      <c r="J722" s="198"/>
      <c r="K722" s="198"/>
      <c r="L722" s="198"/>
    </row>
    <row r="723">
      <c r="A723" s="198"/>
      <c r="B723" s="208" t="str">
        <f>vlookup(A723,Price!A:B,2,false)</f>
        <v>#N/A</v>
      </c>
      <c r="C723" s="198"/>
      <c r="D723" s="198"/>
      <c r="E723" s="198"/>
      <c r="F723" s="198"/>
      <c r="G723" s="198"/>
      <c r="H723" s="198"/>
      <c r="I723" s="198"/>
      <c r="J723" s="198"/>
      <c r="K723" s="198"/>
      <c r="L723" s="198"/>
    </row>
    <row r="724">
      <c r="A724" s="198"/>
      <c r="B724" s="208" t="str">
        <f>vlookup(A724,Price!A:B,2,false)</f>
        <v>#N/A</v>
      </c>
      <c r="C724" s="198"/>
      <c r="D724" s="198"/>
      <c r="E724" s="198"/>
      <c r="F724" s="198"/>
      <c r="G724" s="198"/>
      <c r="H724" s="198"/>
      <c r="I724" s="198"/>
      <c r="J724" s="198"/>
      <c r="K724" s="198"/>
      <c r="L724" s="198"/>
    </row>
    <row r="725">
      <c r="A725" s="198"/>
      <c r="B725" s="208" t="str">
        <f>vlookup(A725,Price!A:B,2,false)</f>
        <v>#N/A</v>
      </c>
      <c r="C725" s="198"/>
      <c r="D725" s="198"/>
      <c r="E725" s="198"/>
      <c r="F725" s="198"/>
      <c r="G725" s="198"/>
      <c r="H725" s="198"/>
      <c r="I725" s="198"/>
      <c r="J725" s="198"/>
      <c r="K725" s="198"/>
      <c r="L725" s="198"/>
    </row>
    <row r="726">
      <c r="A726" s="198"/>
      <c r="B726" s="208" t="str">
        <f>vlookup(A726,Price!A:B,2,false)</f>
        <v>#N/A</v>
      </c>
      <c r="C726" s="198"/>
      <c r="D726" s="198"/>
      <c r="E726" s="198"/>
      <c r="F726" s="198"/>
      <c r="G726" s="198"/>
      <c r="H726" s="198"/>
      <c r="I726" s="198"/>
      <c r="J726" s="198"/>
      <c r="K726" s="198"/>
      <c r="L726" s="198"/>
    </row>
    <row r="727">
      <c r="A727" s="198"/>
      <c r="B727" s="208" t="str">
        <f>vlookup(A727,Price!A:B,2,false)</f>
        <v>#N/A</v>
      </c>
      <c r="C727" s="198"/>
      <c r="D727" s="198"/>
      <c r="E727" s="198"/>
      <c r="F727" s="198"/>
      <c r="G727" s="198"/>
      <c r="H727" s="198"/>
      <c r="I727" s="198"/>
      <c r="J727" s="198"/>
      <c r="K727" s="198"/>
      <c r="L727" s="198"/>
    </row>
    <row r="728">
      <c r="A728" s="198"/>
      <c r="B728" s="208" t="str">
        <f>vlookup(A728,Price!A:B,2,false)</f>
        <v>#N/A</v>
      </c>
      <c r="C728" s="198"/>
      <c r="D728" s="198"/>
      <c r="E728" s="198"/>
      <c r="F728" s="198"/>
      <c r="G728" s="198"/>
      <c r="H728" s="198"/>
      <c r="I728" s="198"/>
      <c r="J728" s="198"/>
      <c r="K728" s="198"/>
      <c r="L728" s="198"/>
    </row>
    <row r="729">
      <c r="A729" s="198"/>
      <c r="B729" s="208" t="str">
        <f>vlookup(A729,Price!A:B,2,false)</f>
        <v>#N/A</v>
      </c>
      <c r="C729" s="198"/>
      <c r="D729" s="198"/>
      <c r="E729" s="198"/>
      <c r="F729" s="198"/>
      <c r="G729" s="198"/>
      <c r="H729" s="198"/>
      <c r="I729" s="198"/>
      <c r="J729" s="198"/>
      <c r="K729" s="198"/>
      <c r="L729" s="198"/>
    </row>
    <row r="730">
      <c r="A730" s="198"/>
      <c r="B730" s="208" t="str">
        <f>vlookup(A730,Price!A:B,2,false)</f>
        <v>#N/A</v>
      </c>
      <c r="C730" s="198"/>
      <c r="D730" s="198"/>
      <c r="E730" s="198"/>
      <c r="F730" s="198"/>
      <c r="G730" s="198"/>
      <c r="H730" s="198"/>
      <c r="I730" s="198"/>
      <c r="J730" s="198"/>
      <c r="K730" s="198"/>
      <c r="L730" s="198"/>
    </row>
    <row r="731">
      <c r="A731" s="198"/>
      <c r="B731" s="208" t="str">
        <f>vlookup(A731,Price!A:B,2,false)</f>
        <v>#N/A</v>
      </c>
      <c r="C731" s="198"/>
      <c r="D731" s="198"/>
      <c r="E731" s="198"/>
      <c r="F731" s="198"/>
      <c r="G731" s="198"/>
      <c r="H731" s="198"/>
      <c r="I731" s="198"/>
      <c r="J731" s="198"/>
      <c r="K731" s="198"/>
      <c r="L731" s="198"/>
    </row>
    <row r="732">
      <c r="A732" s="198"/>
      <c r="B732" s="208" t="str">
        <f>vlookup(A732,Price!A:B,2,false)</f>
        <v>#N/A</v>
      </c>
      <c r="C732" s="198"/>
      <c r="D732" s="198"/>
      <c r="E732" s="198"/>
      <c r="F732" s="198"/>
      <c r="G732" s="198"/>
      <c r="H732" s="198"/>
      <c r="I732" s="198"/>
      <c r="J732" s="198"/>
      <c r="K732" s="198"/>
      <c r="L732" s="198"/>
    </row>
    <row r="733">
      <c r="A733" s="198"/>
      <c r="B733" s="208" t="str">
        <f>vlookup(A733,Price!A:B,2,false)</f>
        <v>#N/A</v>
      </c>
      <c r="C733" s="198"/>
      <c r="D733" s="198"/>
      <c r="E733" s="198"/>
      <c r="F733" s="198"/>
      <c r="G733" s="198"/>
      <c r="H733" s="198"/>
      <c r="I733" s="198"/>
      <c r="J733" s="198"/>
      <c r="K733" s="198"/>
      <c r="L733" s="198"/>
    </row>
    <row r="734">
      <c r="A734" s="198"/>
      <c r="B734" s="208" t="str">
        <f>vlookup(A734,Price!A:B,2,false)</f>
        <v>#N/A</v>
      </c>
      <c r="C734" s="198"/>
      <c r="D734" s="198"/>
      <c r="E734" s="198"/>
      <c r="F734" s="198"/>
      <c r="G734" s="198"/>
      <c r="H734" s="198"/>
      <c r="I734" s="198"/>
      <c r="J734" s="198"/>
      <c r="K734" s="198"/>
      <c r="L734" s="198"/>
    </row>
    <row r="735">
      <c r="A735" s="198"/>
      <c r="B735" s="208" t="str">
        <f>vlookup(A735,Price!A:B,2,false)</f>
        <v>#N/A</v>
      </c>
      <c r="C735" s="198"/>
      <c r="D735" s="198"/>
      <c r="E735" s="198"/>
      <c r="F735" s="198"/>
      <c r="G735" s="198"/>
      <c r="H735" s="198"/>
      <c r="I735" s="198"/>
      <c r="J735" s="198"/>
      <c r="K735" s="198"/>
      <c r="L735" s="198"/>
    </row>
    <row r="736">
      <c r="A736" s="198"/>
      <c r="B736" s="208" t="str">
        <f>vlookup(A736,Price!A:B,2,false)</f>
        <v>#N/A</v>
      </c>
      <c r="C736" s="198"/>
      <c r="D736" s="198"/>
      <c r="E736" s="198"/>
      <c r="F736" s="198"/>
      <c r="G736" s="198"/>
      <c r="H736" s="198"/>
      <c r="I736" s="198"/>
      <c r="J736" s="198"/>
      <c r="K736" s="198"/>
      <c r="L736" s="198"/>
    </row>
    <row r="737">
      <c r="A737" s="198"/>
      <c r="B737" s="208" t="str">
        <f>vlookup(A737,Price!A:B,2,false)</f>
        <v>#N/A</v>
      </c>
      <c r="C737" s="198"/>
      <c r="D737" s="198"/>
      <c r="E737" s="198"/>
      <c r="F737" s="198"/>
      <c r="G737" s="198"/>
      <c r="H737" s="198"/>
      <c r="I737" s="198"/>
      <c r="J737" s="198"/>
      <c r="K737" s="198"/>
      <c r="L737" s="198"/>
    </row>
    <row r="738">
      <c r="A738" s="198"/>
      <c r="B738" s="208" t="str">
        <f>vlookup(A738,Price!A:B,2,false)</f>
        <v>#N/A</v>
      </c>
      <c r="C738" s="198"/>
      <c r="D738" s="198"/>
      <c r="E738" s="198"/>
      <c r="F738" s="198"/>
      <c r="G738" s="198"/>
      <c r="H738" s="198"/>
      <c r="I738" s="198"/>
      <c r="J738" s="198"/>
      <c r="K738" s="198"/>
      <c r="L738" s="198"/>
    </row>
    <row r="739">
      <c r="A739" s="198"/>
      <c r="B739" s="208" t="str">
        <f>vlookup(A739,Price!A:B,2,false)</f>
        <v>#N/A</v>
      </c>
      <c r="C739" s="198"/>
      <c r="D739" s="198"/>
      <c r="E739" s="198"/>
      <c r="F739" s="198"/>
      <c r="G739" s="198"/>
      <c r="H739" s="198"/>
      <c r="I739" s="198"/>
      <c r="J739" s="198"/>
      <c r="K739" s="198"/>
      <c r="L739" s="198"/>
    </row>
    <row r="740">
      <c r="A740" s="198"/>
      <c r="B740" s="208" t="str">
        <f>vlookup(A740,Price!A:B,2,false)</f>
        <v>#N/A</v>
      </c>
      <c r="C740" s="198"/>
      <c r="D740" s="198"/>
      <c r="E740" s="198"/>
      <c r="F740" s="198"/>
      <c r="G740" s="198"/>
      <c r="H740" s="198"/>
      <c r="I740" s="198"/>
      <c r="J740" s="198"/>
      <c r="K740" s="198"/>
      <c r="L740" s="198"/>
    </row>
    <row r="741">
      <c r="A741" s="198"/>
      <c r="B741" s="208" t="str">
        <f>vlookup(A741,Price!A:B,2,false)</f>
        <v>#N/A</v>
      </c>
      <c r="C741" s="198"/>
      <c r="D741" s="198"/>
      <c r="E741" s="198"/>
      <c r="F741" s="198"/>
      <c r="G741" s="198"/>
      <c r="H741" s="198"/>
      <c r="I741" s="198"/>
      <c r="J741" s="198"/>
      <c r="K741" s="198"/>
      <c r="L741" s="198"/>
    </row>
    <row r="742">
      <c r="A742" s="198"/>
      <c r="B742" s="208" t="str">
        <f>vlookup(A742,Price!A:B,2,false)</f>
        <v>#N/A</v>
      </c>
      <c r="C742" s="198"/>
      <c r="D742" s="198"/>
      <c r="E742" s="198"/>
      <c r="F742" s="198"/>
      <c r="G742" s="198"/>
      <c r="H742" s="198"/>
      <c r="I742" s="198"/>
      <c r="J742" s="198"/>
      <c r="K742" s="198"/>
      <c r="L742" s="198"/>
    </row>
    <row r="743">
      <c r="A743" s="198"/>
      <c r="B743" s="208" t="str">
        <f>vlookup(A743,Price!A:B,2,false)</f>
        <v>#N/A</v>
      </c>
      <c r="C743" s="198"/>
      <c r="D743" s="198"/>
      <c r="E743" s="198"/>
      <c r="F743" s="198"/>
      <c r="G743" s="198"/>
      <c r="H743" s="198"/>
      <c r="I743" s="198"/>
      <c r="J743" s="198"/>
      <c r="K743" s="198"/>
      <c r="L743" s="198"/>
    </row>
    <row r="744">
      <c r="A744" s="198"/>
      <c r="B744" s="208" t="str">
        <f>vlookup(A744,Price!A:B,2,false)</f>
        <v>#N/A</v>
      </c>
      <c r="C744" s="198"/>
      <c r="D744" s="198"/>
      <c r="E744" s="198"/>
      <c r="F744" s="198"/>
      <c r="G744" s="198"/>
      <c r="H744" s="198"/>
      <c r="I744" s="198"/>
      <c r="J744" s="198"/>
      <c r="K744" s="198"/>
      <c r="L744" s="198"/>
    </row>
    <row r="745">
      <c r="A745" s="198"/>
      <c r="B745" s="208" t="str">
        <f>vlookup(A745,Price!A:B,2,false)</f>
        <v>#N/A</v>
      </c>
      <c r="C745" s="198"/>
      <c r="D745" s="198"/>
      <c r="E745" s="198"/>
      <c r="F745" s="198"/>
      <c r="G745" s="198"/>
      <c r="H745" s="198"/>
      <c r="I745" s="198"/>
      <c r="J745" s="198"/>
      <c r="K745" s="198"/>
      <c r="L745" s="198"/>
    </row>
    <row r="746">
      <c r="A746" s="198"/>
      <c r="B746" s="208" t="str">
        <f>vlookup(A746,Price!A:B,2,false)</f>
        <v>#N/A</v>
      </c>
      <c r="C746" s="198"/>
      <c r="D746" s="198"/>
      <c r="E746" s="198"/>
      <c r="F746" s="198"/>
      <c r="G746" s="198"/>
      <c r="H746" s="198"/>
      <c r="I746" s="198"/>
      <c r="J746" s="198"/>
      <c r="K746" s="198"/>
      <c r="L746" s="198"/>
    </row>
    <row r="747">
      <c r="A747" s="198"/>
      <c r="B747" s="208" t="str">
        <f>vlookup(A747,Price!A:B,2,false)</f>
        <v>#N/A</v>
      </c>
      <c r="C747" s="198"/>
      <c r="D747" s="198"/>
      <c r="E747" s="198"/>
      <c r="F747" s="198"/>
      <c r="G747" s="198"/>
      <c r="H747" s="198"/>
      <c r="I747" s="198"/>
      <c r="J747" s="198"/>
      <c r="K747" s="198"/>
      <c r="L747" s="198"/>
    </row>
    <row r="748">
      <c r="A748" s="198"/>
      <c r="B748" s="208" t="str">
        <f>vlookup(A748,Price!A:B,2,false)</f>
        <v>#N/A</v>
      </c>
      <c r="C748" s="198"/>
      <c r="D748" s="198"/>
      <c r="E748" s="198"/>
      <c r="F748" s="198"/>
      <c r="G748" s="198"/>
      <c r="H748" s="198"/>
      <c r="I748" s="198"/>
      <c r="J748" s="198"/>
      <c r="K748" s="198"/>
      <c r="L748" s="198"/>
    </row>
    <row r="749">
      <c r="A749" s="198"/>
      <c r="B749" s="208" t="str">
        <f>vlookup(A749,Price!A:B,2,false)</f>
        <v>#N/A</v>
      </c>
      <c r="C749" s="198"/>
      <c r="D749" s="198"/>
      <c r="E749" s="198"/>
      <c r="F749" s="198"/>
      <c r="G749" s="198"/>
      <c r="H749" s="198"/>
      <c r="I749" s="198"/>
      <c r="J749" s="198"/>
      <c r="K749" s="198"/>
      <c r="L749" s="198"/>
    </row>
    <row r="750">
      <c r="A750" s="198"/>
      <c r="B750" s="208" t="str">
        <f>vlookup(A750,Price!A:B,2,false)</f>
        <v>#N/A</v>
      </c>
      <c r="C750" s="198"/>
      <c r="D750" s="198"/>
      <c r="E750" s="198"/>
      <c r="F750" s="198"/>
      <c r="G750" s="198"/>
      <c r="H750" s="198"/>
      <c r="I750" s="198"/>
      <c r="J750" s="198"/>
      <c r="K750" s="198"/>
      <c r="L750" s="198"/>
    </row>
    <row r="751">
      <c r="A751" s="198"/>
      <c r="B751" s="208" t="str">
        <f>vlookup(A751,Price!A:B,2,false)</f>
        <v>#N/A</v>
      </c>
      <c r="C751" s="198"/>
      <c r="D751" s="198"/>
      <c r="E751" s="198"/>
      <c r="F751" s="198"/>
      <c r="G751" s="198"/>
      <c r="H751" s="198"/>
      <c r="I751" s="198"/>
      <c r="J751" s="198"/>
      <c r="K751" s="198"/>
      <c r="L751" s="198"/>
    </row>
    <row r="752">
      <c r="A752" s="198"/>
      <c r="B752" s="208" t="str">
        <f>vlookup(A752,Price!A:B,2,false)</f>
        <v>#N/A</v>
      </c>
      <c r="C752" s="198"/>
      <c r="D752" s="198"/>
      <c r="E752" s="198"/>
      <c r="F752" s="198"/>
      <c r="G752" s="198"/>
      <c r="H752" s="198"/>
      <c r="I752" s="198"/>
      <c r="J752" s="198"/>
      <c r="K752" s="198"/>
      <c r="L752" s="198"/>
    </row>
    <row r="753">
      <c r="A753" s="198"/>
      <c r="B753" s="208" t="str">
        <f>vlookup(A753,Price!A:B,2,false)</f>
        <v>#N/A</v>
      </c>
      <c r="C753" s="198"/>
      <c r="D753" s="198"/>
      <c r="E753" s="198"/>
      <c r="F753" s="198"/>
      <c r="G753" s="198"/>
      <c r="H753" s="198"/>
      <c r="I753" s="198"/>
      <c r="J753" s="198"/>
      <c r="K753" s="198"/>
      <c r="L753" s="198"/>
    </row>
    <row r="754">
      <c r="A754" s="198"/>
      <c r="B754" s="208" t="str">
        <f>vlookup(A754,Price!A:B,2,false)</f>
        <v>#N/A</v>
      </c>
      <c r="C754" s="198"/>
      <c r="D754" s="198"/>
      <c r="E754" s="198"/>
      <c r="F754" s="198"/>
      <c r="G754" s="198"/>
      <c r="H754" s="198"/>
      <c r="I754" s="198"/>
      <c r="J754" s="198"/>
      <c r="K754" s="198"/>
      <c r="L754" s="198"/>
    </row>
    <row r="755">
      <c r="A755" s="198"/>
      <c r="B755" s="208" t="str">
        <f>vlookup(A755,Price!A:B,2,false)</f>
        <v>#N/A</v>
      </c>
      <c r="C755" s="198"/>
      <c r="D755" s="198"/>
      <c r="E755" s="198"/>
      <c r="F755" s="198"/>
      <c r="G755" s="198"/>
      <c r="H755" s="198"/>
      <c r="I755" s="198"/>
      <c r="J755" s="198"/>
      <c r="K755" s="198"/>
      <c r="L755" s="198"/>
    </row>
    <row r="756">
      <c r="A756" s="198"/>
      <c r="B756" s="208" t="str">
        <f>vlookup(A756,Price!A:B,2,false)</f>
        <v>#N/A</v>
      </c>
      <c r="C756" s="198"/>
      <c r="D756" s="198"/>
      <c r="E756" s="198"/>
      <c r="F756" s="198"/>
      <c r="G756" s="198"/>
      <c r="H756" s="198"/>
      <c r="I756" s="198"/>
      <c r="J756" s="198"/>
      <c r="K756" s="198"/>
      <c r="L756" s="198"/>
    </row>
    <row r="757">
      <c r="A757" s="198"/>
      <c r="B757" s="208" t="str">
        <f>vlookup(A757,Price!A:B,2,false)</f>
        <v>#N/A</v>
      </c>
      <c r="C757" s="198"/>
      <c r="D757" s="198"/>
      <c r="E757" s="198"/>
      <c r="F757" s="198"/>
      <c r="G757" s="198"/>
      <c r="H757" s="198"/>
      <c r="I757" s="198"/>
      <c r="J757" s="198"/>
      <c r="K757" s="198"/>
      <c r="L757" s="198"/>
    </row>
    <row r="758">
      <c r="A758" s="198"/>
      <c r="B758" s="208" t="str">
        <f>vlookup(A758,Price!A:B,2,false)</f>
        <v>#N/A</v>
      </c>
      <c r="C758" s="198"/>
      <c r="D758" s="198"/>
      <c r="E758" s="198"/>
      <c r="F758" s="198"/>
      <c r="G758" s="198"/>
      <c r="H758" s="198"/>
      <c r="I758" s="198"/>
      <c r="J758" s="198"/>
      <c r="K758" s="198"/>
      <c r="L758" s="198"/>
    </row>
    <row r="759">
      <c r="A759" s="198"/>
      <c r="B759" s="208" t="str">
        <f>vlookup(A759,Price!A:B,2,false)</f>
        <v>#N/A</v>
      </c>
      <c r="C759" s="198"/>
      <c r="D759" s="198"/>
      <c r="E759" s="198"/>
      <c r="F759" s="198"/>
      <c r="G759" s="198"/>
      <c r="H759" s="198"/>
      <c r="I759" s="198"/>
      <c r="J759" s="198"/>
      <c r="K759" s="198"/>
      <c r="L759" s="198"/>
    </row>
    <row r="760">
      <c r="A760" s="198"/>
      <c r="B760" s="208" t="str">
        <f>vlookup(A760,Price!A:B,2,false)</f>
        <v>#N/A</v>
      </c>
      <c r="C760" s="198"/>
      <c r="D760" s="198"/>
      <c r="E760" s="198"/>
      <c r="F760" s="198"/>
      <c r="G760" s="198"/>
      <c r="H760" s="198"/>
      <c r="I760" s="198"/>
      <c r="J760" s="198"/>
      <c r="K760" s="198"/>
      <c r="L760" s="198"/>
    </row>
    <row r="761">
      <c r="A761" s="198"/>
      <c r="B761" s="208" t="str">
        <f>vlookup(A761,Price!A:B,2,false)</f>
        <v>#N/A</v>
      </c>
      <c r="C761" s="198"/>
      <c r="D761" s="198"/>
      <c r="E761" s="198"/>
      <c r="F761" s="198"/>
      <c r="G761" s="198"/>
      <c r="H761" s="198"/>
      <c r="I761" s="198"/>
      <c r="J761" s="198"/>
      <c r="K761" s="198"/>
      <c r="L761" s="198"/>
    </row>
    <row r="762">
      <c r="A762" s="198"/>
      <c r="B762" s="208" t="str">
        <f>vlookup(A762,Price!A:B,2,false)</f>
        <v>#N/A</v>
      </c>
      <c r="C762" s="198"/>
      <c r="D762" s="198"/>
      <c r="E762" s="198"/>
      <c r="F762" s="198"/>
      <c r="G762" s="198"/>
      <c r="H762" s="198"/>
      <c r="I762" s="198"/>
      <c r="J762" s="198"/>
      <c r="K762" s="198"/>
      <c r="L762" s="198"/>
    </row>
    <row r="763">
      <c r="A763" s="198"/>
      <c r="B763" s="208" t="str">
        <f>vlookup(A763,Price!A:B,2,false)</f>
        <v>#N/A</v>
      </c>
      <c r="C763" s="198"/>
      <c r="D763" s="198"/>
      <c r="E763" s="198"/>
      <c r="F763" s="198"/>
      <c r="G763" s="198"/>
      <c r="H763" s="198"/>
      <c r="I763" s="198"/>
      <c r="J763" s="198"/>
      <c r="K763" s="198"/>
      <c r="L763" s="198"/>
    </row>
    <row r="764">
      <c r="A764" s="198"/>
      <c r="B764" s="208" t="str">
        <f>vlookup(A764,Price!A:B,2,false)</f>
        <v>#N/A</v>
      </c>
      <c r="C764" s="198"/>
      <c r="D764" s="198"/>
      <c r="E764" s="198"/>
      <c r="F764" s="198"/>
      <c r="G764" s="198"/>
      <c r="H764" s="198"/>
      <c r="I764" s="198"/>
      <c r="J764" s="198"/>
      <c r="K764" s="198"/>
      <c r="L764" s="198"/>
    </row>
    <row r="765">
      <c r="A765" s="198"/>
      <c r="B765" s="208" t="str">
        <f>vlookup(A765,Price!A:B,2,false)</f>
        <v>#N/A</v>
      </c>
      <c r="C765" s="198"/>
      <c r="D765" s="198"/>
      <c r="E765" s="198"/>
      <c r="F765" s="198"/>
      <c r="G765" s="198"/>
      <c r="H765" s="198"/>
      <c r="I765" s="198"/>
      <c r="J765" s="198"/>
      <c r="K765" s="198"/>
      <c r="L765" s="198"/>
    </row>
    <row r="766">
      <c r="A766" s="198"/>
      <c r="B766" s="208" t="str">
        <f>vlookup(A766,Price!A:B,2,false)</f>
        <v>#N/A</v>
      </c>
      <c r="C766" s="198"/>
      <c r="D766" s="198"/>
      <c r="E766" s="198"/>
      <c r="F766" s="198"/>
      <c r="G766" s="198"/>
      <c r="H766" s="198"/>
      <c r="I766" s="198"/>
      <c r="J766" s="198"/>
      <c r="K766" s="198"/>
      <c r="L766" s="198"/>
    </row>
    <row r="767">
      <c r="A767" s="198"/>
      <c r="B767" s="208" t="str">
        <f>vlookup(A767,Price!A:B,2,false)</f>
        <v>#N/A</v>
      </c>
      <c r="C767" s="198"/>
      <c r="D767" s="198"/>
      <c r="E767" s="198"/>
      <c r="F767" s="198"/>
      <c r="G767" s="198"/>
      <c r="H767" s="198"/>
      <c r="I767" s="198"/>
      <c r="J767" s="198"/>
      <c r="K767" s="198"/>
      <c r="L767" s="198"/>
    </row>
    <row r="768">
      <c r="A768" s="198"/>
      <c r="B768" s="208" t="str">
        <f>vlookup(A768,Price!A:B,2,false)</f>
        <v>#N/A</v>
      </c>
      <c r="C768" s="198"/>
      <c r="D768" s="198"/>
      <c r="E768" s="198"/>
      <c r="F768" s="198"/>
      <c r="G768" s="198"/>
      <c r="H768" s="198"/>
      <c r="I768" s="198"/>
      <c r="J768" s="198"/>
      <c r="K768" s="198"/>
      <c r="L768" s="198"/>
    </row>
    <row r="769">
      <c r="A769" s="198"/>
      <c r="B769" s="208" t="str">
        <f>vlookup(A769,Price!A:B,2,false)</f>
        <v>#N/A</v>
      </c>
      <c r="C769" s="198"/>
      <c r="D769" s="198"/>
      <c r="E769" s="198"/>
      <c r="F769" s="198"/>
      <c r="G769" s="198"/>
      <c r="H769" s="198"/>
      <c r="I769" s="198"/>
      <c r="J769" s="198"/>
      <c r="K769" s="198"/>
      <c r="L769" s="198"/>
    </row>
    <row r="770">
      <c r="A770" s="198"/>
      <c r="B770" s="208" t="str">
        <f>vlookup(A770,Price!A:B,2,false)</f>
        <v>#N/A</v>
      </c>
      <c r="C770" s="198"/>
      <c r="D770" s="198"/>
      <c r="E770" s="198"/>
      <c r="F770" s="198"/>
      <c r="G770" s="198"/>
      <c r="H770" s="198"/>
      <c r="I770" s="198"/>
      <c r="J770" s="198"/>
      <c r="K770" s="198"/>
      <c r="L770" s="198"/>
    </row>
    <row r="771">
      <c r="A771" s="198"/>
      <c r="B771" s="208" t="str">
        <f>vlookup(A771,Price!A:B,2,false)</f>
        <v>#N/A</v>
      </c>
      <c r="C771" s="198"/>
      <c r="D771" s="198"/>
      <c r="E771" s="198"/>
      <c r="F771" s="198"/>
      <c r="G771" s="198"/>
      <c r="H771" s="198"/>
      <c r="I771" s="198"/>
      <c r="J771" s="198"/>
      <c r="K771" s="198"/>
      <c r="L771" s="198"/>
    </row>
    <row r="772">
      <c r="A772" s="198"/>
      <c r="B772" s="208" t="str">
        <f>vlookup(A772,Price!A:B,2,false)</f>
        <v>#N/A</v>
      </c>
      <c r="C772" s="198"/>
      <c r="D772" s="198"/>
      <c r="E772" s="198"/>
      <c r="F772" s="198"/>
      <c r="G772" s="198"/>
      <c r="H772" s="198"/>
      <c r="I772" s="198"/>
      <c r="J772" s="198"/>
      <c r="K772" s="198"/>
      <c r="L772" s="198"/>
    </row>
    <row r="773">
      <c r="A773" s="198"/>
      <c r="B773" s="208" t="str">
        <f>vlookup(A773,Price!A:B,2,false)</f>
        <v>#N/A</v>
      </c>
      <c r="C773" s="198"/>
      <c r="D773" s="198"/>
      <c r="E773" s="198"/>
      <c r="F773" s="198"/>
      <c r="G773" s="198"/>
      <c r="H773" s="198"/>
      <c r="I773" s="198"/>
      <c r="J773" s="198"/>
      <c r="K773" s="198"/>
      <c r="L773" s="198"/>
    </row>
    <row r="774">
      <c r="A774" s="198"/>
      <c r="B774" s="208" t="str">
        <f>vlookup(A774,Price!A:B,2,false)</f>
        <v>#N/A</v>
      </c>
      <c r="C774" s="198"/>
      <c r="D774" s="198"/>
      <c r="E774" s="198"/>
      <c r="F774" s="198"/>
      <c r="G774" s="198"/>
      <c r="H774" s="198"/>
      <c r="I774" s="198"/>
      <c r="J774" s="198"/>
      <c r="K774" s="198"/>
      <c r="L774" s="198"/>
    </row>
    <row r="775">
      <c r="A775" s="198"/>
      <c r="B775" s="208" t="str">
        <f>vlookup(A775,Price!A:B,2,false)</f>
        <v>#N/A</v>
      </c>
      <c r="C775" s="198"/>
      <c r="D775" s="198"/>
      <c r="E775" s="198"/>
      <c r="F775" s="198"/>
      <c r="G775" s="198"/>
      <c r="H775" s="198"/>
      <c r="I775" s="198"/>
      <c r="J775" s="198"/>
      <c r="K775" s="198"/>
      <c r="L775" s="198"/>
    </row>
    <row r="776">
      <c r="A776" s="198"/>
      <c r="B776" s="208" t="str">
        <f>vlookup(A776,Price!A:B,2,false)</f>
        <v>#N/A</v>
      </c>
      <c r="C776" s="198"/>
      <c r="D776" s="198"/>
      <c r="E776" s="198"/>
      <c r="F776" s="198"/>
      <c r="G776" s="198"/>
      <c r="H776" s="198"/>
      <c r="I776" s="198"/>
      <c r="J776" s="198"/>
      <c r="K776" s="198"/>
      <c r="L776" s="198"/>
    </row>
    <row r="777">
      <c r="A777" s="198"/>
      <c r="B777" s="208" t="str">
        <f>vlookup(A777,Price!A:B,2,false)</f>
        <v>#N/A</v>
      </c>
      <c r="C777" s="198"/>
      <c r="D777" s="198"/>
      <c r="E777" s="198"/>
      <c r="F777" s="198"/>
      <c r="G777" s="198"/>
      <c r="H777" s="198"/>
      <c r="I777" s="198"/>
      <c r="J777" s="198"/>
      <c r="K777" s="198"/>
      <c r="L777" s="198"/>
    </row>
    <row r="778">
      <c r="A778" s="198"/>
      <c r="B778" s="208" t="str">
        <f>vlookup(A778,Price!A:B,2,false)</f>
        <v>#N/A</v>
      </c>
      <c r="C778" s="198"/>
      <c r="D778" s="198"/>
      <c r="E778" s="198"/>
      <c r="F778" s="198"/>
      <c r="G778" s="198"/>
      <c r="H778" s="198"/>
      <c r="I778" s="198"/>
      <c r="J778" s="198"/>
      <c r="K778" s="198"/>
      <c r="L778" s="198"/>
    </row>
    <row r="779">
      <c r="A779" s="198"/>
      <c r="B779" s="208" t="str">
        <f>vlookup(A779,Price!A:B,2,false)</f>
        <v>#N/A</v>
      </c>
      <c r="C779" s="198"/>
      <c r="D779" s="198"/>
      <c r="E779" s="198"/>
      <c r="F779" s="198"/>
      <c r="G779" s="198"/>
      <c r="H779" s="198"/>
      <c r="I779" s="198"/>
      <c r="J779" s="198"/>
      <c r="K779" s="198"/>
      <c r="L779" s="198"/>
    </row>
    <row r="780">
      <c r="A780" s="198"/>
      <c r="B780" s="208" t="str">
        <f>vlookup(A780,Price!A:B,2,false)</f>
        <v>#N/A</v>
      </c>
      <c r="C780" s="198"/>
      <c r="D780" s="198"/>
      <c r="E780" s="198"/>
      <c r="F780" s="198"/>
      <c r="G780" s="198"/>
      <c r="H780" s="198"/>
      <c r="I780" s="198"/>
      <c r="J780" s="198"/>
      <c r="K780" s="198"/>
      <c r="L780" s="198"/>
    </row>
    <row r="781">
      <c r="A781" s="198"/>
      <c r="B781" s="208" t="str">
        <f>vlookup(A781,Price!A:B,2,false)</f>
        <v>#N/A</v>
      </c>
      <c r="C781" s="198"/>
      <c r="D781" s="198"/>
      <c r="E781" s="198"/>
      <c r="F781" s="198"/>
      <c r="G781" s="198"/>
      <c r="H781" s="198"/>
      <c r="I781" s="198"/>
      <c r="J781" s="198"/>
      <c r="K781" s="198"/>
      <c r="L781" s="198"/>
    </row>
    <row r="782">
      <c r="A782" s="198"/>
      <c r="B782" s="208" t="str">
        <f>vlookup(A782,Price!A:B,2,false)</f>
        <v>#N/A</v>
      </c>
      <c r="C782" s="198"/>
      <c r="D782" s="198"/>
      <c r="E782" s="198"/>
      <c r="F782" s="198"/>
      <c r="G782" s="198"/>
      <c r="H782" s="198"/>
      <c r="I782" s="198"/>
      <c r="J782" s="198"/>
      <c r="K782" s="198"/>
      <c r="L782" s="198"/>
    </row>
    <row r="783">
      <c r="A783" s="198"/>
      <c r="B783" s="208" t="str">
        <f>vlookup(A783,Price!A:B,2,false)</f>
        <v>#N/A</v>
      </c>
      <c r="C783" s="198"/>
      <c r="D783" s="198"/>
      <c r="E783" s="198"/>
      <c r="F783" s="198"/>
      <c r="G783" s="198"/>
      <c r="H783" s="198"/>
      <c r="I783" s="198"/>
      <c r="J783" s="198"/>
      <c r="K783" s="198"/>
      <c r="L783" s="198"/>
    </row>
    <row r="784">
      <c r="A784" s="198"/>
      <c r="B784" s="208" t="str">
        <f>vlookup(A784,Price!A:B,2,false)</f>
        <v>#N/A</v>
      </c>
      <c r="C784" s="198"/>
      <c r="D784" s="198"/>
      <c r="E784" s="198"/>
      <c r="F784" s="198"/>
      <c r="G784" s="198"/>
      <c r="H784" s="198"/>
      <c r="I784" s="198"/>
      <c r="J784" s="198"/>
      <c r="K784" s="198"/>
      <c r="L784" s="198"/>
    </row>
    <row r="785">
      <c r="A785" s="198"/>
      <c r="B785" s="208" t="str">
        <f>vlookup(A785,Price!A:B,2,false)</f>
        <v>#N/A</v>
      </c>
      <c r="C785" s="198"/>
      <c r="D785" s="198"/>
      <c r="E785" s="198"/>
      <c r="F785" s="198"/>
      <c r="G785" s="198"/>
      <c r="H785" s="198"/>
      <c r="I785" s="198"/>
      <c r="J785" s="198"/>
      <c r="K785" s="198"/>
      <c r="L785" s="198"/>
    </row>
    <row r="786">
      <c r="A786" s="198"/>
      <c r="B786" s="208" t="str">
        <f>vlookup(A786,Price!A:B,2,false)</f>
        <v>#N/A</v>
      </c>
      <c r="C786" s="198"/>
      <c r="D786" s="198"/>
      <c r="E786" s="198"/>
      <c r="F786" s="198"/>
      <c r="G786" s="198"/>
      <c r="H786" s="198"/>
      <c r="I786" s="198"/>
      <c r="J786" s="198"/>
      <c r="K786" s="198"/>
      <c r="L786" s="198"/>
    </row>
    <row r="787">
      <c r="A787" s="198"/>
      <c r="B787" s="208" t="str">
        <f>vlookup(A787,Price!A:B,2,false)</f>
        <v>#N/A</v>
      </c>
      <c r="C787" s="198"/>
      <c r="D787" s="198"/>
      <c r="E787" s="198"/>
      <c r="F787" s="198"/>
      <c r="G787" s="198"/>
      <c r="H787" s="198"/>
      <c r="I787" s="198"/>
      <c r="J787" s="198"/>
      <c r="K787" s="198"/>
      <c r="L787" s="198"/>
    </row>
    <row r="788">
      <c r="A788" s="198"/>
      <c r="B788" s="208" t="str">
        <f>vlookup(A788,Price!A:B,2,false)</f>
        <v>#N/A</v>
      </c>
      <c r="C788" s="198"/>
      <c r="D788" s="198"/>
      <c r="E788" s="198"/>
      <c r="F788" s="198"/>
      <c r="G788" s="198"/>
      <c r="H788" s="198"/>
      <c r="I788" s="198"/>
      <c r="J788" s="198"/>
      <c r="K788" s="198"/>
      <c r="L788" s="198"/>
    </row>
    <row r="789">
      <c r="A789" s="198"/>
      <c r="B789" s="208" t="str">
        <f>vlookup(A789,Price!A:B,2,false)</f>
        <v>#N/A</v>
      </c>
      <c r="C789" s="198"/>
      <c r="D789" s="198"/>
      <c r="E789" s="198"/>
      <c r="F789" s="198"/>
      <c r="G789" s="198"/>
      <c r="H789" s="198"/>
      <c r="I789" s="198"/>
      <c r="J789" s="198"/>
      <c r="K789" s="198"/>
      <c r="L789" s="198"/>
    </row>
    <row r="790">
      <c r="A790" s="198"/>
      <c r="B790" s="208" t="str">
        <f>vlookup(A790,Price!A:B,2,false)</f>
        <v>#N/A</v>
      </c>
      <c r="C790" s="198"/>
      <c r="D790" s="198"/>
      <c r="E790" s="198"/>
      <c r="F790" s="198"/>
      <c r="G790" s="198"/>
      <c r="H790" s="198"/>
      <c r="I790" s="198"/>
      <c r="J790" s="198"/>
      <c r="K790" s="198"/>
      <c r="L790" s="198"/>
    </row>
    <row r="791">
      <c r="A791" s="198"/>
      <c r="B791" s="208" t="str">
        <f>vlookup(A791,Price!A:B,2,false)</f>
        <v>#N/A</v>
      </c>
      <c r="C791" s="198"/>
      <c r="D791" s="198"/>
      <c r="E791" s="198"/>
      <c r="F791" s="198"/>
      <c r="G791" s="198"/>
      <c r="H791" s="198"/>
      <c r="I791" s="198"/>
      <c r="J791" s="198"/>
      <c r="K791" s="198"/>
      <c r="L791" s="198"/>
    </row>
    <row r="792">
      <c r="A792" s="198"/>
      <c r="B792" s="208" t="str">
        <f>vlookup(A792,Price!A:B,2,false)</f>
        <v>#N/A</v>
      </c>
      <c r="C792" s="198"/>
      <c r="D792" s="198"/>
      <c r="E792" s="198"/>
      <c r="F792" s="198"/>
      <c r="G792" s="198"/>
      <c r="H792" s="198"/>
      <c r="I792" s="198"/>
      <c r="J792" s="198"/>
      <c r="K792" s="198"/>
      <c r="L792" s="198"/>
    </row>
    <row r="793">
      <c r="A793" s="198"/>
      <c r="B793" s="208" t="str">
        <f>vlookup(A793,Price!A:B,2,false)</f>
        <v>#N/A</v>
      </c>
      <c r="C793" s="198"/>
      <c r="D793" s="198"/>
      <c r="E793" s="198"/>
      <c r="F793" s="198"/>
      <c r="G793" s="198"/>
      <c r="H793" s="198"/>
      <c r="I793" s="198"/>
      <c r="J793" s="198"/>
      <c r="K793" s="198"/>
      <c r="L793" s="198"/>
    </row>
    <row r="794">
      <c r="A794" s="198"/>
      <c r="B794" s="208" t="str">
        <f>vlookup(A794,Price!A:B,2,false)</f>
        <v>#N/A</v>
      </c>
      <c r="C794" s="198"/>
      <c r="D794" s="198"/>
      <c r="E794" s="198"/>
      <c r="F794" s="198"/>
      <c r="G794" s="198"/>
      <c r="H794" s="198"/>
      <c r="I794" s="198"/>
      <c r="J794" s="198"/>
      <c r="K794" s="198"/>
      <c r="L794" s="198"/>
    </row>
    <row r="795">
      <c r="A795" s="198"/>
      <c r="B795" s="208" t="str">
        <f>vlookup(A795,Price!A:B,2,false)</f>
        <v>#N/A</v>
      </c>
      <c r="C795" s="198"/>
      <c r="D795" s="198"/>
      <c r="E795" s="198"/>
      <c r="F795" s="198"/>
      <c r="G795" s="198"/>
      <c r="H795" s="198"/>
      <c r="I795" s="198"/>
      <c r="J795" s="198"/>
      <c r="K795" s="198"/>
      <c r="L795" s="198"/>
    </row>
    <row r="796">
      <c r="A796" s="198"/>
      <c r="B796" s="208" t="str">
        <f>vlookup(A796,Price!A:B,2,false)</f>
        <v>#N/A</v>
      </c>
      <c r="C796" s="198"/>
      <c r="D796" s="198"/>
      <c r="E796" s="198"/>
      <c r="F796" s="198"/>
      <c r="G796" s="198"/>
      <c r="H796" s="198"/>
      <c r="I796" s="198"/>
      <c r="J796" s="198"/>
      <c r="K796" s="198"/>
      <c r="L796" s="198"/>
    </row>
    <row r="797">
      <c r="A797" s="198"/>
      <c r="B797" s="208" t="str">
        <f>vlookup(A797,Price!A:B,2,false)</f>
        <v>#N/A</v>
      </c>
      <c r="C797" s="198"/>
      <c r="D797" s="198"/>
      <c r="E797" s="198"/>
      <c r="F797" s="198"/>
      <c r="G797" s="198"/>
      <c r="H797" s="198"/>
      <c r="I797" s="198"/>
      <c r="J797" s="198"/>
      <c r="K797" s="198"/>
      <c r="L797" s="198"/>
    </row>
    <row r="798">
      <c r="A798" s="198"/>
      <c r="B798" s="208" t="str">
        <f>vlookup(A798,Price!A:B,2,false)</f>
        <v>#N/A</v>
      </c>
      <c r="C798" s="198"/>
      <c r="D798" s="198"/>
      <c r="E798" s="198"/>
      <c r="F798" s="198"/>
      <c r="G798" s="198"/>
      <c r="H798" s="198"/>
      <c r="I798" s="198"/>
      <c r="J798" s="198"/>
      <c r="K798" s="198"/>
      <c r="L798" s="198"/>
    </row>
    <row r="799">
      <c r="A799" s="198"/>
      <c r="B799" s="208" t="str">
        <f>vlookup(A799,Price!A:B,2,false)</f>
        <v>#N/A</v>
      </c>
      <c r="C799" s="198"/>
      <c r="D799" s="198"/>
      <c r="E799" s="198"/>
      <c r="F799" s="198"/>
      <c r="G799" s="198"/>
      <c r="H799" s="198"/>
      <c r="I799" s="198"/>
      <c r="J799" s="198"/>
      <c r="K799" s="198"/>
      <c r="L799" s="198"/>
    </row>
    <row r="800">
      <c r="A800" s="198"/>
      <c r="B800" s="208" t="str">
        <f>vlookup(A800,Price!A:B,2,false)</f>
        <v>#N/A</v>
      </c>
      <c r="C800" s="198"/>
      <c r="D800" s="198"/>
      <c r="E800" s="198"/>
      <c r="F800" s="198"/>
      <c r="G800" s="198"/>
      <c r="H800" s="198"/>
      <c r="I800" s="198"/>
      <c r="J800" s="198"/>
      <c r="K800" s="198"/>
      <c r="L800" s="198"/>
    </row>
    <row r="801">
      <c r="A801" s="198"/>
      <c r="B801" s="208" t="str">
        <f>vlookup(A801,Price!A:B,2,false)</f>
        <v>#N/A</v>
      </c>
      <c r="C801" s="198"/>
      <c r="D801" s="198"/>
      <c r="E801" s="198"/>
      <c r="F801" s="198"/>
      <c r="G801" s="198"/>
      <c r="H801" s="198"/>
      <c r="I801" s="198"/>
      <c r="J801" s="198"/>
      <c r="K801" s="198"/>
      <c r="L801" s="198"/>
    </row>
    <row r="802">
      <c r="A802" s="198"/>
      <c r="B802" s="208" t="str">
        <f>vlookup(A802,Price!A:B,2,false)</f>
        <v>#N/A</v>
      </c>
      <c r="C802" s="198"/>
      <c r="D802" s="198"/>
      <c r="E802" s="198"/>
      <c r="F802" s="198"/>
      <c r="G802" s="198"/>
      <c r="H802" s="198"/>
      <c r="I802" s="198"/>
      <c r="J802" s="198"/>
      <c r="K802" s="198"/>
      <c r="L802" s="198"/>
    </row>
    <row r="803">
      <c r="A803" s="198"/>
      <c r="B803" s="208" t="str">
        <f>vlookup(A803,Price!A:B,2,false)</f>
        <v>#N/A</v>
      </c>
      <c r="C803" s="198"/>
      <c r="D803" s="198"/>
      <c r="E803" s="198"/>
      <c r="F803" s="198"/>
      <c r="G803" s="198"/>
      <c r="H803" s="198"/>
      <c r="I803" s="198"/>
      <c r="J803" s="198"/>
      <c r="K803" s="198"/>
      <c r="L803" s="198"/>
    </row>
    <row r="804">
      <c r="A804" s="198"/>
      <c r="B804" s="208" t="str">
        <f>vlookup(A804,Price!A:B,2,false)</f>
        <v>#N/A</v>
      </c>
      <c r="C804" s="198"/>
      <c r="D804" s="198"/>
      <c r="E804" s="198"/>
      <c r="F804" s="198"/>
      <c r="G804" s="198"/>
      <c r="H804" s="198"/>
      <c r="I804" s="198"/>
      <c r="J804" s="198"/>
      <c r="K804" s="198"/>
      <c r="L804" s="198"/>
    </row>
    <row r="805">
      <c r="A805" s="198"/>
      <c r="B805" s="208" t="str">
        <f>vlookup(A805,Price!A:B,2,false)</f>
        <v>#N/A</v>
      </c>
      <c r="C805" s="198"/>
      <c r="D805" s="198"/>
      <c r="E805" s="198"/>
      <c r="F805" s="198"/>
      <c r="G805" s="198"/>
      <c r="H805" s="198"/>
      <c r="I805" s="198"/>
      <c r="J805" s="198"/>
      <c r="K805" s="198"/>
      <c r="L805" s="198"/>
    </row>
    <row r="806">
      <c r="A806" s="198"/>
      <c r="B806" s="208" t="str">
        <f>vlookup(A806,Price!A:B,2,false)</f>
        <v>#N/A</v>
      </c>
      <c r="C806" s="198"/>
      <c r="D806" s="198"/>
      <c r="E806" s="198"/>
      <c r="F806" s="198"/>
      <c r="G806" s="198"/>
      <c r="H806" s="198"/>
      <c r="I806" s="198"/>
      <c r="J806" s="198"/>
      <c r="K806" s="198"/>
      <c r="L806" s="198"/>
    </row>
    <row r="807">
      <c r="A807" s="198"/>
      <c r="B807" s="208" t="str">
        <f>vlookup(A807,Price!A:B,2,false)</f>
        <v>#N/A</v>
      </c>
      <c r="C807" s="198"/>
      <c r="D807" s="198"/>
      <c r="E807" s="198"/>
      <c r="F807" s="198"/>
      <c r="G807" s="198"/>
      <c r="H807" s="198"/>
      <c r="I807" s="198"/>
      <c r="J807" s="198"/>
      <c r="K807" s="198"/>
      <c r="L807" s="198"/>
    </row>
    <row r="808">
      <c r="A808" s="198"/>
      <c r="B808" s="208" t="str">
        <f>vlookup(A808,Price!A:B,2,false)</f>
        <v>#N/A</v>
      </c>
      <c r="C808" s="198"/>
      <c r="D808" s="198"/>
      <c r="E808" s="198"/>
      <c r="F808" s="198"/>
      <c r="G808" s="198"/>
      <c r="H808" s="198"/>
      <c r="I808" s="198"/>
      <c r="J808" s="198"/>
      <c r="K808" s="198"/>
      <c r="L808" s="198"/>
    </row>
    <row r="809">
      <c r="A809" s="198"/>
      <c r="B809" s="208" t="str">
        <f>vlookup(A809,Price!A:B,2,false)</f>
        <v>#N/A</v>
      </c>
      <c r="C809" s="198"/>
      <c r="D809" s="198"/>
      <c r="E809" s="198"/>
      <c r="F809" s="198"/>
      <c r="G809" s="198"/>
      <c r="H809" s="198"/>
      <c r="I809" s="198"/>
      <c r="J809" s="198"/>
      <c r="K809" s="198"/>
      <c r="L809" s="198"/>
    </row>
    <row r="810">
      <c r="A810" s="198"/>
      <c r="B810" s="208" t="str">
        <f>vlookup(A810,Price!A:B,2,false)</f>
        <v>#N/A</v>
      </c>
      <c r="C810" s="198"/>
      <c r="D810" s="198"/>
      <c r="E810" s="198"/>
      <c r="F810" s="198"/>
      <c r="G810" s="198"/>
      <c r="H810" s="198"/>
      <c r="I810" s="198"/>
      <c r="J810" s="198"/>
      <c r="K810" s="198"/>
      <c r="L810" s="198"/>
    </row>
    <row r="811">
      <c r="A811" s="198"/>
      <c r="B811" s="208" t="str">
        <f>vlookup(A811,Price!A:B,2,false)</f>
        <v>#N/A</v>
      </c>
      <c r="C811" s="198"/>
      <c r="D811" s="198"/>
      <c r="E811" s="198"/>
      <c r="F811" s="198"/>
      <c r="G811" s="198"/>
      <c r="H811" s="198"/>
      <c r="I811" s="198"/>
      <c r="J811" s="198"/>
      <c r="K811" s="198"/>
      <c r="L811" s="198"/>
    </row>
    <row r="812">
      <c r="A812" s="198"/>
      <c r="B812" s="208" t="str">
        <f>vlookup(A812,Price!A:B,2,false)</f>
        <v>#N/A</v>
      </c>
      <c r="C812" s="198"/>
      <c r="D812" s="198"/>
      <c r="E812" s="198"/>
      <c r="F812" s="198"/>
      <c r="G812" s="198"/>
      <c r="H812" s="198"/>
      <c r="I812" s="198"/>
      <c r="J812" s="198"/>
      <c r="K812" s="198"/>
      <c r="L812" s="198"/>
    </row>
    <row r="813">
      <c r="A813" s="198"/>
      <c r="B813" s="208" t="str">
        <f>vlookup(A813,Price!A:B,2,false)</f>
        <v>#N/A</v>
      </c>
      <c r="C813" s="198"/>
      <c r="D813" s="198"/>
      <c r="E813" s="198"/>
      <c r="F813" s="198"/>
      <c r="G813" s="198"/>
      <c r="H813" s="198"/>
      <c r="I813" s="198"/>
      <c r="J813" s="198"/>
      <c r="K813" s="198"/>
      <c r="L813" s="198"/>
    </row>
    <row r="814">
      <c r="A814" s="198"/>
      <c r="B814" s="208" t="str">
        <f>vlookup(A814,Price!A:B,2,false)</f>
        <v>#N/A</v>
      </c>
      <c r="C814" s="198"/>
      <c r="D814" s="198"/>
      <c r="E814" s="198"/>
      <c r="F814" s="198"/>
      <c r="G814" s="198"/>
      <c r="H814" s="198"/>
      <c r="I814" s="198"/>
      <c r="J814" s="198"/>
      <c r="K814" s="198"/>
      <c r="L814" s="198"/>
    </row>
    <row r="815">
      <c r="A815" s="198"/>
      <c r="B815" s="208" t="str">
        <f>vlookup(A815,Price!A:B,2,false)</f>
        <v>#N/A</v>
      </c>
      <c r="C815" s="198"/>
      <c r="D815" s="198"/>
      <c r="E815" s="198"/>
      <c r="F815" s="198"/>
      <c r="G815" s="198"/>
      <c r="H815" s="198"/>
      <c r="I815" s="198"/>
      <c r="J815" s="198"/>
      <c r="K815" s="198"/>
      <c r="L815" s="198"/>
    </row>
    <row r="816">
      <c r="A816" s="198"/>
      <c r="B816" s="208" t="str">
        <f>vlookup(A816,Price!A:B,2,false)</f>
        <v>#N/A</v>
      </c>
      <c r="C816" s="198"/>
      <c r="D816" s="198"/>
      <c r="E816" s="198"/>
      <c r="F816" s="198"/>
      <c r="G816" s="198"/>
      <c r="H816" s="198"/>
      <c r="I816" s="198"/>
      <c r="J816" s="198"/>
      <c r="K816" s="198"/>
      <c r="L816" s="198"/>
    </row>
    <row r="817">
      <c r="A817" s="198"/>
      <c r="B817" s="208" t="str">
        <f>vlookup(A817,Price!A:B,2,false)</f>
        <v>#N/A</v>
      </c>
      <c r="C817" s="198"/>
      <c r="D817" s="198"/>
      <c r="E817" s="198"/>
      <c r="F817" s="198"/>
      <c r="G817" s="198"/>
      <c r="H817" s="198"/>
      <c r="I817" s="198"/>
      <c r="J817" s="198"/>
      <c r="K817" s="198"/>
      <c r="L817" s="198"/>
    </row>
    <row r="818">
      <c r="A818" s="198"/>
      <c r="B818" s="208" t="str">
        <f>vlookup(A818,Price!A:B,2,false)</f>
        <v>#N/A</v>
      </c>
      <c r="C818" s="198"/>
      <c r="D818" s="198"/>
      <c r="E818" s="198"/>
      <c r="F818" s="198"/>
      <c r="G818" s="198"/>
      <c r="H818" s="198"/>
      <c r="I818" s="198"/>
      <c r="J818" s="198"/>
      <c r="K818" s="198"/>
      <c r="L818" s="198"/>
    </row>
    <row r="819">
      <c r="A819" s="198"/>
      <c r="B819" s="208" t="str">
        <f>vlookup(A819,Price!A:B,2,false)</f>
        <v>#N/A</v>
      </c>
      <c r="C819" s="198"/>
      <c r="D819" s="198"/>
      <c r="E819" s="198"/>
      <c r="F819" s="198"/>
      <c r="G819" s="198"/>
      <c r="H819" s="198"/>
      <c r="I819" s="198"/>
      <c r="J819" s="198"/>
      <c r="K819" s="198"/>
      <c r="L819" s="198"/>
    </row>
    <row r="820">
      <c r="A820" s="198"/>
      <c r="B820" s="208" t="str">
        <f>vlookup(A820,Price!A:B,2,false)</f>
        <v>#N/A</v>
      </c>
      <c r="C820" s="198"/>
      <c r="D820" s="198"/>
      <c r="E820" s="198"/>
      <c r="F820" s="198"/>
      <c r="G820" s="198"/>
      <c r="H820" s="198"/>
      <c r="I820" s="198"/>
      <c r="J820" s="198"/>
      <c r="K820" s="198"/>
      <c r="L820" s="198"/>
    </row>
    <row r="821">
      <c r="A821" s="198"/>
      <c r="B821" s="208" t="str">
        <f>vlookup(A821,Price!A:B,2,false)</f>
        <v>#N/A</v>
      </c>
      <c r="C821" s="198"/>
      <c r="D821" s="198"/>
      <c r="E821" s="198"/>
      <c r="F821" s="198"/>
      <c r="G821" s="198"/>
      <c r="H821" s="198"/>
      <c r="I821" s="198"/>
      <c r="J821" s="198"/>
      <c r="K821" s="198"/>
      <c r="L821" s="198"/>
    </row>
    <row r="822">
      <c r="A822" s="198"/>
      <c r="B822" s="208" t="str">
        <f>vlookup(A822,Price!A:B,2,false)</f>
        <v>#N/A</v>
      </c>
      <c r="C822" s="198"/>
      <c r="D822" s="198"/>
      <c r="E822" s="198"/>
      <c r="F822" s="198"/>
      <c r="G822" s="198"/>
      <c r="H822" s="198"/>
      <c r="I822" s="198"/>
      <c r="J822" s="198"/>
      <c r="K822" s="198"/>
      <c r="L822" s="198"/>
    </row>
    <row r="823">
      <c r="A823" s="198"/>
      <c r="B823" s="208" t="str">
        <f>vlookup(A823,Price!A:B,2,false)</f>
        <v>#N/A</v>
      </c>
      <c r="C823" s="198"/>
      <c r="D823" s="198"/>
      <c r="E823" s="198"/>
      <c r="F823" s="198"/>
      <c r="G823" s="198"/>
      <c r="H823" s="198"/>
      <c r="I823" s="198"/>
      <c r="J823" s="198"/>
      <c r="K823" s="198"/>
      <c r="L823" s="198"/>
    </row>
    <row r="824">
      <c r="A824" s="198"/>
      <c r="B824" s="208" t="str">
        <f>vlookup(A824,Price!A:B,2,false)</f>
        <v>#N/A</v>
      </c>
      <c r="C824" s="198"/>
      <c r="D824" s="198"/>
      <c r="E824" s="198"/>
      <c r="F824" s="198"/>
      <c r="G824" s="198"/>
      <c r="H824" s="198"/>
      <c r="I824" s="198"/>
      <c r="J824" s="198"/>
      <c r="K824" s="198"/>
      <c r="L824" s="198"/>
    </row>
    <row r="825">
      <c r="A825" s="198"/>
      <c r="B825" s="208" t="str">
        <f>vlookup(A825,Price!A:B,2,false)</f>
        <v>#N/A</v>
      </c>
      <c r="C825" s="198"/>
      <c r="D825" s="198"/>
      <c r="E825" s="198"/>
      <c r="F825" s="198"/>
      <c r="G825" s="198"/>
      <c r="H825" s="198"/>
      <c r="I825" s="198"/>
      <c r="J825" s="198"/>
      <c r="K825" s="198"/>
      <c r="L825" s="198"/>
    </row>
    <row r="826">
      <c r="A826" s="198"/>
      <c r="B826" s="208" t="str">
        <f>vlookup(A826,Price!A:B,2,false)</f>
        <v>#N/A</v>
      </c>
      <c r="C826" s="198"/>
      <c r="D826" s="198"/>
      <c r="E826" s="198"/>
      <c r="F826" s="198"/>
      <c r="G826" s="198"/>
      <c r="H826" s="198"/>
      <c r="I826" s="198"/>
      <c r="J826" s="198"/>
      <c r="K826" s="198"/>
      <c r="L826" s="198"/>
    </row>
    <row r="827">
      <c r="A827" s="198"/>
      <c r="B827" s="208" t="str">
        <f>vlookup(A827,Price!A:B,2,false)</f>
        <v>#N/A</v>
      </c>
      <c r="C827" s="198"/>
      <c r="D827" s="198"/>
      <c r="E827" s="198"/>
      <c r="F827" s="198"/>
      <c r="G827" s="198"/>
      <c r="H827" s="198"/>
      <c r="I827" s="198"/>
      <c r="J827" s="198"/>
      <c r="K827" s="198"/>
      <c r="L827" s="198"/>
    </row>
    <row r="828">
      <c r="A828" s="198"/>
      <c r="B828" s="208" t="str">
        <f>vlookup(A828,Price!A:B,2,false)</f>
        <v>#N/A</v>
      </c>
      <c r="C828" s="198"/>
      <c r="D828" s="198"/>
      <c r="E828" s="198"/>
      <c r="F828" s="198"/>
      <c r="G828" s="198"/>
      <c r="H828" s="198"/>
      <c r="I828" s="198"/>
      <c r="J828" s="198"/>
      <c r="K828" s="198"/>
      <c r="L828" s="198"/>
    </row>
    <row r="829">
      <c r="A829" s="198"/>
      <c r="B829" s="208" t="str">
        <f>vlookup(A829,Price!A:B,2,false)</f>
        <v>#N/A</v>
      </c>
      <c r="C829" s="198"/>
      <c r="D829" s="198"/>
      <c r="E829" s="198"/>
      <c r="F829" s="198"/>
      <c r="G829" s="198"/>
      <c r="H829" s="198"/>
      <c r="I829" s="198"/>
      <c r="J829" s="198"/>
      <c r="K829" s="198"/>
      <c r="L829" s="198"/>
    </row>
    <row r="830">
      <c r="A830" s="198"/>
      <c r="B830" s="208" t="str">
        <f>vlookup(A830,Price!A:B,2,false)</f>
        <v>#N/A</v>
      </c>
      <c r="C830" s="198"/>
      <c r="D830" s="198"/>
      <c r="E830" s="198"/>
      <c r="F830" s="198"/>
      <c r="G830" s="198"/>
      <c r="H830" s="198"/>
      <c r="I830" s="198"/>
      <c r="J830" s="198"/>
      <c r="K830" s="198"/>
      <c r="L830" s="198"/>
    </row>
    <row r="831">
      <c r="A831" s="198"/>
      <c r="B831" s="208" t="str">
        <f>vlookup(A831,Price!A:B,2,false)</f>
        <v>#N/A</v>
      </c>
      <c r="C831" s="198"/>
      <c r="D831" s="198"/>
      <c r="E831" s="198"/>
      <c r="F831" s="198"/>
      <c r="G831" s="198"/>
      <c r="H831" s="198"/>
      <c r="I831" s="198"/>
      <c r="J831" s="198"/>
      <c r="K831" s="198"/>
      <c r="L831" s="198"/>
    </row>
    <row r="832">
      <c r="A832" s="198"/>
      <c r="B832" s="208" t="str">
        <f>vlookup(A832,Price!A:B,2,false)</f>
        <v>#N/A</v>
      </c>
      <c r="C832" s="198"/>
      <c r="D832" s="198"/>
      <c r="E832" s="198"/>
      <c r="F832" s="198"/>
      <c r="G832" s="198"/>
      <c r="H832" s="198"/>
      <c r="I832" s="198"/>
      <c r="J832" s="198"/>
      <c r="K832" s="198"/>
      <c r="L832" s="198"/>
    </row>
    <row r="833">
      <c r="A833" s="198"/>
      <c r="B833" s="208" t="str">
        <f>vlookup(A833,Price!A:B,2,false)</f>
        <v>#N/A</v>
      </c>
      <c r="C833" s="198"/>
      <c r="D833" s="198"/>
      <c r="E833" s="198"/>
      <c r="F833" s="198"/>
      <c r="G833" s="198"/>
      <c r="H833" s="198"/>
      <c r="I833" s="198"/>
      <c r="J833" s="198"/>
      <c r="K833" s="198"/>
      <c r="L833" s="198"/>
    </row>
    <row r="834">
      <c r="A834" s="198"/>
      <c r="B834" s="208" t="str">
        <f>vlookup(A834,Price!A:B,2,false)</f>
        <v>#N/A</v>
      </c>
      <c r="C834" s="198"/>
      <c r="D834" s="198"/>
      <c r="E834" s="198"/>
      <c r="F834" s="198"/>
      <c r="G834" s="198"/>
      <c r="H834" s="198"/>
      <c r="I834" s="198"/>
      <c r="J834" s="198"/>
      <c r="K834" s="198"/>
      <c r="L834" s="198"/>
    </row>
    <row r="835">
      <c r="A835" s="198"/>
      <c r="B835" s="208" t="str">
        <f>vlookup(A835,Price!A:B,2,false)</f>
        <v>#N/A</v>
      </c>
      <c r="C835" s="198"/>
      <c r="D835" s="198"/>
      <c r="E835" s="198"/>
      <c r="F835" s="198"/>
      <c r="G835" s="198"/>
      <c r="H835" s="198"/>
      <c r="I835" s="198"/>
      <c r="J835" s="198"/>
      <c r="K835" s="198"/>
      <c r="L835" s="198"/>
    </row>
    <row r="836">
      <c r="A836" s="198"/>
      <c r="B836" s="208" t="str">
        <f>vlookup(A836,Price!A:B,2,false)</f>
        <v>#N/A</v>
      </c>
      <c r="C836" s="198"/>
      <c r="D836" s="198"/>
      <c r="E836" s="198"/>
      <c r="F836" s="198"/>
      <c r="G836" s="198"/>
      <c r="H836" s="198"/>
      <c r="I836" s="198"/>
      <c r="J836" s="198"/>
      <c r="K836" s="198"/>
      <c r="L836" s="198"/>
    </row>
    <row r="837">
      <c r="A837" s="198"/>
      <c r="B837" s="208" t="str">
        <f>vlookup(A837,Price!A:B,2,false)</f>
        <v>#N/A</v>
      </c>
      <c r="C837" s="198"/>
      <c r="D837" s="198"/>
      <c r="E837" s="198"/>
      <c r="F837" s="198"/>
      <c r="G837" s="198"/>
      <c r="H837" s="198"/>
      <c r="I837" s="198"/>
      <c r="J837" s="198"/>
      <c r="K837" s="198"/>
      <c r="L837" s="198"/>
    </row>
    <row r="838">
      <c r="A838" s="198"/>
      <c r="B838" s="208" t="str">
        <f>vlookup(A838,Price!A:B,2,false)</f>
        <v>#N/A</v>
      </c>
      <c r="C838" s="198"/>
      <c r="D838" s="198"/>
      <c r="E838" s="198"/>
      <c r="F838" s="198"/>
      <c r="G838" s="198"/>
      <c r="H838" s="198"/>
      <c r="I838" s="198"/>
      <c r="J838" s="198"/>
      <c r="K838" s="198"/>
      <c r="L838" s="198"/>
    </row>
    <row r="839">
      <c r="A839" s="198"/>
      <c r="B839" s="208" t="str">
        <f>vlookup(A839,Price!A:B,2,false)</f>
        <v>#N/A</v>
      </c>
      <c r="C839" s="198"/>
      <c r="D839" s="198"/>
      <c r="E839" s="198"/>
      <c r="F839" s="198"/>
      <c r="G839" s="198"/>
      <c r="H839" s="198"/>
      <c r="I839" s="198"/>
      <c r="J839" s="198"/>
      <c r="K839" s="198"/>
      <c r="L839" s="198"/>
    </row>
    <row r="840">
      <c r="A840" s="198"/>
      <c r="B840" s="208" t="str">
        <f>vlookup(A840,Price!A:B,2,false)</f>
        <v>#N/A</v>
      </c>
      <c r="C840" s="198"/>
      <c r="D840" s="198"/>
      <c r="E840" s="198"/>
      <c r="F840" s="198"/>
      <c r="G840" s="198"/>
      <c r="H840" s="198"/>
      <c r="I840" s="198"/>
      <c r="J840" s="198"/>
      <c r="K840" s="198"/>
      <c r="L840" s="198"/>
    </row>
    <row r="841">
      <c r="A841" s="198"/>
      <c r="B841" s="208" t="str">
        <f>vlookup(A841,Price!A:B,2,false)</f>
        <v>#N/A</v>
      </c>
      <c r="C841" s="198"/>
      <c r="D841" s="198"/>
      <c r="E841" s="198"/>
      <c r="F841" s="198"/>
      <c r="G841" s="198"/>
      <c r="H841" s="198"/>
      <c r="I841" s="198"/>
      <c r="J841" s="198"/>
      <c r="K841" s="198"/>
      <c r="L841" s="198"/>
    </row>
    <row r="842">
      <c r="A842" s="198"/>
      <c r="B842" s="208" t="str">
        <f>vlookup(A842,Price!A:B,2,false)</f>
        <v>#N/A</v>
      </c>
      <c r="C842" s="198"/>
      <c r="D842" s="198"/>
      <c r="E842" s="198"/>
      <c r="F842" s="198"/>
      <c r="G842" s="198"/>
      <c r="H842" s="198"/>
      <c r="I842" s="198"/>
      <c r="J842" s="198"/>
      <c r="K842" s="198"/>
      <c r="L842" s="198"/>
    </row>
    <row r="843">
      <c r="A843" s="198"/>
      <c r="B843" s="208" t="str">
        <f>vlookup(A843,Price!A:B,2,false)</f>
        <v>#N/A</v>
      </c>
      <c r="C843" s="198"/>
      <c r="D843" s="198"/>
      <c r="E843" s="198"/>
      <c r="F843" s="198"/>
      <c r="G843" s="198"/>
      <c r="H843" s="198"/>
      <c r="I843" s="198"/>
      <c r="J843" s="198"/>
      <c r="K843" s="198"/>
      <c r="L843" s="198"/>
    </row>
    <row r="844">
      <c r="A844" s="198"/>
      <c r="B844" s="208" t="str">
        <f>vlookup(A844,Price!A:B,2,false)</f>
        <v>#N/A</v>
      </c>
      <c r="C844" s="198"/>
      <c r="D844" s="198"/>
      <c r="E844" s="198"/>
      <c r="F844" s="198"/>
      <c r="G844" s="198"/>
      <c r="H844" s="198"/>
      <c r="I844" s="198"/>
      <c r="J844" s="198"/>
      <c r="K844" s="198"/>
      <c r="L844" s="198"/>
    </row>
    <row r="845">
      <c r="A845" s="198"/>
      <c r="B845" s="208" t="str">
        <f>vlookup(A845,Price!A:B,2,false)</f>
        <v>#N/A</v>
      </c>
      <c r="C845" s="198"/>
      <c r="D845" s="198"/>
      <c r="E845" s="198"/>
      <c r="F845" s="198"/>
      <c r="G845" s="198"/>
      <c r="H845" s="198"/>
      <c r="I845" s="198"/>
      <c r="J845" s="198"/>
      <c r="K845" s="198"/>
      <c r="L845" s="198"/>
    </row>
    <row r="846">
      <c r="A846" s="198"/>
      <c r="B846" s="208" t="str">
        <f>vlookup(A846,Price!A:B,2,false)</f>
        <v>#N/A</v>
      </c>
      <c r="C846" s="198"/>
      <c r="D846" s="198"/>
      <c r="E846" s="198"/>
      <c r="F846" s="198"/>
      <c r="G846" s="198"/>
      <c r="H846" s="198"/>
      <c r="I846" s="198"/>
      <c r="J846" s="198"/>
      <c r="K846" s="198"/>
      <c r="L846" s="198"/>
    </row>
    <row r="847">
      <c r="A847" s="198"/>
      <c r="B847" s="208" t="str">
        <f>vlookup(A847,Price!A:B,2,false)</f>
        <v>#N/A</v>
      </c>
      <c r="C847" s="198"/>
      <c r="D847" s="198"/>
      <c r="E847" s="198"/>
      <c r="F847" s="198"/>
      <c r="G847" s="198"/>
      <c r="H847" s="198"/>
      <c r="I847" s="198"/>
      <c r="J847" s="198"/>
      <c r="K847" s="198"/>
      <c r="L847" s="198"/>
    </row>
    <row r="848">
      <c r="A848" s="198"/>
      <c r="B848" s="208" t="str">
        <f>vlookup(A848,Price!A:B,2,false)</f>
        <v>#N/A</v>
      </c>
      <c r="C848" s="198"/>
      <c r="D848" s="198"/>
      <c r="E848" s="198"/>
      <c r="F848" s="198"/>
      <c r="G848" s="198"/>
      <c r="H848" s="198"/>
      <c r="I848" s="198"/>
      <c r="J848" s="198"/>
      <c r="K848" s="198"/>
      <c r="L848" s="198"/>
    </row>
    <row r="849">
      <c r="A849" s="198"/>
      <c r="B849" s="208" t="str">
        <f>vlookup(A849,Price!A:B,2,false)</f>
        <v>#N/A</v>
      </c>
      <c r="C849" s="198"/>
      <c r="D849" s="198"/>
      <c r="E849" s="198"/>
      <c r="F849" s="198"/>
      <c r="G849" s="198"/>
      <c r="H849" s="198"/>
      <c r="I849" s="198"/>
      <c r="J849" s="198"/>
      <c r="K849" s="198"/>
      <c r="L849" s="198"/>
    </row>
    <row r="850">
      <c r="A850" s="198"/>
      <c r="B850" s="208" t="str">
        <f>vlookup(A850,Price!A:B,2,false)</f>
        <v>#N/A</v>
      </c>
      <c r="C850" s="198"/>
      <c r="D850" s="198"/>
      <c r="E850" s="198"/>
      <c r="F850" s="198"/>
      <c r="G850" s="198"/>
      <c r="H850" s="198"/>
      <c r="I850" s="198"/>
      <c r="J850" s="198"/>
      <c r="K850" s="198"/>
      <c r="L850" s="198"/>
    </row>
    <row r="851">
      <c r="A851" s="198"/>
      <c r="B851" s="208" t="str">
        <f>vlookup(A851,Price!A:B,2,false)</f>
        <v>#N/A</v>
      </c>
      <c r="C851" s="198"/>
      <c r="D851" s="198"/>
      <c r="E851" s="198"/>
      <c r="F851" s="198"/>
      <c r="G851" s="198"/>
      <c r="H851" s="198"/>
      <c r="I851" s="198"/>
      <c r="J851" s="198"/>
      <c r="K851" s="198"/>
      <c r="L851" s="198"/>
    </row>
    <row r="852">
      <c r="A852" s="198"/>
      <c r="B852" s="208" t="str">
        <f>vlookup(A852,Price!A:B,2,false)</f>
        <v>#N/A</v>
      </c>
      <c r="C852" s="198"/>
      <c r="D852" s="198"/>
      <c r="E852" s="198"/>
      <c r="F852" s="198"/>
      <c r="G852" s="198"/>
      <c r="H852" s="198"/>
      <c r="I852" s="198"/>
      <c r="J852" s="198"/>
      <c r="K852" s="198"/>
      <c r="L852" s="198"/>
    </row>
    <row r="853">
      <c r="A853" s="198"/>
      <c r="B853" s="208" t="str">
        <f>vlookup(A853,Price!A:B,2,false)</f>
        <v>#N/A</v>
      </c>
      <c r="C853" s="198"/>
      <c r="D853" s="198"/>
      <c r="E853" s="198"/>
      <c r="F853" s="198"/>
      <c r="G853" s="198"/>
      <c r="H853" s="198"/>
      <c r="I853" s="198"/>
      <c r="J853" s="198"/>
      <c r="K853" s="198"/>
      <c r="L853" s="198"/>
    </row>
    <row r="854">
      <c r="A854" s="198"/>
      <c r="B854" s="208" t="str">
        <f>vlookup(A854,Price!A:B,2,false)</f>
        <v>#N/A</v>
      </c>
      <c r="C854" s="198"/>
      <c r="D854" s="198"/>
      <c r="E854" s="198"/>
      <c r="F854" s="198"/>
      <c r="G854" s="198"/>
      <c r="H854" s="198"/>
      <c r="I854" s="198"/>
      <c r="J854" s="198"/>
      <c r="K854" s="198"/>
      <c r="L854" s="198"/>
    </row>
    <row r="855">
      <c r="A855" s="198"/>
      <c r="B855" s="208" t="str">
        <f>vlookup(A855,Price!A:B,2,false)</f>
        <v>#N/A</v>
      </c>
      <c r="C855" s="198"/>
      <c r="D855" s="198"/>
      <c r="E855" s="198"/>
      <c r="F855" s="198"/>
      <c r="G855" s="198"/>
      <c r="H855" s="198"/>
      <c r="I855" s="198"/>
      <c r="J855" s="198"/>
      <c r="K855" s="198"/>
      <c r="L855" s="198"/>
    </row>
    <row r="856">
      <c r="A856" s="198"/>
      <c r="B856" s="208" t="str">
        <f>vlookup(A856,Price!A:B,2,false)</f>
        <v>#N/A</v>
      </c>
      <c r="C856" s="198"/>
      <c r="D856" s="198"/>
      <c r="E856" s="198"/>
      <c r="F856" s="198"/>
      <c r="G856" s="198"/>
      <c r="H856" s="198"/>
      <c r="I856" s="198"/>
      <c r="J856" s="198"/>
      <c r="K856" s="198"/>
      <c r="L856" s="198"/>
    </row>
    <row r="857">
      <c r="A857" s="198"/>
      <c r="B857" s="208" t="str">
        <f>vlookup(A857,Price!A:B,2,false)</f>
        <v>#N/A</v>
      </c>
      <c r="C857" s="198"/>
      <c r="D857" s="198"/>
      <c r="E857" s="198"/>
      <c r="F857" s="198"/>
      <c r="G857" s="198"/>
      <c r="H857" s="198"/>
      <c r="I857" s="198"/>
      <c r="J857" s="198"/>
      <c r="K857" s="198"/>
      <c r="L857" s="198"/>
    </row>
    <row r="858">
      <c r="A858" s="198"/>
      <c r="B858" s="208" t="str">
        <f>vlookup(A858,Price!A:B,2,false)</f>
        <v>#N/A</v>
      </c>
      <c r="C858" s="198"/>
      <c r="D858" s="198"/>
      <c r="E858" s="198"/>
      <c r="F858" s="198"/>
      <c r="G858" s="198"/>
      <c r="H858" s="198"/>
      <c r="I858" s="198"/>
      <c r="J858" s="198"/>
      <c r="K858" s="198"/>
      <c r="L858" s="198"/>
    </row>
    <row r="859">
      <c r="A859" s="198"/>
      <c r="B859" s="208" t="str">
        <f>vlookup(A859,Price!A:B,2,false)</f>
        <v>#N/A</v>
      </c>
      <c r="C859" s="198"/>
      <c r="D859" s="198"/>
      <c r="E859" s="198"/>
      <c r="F859" s="198"/>
      <c r="G859" s="198"/>
      <c r="H859" s="198"/>
      <c r="I859" s="198"/>
      <c r="J859" s="198"/>
      <c r="K859" s="198"/>
      <c r="L859" s="198"/>
    </row>
    <row r="860">
      <c r="A860" s="198"/>
      <c r="B860" s="208" t="str">
        <f>vlookup(A860,Price!A:B,2,false)</f>
        <v>#N/A</v>
      </c>
      <c r="C860" s="198"/>
      <c r="D860" s="198"/>
      <c r="E860" s="198"/>
      <c r="F860" s="198"/>
      <c r="G860" s="198"/>
      <c r="H860" s="198"/>
      <c r="I860" s="198"/>
      <c r="J860" s="198"/>
      <c r="K860" s="198"/>
      <c r="L860" s="198"/>
    </row>
    <row r="861">
      <c r="A861" s="198"/>
      <c r="B861" s="208" t="str">
        <f>vlookup(A861,Price!A:B,2,false)</f>
        <v>#N/A</v>
      </c>
      <c r="C861" s="198"/>
      <c r="D861" s="198"/>
      <c r="E861" s="198"/>
      <c r="F861" s="198"/>
      <c r="G861" s="198"/>
      <c r="H861" s="198"/>
      <c r="I861" s="198"/>
      <c r="J861" s="198"/>
      <c r="K861" s="198"/>
      <c r="L861" s="198"/>
    </row>
    <row r="862">
      <c r="A862" s="198"/>
      <c r="B862" s="208" t="str">
        <f>vlookup(A862,Price!A:B,2,false)</f>
        <v>#N/A</v>
      </c>
      <c r="C862" s="198"/>
      <c r="D862" s="198"/>
      <c r="E862" s="198"/>
      <c r="F862" s="198"/>
      <c r="G862" s="198"/>
      <c r="H862" s="198"/>
      <c r="I862" s="198"/>
      <c r="J862" s="198"/>
      <c r="K862" s="198"/>
      <c r="L862" s="198"/>
    </row>
    <row r="863">
      <c r="A863" s="198"/>
      <c r="B863" s="208" t="str">
        <f>vlookup(A863,Price!A:B,2,false)</f>
        <v>#N/A</v>
      </c>
      <c r="C863" s="198"/>
      <c r="D863" s="198"/>
      <c r="E863" s="198"/>
      <c r="F863" s="198"/>
      <c r="G863" s="198"/>
      <c r="H863" s="198"/>
      <c r="I863" s="198"/>
      <c r="J863" s="198"/>
      <c r="K863" s="198"/>
      <c r="L863" s="198"/>
    </row>
    <row r="864">
      <c r="A864" s="198"/>
      <c r="B864" s="208" t="str">
        <f>vlookup(A864,Price!A:B,2,false)</f>
        <v>#N/A</v>
      </c>
      <c r="C864" s="198"/>
      <c r="D864" s="198"/>
      <c r="E864" s="198"/>
      <c r="F864" s="198"/>
      <c r="G864" s="198"/>
      <c r="H864" s="198"/>
      <c r="I864" s="198"/>
      <c r="J864" s="198"/>
      <c r="K864" s="198"/>
      <c r="L864" s="198"/>
    </row>
    <row r="865">
      <c r="A865" s="198"/>
      <c r="B865" s="208" t="str">
        <f>vlookup(A865,Price!A:B,2,false)</f>
        <v>#N/A</v>
      </c>
      <c r="C865" s="198"/>
      <c r="D865" s="198"/>
      <c r="E865" s="198"/>
      <c r="F865" s="198"/>
      <c r="G865" s="198"/>
      <c r="H865" s="198"/>
      <c r="I865" s="198"/>
      <c r="J865" s="198"/>
      <c r="K865" s="198"/>
      <c r="L865" s="198"/>
    </row>
    <row r="866">
      <c r="A866" s="198"/>
      <c r="B866" s="208" t="str">
        <f>vlookup(A866,Price!A:B,2,false)</f>
        <v>#N/A</v>
      </c>
      <c r="C866" s="198"/>
      <c r="D866" s="198"/>
      <c r="E866" s="198"/>
      <c r="F866" s="198"/>
      <c r="G866" s="198"/>
      <c r="H866" s="198"/>
      <c r="I866" s="198"/>
      <c r="J866" s="198"/>
      <c r="K866" s="198"/>
      <c r="L866" s="198"/>
    </row>
    <row r="867">
      <c r="A867" s="198"/>
      <c r="B867" s="208" t="str">
        <f>vlookup(A867,Price!A:B,2,false)</f>
        <v>#N/A</v>
      </c>
      <c r="C867" s="198"/>
      <c r="D867" s="198"/>
      <c r="E867" s="198"/>
      <c r="F867" s="198"/>
      <c r="G867" s="198"/>
      <c r="H867" s="198"/>
      <c r="I867" s="198"/>
      <c r="J867" s="198"/>
      <c r="K867" s="198"/>
      <c r="L867" s="198"/>
    </row>
    <row r="868">
      <c r="A868" s="198"/>
      <c r="B868" s="208" t="str">
        <f>vlookup(A868,Price!A:B,2,false)</f>
        <v>#N/A</v>
      </c>
      <c r="C868" s="198"/>
      <c r="D868" s="198"/>
      <c r="E868" s="198"/>
      <c r="F868" s="198"/>
      <c r="G868" s="198"/>
      <c r="H868" s="198"/>
      <c r="I868" s="198"/>
      <c r="J868" s="198"/>
      <c r="K868" s="198"/>
      <c r="L868" s="198"/>
    </row>
    <row r="869">
      <c r="A869" s="198"/>
      <c r="B869" s="208" t="str">
        <f>vlookup(A869,Price!A:B,2,false)</f>
        <v>#N/A</v>
      </c>
      <c r="C869" s="198"/>
      <c r="D869" s="198"/>
      <c r="E869" s="198"/>
      <c r="F869" s="198"/>
      <c r="G869" s="198"/>
      <c r="H869" s="198"/>
      <c r="I869" s="198"/>
      <c r="J869" s="198"/>
      <c r="K869" s="198"/>
      <c r="L869" s="198"/>
    </row>
    <row r="870">
      <c r="A870" s="198"/>
      <c r="B870" s="208" t="str">
        <f>vlookup(A870,Price!A:B,2,false)</f>
        <v>#N/A</v>
      </c>
      <c r="C870" s="198"/>
      <c r="D870" s="198"/>
      <c r="E870" s="198"/>
      <c r="F870" s="198"/>
      <c r="G870" s="198"/>
      <c r="H870" s="198"/>
      <c r="I870" s="198"/>
      <c r="J870" s="198"/>
      <c r="K870" s="198"/>
      <c r="L870" s="198"/>
    </row>
    <row r="871">
      <c r="A871" s="198"/>
      <c r="B871" s="208" t="str">
        <f>vlookup(A871,Price!A:B,2,false)</f>
        <v>#N/A</v>
      </c>
      <c r="C871" s="198"/>
      <c r="D871" s="198"/>
      <c r="E871" s="198"/>
      <c r="F871" s="198"/>
      <c r="G871" s="198"/>
      <c r="H871" s="198"/>
      <c r="I871" s="198"/>
      <c r="J871" s="198"/>
      <c r="K871" s="198"/>
      <c r="L871" s="198"/>
    </row>
    <row r="872">
      <c r="A872" s="198"/>
      <c r="B872" s="208" t="str">
        <f>vlookup(A872,Price!A:B,2,false)</f>
        <v>#N/A</v>
      </c>
      <c r="C872" s="198"/>
      <c r="D872" s="198"/>
      <c r="E872" s="198"/>
      <c r="F872" s="198"/>
      <c r="G872" s="198"/>
      <c r="H872" s="198"/>
      <c r="I872" s="198"/>
      <c r="J872" s="198"/>
      <c r="K872" s="198"/>
      <c r="L872" s="198"/>
    </row>
    <row r="873">
      <c r="A873" s="198"/>
      <c r="B873" s="208" t="str">
        <f>vlookup(A873,Price!A:B,2,false)</f>
        <v>#N/A</v>
      </c>
      <c r="C873" s="198"/>
      <c r="D873" s="198"/>
      <c r="E873" s="198"/>
      <c r="F873" s="198"/>
      <c r="G873" s="198"/>
      <c r="H873" s="198"/>
      <c r="I873" s="198"/>
      <c r="J873" s="198"/>
      <c r="K873" s="198"/>
      <c r="L873" s="198"/>
    </row>
    <row r="874">
      <c r="A874" s="198"/>
      <c r="B874" s="208" t="str">
        <f>vlookup(A874,Price!A:B,2,false)</f>
        <v>#N/A</v>
      </c>
      <c r="C874" s="198"/>
      <c r="D874" s="198"/>
      <c r="E874" s="198"/>
      <c r="F874" s="198"/>
      <c r="G874" s="198"/>
      <c r="H874" s="198"/>
      <c r="I874" s="198"/>
      <c r="J874" s="198"/>
      <c r="K874" s="198"/>
      <c r="L874" s="198"/>
    </row>
    <row r="875">
      <c r="A875" s="198"/>
      <c r="B875" s="208" t="str">
        <f>vlookup(A875,Price!A:B,2,false)</f>
        <v>#N/A</v>
      </c>
      <c r="C875" s="198"/>
      <c r="D875" s="198"/>
      <c r="E875" s="198"/>
      <c r="F875" s="198"/>
      <c r="G875" s="198"/>
      <c r="H875" s="198"/>
      <c r="I875" s="198"/>
      <c r="J875" s="198"/>
      <c r="K875" s="198"/>
      <c r="L875" s="198"/>
    </row>
    <row r="876">
      <c r="A876" s="198"/>
      <c r="B876" s="208" t="str">
        <f>vlookup(A876,Price!A:B,2,false)</f>
        <v>#N/A</v>
      </c>
      <c r="C876" s="198"/>
      <c r="D876" s="198"/>
      <c r="E876" s="198"/>
      <c r="F876" s="198"/>
      <c r="G876" s="198"/>
      <c r="H876" s="198"/>
      <c r="I876" s="198"/>
      <c r="J876" s="198"/>
      <c r="K876" s="198"/>
      <c r="L876" s="198"/>
    </row>
    <row r="877">
      <c r="A877" s="198"/>
      <c r="B877" s="208" t="str">
        <f>vlookup(A877,Price!A:B,2,false)</f>
        <v>#N/A</v>
      </c>
      <c r="C877" s="198"/>
      <c r="D877" s="198"/>
      <c r="E877" s="198"/>
      <c r="F877" s="198"/>
      <c r="G877" s="198"/>
      <c r="H877" s="198"/>
      <c r="I877" s="198"/>
      <c r="J877" s="198"/>
      <c r="K877" s="198"/>
      <c r="L877" s="198"/>
    </row>
    <row r="878">
      <c r="A878" s="198"/>
      <c r="B878" s="208" t="str">
        <f>vlookup(A878,Price!A:B,2,false)</f>
        <v>#N/A</v>
      </c>
      <c r="C878" s="198"/>
      <c r="D878" s="198"/>
      <c r="E878" s="198"/>
      <c r="F878" s="198"/>
      <c r="G878" s="198"/>
      <c r="H878" s="198"/>
      <c r="I878" s="198"/>
      <c r="J878" s="198"/>
      <c r="K878" s="198"/>
      <c r="L878" s="198"/>
    </row>
    <row r="879">
      <c r="A879" s="198"/>
      <c r="B879" s="208" t="str">
        <f>vlookup(A879,Price!A:B,2,false)</f>
        <v>#N/A</v>
      </c>
      <c r="C879" s="198"/>
      <c r="D879" s="198"/>
      <c r="E879" s="198"/>
      <c r="F879" s="198"/>
      <c r="G879" s="198"/>
      <c r="H879" s="198"/>
      <c r="I879" s="198"/>
      <c r="J879" s="198"/>
      <c r="K879" s="198"/>
      <c r="L879" s="198"/>
    </row>
    <row r="880">
      <c r="A880" s="198"/>
      <c r="B880" s="208" t="str">
        <f>vlookup(A880,Price!A:B,2,false)</f>
        <v>#N/A</v>
      </c>
      <c r="C880" s="198"/>
      <c r="D880" s="198"/>
      <c r="E880" s="198"/>
      <c r="F880" s="198"/>
      <c r="G880" s="198"/>
      <c r="H880" s="198"/>
      <c r="I880" s="198"/>
      <c r="J880" s="198"/>
      <c r="K880" s="198"/>
      <c r="L880" s="198"/>
    </row>
    <row r="881">
      <c r="A881" s="198"/>
      <c r="B881" s="208" t="str">
        <f>vlookup(A881,Price!A:B,2,false)</f>
        <v>#N/A</v>
      </c>
      <c r="C881" s="198"/>
      <c r="D881" s="198"/>
      <c r="E881" s="198"/>
      <c r="F881" s="198"/>
      <c r="G881" s="198"/>
      <c r="H881" s="198"/>
      <c r="I881" s="198"/>
      <c r="J881" s="198"/>
      <c r="K881" s="198"/>
      <c r="L881" s="198"/>
    </row>
    <row r="882">
      <c r="A882" s="198"/>
      <c r="B882" s="208" t="str">
        <f>vlookup(A882,Price!A:B,2,false)</f>
        <v>#N/A</v>
      </c>
      <c r="C882" s="198"/>
      <c r="D882" s="198"/>
      <c r="E882" s="198"/>
      <c r="F882" s="198"/>
      <c r="G882" s="198"/>
      <c r="H882" s="198"/>
      <c r="I882" s="198"/>
      <c r="J882" s="198"/>
      <c r="K882" s="198"/>
      <c r="L882" s="198"/>
    </row>
    <row r="883">
      <c r="A883" s="198"/>
      <c r="B883" s="208" t="str">
        <f>vlookup(A883,Price!A:B,2,false)</f>
        <v>#N/A</v>
      </c>
      <c r="C883" s="198"/>
      <c r="D883" s="198"/>
      <c r="E883" s="198"/>
      <c r="F883" s="198"/>
      <c r="G883" s="198"/>
      <c r="H883" s="198"/>
      <c r="I883" s="198"/>
      <c r="J883" s="198"/>
      <c r="K883" s="198"/>
      <c r="L883" s="198"/>
    </row>
    <row r="884">
      <c r="A884" s="198"/>
      <c r="B884" s="208" t="str">
        <f>vlookup(A884,Price!A:B,2,false)</f>
        <v>#N/A</v>
      </c>
      <c r="C884" s="198"/>
      <c r="D884" s="198"/>
      <c r="E884" s="198"/>
      <c r="F884" s="198"/>
      <c r="G884" s="198"/>
      <c r="H884" s="198"/>
      <c r="I884" s="198"/>
      <c r="J884" s="198"/>
      <c r="K884" s="198"/>
      <c r="L884" s="198"/>
    </row>
    <row r="885">
      <c r="A885" s="198"/>
      <c r="B885" s="208" t="str">
        <f>vlookup(A885,Price!A:B,2,false)</f>
        <v>#N/A</v>
      </c>
      <c r="C885" s="198"/>
      <c r="D885" s="198"/>
      <c r="E885" s="198"/>
      <c r="F885" s="198"/>
      <c r="G885" s="198"/>
      <c r="H885" s="198"/>
      <c r="I885" s="198"/>
      <c r="J885" s="198"/>
      <c r="K885" s="198"/>
      <c r="L885" s="198"/>
    </row>
    <row r="886">
      <c r="A886" s="198"/>
      <c r="B886" s="208" t="str">
        <f>vlookup(A886,Price!A:B,2,false)</f>
        <v>#N/A</v>
      </c>
      <c r="C886" s="198"/>
      <c r="D886" s="198"/>
      <c r="E886" s="198"/>
      <c r="F886" s="198"/>
      <c r="G886" s="198"/>
      <c r="H886" s="198"/>
      <c r="I886" s="198"/>
      <c r="J886" s="198"/>
      <c r="K886" s="198"/>
      <c r="L886" s="198"/>
    </row>
    <row r="887">
      <c r="A887" s="198"/>
      <c r="B887" s="208" t="str">
        <f>vlookup(A887,Price!A:B,2,false)</f>
        <v>#N/A</v>
      </c>
      <c r="C887" s="198"/>
      <c r="D887" s="198"/>
      <c r="E887" s="198"/>
      <c r="F887" s="198"/>
      <c r="G887" s="198"/>
      <c r="H887" s="198"/>
      <c r="I887" s="198"/>
      <c r="J887" s="198"/>
      <c r="K887" s="198"/>
      <c r="L887" s="198"/>
    </row>
    <row r="888">
      <c r="A888" s="198"/>
      <c r="B888" s="208" t="str">
        <f>vlookup(A888,Price!A:B,2,false)</f>
        <v>#N/A</v>
      </c>
      <c r="C888" s="198"/>
      <c r="D888" s="198"/>
      <c r="E888" s="198"/>
      <c r="F888" s="198"/>
      <c r="G888" s="198"/>
      <c r="H888" s="198"/>
      <c r="I888" s="198"/>
      <c r="J888" s="198"/>
      <c r="K888" s="198"/>
      <c r="L888" s="198"/>
    </row>
    <row r="889">
      <c r="A889" s="198"/>
      <c r="B889" s="208" t="str">
        <f>vlookup(A889,Price!A:B,2,false)</f>
        <v>#N/A</v>
      </c>
      <c r="C889" s="198"/>
      <c r="D889" s="198"/>
      <c r="E889" s="198"/>
      <c r="F889" s="198"/>
      <c r="G889" s="198"/>
      <c r="H889" s="198"/>
      <c r="I889" s="198"/>
      <c r="J889" s="198"/>
      <c r="K889" s="198"/>
      <c r="L889" s="198"/>
    </row>
    <row r="890">
      <c r="A890" s="198"/>
      <c r="B890" s="208" t="str">
        <f>vlookup(A890,Price!A:B,2,false)</f>
        <v>#N/A</v>
      </c>
      <c r="C890" s="198"/>
      <c r="D890" s="198"/>
      <c r="E890" s="198"/>
      <c r="F890" s="198"/>
      <c r="G890" s="198"/>
      <c r="H890" s="198"/>
      <c r="I890" s="198"/>
      <c r="J890" s="198"/>
      <c r="K890" s="198"/>
      <c r="L890" s="198"/>
    </row>
    <row r="891">
      <c r="A891" s="198"/>
      <c r="B891" s="208" t="str">
        <f>vlookup(A891,Price!A:B,2,false)</f>
        <v>#N/A</v>
      </c>
      <c r="C891" s="198"/>
      <c r="D891" s="198"/>
      <c r="E891" s="198"/>
      <c r="F891" s="198"/>
      <c r="G891" s="198"/>
      <c r="H891" s="198"/>
      <c r="I891" s="198"/>
      <c r="J891" s="198"/>
      <c r="K891" s="198"/>
      <c r="L891" s="198"/>
    </row>
    <row r="892">
      <c r="A892" s="198"/>
      <c r="B892" s="208" t="str">
        <f>vlookup(A892,Price!A:B,2,false)</f>
        <v>#N/A</v>
      </c>
      <c r="C892" s="198"/>
      <c r="D892" s="198"/>
      <c r="E892" s="198"/>
      <c r="F892" s="198"/>
      <c r="G892" s="198"/>
      <c r="H892" s="198"/>
      <c r="I892" s="198"/>
      <c r="J892" s="198"/>
      <c r="K892" s="198"/>
      <c r="L892" s="198"/>
    </row>
    <row r="893">
      <c r="A893" s="198"/>
      <c r="B893" s="208" t="str">
        <f>vlookup(A893,Price!A:B,2,false)</f>
        <v>#N/A</v>
      </c>
      <c r="C893" s="198"/>
      <c r="D893" s="198"/>
      <c r="E893" s="198"/>
      <c r="F893" s="198"/>
      <c r="G893" s="198"/>
      <c r="H893" s="198"/>
      <c r="I893" s="198"/>
      <c r="J893" s="198"/>
      <c r="K893" s="198"/>
      <c r="L893" s="198"/>
    </row>
    <row r="894">
      <c r="A894" s="198"/>
      <c r="B894" s="208" t="str">
        <f>vlookup(A894,Price!A:B,2,false)</f>
        <v>#N/A</v>
      </c>
      <c r="C894" s="198"/>
      <c r="D894" s="198"/>
      <c r="E894" s="198"/>
      <c r="F894" s="198"/>
      <c r="G894" s="198"/>
      <c r="H894" s="198"/>
      <c r="I894" s="198"/>
      <c r="J894" s="198"/>
      <c r="K894" s="198"/>
      <c r="L894" s="198"/>
    </row>
    <row r="895">
      <c r="A895" s="198"/>
      <c r="B895" s="208" t="str">
        <f>vlookup(A895,Price!A:B,2,false)</f>
        <v>#N/A</v>
      </c>
      <c r="C895" s="198"/>
      <c r="D895" s="198"/>
      <c r="E895" s="198"/>
      <c r="F895" s="198"/>
      <c r="G895" s="198"/>
      <c r="H895" s="198"/>
      <c r="I895" s="198"/>
      <c r="J895" s="198"/>
      <c r="K895" s="198"/>
      <c r="L895" s="198"/>
    </row>
    <row r="896">
      <c r="A896" s="198"/>
      <c r="B896" s="208" t="str">
        <f>vlookup(A896,Price!A:B,2,false)</f>
        <v>#N/A</v>
      </c>
      <c r="C896" s="198"/>
      <c r="D896" s="198"/>
      <c r="E896" s="198"/>
      <c r="F896" s="198"/>
      <c r="G896" s="198"/>
      <c r="H896" s="198"/>
      <c r="I896" s="198"/>
      <c r="J896" s="198"/>
      <c r="K896" s="198"/>
      <c r="L896" s="198"/>
    </row>
    <row r="897">
      <c r="A897" s="198"/>
      <c r="B897" s="208" t="str">
        <f>vlookup(A897,Price!A:B,2,false)</f>
        <v>#N/A</v>
      </c>
      <c r="C897" s="198"/>
      <c r="D897" s="198"/>
      <c r="E897" s="198"/>
      <c r="F897" s="198"/>
      <c r="G897" s="198"/>
      <c r="H897" s="198"/>
      <c r="I897" s="198"/>
      <c r="J897" s="198"/>
      <c r="K897" s="198"/>
      <c r="L897" s="198"/>
    </row>
    <row r="898">
      <c r="A898" s="198"/>
      <c r="B898" s="208" t="str">
        <f>vlookup(A898,Price!A:B,2,false)</f>
        <v>#N/A</v>
      </c>
      <c r="C898" s="198"/>
      <c r="D898" s="198"/>
      <c r="E898" s="198"/>
      <c r="F898" s="198"/>
      <c r="G898" s="198"/>
      <c r="H898" s="198"/>
      <c r="I898" s="198"/>
      <c r="J898" s="198"/>
      <c r="K898" s="198"/>
      <c r="L898" s="198"/>
    </row>
    <row r="899">
      <c r="A899" s="198"/>
      <c r="B899" s="208" t="str">
        <f>vlookup(A899,Price!A:B,2,false)</f>
        <v>#N/A</v>
      </c>
      <c r="C899" s="198"/>
      <c r="D899" s="198"/>
      <c r="E899" s="198"/>
      <c r="F899" s="198"/>
      <c r="G899" s="198"/>
      <c r="H899" s="198"/>
      <c r="I899" s="198"/>
      <c r="J899" s="198"/>
      <c r="K899" s="198"/>
      <c r="L899" s="198"/>
    </row>
    <row r="900">
      <c r="A900" s="198"/>
      <c r="B900" s="208" t="str">
        <f>vlookup(A900,Price!A:B,2,false)</f>
        <v>#N/A</v>
      </c>
      <c r="C900" s="198"/>
      <c r="D900" s="198"/>
      <c r="E900" s="198"/>
      <c r="F900" s="198"/>
      <c r="G900" s="198"/>
      <c r="H900" s="198"/>
      <c r="I900" s="198"/>
      <c r="J900" s="198"/>
      <c r="K900" s="198"/>
      <c r="L900" s="198"/>
    </row>
    <row r="901">
      <c r="A901" s="198"/>
      <c r="B901" s="208" t="str">
        <f>vlookup(A901,Price!A:B,2,false)</f>
        <v>#N/A</v>
      </c>
      <c r="C901" s="198"/>
      <c r="D901" s="198"/>
      <c r="E901" s="198"/>
      <c r="F901" s="198"/>
      <c r="G901" s="198"/>
      <c r="H901" s="198"/>
      <c r="I901" s="198"/>
      <c r="J901" s="198"/>
      <c r="K901" s="198"/>
      <c r="L901" s="198"/>
    </row>
    <row r="902">
      <c r="A902" s="198"/>
      <c r="B902" s="208" t="str">
        <f>vlookup(A902,Price!A:B,2,false)</f>
        <v>#N/A</v>
      </c>
      <c r="C902" s="198"/>
      <c r="D902" s="198"/>
      <c r="E902" s="198"/>
      <c r="F902" s="198"/>
      <c r="G902" s="198"/>
      <c r="H902" s="198"/>
      <c r="I902" s="198"/>
      <c r="J902" s="198"/>
      <c r="K902" s="198"/>
      <c r="L902" s="198"/>
    </row>
    <row r="903">
      <c r="A903" s="198"/>
      <c r="B903" s="208" t="str">
        <f>vlookup(A903,Price!A:B,2,false)</f>
        <v>#N/A</v>
      </c>
      <c r="C903" s="198"/>
      <c r="D903" s="198"/>
      <c r="E903" s="198"/>
      <c r="F903" s="198"/>
      <c r="G903" s="198"/>
      <c r="H903" s="198"/>
      <c r="I903" s="198"/>
      <c r="J903" s="198"/>
      <c r="K903" s="198"/>
      <c r="L903" s="198"/>
    </row>
    <row r="904">
      <c r="A904" s="198"/>
      <c r="B904" s="208" t="str">
        <f>vlookup(A904,Price!A:B,2,false)</f>
        <v>#N/A</v>
      </c>
      <c r="C904" s="198"/>
      <c r="D904" s="198"/>
      <c r="E904" s="198"/>
      <c r="F904" s="198"/>
      <c r="G904" s="198"/>
      <c r="H904" s="198"/>
      <c r="I904" s="198"/>
      <c r="J904" s="198"/>
      <c r="K904" s="198"/>
      <c r="L904" s="198"/>
    </row>
    <row r="905">
      <c r="A905" s="198"/>
      <c r="B905" s="208" t="str">
        <f>vlookup(A905,Price!A:B,2,false)</f>
        <v>#N/A</v>
      </c>
      <c r="C905" s="198"/>
      <c r="D905" s="198"/>
      <c r="E905" s="198"/>
      <c r="F905" s="198"/>
      <c r="G905" s="198"/>
      <c r="H905" s="198"/>
      <c r="I905" s="198"/>
      <c r="J905" s="198"/>
      <c r="K905" s="198"/>
      <c r="L905" s="198"/>
    </row>
    <row r="906">
      <c r="A906" s="198"/>
      <c r="B906" s="208" t="str">
        <f>vlookup(A906,Price!A:B,2,false)</f>
        <v>#N/A</v>
      </c>
      <c r="C906" s="198"/>
      <c r="D906" s="198"/>
      <c r="E906" s="198"/>
      <c r="F906" s="198"/>
      <c r="G906" s="198"/>
      <c r="H906" s="198"/>
      <c r="I906" s="198"/>
      <c r="J906" s="198"/>
      <c r="K906" s="198"/>
      <c r="L906" s="198"/>
    </row>
    <row r="907">
      <c r="A907" s="198"/>
      <c r="B907" s="208" t="str">
        <f>vlookup(A907,Price!A:B,2,false)</f>
        <v>#N/A</v>
      </c>
      <c r="C907" s="198"/>
      <c r="D907" s="198"/>
      <c r="E907" s="198"/>
      <c r="F907" s="198"/>
      <c r="G907" s="198"/>
      <c r="H907" s="198"/>
      <c r="I907" s="198"/>
      <c r="J907" s="198"/>
      <c r="K907" s="198"/>
      <c r="L907" s="198"/>
    </row>
    <row r="908">
      <c r="A908" s="198"/>
      <c r="B908" s="208" t="str">
        <f>vlookup(A908,Price!A:B,2,false)</f>
        <v>#N/A</v>
      </c>
      <c r="C908" s="198"/>
      <c r="D908" s="198"/>
      <c r="E908" s="198"/>
      <c r="F908" s="198"/>
      <c r="G908" s="198"/>
      <c r="H908" s="198"/>
      <c r="I908" s="198"/>
      <c r="J908" s="198"/>
      <c r="K908" s="198"/>
      <c r="L908" s="198"/>
    </row>
    <row r="909">
      <c r="A909" s="198"/>
      <c r="B909" s="208" t="str">
        <f>vlookup(A909,Price!A:B,2,false)</f>
        <v>#N/A</v>
      </c>
      <c r="C909" s="198"/>
      <c r="D909" s="198"/>
      <c r="E909" s="198"/>
      <c r="F909" s="198"/>
      <c r="G909" s="198"/>
      <c r="H909" s="198"/>
      <c r="I909" s="198"/>
      <c r="J909" s="198"/>
      <c r="K909" s="198"/>
      <c r="L909" s="198"/>
    </row>
    <row r="910">
      <c r="A910" s="198"/>
      <c r="B910" s="208" t="str">
        <f>vlookup(A910,Price!A:B,2,false)</f>
        <v>#N/A</v>
      </c>
      <c r="C910" s="198"/>
      <c r="D910" s="198"/>
      <c r="E910" s="198"/>
      <c r="F910" s="198"/>
      <c r="G910" s="198"/>
      <c r="H910" s="198"/>
      <c r="I910" s="198"/>
      <c r="J910" s="198"/>
      <c r="K910" s="198"/>
      <c r="L910" s="198"/>
    </row>
    <row r="911">
      <c r="A911" s="198"/>
      <c r="B911" s="208" t="str">
        <f>vlookup(A911,Price!A:B,2,false)</f>
        <v>#N/A</v>
      </c>
      <c r="C911" s="198"/>
      <c r="D911" s="198"/>
      <c r="E911" s="198"/>
      <c r="F911" s="198"/>
      <c r="G911" s="198"/>
      <c r="H911" s="198"/>
      <c r="I911" s="198"/>
      <c r="J911" s="198"/>
      <c r="K911" s="198"/>
      <c r="L911" s="198"/>
    </row>
    <row r="912">
      <c r="A912" s="198"/>
      <c r="B912" s="208" t="str">
        <f>vlookup(A912,Price!A:B,2,false)</f>
        <v>#N/A</v>
      </c>
      <c r="C912" s="198"/>
      <c r="D912" s="198"/>
      <c r="E912" s="198"/>
      <c r="F912" s="198"/>
      <c r="G912" s="198"/>
      <c r="H912" s="198"/>
      <c r="I912" s="198"/>
      <c r="J912" s="198"/>
      <c r="K912" s="198"/>
      <c r="L912" s="198"/>
    </row>
    <row r="913">
      <c r="A913" s="198"/>
      <c r="B913" s="208" t="str">
        <f>vlookup(A913,Price!A:B,2,false)</f>
        <v>#N/A</v>
      </c>
      <c r="C913" s="198"/>
      <c r="D913" s="198"/>
      <c r="E913" s="198"/>
      <c r="F913" s="198"/>
      <c r="G913" s="198"/>
      <c r="H913" s="198"/>
      <c r="I913" s="198"/>
      <c r="J913" s="198"/>
      <c r="K913" s="198"/>
      <c r="L913" s="198"/>
    </row>
    <row r="914">
      <c r="A914" s="198"/>
      <c r="B914" s="208" t="str">
        <f>vlookup(A914,Price!A:B,2,false)</f>
        <v>#N/A</v>
      </c>
      <c r="C914" s="198"/>
      <c r="D914" s="198"/>
      <c r="E914" s="198"/>
      <c r="F914" s="198"/>
      <c r="G914" s="198"/>
      <c r="H914" s="198"/>
      <c r="I914" s="198"/>
      <c r="J914" s="198"/>
      <c r="K914" s="198"/>
      <c r="L914" s="198"/>
    </row>
    <row r="915">
      <c r="A915" s="198"/>
      <c r="B915" s="208" t="str">
        <f>vlookup(A915,Price!A:B,2,false)</f>
        <v>#N/A</v>
      </c>
      <c r="C915" s="198"/>
      <c r="D915" s="198"/>
      <c r="E915" s="198"/>
      <c r="F915" s="198"/>
      <c r="G915" s="198"/>
      <c r="H915" s="198"/>
      <c r="I915" s="198"/>
      <c r="J915" s="198"/>
      <c r="K915" s="198"/>
      <c r="L915" s="198"/>
    </row>
    <row r="916">
      <c r="A916" s="198"/>
      <c r="B916" s="208" t="str">
        <f>vlookup(A916,Price!A:B,2,false)</f>
        <v>#N/A</v>
      </c>
      <c r="C916" s="198"/>
      <c r="D916" s="198"/>
      <c r="E916" s="198"/>
      <c r="F916" s="198"/>
      <c r="G916" s="198"/>
      <c r="H916" s="198"/>
      <c r="I916" s="198"/>
      <c r="J916" s="198"/>
      <c r="K916" s="198"/>
      <c r="L916" s="198"/>
    </row>
    <row r="917">
      <c r="A917" s="198"/>
      <c r="B917" s="208" t="str">
        <f>vlookup(A917,Price!A:B,2,false)</f>
        <v>#N/A</v>
      </c>
      <c r="C917" s="198"/>
      <c r="D917" s="198"/>
      <c r="E917" s="198"/>
      <c r="F917" s="198"/>
      <c r="G917" s="198"/>
      <c r="H917" s="198"/>
      <c r="I917" s="198"/>
      <c r="J917" s="198"/>
      <c r="K917" s="198"/>
      <c r="L917" s="198"/>
    </row>
    <row r="918">
      <c r="A918" s="198"/>
      <c r="B918" s="208" t="str">
        <f>vlookup(A918,Price!A:B,2,false)</f>
        <v>#N/A</v>
      </c>
      <c r="C918" s="198"/>
      <c r="D918" s="198"/>
      <c r="E918" s="198"/>
      <c r="F918" s="198"/>
      <c r="G918" s="198"/>
      <c r="H918" s="198"/>
      <c r="I918" s="198"/>
      <c r="J918" s="198"/>
      <c r="K918" s="198"/>
      <c r="L918" s="198"/>
    </row>
    <row r="919">
      <c r="A919" s="198"/>
      <c r="B919" s="208" t="str">
        <f>vlookup(A919,Price!A:B,2,false)</f>
        <v>#N/A</v>
      </c>
      <c r="C919" s="198"/>
      <c r="D919" s="198"/>
      <c r="E919" s="198"/>
      <c r="F919" s="198"/>
      <c r="G919" s="198"/>
      <c r="H919" s="198"/>
      <c r="I919" s="198"/>
      <c r="J919" s="198"/>
      <c r="K919" s="198"/>
      <c r="L919" s="198"/>
    </row>
    <row r="920">
      <c r="A920" s="198"/>
      <c r="B920" s="208" t="str">
        <f>vlookup(A920,Price!A:B,2,false)</f>
        <v>#N/A</v>
      </c>
      <c r="C920" s="198"/>
      <c r="D920" s="198"/>
      <c r="E920" s="198"/>
      <c r="F920" s="198"/>
      <c r="G920" s="198"/>
      <c r="H920" s="198"/>
      <c r="I920" s="198"/>
      <c r="J920" s="198"/>
      <c r="K920" s="198"/>
      <c r="L920" s="198"/>
    </row>
    <row r="921">
      <c r="A921" s="198"/>
      <c r="B921" s="208" t="str">
        <f>vlookup(A921,Price!A:B,2,false)</f>
        <v>#N/A</v>
      </c>
      <c r="C921" s="198"/>
      <c r="D921" s="198"/>
      <c r="E921" s="198"/>
      <c r="F921" s="198"/>
      <c r="G921" s="198"/>
      <c r="H921" s="198"/>
      <c r="I921" s="198"/>
      <c r="J921" s="198"/>
      <c r="K921" s="198"/>
      <c r="L921" s="198"/>
    </row>
    <row r="922">
      <c r="A922" s="198"/>
      <c r="B922" s="208" t="str">
        <f>vlookup(A922,Price!A:B,2,false)</f>
        <v>#N/A</v>
      </c>
      <c r="C922" s="198"/>
      <c r="D922" s="198"/>
      <c r="E922" s="198"/>
      <c r="F922" s="198"/>
      <c r="G922" s="198"/>
      <c r="H922" s="198"/>
      <c r="I922" s="198"/>
      <c r="J922" s="198"/>
      <c r="K922" s="198"/>
      <c r="L922" s="198"/>
    </row>
    <row r="923">
      <c r="A923" s="198"/>
      <c r="B923" s="208" t="str">
        <f>vlookup(A923,Price!A:B,2,false)</f>
        <v>#N/A</v>
      </c>
      <c r="C923" s="198"/>
      <c r="D923" s="198"/>
      <c r="E923" s="198"/>
      <c r="F923" s="198"/>
      <c r="G923" s="198"/>
      <c r="H923" s="198"/>
      <c r="I923" s="198"/>
      <c r="J923" s="198"/>
      <c r="K923" s="198"/>
      <c r="L923" s="198"/>
    </row>
    <row r="924">
      <c r="A924" s="198"/>
      <c r="B924" s="208" t="str">
        <f>vlookup(A924,Price!A:B,2,false)</f>
        <v>#N/A</v>
      </c>
      <c r="C924" s="198"/>
      <c r="D924" s="198"/>
      <c r="E924" s="198"/>
      <c r="F924" s="198"/>
      <c r="G924" s="198"/>
      <c r="H924" s="198"/>
      <c r="I924" s="198"/>
      <c r="J924" s="198"/>
      <c r="K924" s="198"/>
      <c r="L924" s="198"/>
    </row>
    <row r="925">
      <c r="A925" s="198"/>
      <c r="B925" s="208" t="str">
        <f>vlookup(A925,Price!A:B,2,false)</f>
        <v>#N/A</v>
      </c>
      <c r="C925" s="198"/>
      <c r="D925" s="198"/>
      <c r="E925" s="198"/>
      <c r="F925" s="198"/>
      <c r="G925" s="198"/>
      <c r="H925" s="198"/>
      <c r="I925" s="198"/>
      <c r="J925" s="198"/>
      <c r="K925" s="198"/>
      <c r="L925" s="198"/>
    </row>
    <row r="926">
      <c r="A926" s="198"/>
      <c r="B926" s="208" t="str">
        <f>vlookup(A926,Price!A:B,2,false)</f>
        <v>#N/A</v>
      </c>
      <c r="C926" s="198"/>
      <c r="D926" s="198"/>
      <c r="E926" s="198"/>
      <c r="F926" s="198"/>
      <c r="G926" s="198"/>
      <c r="H926" s="198"/>
      <c r="I926" s="198"/>
      <c r="J926" s="198"/>
      <c r="K926" s="198"/>
      <c r="L926" s="198"/>
    </row>
    <row r="927">
      <c r="A927" s="198"/>
      <c r="B927" s="208" t="str">
        <f>vlookup(A927,Price!A:B,2,false)</f>
        <v>#N/A</v>
      </c>
      <c r="C927" s="198"/>
      <c r="D927" s="198"/>
      <c r="E927" s="198"/>
      <c r="F927" s="198"/>
      <c r="G927" s="198"/>
      <c r="H927" s="198"/>
      <c r="I927" s="198"/>
      <c r="J927" s="198"/>
      <c r="K927" s="198"/>
      <c r="L927" s="198"/>
    </row>
    <row r="928">
      <c r="A928" s="198"/>
      <c r="B928" s="208" t="str">
        <f>vlookup(A928,Price!A:B,2,false)</f>
        <v>#N/A</v>
      </c>
      <c r="C928" s="198"/>
      <c r="D928" s="198"/>
      <c r="E928" s="198"/>
      <c r="F928" s="198"/>
      <c r="G928" s="198"/>
      <c r="H928" s="198"/>
      <c r="I928" s="198"/>
      <c r="J928" s="198"/>
      <c r="K928" s="198"/>
      <c r="L928" s="198"/>
    </row>
    <row r="929">
      <c r="A929" s="198"/>
      <c r="B929" s="208" t="str">
        <f>vlookup(A929,Price!A:B,2,false)</f>
        <v>#N/A</v>
      </c>
      <c r="C929" s="198"/>
      <c r="D929" s="198"/>
      <c r="E929" s="198"/>
      <c r="F929" s="198"/>
      <c r="G929" s="198"/>
      <c r="H929" s="198"/>
      <c r="I929" s="198"/>
      <c r="J929" s="198"/>
      <c r="K929" s="198"/>
      <c r="L929" s="198"/>
    </row>
    <row r="930">
      <c r="A930" s="198"/>
      <c r="B930" s="208" t="str">
        <f>vlookup(A930,Price!A:B,2,false)</f>
        <v>#N/A</v>
      </c>
      <c r="C930" s="198"/>
      <c r="D930" s="198"/>
      <c r="E930" s="198"/>
      <c r="F930" s="198"/>
      <c r="G930" s="198"/>
      <c r="H930" s="198"/>
      <c r="I930" s="198"/>
      <c r="J930" s="198"/>
      <c r="K930" s="198"/>
      <c r="L930" s="198"/>
    </row>
    <row r="931">
      <c r="A931" s="198"/>
      <c r="B931" s="208" t="str">
        <f>vlookup(A931,Price!A:B,2,false)</f>
        <v>#N/A</v>
      </c>
      <c r="C931" s="198"/>
      <c r="D931" s="198"/>
      <c r="E931" s="198"/>
      <c r="F931" s="198"/>
      <c r="G931" s="198"/>
      <c r="H931" s="198"/>
      <c r="I931" s="198"/>
      <c r="J931" s="198"/>
      <c r="K931" s="198"/>
      <c r="L931" s="198"/>
    </row>
    <row r="932">
      <c r="A932" s="198"/>
      <c r="B932" s="208" t="str">
        <f>vlookup(A932,Price!A:B,2,false)</f>
        <v>#N/A</v>
      </c>
      <c r="C932" s="198"/>
      <c r="D932" s="198"/>
      <c r="E932" s="198"/>
      <c r="F932" s="198"/>
      <c r="G932" s="198"/>
      <c r="H932" s="198"/>
      <c r="I932" s="198"/>
      <c r="J932" s="198"/>
      <c r="K932" s="198"/>
      <c r="L932" s="198"/>
    </row>
    <row r="933">
      <c r="A933" s="198"/>
      <c r="B933" s="208" t="str">
        <f>vlookup(A933,Price!A:B,2,false)</f>
        <v>#N/A</v>
      </c>
      <c r="C933" s="198"/>
      <c r="D933" s="198"/>
      <c r="E933" s="198"/>
      <c r="F933" s="198"/>
      <c r="G933" s="198"/>
      <c r="H933" s="198"/>
      <c r="I933" s="198"/>
      <c r="J933" s="198"/>
      <c r="K933" s="198"/>
      <c r="L933" s="198"/>
    </row>
    <row r="934">
      <c r="A934" s="198"/>
      <c r="B934" s="208" t="str">
        <f>vlookup(A934,Price!A:B,2,false)</f>
        <v>#N/A</v>
      </c>
      <c r="C934" s="198"/>
      <c r="D934" s="198"/>
      <c r="E934" s="198"/>
      <c r="F934" s="198"/>
      <c r="G934" s="198"/>
      <c r="H934" s="198"/>
      <c r="I934" s="198"/>
      <c r="J934" s="198"/>
      <c r="K934" s="198"/>
      <c r="L934" s="198"/>
    </row>
    <row r="935">
      <c r="A935" s="198"/>
      <c r="B935" s="208" t="str">
        <f>vlookup(A935,Price!A:B,2,false)</f>
        <v>#N/A</v>
      </c>
      <c r="C935" s="198"/>
      <c r="D935" s="198"/>
      <c r="E935" s="198"/>
      <c r="F935" s="198"/>
      <c r="G935" s="198"/>
      <c r="H935" s="198"/>
      <c r="I935" s="198"/>
      <c r="J935" s="198"/>
      <c r="K935" s="198"/>
      <c r="L935" s="198"/>
    </row>
    <row r="936">
      <c r="A936" s="198"/>
      <c r="B936" s="208" t="str">
        <f>vlookup(A936,Price!A:B,2,false)</f>
        <v>#N/A</v>
      </c>
      <c r="C936" s="198"/>
      <c r="D936" s="198"/>
      <c r="E936" s="198"/>
      <c r="F936" s="198"/>
      <c r="G936" s="198"/>
      <c r="H936" s="198"/>
      <c r="I936" s="198"/>
      <c r="J936" s="198"/>
      <c r="K936" s="198"/>
      <c r="L936" s="198"/>
    </row>
    <row r="937">
      <c r="A937" s="198"/>
      <c r="B937" s="208" t="str">
        <f>vlookup(A937,Price!A:B,2,false)</f>
        <v>#N/A</v>
      </c>
      <c r="C937" s="198"/>
      <c r="D937" s="198"/>
      <c r="E937" s="198"/>
      <c r="F937" s="198"/>
      <c r="G937" s="198"/>
      <c r="H937" s="198"/>
      <c r="I937" s="198"/>
      <c r="J937" s="198"/>
      <c r="K937" s="198"/>
      <c r="L937" s="198"/>
    </row>
    <row r="938">
      <c r="A938" s="198"/>
      <c r="B938" s="208" t="str">
        <f>vlookup(A938,Price!A:B,2,false)</f>
        <v>#N/A</v>
      </c>
      <c r="C938" s="198"/>
      <c r="D938" s="198"/>
      <c r="E938" s="198"/>
      <c r="F938" s="198"/>
      <c r="G938" s="198"/>
      <c r="H938" s="198"/>
      <c r="I938" s="198"/>
      <c r="J938" s="198"/>
      <c r="K938" s="198"/>
      <c r="L938" s="198"/>
    </row>
    <row r="939">
      <c r="A939" s="198"/>
      <c r="B939" s="208" t="str">
        <f>vlookup(A939,Price!A:B,2,false)</f>
        <v>#N/A</v>
      </c>
      <c r="C939" s="198"/>
      <c r="D939" s="198"/>
      <c r="E939" s="198"/>
      <c r="F939" s="198"/>
      <c r="G939" s="198"/>
      <c r="H939" s="198"/>
      <c r="I939" s="198"/>
      <c r="J939" s="198"/>
      <c r="K939" s="198"/>
      <c r="L939" s="198"/>
    </row>
    <row r="940">
      <c r="A940" s="198"/>
      <c r="B940" s="208" t="str">
        <f>vlookup(A940,Price!A:B,2,false)</f>
        <v>#N/A</v>
      </c>
      <c r="C940" s="198"/>
      <c r="D940" s="198"/>
      <c r="E940" s="198"/>
      <c r="F940" s="198"/>
      <c r="G940" s="198"/>
      <c r="H940" s="198"/>
      <c r="I940" s="198"/>
      <c r="J940" s="198"/>
      <c r="K940" s="198"/>
      <c r="L940" s="198"/>
    </row>
    <row r="941">
      <c r="A941" s="198"/>
      <c r="B941" s="208" t="str">
        <f>vlookup(A941,Price!A:B,2,false)</f>
        <v>#N/A</v>
      </c>
      <c r="C941" s="198"/>
      <c r="D941" s="198"/>
      <c r="E941" s="198"/>
      <c r="F941" s="198"/>
      <c r="G941" s="198"/>
      <c r="H941" s="198"/>
      <c r="I941" s="198"/>
      <c r="J941" s="198"/>
      <c r="K941" s="198"/>
      <c r="L941" s="198"/>
    </row>
    <row r="942">
      <c r="A942" s="198"/>
      <c r="B942" s="208" t="str">
        <f>vlookup(A942,Price!A:B,2,false)</f>
        <v>#N/A</v>
      </c>
      <c r="C942" s="198"/>
      <c r="D942" s="198"/>
      <c r="E942" s="198"/>
      <c r="F942" s="198"/>
      <c r="G942" s="198"/>
      <c r="H942" s="198"/>
      <c r="I942" s="198"/>
      <c r="J942" s="198"/>
      <c r="K942" s="198"/>
      <c r="L942" s="198"/>
    </row>
    <row r="943">
      <c r="A943" s="198"/>
      <c r="B943" s="208" t="str">
        <f>vlookup(A943,Price!A:B,2,false)</f>
        <v>#N/A</v>
      </c>
      <c r="C943" s="198"/>
      <c r="D943" s="198"/>
      <c r="E943" s="198"/>
      <c r="F943" s="198"/>
      <c r="G943" s="198"/>
      <c r="H943" s="198"/>
      <c r="I943" s="198"/>
      <c r="J943" s="198"/>
      <c r="K943" s="198"/>
      <c r="L943" s="198"/>
    </row>
    <row r="944">
      <c r="A944" s="198"/>
      <c r="B944" s="208" t="str">
        <f>vlookup(A944,Price!A:B,2,false)</f>
        <v>#N/A</v>
      </c>
      <c r="C944" s="198"/>
      <c r="D944" s="198"/>
      <c r="E944" s="198"/>
      <c r="F944" s="198"/>
      <c r="G944" s="198"/>
      <c r="H944" s="198"/>
      <c r="I944" s="198"/>
      <c r="J944" s="198"/>
      <c r="K944" s="198"/>
      <c r="L944" s="198"/>
    </row>
    <row r="945">
      <c r="A945" s="198"/>
      <c r="B945" s="208" t="str">
        <f>vlookup(A945,Price!A:B,2,false)</f>
        <v>#N/A</v>
      </c>
      <c r="C945" s="198"/>
      <c r="D945" s="198"/>
      <c r="E945" s="198"/>
      <c r="F945" s="198"/>
      <c r="G945" s="198"/>
      <c r="H945" s="198"/>
      <c r="I945" s="198"/>
      <c r="J945" s="198"/>
      <c r="K945" s="198"/>
      <c r="L945" s="198"/>
    </row>
    <row r="946">
      <c r="A946" s="198"/>
      <c r="B946" s="208" t="str">
        <f>vlookup(A946,Price!A:B,2,false)</f>
        <v>#N/A</v>
      </c>
      <c r="C946" s="198"/>
      <c r="D946" s="198"/>
      <c r="E946" s="198"/>
      <c r="F946" s="198"/>
      <c r="G946" s="198"/>
      <c r="H946" s="198"/>
      <c r="I946" s="198"/>
      <c r="J946" s="198"/>
      <c r="K946" s="198"/>
      <c r="L946" s="198"/>
    </row>
    <row r="947">
      <c r="A947" s="198"/>
      <c r="B947" s="208" t="str">
        <f>vlookup(A947,Price!A:B,2,false)</f>
        <v>#N/A</v>
      </c>
      <c r="C947" s="198"/>
      <c r="D947" s="198"/>
      <c r="E947" s="198"/>
      <c r="F947" s="198"/>
      <c r="G947" s="198"/>
      <c r="H947" s="198"/>
      <c r="I947" s="198"/>
      <c r="J947" s="198"/>
      <c r="K947" s="198"/>
      <c r="L947" s="198"/>
    </row>
    <row r="948">
      <c r="A948" s="198"/>
      <c r="B948" s="208" t="str">
        <f>vlookup(A948,Price!A:B,2,false)</f>
        <v>#N/A</v>
      </c>
      <c r="C948" s="198"/>
      <c r="D948" s="198"/>
      <c r="E948" s="198"/>
      <c r="F948" s="198"/>
      <c r="G948" s="198"/>
      <c r="H948" s="198"/>
      <c r="I948" s="198"/>
      <c r="J948" s="198"/>
      <c r="K948" s="198"/>
      <c r="L948" s="198"/>
    </row>
    <row r="949">
      <c r="A949" s="198"/>
      <c r="B949" s="208" t="str">
        <f>vlookup(A949,Price!A:B,2,false)</f>
        <v>#N/A</v>
      </c>
      <c r="C949" s="198"/>
      <c r="D949" s="198"/>
      <c r="E949" s="198"/>
      <c r="F949" s="198"/>
      <c r="G949" s="198"/>
      <c r="H949" s="198"/>
      <c r="I949" s="198"/>
      <c r="J949" s="198"/>
      <c r="K949" s="198"/>
      <c r="L949" s="198"/>
    </row>
    <row r="950">
      <c r="A950" s="198"/>
      <c r="B950" s="208" t="str">
        <f>vlookup(A950,Price!A:B,2,false)</f>
        <v>#N/A</v>
      </c>
      <c r="C950" s="198"/>
      <c r="D950" s="198"/>
      <c r="E950" s="198"/>
      <c r="F950" s="198"/>
      <c r="G950" s="198"/>
      <c r="H950" s="198"/>
      <c r="I950" s="198"/>
      <c r="J950" s="198"/>
      <c r="K950" s="198"/>
      <c r="L950" s="198"/>
    </row>
    <row r="951">
      <c r="A951" s="198"/>
      <c r="B951" s="208" t="str">
        <f>vlookup(A951,Price!A:B,2,false)</f>
        <v>#N/A</v>
      </c>
      <c r="C951" s="198"/>
      <c r="D951" s="198"/>
      <c r="E951" s="198"/>
      <c r="F951" s="198"/>
      <c r="G951" s="198"/>
      <c r="H951" s="198"/>
      <c r="I951" s="198"/>
      <c r="J951" s="198"/>
      <c r="K951" s="198"/>
      <c r="L951" s="198"/>
    </row>
    <row r="952">
      <c r="A952" s="198"/>
      <c r="B952" s="208" t="str">
        <f>vlookup(A952,Price!A:B,2,false)</f>
        <v>#N/A</v>
      </c>
      <c r="C952" s="198"/>
      <c r="D952" s="198"/>
      <c r="E952" s="198"/>
      <c r="F952" s="198"/>
      <c r="G952" s="198"/>
      <c r="H952" s="198"/>
      <c r="I952" s="198"/>
      <c r="J952" s="198"/>
      <c r="K952" s="198"/>
      <c r="L952" s="198"/>
    </row>
    <row r="953">
      <c r="A953" s="198"/>
      <c r="B953" s="208" t="str">
        <f>vlookup(A953,Price!A:B,2,false)</f>
        <v>#N/A</v>
      </c>
      <c r="C953" s="198"/>
      <c r="D953" s="198"/>
      <c r="E953" s="198"/>
      <c r="F953" s="198"/>
      <c r="G953" s="198"/>
      <c r="H953" s="198"/>
      <c r="I953" s="198"/>
      <c r="J953" s="198"/>
      <c r="K953" s="198"/>
      <c r="L953" s="198"/>
    </row>
    <row r="954">
      <c r="A954" s="198"/>
      <c r="B954" s="208" t="str">
        <f>vlookup(A954,Price!A:B,2,false)</f>
        <v>#N/A</v>
      </c>
      <c r="C954" s="198"/>
      <c r="D954" s="198"/>
      <c r="E954" s="198"/>
      <c r="F954" s="198"/>
      <c r="G954" s="198"/>
      <c r="H954" s="198"/>
      <c r="I954" s="198"/>
      <c r="J954" s="198"/>
      <c r="K954" s="198"/>
      <c r="L954" s="198"/>
    </row>
    <row r="955">
      <c r="A955" s="198"/>
      <c r="B955" s="208" t="str">
        <f>vlookup(A955,Price!A:B,2,false)</f>
        <v>#N/A</v>
      </c>
      <c r="C955" s="198"/>
      <c r="D955" s="198"/>
      <c r="E955" s="198"/>
      <c r="F955" s="198"/>
      <c r="G955" s="198"/>
      <c r="H955" s="198"/>
      <c r="I955" s="198"/>
      <c r="J955" s="198"/>
      <c r="K955" s="198"/>
      <c r="L955" s="198"/>
    </row>
    <row r="956">
      <c r="A956" s="198"/>
      <c r="B956" s="208" t="str">
        <f>vlookup(A956,Price!A:B,2,false)</f>
        <v>#N/A</v>
      </c>
      <c r="C956" s="198"/>
      <c r="D956" s="198"/>
      <c r="E956" s="198"/>
      <c r="F956" s="198"/>
      <c r="G956" s="198"/>
      <c r="H956" s="198"/>
      <c r="I956" s="198"/>
      <c r="J956" s="198"/>
      <c r="K956" s="198"/>
      <c r="L956" s="198"/>
    </row>
    <row r="957">
      <c r="A957" s="198"/>
      <c r="B957" s="208" t="str">
        <f>vlookup(A957,Price!A:B,2,false)</f>
        <v>#N/A</v>
      </c>
      <c r="C957" s="198"/>
      <c r="D957" s="198"/>
      <c r="E957" s="198"/>
      <c r="F957" s="198"/>
      <c r="G957" s="198"/>
      <c r="H957" s="198"/>
      <c r="I957" s="198"/>
      <c r="J957" s="198"/>
      <c r="K957" s="198"/>
      <c r="L957" s="198"/>
    </row>
    <row r="958">
      <c r="A958" s="198"/>
      <c r="B958" s="208" t="str">
        <f>vlookup(A958,Price!A:B,2,false)</f>
        <v>#N/A</v>
      </c>
      <c r="C958" s="198"/>
      <c r="D958" s="198"/>
      <c r="E958" s="198"/>
      <c r="F958" s="198"/>
      <c r="G958" s="198"/>
      <c r="H958" s="198"/>
      <c r="I958" s="198"/>
      <c r="J958" s="198"/>
      <c r="K958" s="198"/>
      <c r="L958" s="198"/>
    </row>
    <row r="959">
      <c r="A959" s="198"/>
      <c r="B959" s="208" t="str">
        <f>vlookup(A959,Price!A:B,2,false)</f>
        <v>#N/A</v>
      </c>
      <c r="C959" s="198"/>
      <c r="D959" s="198"/>
      <c r="E959" s="198"/>
      <c r="F959" s="198"/>
      <c r="G959" s="198"/>
      <c r="H959" s="198"/>
      <c r="I959" s="198"/>
      <c r="J959" s="198"/>
      <c r="K959" s="198"/>
      <c r="L959" s="198"/>
    </row>
    <row r="960">
      <c r="A960" s="198"/>
      <c r="B960" s="208" t="str">
        <f>vlookup(A960,Price!A:B,2,false)</f>
        <v>#N/A</v>
      </c>
      <c r="C960" s="198"/>
      <c r="D960" s="198"/>
      <c r="E960" s="198"/>
      <c r="F960" s="198"/>
      <c r="G960" s="198"/>
      <c r="H960" s="198"/>
      <c r="I960" s="198"/>
      <c r="J960" s="198"/>
      <c r="K960" s="198"/>
      <c r="L960" s="198"/>
    </row>
    <row r="961">
      <c r="A961" s="198"/>
      <c r="B961" s="208" t="str">
        <f>vlookup(A961,Price!A:B,2,false)</f>
        <v>#N/A</v>
      </c>
      <c r="C961" s="198"/>
      <c r="D961" s="198"/>
      <c r="E961" s="198"/>
      <c r="F961" s="198"/>
      <c r="G961" s="198"/>
      <c r="H961" s="198"/>
      <c r="I961" s="198"/>
      <c r="J961" s="198"/>
      <c r="K961" s="198"/>
      <c r="L961" s="198"/>
    </row>
    <row r="962">
      <c r="A962" s="198"/>
      <c r="B962" s="208" t="str">
        <f>vlookup(A962,Price!A:B,2,false)</f>
        <v>#N/A</v>
      </c>
      <c r="C962" s="198"/>
      <c r="D962" s="198"/>
      <c r="E962" s="198"/>
      <c r="F962" s="198"/>
      <c r="G962" s="198"/>
      <c r="H962" s="198"/>
      <c r="I962" s="198"/>
      <c r="J962" s="198"/>
      <c r="K962" s="198"/>
      <c r="L962" s="198"/>
    </row>
    <row r="963">
      <c r="A963" s="198"/>
      <c r="B963" s="208" t="str">
        <f>vlookup(A963,Price!A:B,2,false)</f>
        <v>#N/A</v>
      </c>
      <c r="C963" s="198"/>
      <c r="D963" s="198"/>
      <c r="E963" s="198"/>
      <c r="F963" s="198"/>
      <c r="G963" s="198"/>
      <c r="H963" s="198"/>
      <c r="I963" s="198"/>
      <c r="J963" s="198"/>
      <c r="K963" s="198"/>
      <c r="L963" s="198"/>
    </row>
    <row r="964">
      <c r="A964" s="198"/>
      <c r="B964" s="208" t="str">
        <f>vlookup(A964,Price!A:B,2,false)</f>
        <v>#N/A</v>
      </c>
      <c r="C964" s="198"/>
      <c r="D964" s="198"/>
      <c r="E964" s="198"/>
      <c r="F964" s="198"/>
      <c r="G964" s="198"/>
      <c r="H964" s="198"/>
      <c r="I964" s="198"/>
      <c r="J964" s="198"/>
      <c r="K964" s="198"/>
      <c r="L964" s="198"/>
    </row>
    <row r="965">
      <c r="A965" s="198"/>
      <c r="B965" s="208" t="str">
        <f>vlookup(A965,Price!A:B,2,false)</f>
        <v>#N/A</v>
      </c>
      <c r="C965" s="198"/>
      <c r="D965" s="198"/>
      <c r="E965" s="198"/>
      <c r="F965" s="198"/>
      <c r="G965" s="198"/>
      <c r="H965" s="198"/>
      <c r="I965" s="198"/>
      <c r="J965" s="198"/>
      <c r="K965" s="198"/>
      <c r="L965" s="198"/>
    </row>
    <row r="966">
      <c r="A966" s="198"/>
      <c r="B966" s="208" t="str">
        <f>vlookup(A966,Price!A:B,2,false)</f>
        <v>#N/A</v>
      </c>
      <c r="C966" s="198"/>
      <c r="D966" s="198"/>
      <c r="E966" s="198"/>
      <c r="F966" s="198"/>
      <c r="G966" s="198"/>
      <c r="H966" s="198"/>
      <c r="I966" s="198"/>
      <c r="J966" s="198"/>
      <c r="K966" s="198"/>
      <c r="L966" s="198"/>
    </row>
    <row r="967">
      <c r="A967" s="198"/>
      <c r="B967" s="208" t="str">
        <f>vlookup(A967,Price!A:B,2,false)</f>
        <v>#N/A</v>
      </c>
      <c r="C967" s="198"/>
      <c r="D967" s="198"/>
      <c r="E967" s="198"/>
      <c r="F967" s="198"/>
      <c r="G967" s="198"/>
      <c r="H967" s="198"/>
      <c r="I967" s="198"/>
      <c r="J967" s="198"/>
      <c r="K967" s="198"/>
      <c r="L967" s="198"/>
    </row>
    <row r="968">
      <c r="A968" s="198"/>
      <c r="B968" s="208" t="str">
        <f>vlookup(A968,Price!A:B,2,false)</f>
        <v>#N/A</v>
      </c>
      <c r="C968" s="198"/>
      <c r="D968" s="198"/>
      <c r="E968" s="198"/>
      <c r="F968" s="198"/>
      <c r="G968" s="198"/>
      <c r="H968" s="198"/>
      <c r="I968" s="198"/>
      <c r="J968" s="198"/>
      <c r="K968" s="198"/>
      <c r="L968" s="198"/>
    </row>
    <row r="969">
      <c r="A969" s="198"/>
      <c r="B969" s="208" t="str">
        <f>vlookup(A969,Price!A:B,2,false)</f>
        <v>#N/A</v>
      </c>
      <c r="C969" s="198"/>
      <c r="D969" s="198"/>
      <c r="E969" s="198"/>
      <c r="F969" s="198"/>
      <c r="G969" s="198"/>
      <c r="H969" s="198"/>
      <c r="I969" s="198"/>
      <c r="J969" s="198"/>
      <c r="K969" s="198"/>
      <c r="L969" s="198"/>
    </row>
    <row r="970">
      <c r="A970" s="198"/>
      <c r="B970" s="208" t="str">
        <f>vlookup(A970,Price!A:B,2,false)</f>
        <v>#N/A</v>
      </c>
      <c r="C970" s="198"/>
      <c r="D970" s="198"/>
      <c r="E970" s="198"/>
      <c r="F970" s="198"/>
      <c r="G970" s="198"/>
      <c r="H970" s="198"/>
      <c r="I970" s="198"/>
      <c r="J970" s="198"/>
      <c r="K970" s="198"/>
      <c r="L970" s="198"/>
    </row>
    <row r="971">
      <c r="A971" s="198"/>
      <c r="B971" s="208" t="str">
        <f>vlookup(A971,Price!A:B,2,false)</f>
        <v>#N/A</v>
      </c>
      <c r="C971" s="198"/>
      <c r="D971" s="198"/>
      <c r="E971" s="198"/>
      <c r="F971" s="198"/>
      <c r="G971" s="198"/>
      <c r="H971" s="198"/>
      <c r="I971" s="198"/>
      <c r="J971" s="198"/>
      <c r="K971" s="198"/>
      <c r="L971" s="198"/>
    </row>
    <row r="972">
      <c r="A972" s="198"/>
      <c r="B972" s="208" t="str">
        <f>vlookup(A972,Price!A:B,2,false)</f>
        <v>#N/A</v>
      </c>
      <c r="C972" s="198"/>
      <c r="D972" s="198"/>
      <c r="E972" s="198"/>
      <c r="F972" s="198"/>
      <c r="G972" s="198"/>
      <c r="H972" s="198"/>
      <c r="I972" s="198"/>
      <c r="J972" s="198"/>
      <c r="K972" s="198"/>
      <c r="L972" s="198"/>
    </row>
    <row r="973">
      <c r="A973" s="198"/>
      <c r="B973" s="208" t="str">
        <f>vlookup(A973,Price!A:B,2,false)</f>
        <v>#N/A</v>
      </c>
      <c r="C973" s="198"/>
      <c r="D973" s="198"/>
      <c r="E973" s="198"/>
      <c r="F973" s="198"/>
      <c r="G973" s="198"/>
      <c r="H973" s="198"/>
      <c r="I973" s="198"/>
      <c r="J973" s="198"/>
      <c r="K973" s="198"/>
      <c r="L973" s="198"/>
    </row>
    <row r="974">
      <c r="A974" s="198"/>
      <c r="B974" s="208" t="str">
        <f>vlookup(A974,Price!A:B,2,false)</f>
        <v>#N/A</v>
      </c>
      <c r="C974" s="198"/>
      <c r="D974" s="198"/>
      <c r="E974" s="198"/>
      <c r="F974" s="198"/>
      <c r="G974" s="198"/>
      <c r="H974" s="198"/>
      <c r="I974" s="198"/>
      <c r="J974" s="198"/>
      <c r="K974" s="198"/>
      <c r="L974" s="198"/>
    </row>
    <row r="975">
      <c r="A975" s="198"/>
      <c r="B975" s="208" t="str">
        <f>vlookup(A975,Price!A:B,2,false)</f>
        <v>#N/A</v>
      </c>
      <c r="C975" s="198"/>
      <c r="D975" s="198"/>
      <c r="E975" s="198"/>
      <c r="F975" s="198"/>
      <c r="G975" s="198"/>
      <c r="H975" s="198"/>
      <c r="I975" s="198"/>
      <c r="J975" s="198"/>
      <c r="K975" s="198"/>
      <c r="L975" s="198"/>
    </row>
    <row r="976">
      <c r="A976" s="198"/>
      <c r="B976" s="208" t="str">
        <f>vlookup(A976,Price!A:B,2,false)</f>
        <v>#N/A</v>
      </c>
      <c r="C976" s="198"/>
      <c r="D976" s="198"/>
      <c r="E976" s="198"/>
      <c r="F976" s="198"/>
      <c r="G976" s="198"/>
      <c r="H976" s="198"/>
      <c r="I976" s="198"/>
      <c r="J976" s="198"/>
      <c r="K976" s="198"/>
      <c r="L976" s="198"/>
    </row>
    <row r="977">
      <c r="A977" s="198"/>
      <c r="B977" s="208" t="str">
        <f>vlookup(A977,Price!A:B,2,false)</f>
        <v>#N/A</v>
      </c>
      <c r="C977" s="198"/>
      <c r="D977" s="198"/>
      <c r="E977" s="198"/>
      <c r="F977" s="198"/>
      <c r="G977" s="198"/>
      <c r="H977" s="198"/>
      <c r="I977" s="198"/>
      <c r="J977" s="198"/>
      <c r="K977" s="198"/>
      <c r="L977" s="198"/>
    </row>
    <row r="978">
      <c r="A978" s="198"/>
      <c r="B978" s="208" t="str">
        <f>vlookup(A978,Price!A:B,2,false)</f>
        <v>#N/A</v>
      </c>
      <c r="C978" s="198"/>
      <c r="D978" s="198"/>
      <c r="E978" s="198"/>
      <c r="F978" s="198"/>
      <c r="G978" s="198"/>
      <c r="H978" s="198"/>
      <c r="I978" s="198"/>
      <c r="J978" s="198"/>
      <c r="K978" s="198"/>
      <c r="L978" s="198"/>
    </row>
    <row r="979">
      <c r="A979" s="198"/>
      <c r="B979" s="208" t="str">
        <f>vlookup(A979,Price!A:B,2,false)</f>
        <v>#N/A</v>
      </c>
      <c r="C979" s="198"/>
      <c r="D979" s="198"/>
      <c r="E979" s="198"/>
      <c r="F979" s="198"/>
      <c r="G979" s="198"/>
      <c r="H979" s="198"/>
      <c r="I979" s="198"/>
      <c r="J979" s="198"/>
      <c r="K979" s="198"/>
      <c r="L979" s="198"/>
    </row>
    <row r="980">
      <c r="A980" s="198"/>
      <c r="B980" s="208" t="str">
        <f>vlookup(A980,Price!A:B,2,false)</f>
        <v>#N/A</v>
      </c>
      <c r="C980" s="198"/>
      <c r="D980" s="198"/>
      <c r="E980" s="198"/>
      <c r="F980" s="198"/>
      <c r="G980" s="198"/>
      <c r="H980" s="198"/>
      <c r="I980" s="198"/>
      <c r="J980" s="198"/>
      <c r="K980" s="198"/>
      <c r="L980" s="198"/>
    </row>
    <row r="981">
      <c r="A981" s="198"/>
      <c r="B981" s="208" t="str">
        <f>vlookup(A981,Price!A:B,2,false)</f>
        <v>#N/A</v>
      </c>
      <c r="C981" s="198"/>
      <c r="D981" s="198"/>
      <c r="E981" s="198"/>
      <c r="F981" s="198"/>
      <c r="G981" s="198"/>
      <c r="H981" s="198"/>
      <c r="I981" s="198"/>
      <c r="J981" s="198"/>
      <c r="K981" s="198"/>
      <c r="L981" s="198"/>
    </row>
    <row r="982">
      <c r="A982" s="198"/>
      <c r="B982" s="208" t="str">
        <f>vlookup(A982,Price!A:B,2,false)</f>
        <v>#N/A</v>
      </c>
      <c r="C982" s="198"/>
      <c r="D982" s="198"/>
      <c r="E982" s="198"/>
      <c r="F982" s="198"/>
      <c r="G982" s="198"/>
      <c r="H982" s="198"/>
      <c r="I982" s="198"/>
      <c r="J982" s="198"/>
      <c r="K982" s="198"/>
      <c r="L982" s="198"/>
    </row>
    <row r="983">
      <c r="A983" s="198"/>
      <c r="B983" s="208" t="str">
        <f>vlookup(A983,Price!A:B,2,false)</f>
        <v>#N/A</v>
      </c>
      <c r="C983" s="198"/>
      <c r="D983" s="198"/>
      <c r="E983" s="198"/>
      <c r="F983" s="198"/>
      <c r="G983" s="198"/>
      <c r="H983" s="198"/>
      <c r="I983" s="198"/>
      <c r="J983" s="198"/>
      <c r="K983" s="198"/>
      <c r="L983" s="198"/>
    </row>
    <row r="984">
      <c r="A984" s="198"/>
      <c r="B984" s="208" t="str">
        <f>vlookup(A984,Price!A:B,2,false)</f>
        <v>#N/A</v>
      </c>
      <c r="C984" s="198"/>
      <c r="D984" s="198"/>
      <c r="E984" s="198"/>
      <c r="F984" s="198"/>
      <c r="G984" s="198"/>
      <c r="H984" s="198"/>
      <c r="I984" s="198"/>
      <c r="J984" s="198"/>
      <c r="K984" s="198"/>
      <c r="L984" s="198"/>
    </row>
    <row r="985">
      <c r="A985" s="198"/>
      <c r="B985" s="208" t="str">
        <f>vlookup(A985,Price!A:B,2,false)</f>
        <v>#N/A</v>
      </c>
      <c r="C985" s="198"/>
      <c r="D985" s="198"/>
      <c r="E985" s="198"/>
      <c r="F985" s="198"/>
      <c r="G985" s="198"/>
      <c r="H985" s="198"/>
      <c r="I985" s="198"/>
      <c r="J985" s="198"/>
      <c r="K985" s="198"/>
      <c r="L985" s="198"/>
    </row>
    <row r="986">
      <c r="A986" s="198"/>
      <c r="B986" s="208" t="str">
        <f>vlookup(A986,Price!A:B,2,false)</f>
        <v>#N/A</v>
      </c>
      <c r="C986" s="198"/>
      <c r="D986" s="198"/>
      <c r="E986" s="198"/>
      <c r="F986" s="198"/>
      <c r="G986" s="198"/>
      <c r="H986" s="198"/>
      <c r="I986" s="198"/>
      <c r="J986" s="198"/>
      <c r="K986" s="198"/>
      <c r="L986" s="198"/>
    </row>
    <row r="987">
      <c r="A987" s="198"/>
      <c r="B987" s="208" t="str">
        <f>vlookup(A987,Price!A:B,2,false)</f>
        <v>#N/A</v>
      </c>
      <c r="C987" s="198"/>
      <c r="D987" s="198"/>
      <c r="E987" s="198"/>
      <c r="F987" s="198"/>
      <c r="G987" s="198"/>
      <c r="H987" s="198"/>
      <c r="I987" s="198"/>
      <c r="J987" s="198"/>
      <c r="K987" s="198"/>
      <c r="L987" s="198"/>
    </row>
    <row r="988">
      <c r="A988" s="198"/>
      <c r="B988" s="208" t="str">
        <f>vlookup(A988,Price!A:B,2,false)</f>
        <v>#N/A</v>
      </c>
      <c r="C988" s="198"/>
      <c r="D988" s="198"/>
      <c r="E988" s="198"/>
      <c r="F988" s="198"/>
      <c r="G988" s="198"/>
      <c r="H988" s="198"/>
      <c r="I988" s="198"/>
      <c r="J988" s="198"/>
      <c r="K988" s="198"/>
      <c r="L988" s="198"/>
    </row>
    <row r="989">
      <c r="A989" s="198"/>
      <c r="B989" s="208" t="str">
        <f>vlookup(A989,Price!A:B,2,false)</f>
        <v>#N/A</v>
      </c>
      <c r="C989" s="198"/>
      <c r="D989" s="198"/>
      <c r="E989" s="198"/>
      <c r="F989" s="198"/>
      <c r="G989" s="198"/>
      <c r="H989" s="198"/>
      <c r="I989" s="198"/>
      <c r="J989" s="198"/>
      <c r="K989" s="198"/>
      <c r="L989" s="198"/>
    </row>
    <row r="990">
      <c r="A990" s="198"/>
      <c r="B990" s="208" t="str">
        <f>vlookup(A990,Price!A:B,2,false)</f>
        <v>#N/A</v>
      </c>
      <c r="C990" s="198"/>
      <c r="D990" s="198"/>
      <c r="E990" s="198"/>
      <c r="F990" s="198"/>
      <c r="G990" s="198"/>
      <c r="H990" s="198"/>
      <c r="I990" s="198"/>
      <c r="J990" s="198"/>
      <c r="K990" s="198"/>
      <c r="L990" s="198"/>
    </row>
    <row r="991">
      <c r="A991" s="198"/>
      <c r="B991" s="208" t="str">
        <f>vlookup(A991,Price!A:B,2,false)</f>
        <v>#N/A</v>
      </c>
      <c r="C991" s="198"/>
      <c r="D991" s="198"/>
      <c r="E991" s="198"/>
      <c r="F991" s="198"/>
      <c r="G991" s="198"/>
      <c r="H991" s="198"/>
      <c r="I991" s="198"/>
      <c r="J991" s="198"/>
      <c r="K991" s="198"/>
      <c r="L991" s="198"/>
    </row>
    <row r="992">
      <c r="A992" s="198"/>
      <c r="B992" s="208" t="str">
        <f>vlookup(A992,Price!A:B,2,false)</f>
        <v>#N/A</v>
      </c>
      <c r="C992" s="198"/>
      <c r="D992" s="198"/>
      <c r="E992" s="198"/>
      <c r="F992" s="198"/>
      <c r="G992" s="198"/>
      <c r="H992" s="198"/>
      <c r="I992" s="198"/>
      <c r="J992" s="198"/>
      <c r="K992" s="198"/>
      <c r="L992" s="198"/>
    </row>
    <row r="993">
      <c r="A993" s="198"/>
      <c r="B993" s="208" t="str">
        <f>vlookup(A993,Price!A:B,2,false)</f>
        <v>#N/A</v>
      </c>
      <c r="C993" s="198"/>
      <c r="D993" s="198"/>
      <c r="E993" s="198"/>
      <c r="F993" s="198"/>
      <c r="G993" s="198"/>
      <c r="H993" s="198"/>
      <c r="I993" s="198"/>
      <c r="J993" s="198"/>
      <c r="K993" s="198"/>
      <c r="L993" s="198"/>
    </row>
    <row r="994">
      <c r="A994" s="198"/>
      <c r="B994" s="208" t="str">
        <f>vlookup(A994,Price!A:B,2,false)</f>
        <v>#N/A</v>
      </c>
      <c r="C994" s="198"/>
      <c r="D994" s="198"/>
      <c r="E994" s="198"/>
      <c r="F994" s="198"/>
      <c r="G994" s="198"/>
      <c r="H994" s="198"/>
      <c r="I994" s="198"/>
      <c r="J994" s="198"/>
      <c r="K994" s="198"/>
      <c r="L994" s="198"/>
    </row>
    <row r="995">
      <c r="A995" s="198"/>
      <c r="B995" s="208" t="str">
        <f>vlookup(A995,Price!A:B,2,false)</f>
        <v>#N/A</v>
      </c>
      <c r="C995" s="198"/>
      <c r="D995" s="198"/>
      <c r="E995" s="198"/>
      <c r="F995" s="198"/>
      <c r="G995" s="198"/>
      <c r="H995" s="198"/>
      <c r="I995" s="198"/>
      <c r="J995" s="198"/>
      <c r="K995" s="198"/>
      <c r="L995" s="198"/>
    </row>
    <row r="996">
      <c r="A996" s="198"/>
      <c r="B996" s="208" t="str">
        <f>vlookup(A996,Price!A:B,2,false)</f>
        <v>#N/A</v>
      </c>
      <c r="C996" s="198"/>
      <c r="D996" s="198"/>
      <c r="E996" s="198"/>
      <c r="F996" s="198"/>
      <c r="G996" s="198"/>
      <c r="H996" s="198"/>
      <c r="I996" s="198"/>
      <c r="J996" s="198"/>
      <c r="K996" s="198"/>
      <c r="L996" s="198"/>
    </row>
    <row r="997">
      <c r="A997" s="198"/>
      <c r="B997" s="208" t="str">
        <f>vlookup(A997,Price!A:B,2,false)</f>
        <v>#N/A</v>
      </c>
      <c r="C997" s="198"/>
      <c r="D997" s="198"/>
      <c r="E997" s="198"/>
      <c r="F997" s="198"/>
      <c r="G997" s="198"/>
      <c r="H997" s="198"/>
      <c r="I997" s="198"/>
      <c r="J997" s="198"/>
      <c r="K997" s="198"/>
      <c r="L997" s="198"/>
    </row>
    <row r="998">
      <c r="A998" s="198"/>
      <c r="B998" s="208" t="str">
        <f>vlookup(A998,Price!A:B,2,false)</f>
        <v>#N/A</v>
      </c>
      <c r="C998" s="198"/>
      <c r="D998" s="198"/>
      <c r="E998" s="198"/>
      <c r="F998" s="198"/>
      <c r="G998" s="198"/>
      <c r="H998" s="198"/>
      <c r="I998" s="198"/>
      <c r="J998" s="198"/>
      <c r="K998" s="198"/>
      <c r="L998" s="198"/>
    </row>
    <row r="999">
      <c r="A999" s="198"/>
      <c r="B999" s="208" t="str">
        <f>vlookup(A999,Price!A:B,2,false)</f>
        <v>#N/A</v>
      </c>
      <c r="C999" s="198"/>
      <c r="D999" s="198"/>
      <c r="E999" s="198"/>
      <c r="F999" s="198"/>
      <c r="G999" s="198"/>
      <c r="H999" s="198"/>
      <c r="I999" s="198"/>
      <c r="J999" s="198"/>
      <c r="K999" s="198"/>
      <c r="L999" s="198"/>
    </row>
    <row r="1000">
      <c r="A1000" s="198"/>
      <c r="B1000" s="208" t="str">
        <f>vlookup(A1000,Price!A:B,2,false)</f>
        <v>#N/A</v>
      </c>
      <c r="C1000" s="198"/>
      <c r="D1000" s="198"/>
      <c r="E1000" s="198"/>
      <c r="F1000" s="198"/>
      <c r="G1000" s="198"/>
      <c r="H1000" s="198"/>
      <c r="I1000" s="198"/>
      <c r="J1000" s="198"/>
      <c r="K1000" s="198"/>
      <c r="L1000" s="198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98" t="s">
        <v>543</v>
      </c>
      <c r="B1" s="205" t="s">
        <v>544</v>
      </c>
      <c r="C1" s="205" t="s">
        <v>545</v>
      </c>
      <c r="D1" s="205" t="s">
        <v>546</v>
      </c>
    </row>
    <row r="2">
      <c r="A2" s="205" t="s">
        <v>547</v>
      </c>
      <c r="B2" s="208"/>
      <c r="C2" s="208"/>
      <c r="D2" s="218"/>
    </row>
    <row r="3">
      <c r="A3" s="205" t="s">
        <v>9</v>
      </c>
      <c r="B3" s="208">
        <f>Defi!K42</f>
        <v>0</v>
      </c>
      <c r="C3" s="208">
        <f>Defi!L42</f>
        <v>0</v>
      </c>
      <c r="D3" s="218" t="str">
        <f>B3/C3</f>
        <v>#DIV/0!</v>
      </c>
    </row>
    <row r="4">
      <c r="A4" s="205" t="s">
        <v>548</v>
      </c>
      <c r="B4" s="208"/>
      <c r="C4" s="208"/>
      <c r="D4" s="218"/>
    </row>
    <row r="5">
      <c r="A5" s="205" t="s">
        <v>11</v>
      </c>
      <c r="B5" s="208"/>
      <c r="C5" s="208"/>
      <c r="D5" s="218"/>
    </row>
    <row r="6">
      <c r="A6" s="205" t="s">
        <v>549</v>
      </c>
      <c r="B6" s="208"/>
      <c r="C6" s="208"/>
      <c r="D6" s="218"/>
    </row>
    <row r="7">
      <c r="A7" s="205" t="s">
        <v>550</v>
      </c>
      <c r="B7" s="208"/>
      <c r="C7" s="208"/>
      <c r="D7" s="218"/>
    </row>
    <row r="8">
      <c r="A8" s="205" t="s">
        <v>551</v>
      </c>
      <c r="B8" s="208"/>
      <c r="C8" s="219"/>
      <c r="D8" s="218"/>
    </row>
    <row r="9">
      <c r="A9" s="220" t="s">
        <v>552</v>
      </c>
      <c r="B9" s="208"/>
      <c r="C9" s="208"/>
      <c r="D9" s="2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63"/>
    <col customWidth="1" min="4" max="4" width="10.13"/>
    <col customWidth="1" min="10" max="10" width="29.0"/>
    <col customWidth="1" min="16" max="16" width="18.38"/>
    <col customWidth="1" min="17" max="17" width="15.0"/>
  </cols>
  <sheetData>
    <row r="1">
      <c r="A1" s="58" t="s">
        <v>38</v>
      </c>
      <c r="B1" s="74" t="s">
        <v>119</v>
      </c>
      <c r="C1" s="38"/>
      <c r="L1" s="72"/>
      <c r="M1" s="39"/>
      <c r="N1" s="39"/>
    </row>
    <row r="2">
      <c r="B2" s="75"/>
      <c r="C2" s="38"/>
      <c r="L2" s="72"/>
      <c r="M2" s="39"/>
      <c r="N2" s="39"/>
    </row>
    <row r="3" ht="13.5" customHeight="1">
      <c r="B3" s="76"/>
      <c r="C3" s="57"/>
      <c r="H3" s="77" t="s">
        <v>38</v>
      </c>
      <c r="I3" s="78" t="s">
        <v>120</v>
      </c>
      <c r="J3" s="78" t="s">
        <v>121</v>
      </c>
      <c r="K3" s="78" t="s">
        <v>122</v>
      </c>
      <c r="L3" s="79" t="s">
        <v>123</v>
      </c>
      <c r="M3" s="80" t="s">
        <v>124</v>
      </c>
      <c r="N3" s="80" t="s">
        <v>125</v>
      </c>
      <c r="O3" s="78" t="s">
        <v>126</v>
      </c>
      <c r="P3" s="78" t="s">
        <v>127</v>
      </c>
      <c r="Q3" s="78" t="s">
        <v>128</v>
      </c>
    </row>
    <row r="4">
      <c r="B4" s="75"/>
      <c r="C4" s="72"/>
      <c r="D4" s="39"/>
      <c r="E4" s="72"/>
      <c r="H4" s="66" t="str">
        <f>IFERROR(__xludf.DUMMYFUNCTION("Filter(Pivot_Data!1:2444,Pivot_Data!A:A=B1)"),"Stable Coins")</f>
        <v>Stable Coins</v>
      </c>
      <c r="I4" s="66" t="str">
        <f>IFERROR(__xludf.DUMMYFUNCTION("""COMPUTED_VALUE"""),"Institutional Loans")</f>
        <v>Institutional Loans</v>
      </c>
      <c r="J4" s="66" t="str">
        <f>IFERROR(__xludf.DUMMYFUNCTION("""COMPUTED_VALUE"""),"Loans Out")</f>
        <v>Loans Out</v>
      </c>
      <c r="K4" s="66" t="str">
        <f>IFERROR(__xludf.DUMMYFUNCTION("""COMPUTED_VALUE"""),"4")</f>
        <v>4</v>
      </c>
      <c r="L4" s="72">
        <f>IFERROR(__xludf.DUMMYFUNCTION("""COMPUTED_VALUE"""),9.4124367304E8)</f>
        <v>941243673</v>
      </c>
      <c r="M4" s="39">
        <f>IFERROR(__xludf.DUMMYFUNCTION("""COMPUTED_VALUE"""),0.08746432259407222)</f>
        <v>0.08746432259</v>
      </c>
      <c r="N4" s="39">
        <f>IFERROR(__xludf.DUMMYFUNCTION("""COMPUTED_VALUE"""),0.0959)</f>
        <v>0.0959</v>
      </c>
      <c r="O4" s="66">
        <f>IFERROR(__xludf.DUMMYFUNCTION("""COMPUTED_VALUE"""),9.4124367304E8)</f>
        <v>941243673</v>
      </c>
      <c r="P4" s="66">
        <f>IFERROR(__xludf.DUMMYFUNCTION("""COMPUTED_VALUE"""),9.0265268244536E7)</f>
        <v>90265268.24</v>
      </c>
      <c r="Q4" s="66">
        <f>IFERROR(__xludf.DUMMYFUNCTION("""COMPUTED_VALUE"""),8.23252402584E7)</f>
        <v>82325240.26</v>
      </c>
      <c r="R4" s="81"/>
      <c r="S4" s="66"/>
      <c r="T4" s="66"/>
      <c r="U4" s="66"/>
      <c r="V4" s="66"/>
    </row>
    <row r="5">
      <c r="B5" s="75"/>
      <c r="C5" s="38"/>
      <c r="H5" s="66" t="str">
        <f>IFERROR(__xludf.DUMMYFUNCTION("""COMPUTED_VALUE"""),"Stable Coins")</f>
        <v>Stable Coins</v>
      </c>
      <c r="I5" s="66" t="str">
        <f>IFERROR(__xludf.DUMMYFUNCTION("""COMPUTED_VALUE"""),"Retail Loans")</f>
        <v>Retail Loans</v>
      </c>
      <c r="J5" s="66" t="str">
        <f>IFERROR(__xludf.DUMMYFUNCTION("""COMPUTED_VALUE"""),"Loans")</f>
        <v>Loans</v>
      </c>
      <c r="K5" s="66" t="str">
        <f>IFERROR(__xludf.DUMMYFUNCTION("""COMPUTED_VALUE"""),"5")</f>
        <v>5</v>
      </c>
      <c r="L5" s="72">
        <f>IFERROR(__xludf.DUMMYFUNCTION("""COMPUTED_VALUE"""),9.1087498374E8)</f>
        <v>910874983.7</v>
      </c>
      <c r="M5" s="39">
        <f>IFERROR(__xludf.DUMMYFUNCTION("""COMPUTED_VALUE"""),0.034)</f>
        <v>0.034</v>
      </c>
      <c r="N5" s="39">
        <f>IFERROR(__xludf.DUMMYFUNCTION("""COMPUTED_VALUE"""),0.0959)</f>
        <v>0.0959</v>
      </c>
      <c r="O5" s="66">
        <f>IFERROR(__xludf.DUMMYFUNCTION("""COMPUTED_VALUE"""),9.1087498374E8)</f>
        <v>910874983.7</v>
      </c>
      <c r="P5" s="66">
        <f>IFERROR(__xludf.DUMMYFUNCTION("""COMPUTED_VALUE"""),8.7352910940666E7)</f>
        <v>87352910.94</v>
      </c>
      <c r="Q5" s="66">
        <f>IFERROR(__xludf.DUMMYFUNCTION("""COMPUTED_VALUE"""),3.096974944716E7)</f>
        <v>30969749.45</v>
      </c>
      <c r="R5" s="81"/>
      <c r="S5" s="66"/>
      <c r="T5" s="66"/>
      <c r="U5" s="66"/>
      <c r="V5" s="66"/>
    </row>
    <row r="6">
      <c r="A6" s="82" t="s">
        <v>120</v>
      </c>
      <c r="B6" s="83" t="s">
        <v>129</v>
      </c>
      <c r="C6" s="84" t="s">
        <v>130</v>
      </c>
      <c r="D6" s="82" t="s">
        <v>131</v>
      </c>
      <c r="E6" s="82" t="s">
        <v>124</v>
      </c>
      <c r="H6" s="66" t="str">
        <f>IFERROR(__xludf.DUMMYFUNCTION("""COMPUTED_VALUE"""),"Stable Coins")</f>
        <v>Stable Coins</v>
      </c>
      <c r="I6" s="66" t="str">
        <f>IFERROR(__xludf.DUMMYFUNCTION("""COMPUTED_VALUE"""),"Mining")</f>
        <v>Mining</v>
      </c>
      <c r="J6" s="66" t="str">
        <f>IFERROR(__xludf.DUMMYFUNCTION("""COMPUTED_VALUE"""),"Mining")</f>
        <v>Mining</v>
      </c>
      <c r="K6" s="66" t="str">
        <f>IFERROR(__xludf.DUMMYFUNCTION("""COMPUTED_VALUE"""),"5")</f>
        <v>5</v>
      </c>
      <c r="L6" s="72">
        <f>IFERROR(__xludf.DUMMYFUNCTION("""COMPUTED_VALUE"""),4.5326E8)</f>
        <v>453260000</v>
      </c>
      <c r="M6" s="39">
        <f>IFERROR(__xludf.DUMMYFUNCTION("""COMPUTED_VALUE"""),0.3)</f>
        <v>0.3</v>
      </c>
      <c r="N6" s="39">
        <f>IFERROR(__xludf.DUMMYFUNCTION("""COMPUTED_VALUE"""),0.0959)</f>
        <v>0.0959</v>
      </c>
      <c r="O6" s="38">
        <f>IFERROR(__xludf.DUMMYFUNCTION("""COMPUTED_VALUE"""),4.5326E8)</f>
        <v>453260000</v>
      </c>
      <c r="P6" s="66">
        <f>IFERROR(__xludf.DUMMYFUNCTION("""COMPUTED_VALUE"""),4.3467634E7)</f>
        <v>43467634</v>
      </c>
      <c r="Q6" s="66">
        <f>IFERROR(__xludf.DUMMYFUNCTION("""COMPUTED_VALUE"""),1.35978E8)</f>
        <v>135978000</v>
      </c>
      <c r="R6" s="81"/>
      <c r="S6" s="66"/>
      <c r="T6" s="66"/>
      <c r="U6" s="66"/>
      <c r="V6" s="66"/>
    </row>
    <row r="7">
      <c r="A7" s="31" t="s">
        <v>132</v>
      </c>
      <c r="B7" s="85">
        <f t="shared" ref="B7:B21" si="1">SUMIFs(L:L,I:I,A7)</f>
        <v>340113506.2</v>
      </c>
      <c r="C7" s="32">
        <f t="shared" ref="C7:C21" si="2">SUMIFs(O:O,I:I,A7)</f>
        <v>340113506.2</v>
      </c>
      <c r="D7" s="33">
        <f t="shared" ref="D7:D21" si="3">B7/$B$23</f>
        <v>0.1169875861</v>
      </c>
      <c r="E7" s="86">
        <f t="shared" ref="E7:E21" si="4">iferror(SUMIFs(Q:Q,I:I,A7)/C7)</f>
        <v>0</v>
      </c>
      <c r="H7" s="66" t="str">
        <f>IFERROR(__xludf.DUMMYFUNCTION("""COMPUTED_VALUE"""),"Stable Coins")</f>
        <v>Stable Coins</v>
      </c>
      <c r="I7" s="66" t="str">
        <f>IFERROR(__xludf.DUMMYFUNCTION("""COMPUTED_VALUE"""),"undeployed")</f>
        <v>undeployed</v>
      </c>
      <c r="J7" s="66" t="str">
        <f>IFERROR(__xludf.DUMMYFUNCTION("""COMPUTED_VALUE"""),"Bank - Balances")</f>
        <v>Bank - Balances</v>
      </c>
      <c r="K7" s="66" t="str">
        <f>IFERROR(__xludf.DUMMYFUNCTION("""COMPUTED_VALUE"""),"1")</f>
        <v>1</v>
      </c>
      <c r="L7" s="72">
        <f>IFERROR(__xludf.DUMMYFUNCTION("""COMPUTED_VALUE"""),2.108746895E8)</f>
        <v>210874689.5</v>
      </c>
      <c r="M7" s="39">
        <f>IFERROR(__xludf.DUMMYFUNCTION("""COMPUTED_VALUE"""),0.0)</f>
        <v>0</v>
      </c>
      <c r="N7" s="39">
        <f>IFERROR(__xludf.DUMMYFUNCTION("""COMPUTED_VALUE"""),0.0959)</f>
        <v>0.0959</v>
      </c>
      <c r="O7" s="38">
        <f>IFERROR(__xludf.DUMMYFUNCTION("""COMPUTED_VALUE"""),2.108746895E8)</f>
        <v>210874689.5</v>
      </c>
      <c r="P7" s="66">
        <f>IFERROR(__xludf.DUMMYFUNCTION("""COMPUTED_VALUE"""),2.022288272305E7)</f>
        <v>20222882.72</v>
      </c>
      <c r="Q7" s="66">
        <f>IFERROR(__xludf.DUMMYFUNCTION("""COMPUTED_VALUE"""),0.0)</f>
        <v>0</v>
      </c>
      <c r="R7" s="81"/>
      <c r="S7" s="66"/>
      <c r="T7" s="66"/>
      <c r="U7" s="66"/>
      <c r="V7" s="66"/>
    </row>
    <row r="8">
      <c r="A8" s="31" t="s">
        <v>8</v>
      </c>
      <c r="B8" s="85">
        <f t="shared" si="1"/>
        <v>941243673</v>
      </c>
      <c r="C8" s="32">
        <f t="shared" si="2"/>
        <v>941243673</v>
      </c>
      <c r="D8" s="33">
        <f t="shared" si="3"/>
        <v>0.3237561085</v>
      </c>
      <c r="E8" s="86">
        <f t="shared" si="4"/>
        <v>0.08746432259</v>
      </c>
      <c r="H8" s="66" t="str">
        <f>IFERROR(__xludf.DUMMYFUNCTION("""COMPUTED_VALUE"""),"Stable Coins")</f>
        <v>Stable Coins</v>
      </c>
      <c r="I8" s="66" t="str">
        <f>IFERROR(__xludf.DUMMYFUNCTION("""COMPUTED_VALUE"""),"Other")</f>
        <v>Other</v>
      </c>
      <c r="J8" s="66" t="str">
        <f>IFERROR(__xludf.DUMMYFUNCTION("""COMPUTED_VALUE"""),"Others - Asset")</f>
        <v>Others - Asset</v>
      </c>
      <c r="K8" s="66" t="str">
        <f>IFERROR(__xludf.DUMMYFUNCTION("""COMPUTED_VALUE"""),"5")</f>
        <v>5</v>
      </c>
      <c r="L8" s="72">
        <f>IFERROR(__xludf.DUMMYFUNCTION("""COMPUTED_VALUE"""),1.264947577E8)</f>
        <v>126494757.7</v>
      </c>
      <c r="M8" s="39">
        <f>IFERROR(__xludf.DUMMYFUNCTION("""COMPUTED_VALUE"""),0.0)</f>
        <v>0</v>
      </c>
      <c r="N8" s="39">
        <f>IFERROR(__xludf.DUMMYFUNCTION("""COMPUTED_VALUE"""),0.0959)</f>
        <v>0.0959</v>
      </c>
      <c r="O8" s="38">
        <f>IFERROR(__xludf.DUMMYFUNCTION("""COMPUTED_VALUE"""),1.264947577E8)</f>
        <v>126494757.7</v>
      </c>
      <c r="P8" s="66">
        <f>IFERROR(__xludf.DUMMYFUNCTION("""COMPUTED_VALUE"""),1.213084726343E7)</f>
        <v>12130847.26</v>
      </c>
      <c r="Q8" s="66">
        <f>IFERROR(__xludf.DUMMYFUNCTION("""COMPUTED_VALUE"""),0.0)</f>
        <v>0</v>
      </c>
      <c r="R8" s="81"/>
      <c r="S8" s="66"/>
      <c r="T8" s="66"/>
      <c r="U8" s="66"/>
      <c r="V8" s="66"/>
    </row>
    <row r="9">
      <c r="A9" s="87" t="s">
        <v>133</v>
      </c>
      <c r="B9" s="85">
        <f t="shared" si="1"/>
        <v>0</v>
      </c>
      <c r="C9" s="32">
        <f t="shared" si="2"/>
        <v>0</v>
      </c>
      <c r="D9" s="33">
        <f t="shared" si="3"/>
        <v>0</v>
      </c>
      <c r="E9" s="86" t="str">
        <f t="shared" si="4"/>
        <v/>
      </c>
      <c r="H9" s="66" t="str">
        <f>IFERROR(__xludf.DUMMYFUNCTION("""COMPUTED_VALUE"""),"Stable Coins")</f>
        <v>Stable Coins</v>
      </c>
      <c r="I9" s="66" t="str">
        <f>IFERROR(__xludf.DUMMYFUNCTION("""COMPUTED_VALUE"""),"EAM  ")</f>
        <v>EAM  </v>
      </c>
      <c r="J9" s="66" t="str">
        <f>IFERROR(__xludf.DUMMYFUNCTION("""COMPUTED_VALUE"""),"EAM - Balances")</f>
        <v>EAM - Balances</v>
      </c>
      <c r="K9" s="66" t="str">
        <f>IFERROR(__xludf.DUMMYFUNCTION("""COMPUTED_VALUE"""),"4")</f>
        <v>4</v>
      </c>
      <c r="L9" s="72">
        <f>IFERROR(__xludf.DUMMYFUNCTION("""COMPUTED_VALUE"""),7.493428363E7)</f>
        <v>74934283.63</v>
      </c>
      <c r="M9" s="39">
        <f>IFERROR(__xludf.DUMMYFUNCTION("""COMPUTED_VALUE"""),0.13158860561183902)</f>
        <v>0.1315886056</v>
      </c>
      <c r="N9" s="39">
        <f>IFERROR(__xludf.DUMMYFUNCTION("""COMPUTED_VALUE"""),0.0959)</f>
        <v>0.0959</v>
      </c>
      <c r="O9" s="66">
        <f>IFERROR(__xludf.DUMMYFUNCTION("""COMPUTED_VALUE"""),7.493428363E7)</f>
        <v>74934283.63</v>
      </c>
      <c r="P9" s="66">
        <f>IFERROR(__xludf.DUMMYFUNCTION("""COMPUTED_VALUE"""),7186197.800116999)</f>
        <v>7186197.8</v>
      </c>
      <c r="Q9" s="66">
        <f>IFERROR(__xludf.DUMMYFUNCTION("""COMPUTED_VALUE"""),9860497.895393753)</f>
        <v>9860497.895</v>
      </c>
      <c r="R9" s="81"/>
      <c r="S9" s="66"/>
      <c r="T9" s="66"/>
      <c r="U9" s="66"/>
      <c r="V9" s="66"/>
    </row>
    <row r="10">
      <c r="A10" s="31" t="s">
        <v>7</v>
      </c>
      <c r="B10" s="85">
        <f t="shared" si="1"/>
        <v>1001371.45</v>
      </c>
      <c r="C10" s="32">
        <f t="shared" si="2"/>
        <v>1001371.45</v>
      </c>
      <c r="D10" s="33">
        <f t="shared" si="3"/>
        <v>0.0003444380377</v>
      </c>
      <c r="E10" s="86">
        <f t="shared" si="4"/>
        <v>0</v>
      </c>
      <c r="H10" s="66" t="str">
        <f>IFERROR(__xludf.DUMMYFUNCTION("""COMPUTED_VALUE"""),"Stable Coins")</f>
        <v>Stable Coins</v>
      </c>
      <c r="I10" s="66" t="str">
        <f>IFERROR(__xludf.DUMMYFUNCTION("""COMPUTED_VALUE"""),"Exchange")</f>
        <v>Exchange</v>
      </c>
      <c r="J10" s="66" t="str">
        <f>IFERROR(__xludf.DUMMYFUNCTION("""COMPUTED_VALUE"""),"FTX - CnC")</f>
        <v>FTX - CnC</v>
      </c>
      <c r="K10" s="66" t="str">
        <f>IFERROR(__xludf.DUMMYFUNCTION("""COMPUTED_VALUE"""),"4")</f>
        <v>4</v>
      </c>
      <c r="L10" s="72">
        <f>IFERROR(__xludf.DUMMYFUNCTION("""COMPUTED_VALUE"""),7.133593624E7)</f>
        <v>71335936.24</v>
      </c>
      <c r="M10" s="39">
        <f>IFERROR(__xludf.DUMMYFUNCTION("""COMPUTED_VALUE"""),0.04294812889)</f>
        <v>0.04294812889</v>
      </c>
      <c r="N10" s="39">
        <f>IFERROR(__xludf.DUMMYFUNCTION("""COMPUTED_VALUE"""),0.0959)</f>
        <v>0.0959</v>
      </c>
      <c r="O10" s="38">
        <f>IFERROR(__xludf.DUMMYFUNCTION("""COMPUTED_VALUE"""),7.133593624E7)</f>
        <v>71335936.24</v>
      </c>
      <c r="P10" s="66">
        <f>IFERROR(__xludf.DUMMYFUNCTION("""COMPUTED_VALUE"""),6841116.285416)</f>
        <v>6841116.285</v>
      </c>
      <c r="Q10" s="66">
        <f>IFERROR(__xludf.DUMMYFUNCTION("""COMPUTED_VALUE"""),3063744.9841243415)</f>
        <v>3063744.984</v>
      </c>
      <c r="R10" s="81"/>
      <c r="S10" s="66"/>
      <c r="T10" s="66"/>
      <c r="U10" s="66"/>
      <c r="V10" s="66"/>
    </row>
    <row r="11">
      <c r="A11" s="31" t="s">
        <v>18</v>
      </c>
      <c r="B11" s="85">
        <f t="shared" si="1"/>
        <v>0</v>
      </c>
      <c r="C11" s="32">
        <f t="shared" si="2"/>
        <v>0</v>
      </c>
      <c r="D11" s="33">
        <f t="shared" si="3"/>
        <v>0</v>
      </c>
      <c r="E11" s="86" t="str">
        <f t="shared" si="4"/>
        <v/>
      </c>
      <c r="H11" s="66" t="str">
        <f>IFERROR(__xludf.DUMMYFUNCTION("""COMPUTED_VALUE"""),"Stable Coins")</f>
        <v>Stable Coins</v>
      </c>
      <c r="I11" s="66" t="str">
        <f>IFERROR(__xludf.DUMMYFUNCTION("""COMPUTED_VALUE"""),"undeployed")</f>
        <v>undeployed</v>
      </c>
      <c r="J11" s="66" t="str">
        <f>IFERROR(__xludf.DUMMYFUNCTION("""COMPUTED_VALUE"""),"Celsius Network")</f>
        <v>Celsius Network</v>
      </c>
      <c r="K11" s="66" t="str">
        <f>IFERROR(__xludf.DUMMYFUNCTION("""COMPUTED_VALUE"""),"1")</f>
        <v>1</v>
      </c>
      <c r="L11" s="72">
        <f>IFERROR(__xludf.DUMMYFUNCTION("""COMPUTED_VALUE"""),4.635566319712216E7)</f>
        <v>46355663.2</v>
      </c>
      <c r="M11" s="39">
        <f>IFERROR(__xludf.DUMMYFUNCTION("""COMPUTED_VALUE"""),0.0)</f>
        <v>0</v>
      </c>
      <c r="N11" s="39">
        <f>IFERROR(__xludf.DUMMYFUNCTION("""COMPUTED_VALUE"""),0.0959)</f>
        <v>0.0959</v>
      </c>
      <c r="O11" s="38">
        <f>IFERROR(__xludf.DUMMYFUNCTION("""COMPUTED_VALUE"""),4.635566319712216E7)</f>
        <v>46355663.2</v>
      </c>
      <c r="P11" s="66">
        <f>IFERROR(__xludf.DUMMYFUNCTION("""COMPUTED_VALUE"""),4445508.1006040145)</f>
        <v>4445508.101</v>
      </c>
      <c r="Q11" s="66">
        <f>IFERROR(__xludf.DUMMYFUNCTION("""COMPUTED_VALUE"""),0.0)</f>
        <v>0</v>
      </c>
      <c r="R11" s="81"/>
      <c r="S11" s="66"/>
      <c r="T11" s="66"/>
      <c r="U11" s="66"/>
      <c r="V11" s="66"/>
    </row>
    <row r="12">
      <c r="A12" s="31" t="s">
        <v>10</v>
      </c>
      <c r="B12" s="85">
        <f t="shared" si="1"/>
        <v>79333133.3</v>
      </c>
      <c r="C12" s="32">
        <f t="shared" si="2"/>
        <v>79333133.3</v>
      </c>
      <c r="D12" s="33">
        <f t="shared" si="3"/>
        <v>0.02728792473</v>
      </c>
      <c r="E12" s="86">
        <f t="shared" si="4"/>
        <v>0.04483187201</v>
      </c>
      <c r="H12" s="66" t="str">
        <f>IFERROR(__xludf.DUMMYFUNCTION("""COMPUTED_VALUE"""),"Stable Coins")</f>
        <v>Stable Coins</v>
      </c>
      <c r="I12" s="66" t="str">
        <f>IFERROR(__xludf.DUMMYFUNCTION("""COMPUTED_VALUE"""),"undeployed")</f>
        <v>undeployed</v>
      </c>
      <c r="J12" s="66" t="str">
        <f>IFERROR(__xludf.DUMMYFUNCTION("""COMPUTED_VALUE"""),"Celsius Network System")</f>
        <v>Celsius Network System</v>
      </c>
      <c r="K12" s="66" t="str">
        <f>IFERROR(__xludf.DUMMYFUNCTION("""COMPUTED_VALUE"""),"1")</f>
        <v>1</v>
      </c>
      <c r="L12" s="72">
        <f>IFERROR(__xludf.DUMMYFUNCTION("""COMPUTED_VALUE"""),4.43760322948377E7)</f>
        <v>44376032.29</v>
      </c>
      <c r="M12" s="39">
        <f>IFERROR(__xludf.DUMMYFUNCTION("""COMPUTED_VALUE"""),0.0)</f>
        <v>0</v>
      </c>
      <c r="N12" s="39">
        <f>IFERROR(__xludf.DUMMYFUNCTION("""COMPUTED_VALUE"""),0.0959)</f>
        <v>0.0959</v>
      </c>
      <c r="O12" s="81">
        <f>IFERROR(__xludf.DUMMYFUNCTION("""COMPUTED_VALUE"""),4.43760322948377E7)</f>
        <v>44376032.29</v>
      </c>
      <c r="P12" s="66">
        <f>IFERROR(__xludf.DUMMYFUNCTION("""COMPUTED_VALUE"""),4255661.497074936)</f>
        <v>4255661.497</v>
      </c>
      <c r="Q12" s="66">
        <f>IFERROR(__xludf.DUMMYFUNCTION("""COMPUTED_VALUE"""),0.0)</f>
        <v>0</v>
      </c>
      <c r="R12" s="81"/>
      <c r="S12" s="66"/>
      <c r="T12" s="66"/>
      <c r="U12" s="66"/>
      <c r="V12" s="66"/>
    </row>
    <row r="13">
      <c r="A13" s="31" t="s">
        <v>22</v>
      </c>
      <c r="B13" s="85">
        <f t="shared" si="1"/>
        <v>453260000</v>
      </c>
      <c r="C13" s="32">
        <f t="shared" si="2"/>
        <v>453260000</v>
      </c>
      <c r="D13" s="33">
        <f t="shared" si="3"/>
        <v>0.1559061675</v>
      </c>
      <c r="E13" s="86">
        <f t="shared" si="4"/>
        <v>0.3</v>
      </c>
      <c r="H13" s="66" t="str">
        <f>IFERROR(__xludf.DUMMYFUNCTION("""COMPUTED_VALUE"""),"Stable Coins")</f>
        <v>Stable Coins</v>
      </c>
      <c r="I13" s="66" t="str">
        <f>IFERROR(__xludf.DUMMYFUNCTION("""COMPUTED_VALUE"""),"Defi")</f>
        <v>Defi</v>
      </c>
      <c r="J13" s="66" t="str">
        <f>IFERROR(__xludf.DUMMYFUNCTION("""COMPUTED_VALUE"""),"YD - Convex - LUSD")</f>
        <v>YD - Convex - LUSD</v>
      </c>
      <c r="K13" s="66" t="str">
        <f>IFERROR(__xludf.DUMMYFUNCTION("""COMPUTED_VALUE"""),"2")</f>
        <v>2</v>
      </c>
      <c r="L13" s="72">
        <f>IFERROR(__xludf.DUMMYFUNCTION("""COMPUTED_VALUE"""),2.791796104E7)</f>
        <v>27917961.04</v>
      </c>
      <c r="M13" s="39">
        <f>IFERROR(__xludf.DUMMYFUNCTION("""COMPUTED_VALUE"""),0.0)</f>
        <v>0</v>
      </c>
      <c r="N13" s="39">
        <f>IFERROR(__xludf.DUMMYFUNCTION("""COMPUTED_VALUE"""),0.0959)</f>
        <v>0.0959</v>
      </c>
      <c r="O13" s="38">
        <f>IFERROR(__xludf.DUMMYFUNCTION("""COMPUTED_VALUE"""),2.791796104E7)</f>
        <v>27917961.04</v>
      </c>
      <c r="P13" s="66">
        <f>IFERROR(__xludf.DUMMYFUNCTION("""COMPUTED_VALUE"""),2677332.463736)</f>
        <v>2677332.464</v>
      </c>
      <c r="Q13" s="66">
        <f>IFERROR(__xludf.DUMMYFUNCTION("""COMPUTED_VALUE"""),0.0)</f>
        <v>0</v>
      </c>
      <c r="R13" s="81"/>
      <c r="S13" s="66"/>
      <c r="T13" s="66"/>
      <c r="U13" s="66"/>
      <c r="V13" s="66"/>
    </row>
    <row r="14">
      <c r="A14" s="31" t="s">
        <v>13</v>
      </c>
      <c r="B14" s="85">
        <f t="shared" si="1"/>
        <v>74934283.63</v>
      </c>
      <c r="C14" s="32">
        <f t="shared" si="2"/>
        <v>74934283.63</v>
      </c>
      <c r="D14" s="33">
        <f t="shared" si="3"/>
        <v>0.02577486867</v>
      </c>
      <c r="E14" s="86">
        <f t="shared" si="4"/>
        <v>0.1315886056</v>
      </c>
      <c r="H14" s="66" t="str">
        <f>IFERROR(__xludf.DUMMYFUNCTION("""COMPUTED_VALUE"""),"Stable Coins")</f>
        <v>Stable Coins</v>
      </c>
      <c r="I14" s="66" t="str">
        <f>IFERROR(__xludf.DUMMYFUNCTION("""COMPUTED_VALUE"""),"undeployed")</f>
        <v>undeployed</v>
      </c>
      <c r="J14" s="66" t="str">
        <f>IFERROR(__xludf.DUMMYFUNCTION("""COMPUTED_VALUE"""),"PrimeTrust")</f>
        <v>PrimeTrust</v>
      </c>
      <c r="K14" s="66" t="str">
        <f>IFERROR(__xludf.DUMMYFUNCTION("""COMPUTED_VALUE"""),"5")</f>
        <v>5</v>
      </c>
      <c r="L14" s="72">
        <f>IFERROR(__xludf.DUMMYFUNCTION("""COMPUTED_VALUE"""),2.777839669E7)</f>
        <v>27778396.69</v>
      </c>
      <c r="M14" s="39">
        <f>IFERROR(__xludf.DUMMYFUNCTION("""COMPUTED_VALUE"""),0.0)</f>
        <v>0</v>
      </c>
      <c r="N14" s="39">
        <f>IFERROR(__xludf.DUMMYFUNCTION("""COMPUTED_VALUE"""),0.0959)</f>
        <v>0.0959</v>
      </c>
      <c r="O14" s="38">
        <f>IFERROR(__xludf.DUMMYFUNCTION("""COMPUTED_VALUE"""),2.777839669E7)</f>
        <v>27778396.69</v>
      </c>
      <c r="P14" s="66">
        <f>IFERROR(__xludf.DUMMYFUNCTION("""COMPUTED_VALUE"""),2663948.242571)</f>
        <v>2663948.243</v>
      </c>
      <c r="Q14" s="66">
        <f>IFERROR(__xludf.DUMMYFUNCTION("""COMPUTED_VALUE"""),0.0)</f>
        <v>0</v>
      </c>
      <c r="R14" s="81"/>
      <c r="S14" s="66"/>
      <c r="T14" s="66"/>
      <c r="U14" s="66"/>
      <c r="V14" s="66"/>
    </row>
    <row r="15">
      <c r="A15" s="31" t="s">
        <v>19</v>
      </c>
      <c r="B15" s="85">
        <f t="shared" si="1"/>
        <v>0</v>
      </c>
      <c r="C15" s="32">
        <f t="shared" si="2"/>
        <v>0</v>
      </c>
      <c r="D15" s="33">
        <f t="shared" si="3"/>
        <v>0</v>
      </c>
      <c r="E15" s="86" t="str">
        <f t="shared" si="4"/>
        <v/>
      </c>
      <c r="H15" s="66" t="str">
        <f>IFERROR(__xludf.DUMMYFUNCTION("""COMPUTED_VALUE"""),"Stable Coins")</f>
        <v>Stable Coins</v>
      </c>
      <c r="I15" s="66" t="str">
        <f>IFERROR(__xludf.DUMMYFUNCTION("""COMPUTED_VALUE"""),"defi")</f>
        <v>defi</v>
      </c>
      <c r="J15" s="66" t="str">
        <f>IFERROR(__xludf.DUMMYFUNCTION("""COMPUTED_VALUE"""),"DD-CONVEX-ALUSD")</f>
        <v>DD-CONVEX-ALUSD</v>
      </c>
      <c r="K15" s="66" t="str">
        <f>IFERROR(__xludf.DUMMYFUNCTION("""COMPUTED_VALUE"""),"2")</f>
        <v>2</v>
      </c>
      <c r="L15" s="72">
        <f>IFERROR(__xludf.DUMMYFUNCTION("""COMPUTED_VALUE"""),1.78646205E7)</f>
        <v>17864620.5</v>
      </c>
      <c r="M15" s="39">
        <f>IFERROR(__xludf.DUMMYFUNCTION("""COMPUTED_VALUE"""),0.0)</f>
        <v>0</v>
      </c>
      <c r="N15" s="39">
        <f>IFERROR(__xludf.DUMMYFUNCTION("""COMPUTED_VALUE"""),0.0959)</f>
        <v>0.0959</v>
      </c>
      <c r="O15" s="38">
        <f>IFERROR(__xludf.DUMMYFUNCTION("""COMPUTED_VALUE"""),1.78646205E7)</f>
        <v>17864620.5</v>
      </c>
      <c r="P15" s="66">
        <f>IFERROR(__xludf.DUMMYFUNCTION("""COMPUTED_VALUE"""),1713217.10595)</f>
        <v>1713217.106</v>
      </c>
      <c r="Q15" s="66">
        <f>IFERROR(__xludf.DUMMYFUNCTION("""COMPUTED_VALUE"""),0.0)</f>
        <v>0</v>
      </c>
      <c r="R15" s="81"/>
      <c r="S15" s="66"/>
      <c r="T15" s="66"/>
      <c r="U15" s="66"/>
      <c r="V15" s="66"/>
    </row>
    <row r="16">
      <c r="A16" s="31" t="s">
        <v>9</v>
      </c>
      <c r="B16" s="85">
        <f t="shared" si="1"/>
        <v>106500259.6</v>
      </c>
      <c r="C16" s="32">
        <f t="shared" si="2"/>
        <v>106500259.6</v>
      </c>
      <c r="D16" s="33">
        <f t="shared" si="3"/>
        <v>0.03663250078</v>
      </c>
      <c r="E16" s="86">
        <f t="shared" si="4"/>
        <v>0.04077394622</v>
      </c>
      <c r="H16" s="66" t="str">
        <f>IFERROR(__xludf.DUMMYFUNCTION("""COMPUTED_VALUE"""),"Stable Coins")</f>
        <v>Stable Coins</v>
      </c>
      <c r="I16" s="66" t="str">
        <f>IFERROR(__xludf.DUMMYFUNCTION("""COMPUTED_VALUE"""),"Defi")</f>
        <v>Defi</v>
      </c>
      <c r="J16" s="66" t="str">
        <f>IFERROR(__xludf.DUMMYFUNCTION("""COMPUTED_VALUE"""),"YD - AlphaHv2")</f>
        <v>YD - AlphaHv2</v>
      </c>
      <c r="K16" s="66" t="str">
        <f>IFERROR(__xludf.DUMMYFUNCTION("""COMPUTED_VALUE"""),"2")</f>
        <v>2</v>
      </c>
      <c r="L16" s="72">
        <f>IFERROR(__xludf.DUMMYFUNCTION("""COMPUTED_VALUE"""),1.779836888E7)</f>
        <v>17798368.88</v>
      </c>
      <c r="M16" s="39">
        <f>IFERROR(__xludf.DUMMYFUNCTION("""COMPUTED_VALUE"""),0.0)</f>
        <v>0</v>
      </c>
      <c r="N16" s="39">
        <f>IFERROR(__xludf.DUMMYFUNCTION("""COMPUTED_VALUE"""),0.0959)</f>
        <v>0.0959</v>
      </c>
      <c r="O16" s="38">
        <f>IFERROR(__xludf.DUMMYFUNCTION("""COMPUTED_VALUE"""),1.779836888E7)</f>
        <v>17798368.88</v>
      </c>
      <c r="P16" s="66">
        <f>IFERROR(__xludf.DUMMYFUNCTION("""COMPUTED_VALUE"""),1706863.5755919998)</f>
        <v>1706863.576</v>
      </c>
      <c r="Q16" s="66">
        <f>IFERROR(__xludf.DUMMYFUNCTION("""COMPUTED_VALUE"""),0.0)</f>
        <v>0</v>
      </c>
      <c r="R16" s="81"/>
      <c r="S16" s="66"/>
      <c r="T16" s="66"/>
      <c r="U16" s="66"/>
      <c r="V16" s="66"/>
    </row>
    <row r="17">
      <c r="A17" s="31" t="s">
        <v>11</v>
      </c>
      <c r="B17" s="85">
        <f t="shared" si="1"/>
        <v>0</v>
      </c>
      <c r="C17" s="32">
        <f t="shared" si="2"/>
        <v>0</v>
      </c>
      <c r="D17" s="33">
        <f t="shared" si="3"/>
        <v>0</v>
      </c>
      <c r="E17" s="86" t="str">
        <f t="shared" si="4"/>
        <v/>
      </c>
      <c r="H17" s="66" t="str">
        <f>IFERROR(__xludf.DUMMYFUNCTION("""COMPUTED_VALUE"""),"Stable Coins")</f>
        <v>Stable Coins</v>
      </c>
      <c r="I17" s="66" t="str">
        <f>IFERROR(__xludf.DUMMYFUNCTION("""COMPUTED_VALUE"""),"defi")</f>
        <v>defi</v>
      </c>
      <c r="J17" s="66" t="str">
        <f>IFERROR(__xludf.DUMMYFUNCTION("""COMPUTED_VALUE"""),"DD - Convex - tricrypto2 II")</f>
        <v>DD - Convex - tricrypto2 II</v>
      </c>
      <c r="K17" s="66" t="str">
        <f>IFERROR(__xludf.DUMMYFUNCTION("""COMPUTED_VALUE"""),"2")</f>
        <v>2</v>
      </c>
      <c r="L17" s="72">
        <f>IFERROR(__xludf.DUMMYFUNCTION("""COMPUTED_VALUE"""),1.436692427E7)</f>
        <v>14366924.27</v>
      </c>
      <c r="M17" s="39">
        <f>IFERROR(__xludf.DUMMYFUNCTION("""COMPUTED_VALUE"""),0.1682)</f>
        <v>0.1682</v>
      </c>
      <c r="N17" s="39">
        <f>IFERROR(__xludf.DUMMYFUNCTION("""COMPUTED_VALUE"""),0.0959)</f>
        <v>0.0959</v>
      </c>
      <c r="O17" s="38">
        <f>IFERROR(__xludf.DUMMYFUNCTION("""COMPUTED_VALUE"""),1.436692427E7)</f>
        <v>14366924.27</v>
      </c>
      <c r="P17" s="66">
        <f>IFERROR(__xludf.DUMMYFUNCTION("""COMPUTED_VALUE"""),1377788.037493)</f>
        <v>1377788.037</v>
      </c>
      <c r="Q17" s="66">
        <f>IFERROR(__xludf.DUMMYFUNCTION("""COMPUTED_VALUE"""),2416516.662214)</f>
        <v>2416516.662</v>
      </c>
      <c r="R17" s="81"/>
      <c r="S17" s="66"/>
      <c r="T17" s="66"/>
      <c r="U17" s="66"/>
      <c r="V17" s="66"/>
    </row>
    <row r="18">
      <c r="A18" s="31" t="s">
        <v>134</v>
      </c>
      <c r="B18" s="85">
        <f t="shared" si="1"/>
        <v>300</v>
      </c>
      <c r="C18" s="32">
        <f t="shared" si="2"/>
        <v>300</v>
      </c>
      <c r="D18" s="33">
        <f t="shared" si="3"/>
        <v>0.0000001031898915</v>
      </c>
      <c r="E18" s="86">
        <f t="shared" si="4"/>
        <v>0</v>
      </c>
      <c r="H18" s="66" t="str">
        <f>IFERROR(__xludf.DUMMYFUNCTION("""COMPUTED_VALUE"""),"Stable Coins")</f>
        <v>Stable Coins</v>
      </c>
      <c r="I18" s="66" t="str">
        <f>IFERROR(__xludf.DUMMYFUNCTION("""COMPUTED_VALUE"""),"defi")</f>
        <v>defi</v>
      </c>
      <c r="J18" s="66" t="str">
        <f>IFERROR(__xludf.DUMMYFUNCTION("""COMPUTED_VALUE"""),"DD-DEFROST-H2O3CRV")</f>
        <v>DD-DEFROST-H2O3CRV</v>
      </c>
      <c r="K18" s="66" t="str">
        <f>IFERROR(__xludf.DUMMYFUNCTION("""COMPUTED_VALUE"""),"2")</f>
        <v>2</v>
      </c>
      <c r="L18" s="72">
        <f>IFERROR(__xludf.DUMMYFUNCTION("""COMPUTED_VALUE"""),1.0E7)</f>
        <v>10000000</v>
      </c>
      <c r="M18" s="39">
        <f>IFERROR(__xludf.DUMMYFUNCTION("""COMPUTED_VALUE"""),0.0)</f>
        <v>0</v>
      </c>
      <c r="N18" s="39">
        <f>IFERROR(__xludf.DUMMYFUNCTION("""COMPUTED_VALUE"""),0.0959)</f>
        <v>0.0959</v>
      </c>
      <c r="O18" s="38">
        <f>IFERROR(__xludf.DUMMYFUNCTION("""COMPUTED_VALUE"""),1.0E7)</f>
        <v>10000000</v>
      </c>
      <c r="P18" s="66">
        <f>IFERROR(__xludf.DUMMYFUNCTION("""COMPUTED_VALUE"""),959000.0)</f>
        <v>959000</v>
      </c>
      <c r="Q18" s="66">
        <f>IFERROR(__xludf.DUMMYFUNCTION("""COMPUTED_VALUE"""),0.0)</f>
        <v>0</v>
      </c>
      <c r="R18" s="81"/>
      <c r="S18" s="66"/>
      <c r="T18" s="66"/>
      <c r="U18" s="66"/>
      <c r="V18" s="66"/>
    </row>
    <row r="19">
      <c r="A19" s="31" t="s">
        <v>17</v>
      </c>
      <c r="B19" s="85">
        <f t="shared" si="1"/>
        <v>0</v>
      </c>
      <c r="C19" s="32">
        <f t="shared" si="2"/>
        <v>0</v>
      </c>
      <c r="D19" s="33">
        <f t="shared" si="3"/>
        <v>0</v>
      </c>
      <c r="E19" s="86" t="str">
        <f t="shared" si="4"/>
        <v/>
      </c>
      <c r="H19" s="66" t="str">
        <f>IFERROR(__xludf.DUMMYFUNCTION("""COMPUTED_VALUE"""),"Stable Coins")</f>
        <v>Stable Coins</v>
      </c>
      <c r="I19" s="66" t="str">
        <f>IFERROR(__xludf.DUMMYFUNCTION("""COMPUTED_VALUE"""),"Defi")</f>
        <v>Defi</v>
      </c>
      <c r="J19" s="66" t="str">
        <f>IFERROR(__xludf.DUMMYFUNCTION("""COMPUTED_VALUE"""),"YD - Convex - tricrypto2")</f>
        <v>YD - Convex - tricrypto2</v>
      </c>
      <c r="K19" s="66" t="str">
        <f>IFERROR(__xludf.DUMMYFUNCTION("""COMPUTED_VALUE"""),"2")</f>
        <v>2</v>
      </c>
      <c r="L19" s="72">
        <f>IFERROR(__xludf.DUMMYFUNCTION("""COMPUTED_VALUE"""),9466996.452)</f>
        <v>9466996.452</v>
      </c>
      <c r="M19" s="39">
        <f>IFERROR(__xludf.DUMMYFUNCTION("""COMPUTED_VALUE"""),0.1682)</f>
        <v>0.1682</v>
      </c>
      <c r="N19" s="39">
        <f>IFERROR(__xludf.DUMMYFUNCTION("""COMPUTED_VALUE"""),0.0959)</f>
        <v>0.0959</v>
      </c>
      <c r="O19" s="66">
        <f>IFERROR(__xludf.DUMMYFUNCTION("""COMPUTED_VALUE"""),9466996.452)</f>
        <v>9466996.452</v>
      </c>
      <c r="P19" s="66">
        <f>IFERROR(__xludf.DUMMYFUNCTION("""COMPUTED_VALUE"""),907884.9597467999)</f>
        <v>907884.9597</v>
      </c>
      <c r="Q19" s="66">
        <f>IFERROR(__xludf.DUMMYFUNCTION("""COMPUTED_VALUE"""),1592348.8032264)</f>
        <v>1592348.803</v>
      </c>
      <c r="R19" s="81"/>
      <c r="S19" s="66"/>
      <c r="T19" s="66"/>
      <c r="U19" s="66"/>
      <c r="V19" s="66"/>
    </row>
    <row r="20">
      <c r="A20" s="31" t="s">
        <v>16</v>
      </c>
      <c r="B20" s="85">
        <f t="shared" si="1"/>
        <v>0</v>
      </c>
      <c r="C20" s="32">
        <f t="shared" si="2"/>
        <v>0</v>
      </c>
      <c r="D20" s="33">
        <f t="shared" si="3"/>
        <v>0</v>
      </c>
      <c r="E20" s="86" t="str">
        <f t="shared" si="4"/>
        <v/>
      </c>
      <c r="H20" s="66" t="str">
        <f>IFERROR(__xludf.DUMMYFUNCTION("""COMPUTED_VALUE"""),"Stable Coins")</f>
        <v>Stable Coins</v>
      </c>
      <c r="I20" s="66" t="str">
        <f>IFERROR(__xludf.DUMMYFUNCTION("""COMPUTED_VALUE"""),"Defi")</f>
        <v>Defi</v>
      </c>
      <c r="J20" s="66" t="str">
        <f>IFERROR(__xludf.DUMMYFUNCTION("""COMPUTED_VALUE"""),"YD - Curve - BUSDv2")</f>
        <v>YD - Curve - BUSDv2</v>
      </c>
      <c r="K20" s="66" t="str">
        <f>IFERROR(__xludf.DUMMYFUNCTION("""COMPUTED_VALUE"""),"2")</f>
        <v>2</v>
      </c>
      <c r="L20" s="72">
        <f>IFERROR(__xludf.DUMMYFUNCTION("""COMPUTED_VALUE"""),8078994.4290000005)</f>
        <v>8078994.429</v>
      </c>
      <c r="M20" s="39">
        <f>IFERROR(__xludf.DUMMYFUNCTION("""COMPUTED_VALUE"""),0.03783649775931787)</f>
        <v>0.03783649776</v>
      </c>
      <c r="N20" s="39">
        <f>IFERROR(__xludf.DUMMYFUNCTION("""COMPUTED_VALUE"""),0.0959)</f>
        <v>0.0959</v>
      </c>
      <c r="O20" s="38">
        <f>IFERROR(__xludf.DUMMYFUNCTION("""COMPUTED_VALUE"""),8078994.4290000005)</f>
        <v>8078994.429</v>
      </c>
      <c r="P20" s="66">
        <f>IFERROR(__xludf.DUMMYFUNCTION("""COMPUTED_VALUE"""),774775.5657411)</f>
        <v>774775.5657</v>
      </c>
      <c r="Q20" s="66">
        <f>IFERROR(__xludf.DUMMYFUNCTION("""COMPUTED_VALUE"""),305680.85461040004)</f>
        <v>305680.8546</v>
      </c>
      <c r="R20" s="81"/>
      <c r="S20" s="66"/>
      <c r="T20" s="66"/>
      <c r="U20" s="66"/>
      <c r="V20" s="66"/>
    </row>
    <row r="21">
      <c r="A21" s="31" t="s">
        <v>12</v>
      </c>
      <c r="B21" s="85">
        <f t="shared" si="1"/>
        <v>910874983.7</v>
      </c>
      <c r="C21" s="32">
        <f t="shared" si="2"/>
        <v>910874983.7</v>
      </c>
      <c r="D21" s="33">
        <f t="shared" si="3"/>
        <v>0.3133103026</v>
      </c>
      <c r="E21" s="86">
        <f t="shared" si="4"/>
        <v>0.034</v>
      </c>
      <c r="H21" s="66" t="str">
        <f>IFERROR(__xludf.DUMMYFUNCTION("""COMPUTED_VALUE"""),"Stable Coins")</f>
        <v>Stable Coins</v>
      </c>
      <c r="I21" s="66" t="str">
        <f>IFERROR(__xludf.DUMMYFUNCTION("""COMPUTED_VALUE"""),"Exchange")</f>
        <v>Exchange</v>
      </c>
      <c r="J21" s="66" t="str">
        <f>IFERROR(__xludf.DUMMYFUNCTION("""COMPUTED_VALUE"""),"BITFINEX")</f>
        <v>BITFINEX</v>
      </c>
      <c r="K21" s="66" t="str">
        <f>IFERROR(__xludf.DUMMYFUNCTION("""COMPUTED_VALUE"""),"4")</f>
        <v>4</v>
      </c>
      <c r="L21" s="72">
        <f>IFERROR(__xludf.DUMMYFUNCTION("""COMPUTED_VALUE"""),6231446.03109264)</f>
        <v>6231446.031</v>
      </c>
      <c r="M21" s="39">
        <f>IFERROR(__xludf.DUMMYFUNCTION("""COMPUTED_VALUE"""),0.07908036597435694)</f>
        <v>0.07908036597</v>
      </c>
      <c r="N21" s="39">
        <f>IFERROR(__xludf.DUMMYFUNCTION("""COMPUTED_VALUE"""),0.0959)</f>
        <v>0.0959</v>
      </c>
      <c r="O21" s="38">
        <f>IFERROR(__xludf.DUMMYFUNCTION("""COMPUTED_VALUE"""),6231446.03109264)</f>
        <v>6231446.031</v>
      </c>
      <c r="P21" s="66">
        <f>IFERROR(__xludf.DUMMYFUNCTION("""COMPUTED_VALUE"""),597595.6743817842)</f>
        <v>597595.6744</v>
      </c>
      <c r="Q21" s="66">
        <f>IFERROR(__xludf.DUMMYFUNCTION("""COMPUTED_VALUE"""),492785.03268826)</f>
        <v>492785.0327</v>
      </c>
      <c r="R21" s="81"/>
      <c r="S21" s="66"/>
      <c r="T21" s="66"/>
      <c r="U21" s="66"/>
      <c r="V21" s="66"/>
    </row>
    <row r="22">
      <c r="A22" s="31"/>
      <c r="B22" s="85"/>
      <c r="C22" s="32"/>
      <c r="D22" s="31"/>
      <c r="E22" s="31"/>
      <c r="H22" s="66" t="str">
        <f>IFERROR(__xludf.DUMMYFUNCTION("""COMPUTED_VALUE"""),"Stable Coins")</f>
        <v>Stable Coins</v>
      </c>
      <c r="I22" s="66" t="str">
        <f>IFERROR(__xludf.DUMMYFUNCTION("""COMPUTED_VALUE"""),"undeployed")</f>
        <v>undeployed</v>
      </c>
      <c r="J22" s="66" t="str">
        <f>IFERROR(__xludf.DUMMYFUNCTION("""COMPUTED_VALUE"""),"FTX - Grayscale")</f>
        <v>FTX - Grayscale</v>
      </c>
      <c r="K22" s="66" t="str">
        <f>IFERROR(__xludf.DUMMYFUNCTION("""COMPUTED_VALUE"""),"2")</f>
        <v>2</v>
      </c>
      <c r="L22" s="72">
        <f>IFERROR(__xludf.DUMMYFUNCTION("""COMPUTED_VALUE"""),3612221.334)</f>
        <v>3612221.334</v>
      </c>
      <c r="M22" s="39">
        <f>IFERROR(__xludf.DUMMYFUNCTION("""COMPUTED_VALUE"""),0.0)</f>
        <v>0</v>
      </c>
      <c r="N22" s="39">
        <f>IFERROR(__xludf.DUMMYFUNCTION("""COMPUTED_VALUE"""),0.0959)</f>
        <v>0.0959</v>
      </c>
      <c r="O22" s="66">
        <f>IFERROR(__xludf.DUMMYFUNCTION("""COMPUTED_VALUE"""),3612221.334)</f>
        <v>3612221.334</v>
      </c>
      <c r="P22" s="66">
        <f>IFERROR(__xludf.DUMMYFUNCTION("""COMPUTED_VALUE"""),346412.02593059995)</f>
        <v>346412.0259</v>
      </c>
      <c r="Q22" s="66">
        <f>IFERROR(__xludf.DUMMYFUNCTION("""COMPUTED_VALUE"""),0.0)</f>
        <v>0</v>
      </c>
      <c r="R22" s="81"/>
      <c r="S22" s="66"/>
      <c r="T22" s="66"/>
      <c r="U22" s="66"/>
      <c r="V22" s="66"/>
    </row>
    <row r="23">
      <c r="A23" s="82" t="s">
        <v>135</v>
      </c>
      <c r="B23" s="88">
        <f t="shared" ref="B23:D23" si="5">SUM(B7:B21)</f>
        <v>2907261511</v>
      </c>
      <c r="C23" s="88">
        <f t="shared" si="5"/>
        <v>2907261511</v>
      </c>
      <c r="D23" s="89">
        <f t="shared" si="5"/>
        <v>1</v>
      </c>
      <c r="E23" s="89">
        <f>SUMPRODUCT(E7:E21,C7:C21)/C23</f>
        <v>0.09185020863</v>
      </c>
      <c r="H23" s="66" t="str">
        <f>IFERROR(__xludf.DUMMYFUNCTION("""COMPUTED_VALUE"""),"Stable Coins")</f>
        <v>Stable Coins</v>
      </c>
      <c r="I23" s="66" t="str">
        <f>IFERROR(__xludf.DUMMYFUNCTION("""COMPUTED_VALUE"""),"undeployed")</f>
        <v>undeployed</v>
      </c>
      <c r="J23" s="66" t="str">
        <f>IFERROR(__xludf.DUMMYFUNCTION("""COMPUTED_VALUE"""),"FTX - CEL")</f>
        <v>FTX - CEL</v>
      </c>
      <c r="K23" s="66" t="str">
        <f>IFERROR(__xludf.DUMMYFUNCTION("""COMPUTED_VALUE"""),"2")</f>
        <v>2</v>
      </c>
      <c r="L23" s="72">
        <f>IFERROR(__xludf.DUMMYFUNCTION("""COMPUTED_VALUE"""),3330333.198)</f>
        <v>3330333.198</v>
      </c>
      <c r="M23" s="39">
        <f>IFERROR(__xludf.DUMMYFUNCTION("""COMPUTED_VALUE"""),0.0)</f>
        <v>0</v>
      </c>
      <c r="N23" s="39">
        <f>IFERROR(__xludf.DUMMYFUNCTION("""COMPUTED_VALUE"""),0.0959)</f>
        <v>0.0959</v>
      </c>
      <c r="O23" s="38">
        <f>IFERROR(__xludf.DUMMYFUNCTION("""COMPUTED_VALUE"""),3330333.198)</f>
        <v>3330333.198</v>
      </c>
      <c r="P23" s="66">
        <f>IFERROR(__xludf.DUMMYFUNCTION("""COMPUTED_VALUE"""),319378.9536882)</f>
        <v>319378.9537</v>
      </c>
      <c r="Q23" s="66">
        <f>IFERROR(__xludf.DUMMYFUNCTION("""COMPUTED_VALUE"""),0.0)</f>
        <v>0</v>
      </c>
      <c r="R23" s="81"/>
      <c r="S23" s="66"/>
      <c r="T23" s="66"/>
      <c r="U23" s="66"/>
      <c r="V23" s="66"/>
    </row>
    <row r="24">
      <c r="B24" s="75"/>
      <c r="C24" s="38"/>
      <c r="H24" s="66" t="str">
        <f>IFERROR(__xludf.DUMMYFUNCTION("""COMPUTED_VALUE"""),"Stable Coins")</f>
        <v>Stable Coins</v>
      </c>
      <c r="I24" s="66" t="str">
        <f>IFERROR(__xludf.DUMMYFUNCTION("""COMPUTED_VALUE"""),"undeployed")</f>
        <v>undeployed</v>
      </c>
      <c r="J24" s="66" t="str">
        <f>IFERROR(__xludf.DUMMYFUNCTION("""COMPUTED_VALUE"""),"Celsius OTC")</f>
        <v>Celsius OTC</v>
      </c>
      <c r="K24" s="66" t="str">
        <f>IFERROR(__xludf.DUMMYFUNCTION("""COMPUTED_VALUE"""),"1")</f>
        <v>1</v>
      </c>
      <c r="L24" s="72">
        <f>IFERROR(__xludf.DUMMYFUNCTION("""COMPUTED_VALUE"""),2394915.4669000003)</f>
        <v>2394915.467</v>
      </c>
      <c r="M24" s="39">
        <f>IFERROR(__xludf.DUMMYFUNCTION("""COMPUTED_VALUE"""),0.0)</f>
        <v>0</v>
      </c>
      <c r="N24" s="39">
        <f>IFERROR(__xludf.DUMMYFUNCTION("""COMPUTED_VALUE"""),0.0959)</f>
        <v>0.0959</v>
      </c>
      <c r="O24" s="38">
        <f>IFERROR(__xludf.DUMMYFUNCTION("""COMPUTED_VALUE"""),2394915.4669000003)</f>
        <v>2394915.467</v>
      </c>
      <c r="P24" s="66">
        <f>IFERROR(__xludf.DUMMYFUNCTION("""COMPUTED_VALUE"""),229672.39327571003)</f>
        <v>229672.3933</v>
      </c>
      <c r="Q24" s="66">
        <f>IFERROR(__xludf.DUMMYFUNCTION("""COMPUTED_VALUE"""),0.0)</f>
        <v>0</v>
      </c>
      <c r="R24" s="81"/>
      <c r="S24" s="66"/>
      <c r="T24" s="66"/>
      <c r="U24" s="66"/>
      <c r="V24" s="66"/>
    </row>
    <row r="25">
      <c r="B25" s="90"/>
      <c r="C25" s="57"/>
      <c r="D25" s="90"/>
      <c r="F25" s="72"/>
      <c r="H25" s="66" t="str">
        <f>IFERROR(__xludf.DUMMYFUNCTION("""COMPUTED_VALUE"""),"Stable Coins")</f>
        <v>Stable Coins</v>
      </c>
      <c r="I25" s="66" t="str">
        <f>IFERROR(__xludf.DUMMYFUNCTION("""COMPUTED_VALUE"""),"Exchange")</f>
        <v>Exchange</v>
      </c>
      <c r="J25" s="66" t="str">
        <f>IFERROR(__xludf.DUMMYFUNCTION("""COMPUTED_VALUE"""),"Synthetix + Hedge")</f>
        <v>Synthetix + Hedge</v>
      </c>
      <c r="K25" s="66" t="str">
        <f>IFERROR(__xludf.DUMMYFUNCTION("""COMPUTED_VALUE"""),"4")</f>
        <v>4</v>
      </c>
      <c r="L25" s="72">
        <f>IFERROR(__xludf.DUMMYFUNCTION("""COMPUTED_VALUE"""),1691244.926)</f>
        <v>1691244.926</v>
      </c>
      <c r="M25" s="39">
        <f>IFERROR(__xludf.DUMMYFUNCTION("""COMPUTED_VALUE"""),0.0)</f>
        <v>0</v>
      </c>
      <c r="N25" s="39">
        <f>IFERROR(__xludf.DUMMYFUNCTION("""COMPUTED_VALUE"""),0.0959)</f>
        <v>0.0959</v>
      </c>
      <c r="O25" s="38">
        <f>IFERROR(__xludf.DUMMYFUNCTION("""COMPUTED_VALUE"""),1691244.926)</f>
        <v>1691244.926</v>
      </c>
      <c r="P25" s="66">
        <f>IFERROR(__xludf.DUMMYFUNCTION("""COMPUTED_VALUE"""),162190.3884034)</f>
        <v>162190.3884</v>
      </c>
      <c r="Q25" s="66">
        <f>IFERROR(__xludf.DUMMYFUNCTION("""COMPUTED_VALUE"""),0.0)</f>
        <v>0</v>
      </c>
      <c r="R25" s="81"/>
      <c r="S25" s="66"/>
      <c r="T25" s="66"/>
      <c r="U25" s="66"/>
      <c r="V25" s="66"/>
    </row>
    <row r="26">
      <c r="B26" s="90"/>
      <c r="C26" s="57"/>
      <c r="D26" s="90"/>
      <c r="H26" s="66" t="str">
        <f>IFERROR(__xludf.DUMMYFUNCTION("""COMPUTED_VALUE"""),"Stable Coins")</f>
        <v>Stable Coins</v>
      </c>
      <c r="I26" s="66" t="str">
        <f>IFERROR(__xludf.DUMMYFUNCTION("""COMPUTED_VALUE"""),"Posted Collateral")</f>
        <v>Posted Collateral</v>
      </c>
      <c r="J26" s="66" t="str">
        <f>IFERROR(__xludf.DUMMYFUNCTION("""COMPUTED_VALUE"""),"Celsius Borrows Account")</f>
        <v>Celsius Borrows Account</v>
      </c>
      <c r="K26" s="66" t="str">
        <f>IFERROR(__xludf.DUMMYFUNCTION("""COMPUTED_VALUE"""),"5")</f>
        <v>5</v>
      </c>
      <c r="L26" s="72">
        <f>IFERROR(__xludf.DUMMYFUNCTION("""COMPUTED_VALUE"""),1001371.45)</f>
        <v>1001371.45</v>
      </c>
      <c r="M26" s="39">
        <f>IFERROR(__xludf.DUMMYFUNCTION("""COMPUTED_VALUE"""),0.0)</f>
        <v>0</v>
      </c>
      <c r="N26" s="39">
        <f>IFERROR(__xludf.DUMMYFUNCTION("""COMPUTED_VALUE"""),0.0)</f>
        <v>0</v>
      </c>
      <c r="O26" s="38">
        <f>IFERROR(__xludf.DUMMYFUNCTION("""COMPUTED_VALUE"""),1001371.45)</f>
        <v>1001371.45</v>
      </c>
      <c r="P26" s="66">
        <f>IFERROR(__xludf.DUMMYFUNCTION("""COMPUTED_VALUE"""),0.0)</f>
        <v>0</v>
      </c>
      <c r="Q26" s="66">
        <f>IFERROR(__xludf.DUMMYFUNCTION("""COMPUTED_VALUE"""),0.0)</f>
        <v>0</v>
      </c>
      <c r="R26" s="81"/>
      <c r="S26" s="66"/>
      <c r="T26" s="66"/>
      <c r="U26" s="66"/>
      <c r="V26" s="66"/>
    </row>
    <row r="27">
      <c r="B27" s="75"/>
      <c r="C27" s="38"/>
      <c r="H27" s="66" t="str">
        <f>IFERROR(__xludf.DUMMYFUNCTION("""COMPUTED_VALUE"""),"Stable Coins")</f>
        <v>Stable Coins</v>
      </c>
      <c r="I27" s="66" t="str">
        <f>IFERROR(__xludf.DUMMYFUNCTION("""COMPUTED_VALUE"""),"Defi")</f>
        <v>Defi</v>
      </c>
      <c r="J27" s="66" t="str">
        <f>IFERROR(__xludf.DUMMYFUNCTION("""COMPUTED_VALUE"""),"Deployment - Curve")</f>
        <v>Deployment - Curve</v>
      </c>
      <c r="K27" s="66" t="str">
        <f>IFERROR(__xludf.DUMMYFUNCTION("""COMPUTED_VALUE"""),"2")</f>
        <v>2</v>
      </c>
      <c r="L27" s="72">
        <f>IFERROR(__xludf.DUMMYFUNCTION("""COMPUTED_VALUE"""),846844.760445)</f>
        <v>846844.7604</v>
      </c>
      <c r="M27" s="39">
        <f>IFERROR(__xludf.DUMMYFUNCTION("""COMPUTED_VALUE"""),1.466119984125044E-5)</f>
        <v>0.00001466119984</v>
      </c>
      <c r="N27" s="39">
        <f>IFERROR(__xludf.DUMMYFUNCTION("""COMPUTED_VALUE"""),0.0959)</f>
        <v>0.0959</v>
      </c>
      <c r="O27" s="81">
        <f>IFERROR(__xludf.DUMMYFUNCTION("""COMPUTED_VALUE"""),846844.760445)</f>
        <v>846844.7604</v>
      </c>
      <c r="P27" s="66">
        <f>IFERROR(__xludf.DUMMYFUNCTION("""COMPUTED_VALUE"""),81212.4125266755)</f>
        <v>81212.41253</v>
      </c>
      <c r="Q27" s="66">
        <f>IFERROR(__xludf.DUMMYFUNCTION("""COMPUTED_VALUE"""),12.415760267400001)</f>
        <v>12.41576027</v>
      </c>
      <c r="R27" s="81"/>
      <c r="S27" s="66"/>
      <c r="T27" s="66"/>
      <c r="U27" s="66"/>
      <c r="V27" s="66"/>
    </row>
    <row r="28">
      <c r="A28" s="82" t="s">
        <v>120</v>
      </c>
      <c r="B28" s="83" t="s">
        <v>129</v>
      </c>
      <c r="C28" s="84" t="s">
        <v>130</v>
      </c>
      <c r="D28" s="82" t="s">
        <v>131</v>
      </c>
      <c r="E28" s="82" t="s">
        <v>124</v>
      </c>
      <c r="H28" s="66" t="str">
        <f>IFERROR(__xludf.DUMMYFUNCTION("""COMPUTED_VALUE"""),"Stable Coins")</f>
        <v>Stable Coins</v>
      </c>
      <c r="I28" s="66" t="str">
        <f>IFERROR(__xludf.DUMMYFUNCTION("""COMPUTED_VALUE"""),"Operational")</f>
        <v>Operational</v>
      </c>
      <c r="J28" s="66" t="str">
        <f>IFERROR(__xludf.DUMMYFUNCTION("""COMPUTED_VALUE"""),"FTX - Kairon2")</f>
        <v>FTX - Kairon2</v>
      </c>
      <c r="K28" s="66" t="str">
        <f>IFERROR(__xludf.DUMMYFUNCTION("""COMPUTED_VALUE"""),"4")</f>
        <v>4</v>
      </c>
      <c r="L28" s="72">
        <f>IFERROR(__xludf.DUMMYFUNCTION("""COMPUTED_VALUE"""),709024.9323)</f>
        <v>709024.9323</v>
      </c>
      <c r="M28" s="39">
        <f>IFERROR(__xludf.DUMMYFUNCTION("""COMPUTED_VALUE"""),0.0)</f>
        <v>0</v>
      </c>
      <c r="N28" s="39">
        <f>IFERROR(__xludf.DUMMYFUNCTION("""COMPUTED_VALUE"""),0.0959)</f>
        <v>0.0959</v>
      </c>
      <c r="O28" s="38">
        <f>IFERROR(__xludf.DUMMYFUNCTION("""COMPUTED_VALUE"""),709024.9323)</f>
        <v>709024.9323</v>
      </c>
      <c r="P28" s="66">
        <f>IFERROR(__xludf.DUMMYFUNCTION("""COMPUTED_VALUE"""),67995.49100757)</f>
        <v>67995.49101</v>
      </c>
      <c r="Q28" s="66">
        <f>IFERROR(__xludf.DUMMYFUNCTION("""COMPUTED_VALUE"""),0.0)</f>
        <v>0</v>
      </c>
      <c r="R28" s="81"/>
      <c r="S28" s="66"/>
      <c r="T28" s="66"/>
      <c r="U28" s="66"/>
      <c r="V28" s="66"/>
    </row>
    <row r="29">
      <c r="A29" s="31" t="s">
        <v>8</v>
      </c>
      <c r="B29" s="85">
        <f t="shared" ref="B29:B34" si="6">SUMIFs(L:L,I:I,A29)</f>
        <v>941243673</v>
      </c>
      <c r="C29" s="32">
        <f t="shared" ref="C29:C34" si="7">SUMIFs(O:O,I:I,A29)</f>
        <v>941243673</v>
      </c>
      <c r="D29" s="33">
        <f t="shared" ref="D29:D34" si="8">B29/$B$23</f>
        <v>0.3237561085</v>
      </c>
      <c r="E29" s="86">
        <f t="shared" ref="E29:E34" si="9">iferror(SUMIFs(Q:Q,I:I,A29)/C29)</f>
        <v>0.08746432259</v>
      </c>
      <c r="H29" s="66" t="str">
        <f>IFERROR(__xludf.DUMMYFUNCTION("""COMPUTED_VALUE"""),"Stable Coins")</f>
        <v>Stable Coins</v>
      </c>
      <c r="I29" s="66" t="str">
        <f>IFERROR(__xludf.DUMMYFUNCTION("""COMPUTED_VALUE"""),"undeployed")</f>
        <v>undeployed</v>
      </c>
      <c r="J29" s="66" t="str">
        <f>IFERROR(__xludf.DUMMYFUNCTION("""COMPUTED_VALUE"""),"Celsius Network Finance")</f>
        <v>Celsius Network Finance</v>
      </c>
      <c r="K29" s="66" t="str">
        <f>IFERROR(__xludf.DUMMYFUNCTION("""COMPUTED_VALUE"""),"1")</f>
        <v>1</v>
      </c>
      <c r="L29" s="72">
        <f>IFERROR(__xludf.DUMMYFUNCTION("""COMPUTED_VALUE"""),646020.42283)</f>
        <v>646020.4228</v>
      </c>
      <c r="M29" s="39">
        <f>IFERROR(__xludf.DUMMYFUNCTION("""COMPUTED_VALUE"""),0.0)</f>
        <v>0</v>
      </c>
      <c r="N29" s="39">
        <f>IFERROR(__xludf.DUMMYFUNCTION("""COMPUTED_VALUE"""),0.0959)</f>
        <v>0.0959</v>
      </c>
      <c r="O29" s="38">
        <f>IFERROR(__xludf.DUMMYFUNCTION("""COMPUTED_VALUE"""),646020.42283)</f>
        <v>646020.4228</v>
      </c>
      <c r="P29" s="66">
        <f>IFERROR(__xludf.DUMMYFUNCTION("""COMPUTED_VALUE"""),61953.358549397)</f>
        <v>61953.35855</v>
      </c>
      <c r="Q29" s="66">
        <f>IFERROR(__xludf.DUMMYFUNCTION("""COMPUTED_VALUE"""),0.0)</f>
        <v>0</v>
      </c>
      <c r="R29" s="81"/>
      <c r="S29" s="66"/>
      <c r="T29" s="66"/>
      <c r="U29" s="66"/>
      <c r="V29" s="66"/>
    </row>
    <row r="30">
      <c r="A30" s="31" t="s">
        <v>10</v>
      </c>
      <c r="B30" s="85">
        <f t="shared" si="6"/>
        <v>79333133.3</v>
      </c>
      <c r="C30" s="32">
        <f t="shared" si="7"/>
        <v>79333133.3</v>
      </c>
      <c r="D30" s="33">
        <f t="shared" si="8"/>
        <v>0.02728792473</v>
      </c>
      <c r="E30" s="86">
        <f t="shared" si="9"/>
        <v>0.04483187201</v>
      </c>
      <c r="H30" s="66" t="str">
        <f>IFERROR(__xludf.DUMMYFUNCTION("""COMPUTED_VALUE"""),"Stable Coins")</f>
        <v>Stable Coins</v>
      </c>
      <c r="I30" s="66" t="str">
        <f>IFERROR(__xludf.DUMMYFUNCTION("""COMPUTED_VALUE"""),"undeployed")</f>
        <v>undeployed</v>
      </c>
      <c r="J30" s="66" t="str">
        <f>IFERROR(__xludf.DUMMYFUNCTION("""COMPUTED_VALUE"""),"FTX - DeFi")</f>
        <v>FTX - DeFi</v>
      </c>
      <c r="K30" s="66" t="str">
        <f>IFERROR(__xludf.DUMMYFUNCTION("""COMPUTED_VALUE"""),"4")</f>
        <v>4</v>
      </c>
      <c r="L30" s="72">
        <f>IFERROR(__xludf.DUMMYFUNCTION("""COMPUTED_VALUE"""),498287.9962)</f>
        <v>498287.9962</v>
      </c>
      <c r="M30" s="39">
        <f>IFERROR(__xludf.DUMMYFUNCTION("""COMPUTED_VALUE"""),0.0)</f>
        <v>0</v>
      </c>
      <c r="N30" s="39">
        <f>IFERROR(__xludf.DUMMYFUNCTION("""COMPUTED_VALUE"""),0.0959)</f>
        <v>0.0959</v>
      </c>
      <c r="O30" s="38">
        <f>IFERROR(__xludf.DUMMYFUNCTION("""COMPUTED_VALUE"""),498287.9962)</f>
        <v>498287.9962</v>
      </c>
      <c r="P30" s="66">
        <f>IFERROR(__xludf.DUMMYFUNCTION("""COMPUTED_VALUE"""),47785.81883558)</f>
        <v>47785.81884</v>
      </c>
      <c r="Q30" s="66">
        <f>IFERROR(__xludf.DUMMYFUNCTION("""COMPUTED_VALUE"""),0.0)</f>
        <v>0</v>
      </c>
      <c r="R30" s="81"/>
      <c r="S30" s="66"/>
      <c r="T30" s="66"/>
      <c r="U30" s="66"/>
      <c r="V30" s="66"/>
    </row>
    <row r="31">
      <c r="A31" s="31" t="s">
        <v>13</v>
      </c>
      <c r="B31" s="85">
        <f t="shared" si="6"/>
        <v>74934283.63</v>
      </c>
      <c r="C31" s="32">
        <f t="shared" si="7"/>
        <v>74934283.63</v>
      </c>
      <c r="D31" s="33">
        <f t="shared" si="8"/>
        <v>0.02577486867</v>
      </c>
      <c r="E31" s="86">
        <f t="shared" si="9"/>
        <v>0.1315886056</v>
      </c>
      <c r="H31" s="66" t="str">
        <f>IFERROR(__xludf.DUMMYFUNCTION("""COMPUTED_VALUE"""),"Stable Coins")</f>
        <v>Stable Coins</v>
      </c>
      <c r="I31" s="66" t="str">
        <f>IFERROR(__xludf.DUMMYFUNCTION("""COMPUTED_VALUE"""),"undeployed")</f>
        <v>undeployed</v>
      </c>
      <c r="J31" s="66" t="str">
        <f>IFERROR(__xludf.DUMMYFUNCTION("""COMPUTED_VALUE"""),"FTX - Kairon")</f>
        <v>FTX - Kairon</v>
      </c>
      <c r="K31" s="66" t="str">
        <f>IFERROR(__xludf.DUMMYFUNCTION("""COMPUTED_VALUE"""),"4")</f>
        <v>4</v>
      </c>
      <c r="L31" s="72">
        <f>IFERROR(__xludf.DUMMYFUNCTION("""COMPUTED_VALUE"""),241063.1367)</f>
        <v>241063.1367</v>
      </c>
      <c r="M31" s="39">
        <f>IFERROR(__xludf.DUMMYFUNCTION("""COMPUTED_VALUE"""),0.0)</f>
        <v>0</v>
      </c>
      <c r="N31" s="39">
        <f>IFERROR(__xludf.DUMMYFUNCTION("""COMPUTED_VALUE"""),0.0959)</f>
        <v>0.0959</v>
      </c>
      <c r="O31" s="38">
        <f>IFERROR(__xludf.DUMMYFUNCTION("""COMPUTED_VALUE"""),241063.1367)</f>
        <v>241063.1367</v>
      </c>
      <c r="P31" s="66">
        <f>IFERROR(__xludf.DUMMYFUNCTION("""COMPUTED_VALUE"""),23117.95480953)</f>
        <v>23117.95481</v>
      </c>
      <c r="Q31" s="66">
        <f>IFERROR(__xludf.DUMMYFUNCTION("""COMPUTED_VALUE"""),0.0)</f>
        <v>0</v>
      </c>
      <c r="R31" s="81"/>
      <c r="S31" s="66"/>
      <c r="T31" s="66"/>
      <c r="U31" s="66"/>
      <c r="V31" s="66"/>
    </row>
    <row r="32">
      <c r="A32" s="31" t="s">
        <v>9</v>
      </c>
      <c r="B32" s="85">
        <f t="shared" si="6"/>
        <v>106500259.6</v>
      </c>
      <c r="C32" s="32">
        <f t="shared" si="7"/>
        <v>106500259.6</v>
      </c>
      <c r="D32" s="33">
        <f t="shared" si="8"/>
        <v>0.03663250078</v>
      </c>
      <c r="E32" s="86">
        <f t="shared" si="9"/>
        <v>0.04077394622</v>
      </c>
      <c r="H32" s="66" t="str">
        <f>IFERROR(__xludf.DUMMYFUNCTION("""COMPUTED_VALUE"""),"Stable Coins")</f>
        <v>Stable Coins</v>
      </c>
      <c r="I32" s="66" t="str">
        <f>IFERROR(__xludf.DUMMYFUNCTION("""COMPUTED_VALUE"""),"Defi")</f>
        <v>Defi</v>
      </c>
      <c r="J32" s="66" t="str">
        <f>IFERROR(__xludf.DUMMYFUNCTION("""COMPUTED_VALUE"""),"Maple Finance")</f>
        <v>Maple Finance</v>
      </c>
      <c r="K32" s="66" t="str">
        <f>IFERROR(__xludf.DUMMYFUNCTION("""COMPUTED_VALUE"""),"2")</f>
        <v>2</v>
      </c>
      <c r="L32" s="72">
        <f>IFERROR(__xludf.DUMMYFUNCTION("""COMPUTED_VALUE"""),100527.7299)</f>
        <v>100527.7299</v>
      </c>
      <c r="M32" s="39">
        <f>IFERROR(__xludf.DUMMYFUNCTION("""COMPUTED_VALUE"""),0.2773)</f>
        <v>0.2773</v>
      </c>
      <c r="N32" s="39">
        <f>IFERROR(__xludf.DUMMYFUNCTION("""COMPUTED_VALUE"""),0.0959)</f>
        <v>0.0959</v>
      </c>
      <c r="O32" s="38">
        <f>IFERROR(__xludf.DUMMYFUNCTION("""COMPUTED_VALUE"""),100527.7299)</f>
        <v>100527.7299</v>
      </c>
      <c r="P32" s="66">
        <f>IFERROR(__xludf.DUMMYFUNCTION("""COMPUTED_VALUE"""),9640.609297410001)</f>
        <v>9640.609297</v>
      </c>
      <c r="Q32" s="66">
        <f>IFERROR(__xludf.DUMMYFUNCTION("""COMPUTED_VALUE"""),27876.339501270002)</f>
        <v>27876.3395</v>
      </c>
      <c r="R32" s="81"/>
      <c r="S32" s="66"/>
      <c r="T32" s="66"/>
      <c r="U32" s="66"/>
      <c r="V32" s="66"/>
    </row>
    <row r="33">
      <c r="A33" s="31" t="s">
        <v>11</v>
      </c>
      <c r="B33" s="85">
        <f t="shared" si="6"/>
        <v>0</v>
      </c>
      <c r="C33" s="32">
        <f t="shared" si="7"/>
        <v>0</v>
      </c>
      <c r="D33" s="33">
        <f t="shared" si="8"/>
        <v>0</v>
      </c>
      <c r="E33" s="86" t="str">
        <f t="shared" si="9"/>
        <v/>
      </c>
      <c r="H33" s="66" t="str">
        <f>IFERROR(__xludf.DUMMYFUNCTION("""COMPUTED_VALUE"""),"Stable Coins")</f>
        <v>Stable Coins</v>
      </c>
      <c r="I33" s="66" t="str">
        <f>IFERROR(__xludf.DUMMYFUNCTION("""COMPUTED_VALUE"""),"Exchange")</f>
        <v>Exchange</v>
      </c>
      <c r="J33" s="66" t="str">
        <f>IFERROR(__xludf.DUMMYFUNCTION("""COMPUTED_VALUE"""),"FTX - Directional Trading 2")</f>
        <v>FTX - Directional Trading 2</v>
      </c>
      <c r="K33" s="66" t="str">
        <f>IFERROR(__xludf.DUMMYFUNCTION("""COMPUTED_VALUE"""),"4")</f>
        <v>4</v>
      </c>
      <c r="L33" s="72">
        <f>IFERROR(__xludf.DUMMYFUNCTION("""COMPUTED_VALUE"""),48622.90248)</f>
        <v>48622.90248</v>
      </c>
      <c r="M33" s="39">
        <f>IFERROR(__xludf.DUMMYFUNCTION("""COMPUTED_VALUE"""),0.002526818828)</f>
        <v>0.002526818828</v>
      </c>
      <c r="N33" s="39">
        <f>IFERROR(__xludf.DUMMYFUNCTION("""COMPUTED_VALUE"""),0.0959)</f>
        <v>0.0959</v>
      </c>
      <c r="O33" s="38">
        <f>IFERROR(__xludf.DUMMYFUNCTION("""COMPUTED_VALUE"""),48622.90248)</f>
        <v>48622.90248</v>
      </c>
      <c r="P33" s="66">
        <f>IFERROR(__xludf.DUMMYFUNCTION("""COMPUTED_VALUE"""),4662.936347831999)</f>
        <v>4662.936348</v>
      </c>
      <c r="Q33" s="66">
        <f>IFERROR(__xludf.DUMMYFUNCTION("""COMPUTED_VALUE"""),122.86126545847188)</f>
        <v>122.8612655</v>
      </c>
      <c r="R33" s="81"/>
      <c r="S33" s="66"/>
      <c r="T33" s="66"/>
      <c r="U33" s="66"/>
      <c r="V33" s="66"/>
    </row>
    <row r="34">
      <c r="A34" s="31" t="s">
        <v>12</v>
      </c>
      <c r="B34" s="85">
        <f t="shared" si="6"/>
        <v>910874983.7</v>
      </c>
      <c r="C34" s="32">
        <f t="shared" si="7"/>
        <v>910874983.7</v>
      </c>
      <c r="D34" s="33">
        <f t="shared" si="8"/>
        <v>0.3133103026</v>
      </c>
      <c r="E34" s="86">
        <f t="shared" si="9"/>
        <v>0.034</v>
      </c>
      <c r="H34" s="66" t="str">
        <f>IFERROR(__xludf.DUMMYFUNCTION("""COMPUTED_VALUE"""),"Stable Coins")</f>
        <v>Stable Coins</v>
      </c>
      <c r="I34" s="66" t="str">
        <f>IFERROR(__xludf.DUMMYFUNCTION("""COMPUTED_VALUE"""),"Defi")</f>
        <v>Defi</v>
      </c>
      <c r="J34" s="66" t="str">
        <f>IFERROR(__xludf.DUMMYFUNCTION("""COMPUTED_VALUE"""),"OmniMan1")</f>
        <v>OmniMan1</v>
      </c>
      <c r="K34" s="66" t="str">
        <f>IFERROR(__xludf.DUMMYFUNCTION("""COMPUTED_VALUE"""),"5")</f>
        <v>5</v>
      </c>
      <c r="L34" s="72">
        <f>IFERROR(__xludf.DUMMYFUNCTION("""COMPUTED_VALUE"""),44799.914225040004)</f>
        <v>44799.91423</v>
      </c>
      <c r="M34" s="39">
        <f>IFERROR(__xludf.DUMMYFUNCTION("""COMPUTED_VALUE"""),0.0)</f>
        <v>0</v>
      </c>
      <c r="N34" s="39">
        <f>IFERROR(__xludf.DUMMYFUNCTION("""COMPUTED_VALUE"""),0.0959)</f>
        <v>0.0959</v>
      </c>
      <c r="O34" s="38">
        <f>IFERROR(__xludf.DUMMYFUNCTION("""COMPUTED_VALUE"""),44799.914225040004)</f>
        <v>44799.91423</v>
      </c>
      <c r="P34" s="66">
        <f>IFERROR(__xludf.DUMMYFUNCTION("""COMPUTED_VALUE"""),4296.311774181337)</f>
        <v>4296.311774</v>
      </c>
      <c r="Q34" s="66">
        <f>IFERROR(__xludf.DUMMYFUNCTION("""COMPUTED_VALUE"""),0.0)</f>
        <v>0</v>
      </c>
      <c r="R34" s="81"/>
      <c r="S34" s="66"/>
      <c r="T34" s="66"/>
      <c r="U34" s="66"/>
      <c r="V34" s="66"/>
    </row>
    <row r="35">
      <c r="A35" s="31"/>
      <c r="B35" s="85"/>
      <c r="C35" s="32"/>
      <c r="D35" s="31"/>
      <c r="E35" s="31"/>
      <c r="H35" s="66" t="str">
        <f>IFERROR(__xludf.DUMMYFUNCTION("""COMPUTED_VALUE"""),"Stable Coins")</f>
        <v>Stable Coins</v>
      </c>
      <c r="I35" s="66" t="str">
        <f>IFERROR(__xludf.DUMMYFUNCTION("""COMPUTED_VALUE"""),"Exchange")</f>
        <v>Exchange</v>
      </c>
      <c r="J35" s="66" t="str">
        <f>IFERROR(__xludf.DUMMYFUNCTION("""COMPUTED_VALUE"""),"COINBASEPRO")</f>
        <v>COINBASEPRO</v>
      </c>
      <c r="K35" s="66" t="str">
        <f>IFERROR(__xludf.DUMMYFUNCTION("""COMPUTED_VALUE"""),"5")</f>
        <v>5</v>
      </c>
      <c r="L35" s="72">
        <f>IFERROR(__xludf.DUMMYFUNCTION("""COMPUTED_VALUE"""),23644.3996386)</f>
        <v>23644.39964</v>
      </c>
      <c r="M35" s="39">
        <f>IFERROR(__xludf.DUMMYFUNCTION("""COMPUTED_VALUE"""),0.0)</f>
        <v>0</v>
      </c>
      <c r="N35" s="39">
        <f>IFERROR(__xludf.DUMMYFUNCTION("""COMPUTED_VALUE"""),0.0959)</f>
        <v>0.0959</v>
      </c>
      <c r="O35" s="38">
        <f>IFERROR(__xludf.DUMMYFUNCTION("""COMPUTED_VALUE"""),23644.3996386)</f>
        <v>23644.39964</v>
      </c>
      <c r="P35" s="66">
        <f>IFERROR(__xludf.DUMMYFUNCTION("""COMPUTED_VALUE"""),2267.49792534174)</f>
        <v>2267.497925</v>
      </c>
      <c r="Q35" s="66">
        <f>IFERROR(__xludf.DUMMYFUNCTION("""COMPUTED_VALUE"""),0.0)</f>
        <v>0</v>
      </c>
      <c r="R35" s="81"/>
      <c r="S35" s="66"/>
      <c r="T35" s="66"/>
      <c r="U35" s="66"/>
      <c r="V35" s="66"/>
    </row>
    <row r="36">
      <c r="A36" s="82" t="s">
        <v>135</v>
      </c>
      <c r="B36" s="88">
        <f t="shared" ref="B36:D36" si="10">SUM(B29:B34)</f>
        <v>2112886333</v>
      </c>
      <c r="C36" s="88">
        <f t="shared" si="10"/>
        <v>2112886333</v>
      </c>
      <c r="D36" s="89">
        <f t="shared" si="10"/>
        <v>0.7267617052</v>
      </c>
      <c r="E36" s="89">
        <f>SUMPRODUCT(E29:E34,C29:C34)/C36</f>
        <v>0.06202632592</v>
      </c>
      <c r="H36" s="66" t="str">
        <f>IFERROR(__xludf.DUMMYFUNCTION("""COMPUTED_VALUE"""),"Stable Coins")</f>
        <v>Stable Coins</v>
      </c>
      <c r="I36" s="66" t="str">
        <f>IFERROR(__xludf.DUMMYFUNCTION("""COMPUTED_VALUE"""),"Defi")</f>
        <v>Defi</v>
      </c>
      <c r="J36" s="66" t="str">
        <f>IFERROR(__xludf.DUMMYFUNCTION("""COMPUTED_VALUE"""),"DD - Liquity - LUSD")</f>
        <v>DD - Liquity - LUSD</v>
      </c>
      <c r="K36" s="66" t="str">
        <f>IFERROR(__xludf.DUMMYFUNCTION("""COMPUTED_VALUE"""),"2")</f>
        <v>2</v>
      </c>
      <c r="L36" s="72">
        <f>IFERROR(__xludf.DUMMYFUNCTION("""COMPUTED_VALUE"""),9668.723779)</f>
        <v>9668.723779</v>
      </c>
      <c r="M36" s="39">
        <f>IFERROR(__xludf.DUMMYFUNCTION("""COMPUTED_VALUE"""),0.0)</f>
        <v>0</v>
      </c>
      <c r="N36" s="39">
        <f>IFERROR(__xludf.DUMMYFUNCTION("""COMPUTED_VALUE"""),0.0959)</f>
        <v>0.0959</v>
      </c>
      <c r="O36" s="38">
        <f>IFERROR(__xludf.DUMMYFUNCTION("""COMPUTED_VALUE"""),9668.723779)</f>
        <v>9668.723779</v>
      </c>
      <c r="P36" s="66">
        <f>IFERROR(__xludf.DUMMYFUNCTION("""COMPUTED_VALUE"""),927.2306104061)</f>
        <v>927.2306104</v>
      </c>
      <c r="Q36" s="66">
        <f>IFERROR(__xludf.DUMMYFUNCTION("""COMPUTED_VALUE"""),0.0)</f>
        <v>0</v>
      </c>
      <c r="R36" s="81"/>
      <c r="S36" s="66"/>
      <c r="T36" s="66"/>
      <c r="U36" s="66"/>
      <c r="V36" s="66"/>
    </row>
    <row r="37">
      <c r="B37" s="75"/>
      <c r="C37" s="38"/>
      <c r="H37" s="66" t="str">
        <f>IFERROR(__xludf.DUMMYFUNCTION("""COMPUTED_VALUE"""),"Stable Coins")</f>
        <v>Stable Coins</v>
      </c>
      <c r="I37" s="66" t="str">
        <f>IFERROR(__xludf.DUMMYFUNCTION("""COMPUTED_VALUE"""),"undeployed")</f>
        <v>undeployed</v>
      </c>
      <c r="J37" s="66" t="str">
        <f>IFERROR(__xludf.DUMMYFUNCTION("""COMPUTED_VALUE"""),"FTX - Main Account")</f>
        <v>FTX - Main Account</v>
      </c>
      <c r="K37" s="66" t="str">
        <f>IFERROR(__xludf.DUMMYFUNCTION("""COMPUTED_VALUE"""),"2")</f>
        <v>2</v>
      </c>
      <c r="L37" s="72">
        <f>IFERROR(__xludf.DUMMYFUNCTION("""COMPUTED_VALUE"""),5882.986855)</f>
        <v>5882.986855</v>
      </c>
      <c r="M37" s="39">
        <f>IFERROR(__xludf.DUMMYFUNCTION("""COMPUTED_VALUE"""),0.0)</f>
        <v>0</v>
      </c>
      <c r="N37" s="39">
        <f>IFERROR(__xludf.DUMMYFUNCTION("""COMPUTED_VALUE"""),0.0959)</f>
        <v>0.0959</v>
      </c>
      <c r="O37" s="38">
        <f>IFERROR(__xludf.DUMMYFUNCTION("""COMPUTED_VALUE"""),5882.986855)</f>
        <v>5882.986855</v>
      </c>
      <c r="P37" s="66">
        <f>IFERROR(__xludf.DUMMYFUNCTION("""COMPUTED_VALUE"""),564.1784393945001)</f>
        <v>564.1784394</v>
      </c>
      <c r="Q37" s="66">
        <f>IFERROR(__xludf.DUMMYFUNCTION("""COMPUTED_VALUE"""),0.0)</f>
        <v>0</v>
      </c>
      <c r="R37" s="81"/>
      <c r="S37" s="66"/>
      <c r="T37" s="66"/>
      <c r="U37" s="66"/>
      <c r="V37" s="66"/>
    </row>
    <row r="38">
      <c r="B38" s="75"/>
      <c r="C38" s="38"/>
      <c r="H38" s="66" t="str">
        <f>IFERROR(__xludf.DUMMYFUNCTION("""COMPUTED_VALUE"""),"Stable Coins")</f>
        <v>Stable Coins</v>
      </c>
      <c r="I38" s="66" t="str">
        <f>IFERROR(__xludf.DUMMYFUNCTION("""COMPUTED_VALUE"""),"Defi")</f>
        <v>Defi</v>
      </c>
      <c r="J38" s="66" t="str">
        <f>IFERROR(__xludf.DUMMYFUNCTION("""COMPUTED_VALUE"""),"YieldDesk_Main")</f>
        <v>YieldDesk_Main</v>
      </c>
      <c r="K38" s="66" t="str">
        <f>IFERROR(__xludf.DUMMYFUNCTION("""COMPUTED_VALUE"""),"5")</f>
        <v>5</v>
      </c>
      <c r="L38" s="72">
        <f>IFERROR(__xludf.DUMMYFUNCTION("""COMPUTED_VALUE"""),3290.8045291000003)</f>
        <v>3290.804529</v>
      </c>
      <c r="M38" s="39">
        <f>IFERROR(__xludf.DUMMYFUNCTION("""COMPUTED_VALUE"""),0.0)</f>
        <v>0</v>
      </c>
      <c r="N38" s="39">
        <f>IFERROR(__xludf.DUMMYFUNCTION("""COMPUTED_VALUE"""),0.0959)</f>
        <v>0.0959</v>
      </c>
      <c r="O38" s="38">
        <f>IFERROR(__xludf.DUMMYFUNCTION("""COMPUTED_VALUE"""),3290.8045291000003)</f>
        <v>3290.804529</v>
      </c>
      <c r="P38" s="66">
        <f>IFERROR(__xludf.DUMMYFUNCTION("""COMPUTED_VALUE"""),315.58815434069004)</f>
        <v>315.5881543</v>
      </c>
      <c r="Q38" s="66">
        <f>IFERROR(__xludf.DUMMYFUNCTION("""COMPUTED_VALUE"""),0.0)</f>
        <v>0</v>
      </c>
      <c r="R38" s="81"/>
      <c r="S38" s="66"/>
      <c r="T38" s="66"/>
      <c r="U38" s="66"/>
      <c r="V38" s="66"/>
    </row>
    <row r="39">
      <c r="B39" s="75"/>
      <c r="C39" s="38"/>
      <c r="H39" s="66" t="str">
        <f>IFERROR(__xludf.DUMMYFUNCTION("""COMPUTED_VALUE"""),"Stable Coins")</f>
        <v>Stable Coins</v>
      </c>
      <c r="I39" s="66" t="str">
        <f>IFERROR(__xludf.DUMMYFUNCTION("""COMPUTED_VALUE"""),"Exchange")</f>
        <v>Exchange</v>
      </c>
      <c r="J39" s="66" t="str">
        <f>IFERROR(__xludf.DUMMYFUNCTION("""COMPUTED_VALUE"""),"LIQUID")</f>
        <v>LIQUID</v>
      </c>
      <c r="K39" s="66" t="str">
        <f>IFERROR(__xludf.DUMMYFUNCTION("""COMPUTED_VALUE"""),"4")</f>
        <v>4</v>
      </c>
      <c r="L39" s="72">
        <f>IFERROR(__xludf.DUMMYFUNCTION("""COMPUTED_VALUE"""),2238.796118)</f>
        <v>2238.796118</v>
      </c>
      <c r="M39" s="39">
        <f>IFERROR(__xludf.DUMMYFUNCTION("""COMPUTED_VALUE"""),0.0)</f>
        <v>0</v>
      </c>
      <c r="N39" s="39">
        <f>IFERROR(__xludf.DUMMYFUNCTION("""COMPUTED_VALUE"""),0.0959)</f>
        <v>0.0959</v>
      </c>
      <c r="O39" s="38">
        <f>IFERROR(__xludf.DUMMYFUNCTION("""COMPUTED_VALUE"""),2238.796118)</f>
        <v>2238.796118</v>
      </c>
      <c r="P39" s="66">
        <f>IFERROR(__xludf.DUMMYFUNCTION("""COMPUTED_VALUE"""),214.70054771620002)</f>
        <v>214.7005477</v>
      </c>
      <c r="Q39" s="66">
        <f>IFERROR(__xludf.DUMMYFUNCTION("""COMPUTED_VALUE"""),0.0)</f>
        <v>0</v>
      </c>
      <c r="R39" s="81"/>
      <c r="S39" s="66"/>
      <c r="T39" s="66"/>
      <c r="U39" s="66"/>
      <c r="V39" s="66"/>
    </row>
    <row r="40">
      <c r="B40" s="75"/>
      <c r="C40" s="38"/>
      <c r="H40" s="66" t="str">
        <f>IFERROR(__xludf.DUMMYFUNCTION("""COMPUTED_VALUE"""),"Stable Coins")</f>
        <v>Stable Coins</v>
      </c>
      <c r="I40" s="66" t="str">
        <f>IFERROR(__xludf.DUMMYFUNCTION("""COMPUTED_VALUE"""),"Defi")</f>
        <v>Defi</v>
      </c>
      <c r="J40" s="66" t="str">
        <f>IFERROR(__xludf.DUMMYFUNCTION("""COMPUTED_VALUE"""),"OmniMan2")</f>
        <v>OmniMan2</v>
      </c>
      <c r="K40" s="66" t="str">
        <f>IFERROR(__xludf.DUMMYFUNCTION("""COMPUTED_VALUE"""),"5")</f>
        <v>5</v>
      </c>
      <c r="L40" s="72">
        <f>IFERROR(__xludf.DUMMYFUNCTION("""COMPUTED_VALUE"""),953.309609)</f>
        <v>953.309609</v>
      </c>
      <c r="M40" s="39">
        <f>IFERROR(__xludf.DUMMYFUNCTION("""COMPUTED_VALUE"""),0.0)</f>
        <v>0</v>
      </c>
      <c r="N40" s="39">
        <f>IFERROR(__xludf.DUMMYFUNCTION("""COMPUTED_VALUE"""),0.0959)</f>
        <v>0.0959</v>
      </c>
      <c r="O40" s="81">
        <f>IFERROR(__xludf.DUMMYFUNCTION("""COMPUTED_VALUE"""),953.309609)</f>
        <v>953.309609</v>
      </c>
      <c r="P40" s="66">
        <f>IFERROR(__xludf.DUMMYFUNCTION("""COMPUTED_VALUE"""),91.4223915031)</f>
        <v>91.4223915</v>
      </c>
      <c r="Q40" s="66">
        <f>IFERROR(__xludf.DUMMYFUNCTION("""COMPUTED_VALUE"""),0.0)</f>
        <v>0</v>
      </c>
      <c r="R40" s="81"/>
      <c r="S40" s="66"/>
      <c r="T40" s="66"/>
      <c r="U40" s="66"/>
      <c r="V40" s="66"/>
    </row>
    <row r="41">
      <c r="B41" s="75"/>
      <c r="C41" s="38"/>
      <c r="H41" s="66" t="str">
        <f>IFERROR(__xludf.DUMMYFUNCTION("""COMPUTED_VALUE"""),"Stable Coins")</f>
        <v>Stable Coins</v>
      </c>
      <c r="I41" s="66" t="str">
        <f>IFERROR(__xludf.DUMMYFUNCTION("""COMPUTED_VALUE"""),"N/A")</f>
        <v>N/A</v>
      </c>
      <c r="J41" s="66" t="str">
        <f>IFERROR(__xludf.DUMMYFUNCTION("""COMPUTED_VALUE"""),"DD-Anchor-Tera")</f>
        <v>DD-Anchor-Tera</v>
      </c>
      <c r="K41" s="66" t="str">
        <f>IFERROR(__xludf.DUMMYFUNCTION("""COMPUTED_VALUE"""),"nan")</f>
        <v>nan</v>
      </c>
      <c r="L41" s="72">
        <f>IFERROR(__xludf.DUMMYFUNCTION("""COMPUTED_VALUE"""),300.0)</f>
        <v>300</v>
      </c>
      <c r="M41" s="39">
        <f>IFERROR(__xludf.DUMMYFUNCTION("""COMPUTED_VALUE"""),0.0)</f>
        <v>0</v>
      </c>
      <c r="N41" s="39">
        <f>IFERROR(__xludf.DUMMYFUNCTION("""COMPUTED_VALUE"""),0.0959)</f>
        <v>0.0959</v>
      </c>
      <c r="O41" s="38">
        <f>IFERROR(__xludf.DUMMYFUNCTION("""COMPUTED_VALUE"""),300.0)</f>
        <v>300</v>
      </c>
      <c r="P41" s="66">
        <f>IFERROR(__xludf.DUMMYFUNCTION("""COMPUTED_VALUE"""),28.77)</f>
        <v>28.77</v>
      </c>
      <c r="Q41" s="66">
        <f>IFERROR(__xludf.DUMMYFUNCTION("""COMPUTED_VALUE"""),0.0)</f>
        <v>0</v>
      </c>
      <c r="R41" s="81"/>
      <c r="S41" s="66"/>
      <c r="T41" s="66"/>
      <c r="U41" s="66"/>
      <c r="V41" s="66"/>
    </row>
    <row r="42">
      <c r="B42" s="75"/>
      <c r="C42" s="38"/>
      <c r="H42" s="66" t="str">
        <f>IFERROR(__xludf.DUMMYFUNCTION("""COMPUTED_VALUE"""),"Stable Coins")</f>
        <v>Stable Coins</v>
      </c>
      <c r="I42" s="66" t="str">
        <f>IFERROR(__xludf.DUMMYFUNCTION("""COMPUTED_VALUE"""),"Defi")</f>
        <v>Defi</v>
      </c>
      <c r="J42" s="66" t="str">
        <f>IFERROR(__xludf.DUMMYFUNCTION("""COMPUTED_VALUE"""),"YD - Curve - stETH")</f>
        <v>YD - Curve - stETH</v>
      </c>
      <c r="K42" s="66" t="str">
        <f>IFERROR(__xludf.DUMMYFUNCTION("""COMPUTED_VALUE"""),"2")</f>
        <v>2</v>
      </c>
      <c r="L42" s="72">
        <f>IFERROR(__xludf.DUMMYFUNCTION("""COMPUTED_VALUE"""),200.0)</f>
        <v>200</v>
      </c>
      <c r="M42" s="39">
        <f>IFERROR(__xludf.DUMMYFUNCTION("""COMPUTED_VALUE"""),0.0)</f>
        <v>0</v>
      </c>
      <c r="N42" s="39">
        <f>IFERROR(__xludf.DUMMYFUNCTION("""COMPUTED_VALUE"""),0.0959)</f>
        <v>0.0959</v>
      </c>
      <c r="O42" s="66">
        <f>IFERROR(__xludf.DUMMYFUNCTION("""COMPUTED_VALUE"""),200.0)</f>
        <v>200</v>
      </c>
      <c r="P42" s="66">
        <f>IFERROR(__xludf.DUMMYFUNCTION("""COMPUTED_VALUE"""),19.18)</f>
        <v>19.18</v>
      </c>
      <c r="Q42" s="66">
        <f>IFERROR(__xludf.DUMMYFUNCTION("""COMPUTED_VALUE"""),0.0)</f>
        <v>0</v>
      </c>
      <c r="R42" s="81"/>
      <c r="S42" s="66"/>
      <c r="T42" s="66"/>
      <c r="U42" s="66"/>
      <c r="V42" s="66"/>
    </row>
    <row r="43">
      <c r="B43" s="75"/>
      <c r="C43" s="38"/>
      <c r="H43" s="66" t="str">
        <f>IFERROR(__xludf.DUMMYFUNCTION("""COMPUTED_VALUE"""),"Stable Coins")</f>
        <v>Stable Coins</v>
      </c>
      <c r="I43" s="66" t="str">
        <f>IFERROR(__xludf.DUMMYFUNCTION("""COMPUTED_VALUE"""),"Defi")</f>
        <v>Defi</v>
      </c>
      <c r="J43" s="66" t="str">
        <f>IFERROR(__xludf.DUMMYFUNCTION("""COMPUTED_VALUE"""),"TEST-SYNTHETIX")</f>
        <v>TEST-SYNTHETIX</v>
      </c>
      <c r="K43" s="66" t="str">
        <f>IFERROR(__xludf.DUMMYFUNCTION("""COMPUTED_VALUE"""),"5")</f>
        <v>5</v>
      </c>
      <c r="L43" s="72">
        <f>IFERROR(__xludf.DUMMYFUNCTION("""COMPUTED_VALUE"""),100.0)</f>
        <v>100</v>
      </c>
      <c r="M43" s="39">
        <f>IFERROR(__xludf.DUMMYFUNCTION("""COMPUTED_VALUE"""),0.0)</f>
        <v>0</v>
      </c>
      <c r="N43" s="39">
        <f>IFERROR(__xludf.DUMMYFUNCTION("""COMPUTED_VALUE"""),0.0959)</f>
        <v>0.0959</v>
      </c>
      <c r="O43" s="38">
        <f>IFERROR(__xludf.DUMMYFUNCTION("""COMPUTED_VALUE"""),100.0)</f>
        <v>100</v>
      </c>
      <c r="P43" s="66">
        <f>IFERROR(__xludf.DUMMYFUNCTION("""COMPUTED_VALUE"""),9.59)</f>
        <v>9.59</v>
      </c>
      <c r="Q43" s="66">
        <f>IFERROR(__xludf.DUMMYFUNCTION("""COMPUTED_VALUE"""),0.0)</f>
        <v>0</v>
      </c>
      <c r="R43" s="81"/>
      <c r="S43" s="66"/>
      <c r="T43" s="66"/>
      <c r="U43" s="66"/>
      <c r="V43" s="66"/>
    </row>
    <row r="44">
      <c r="B44" s="75"/>
      <c r="C44" s="38"/>
      <c r="H44" s="66" t="str">
        <f>IFERROR(__xludf.DUMMYFUNCTION("""COMPUTED_VALUE"""),"Stable Coins")</f>
        <v>Stable Coins</v>
      </c>
      <c r="I44" s="66" t="str">
        <f>IFERROR(__xludf.DUMMYFUNCTION("""COMPUTED_VALUE"""),"Defi")</f>
        <v>Defi</v>
      </c>
      <c r="J44" s="66" t="str">
        <f>IFERROR(__xludf.DUMMYFUNCTION("""COMPUTED_VALUE"""),"Deployment - TrueFi")</f>
        <v>Deployment - TrueFi</v>
      </c>
      <c r="K44" s="66" t="str">
        <f>IFERROR(__xludf.DUMMYFUNCTION("""COMPUTED_VALUE"""),"2")</f>
        <v>2</v>
      </c>
      <c r="L44" s="72">
        <f>IFERROR(__xludf.DUMMYFUNCTION("""COMPUTED_VALUE"""),8.252240819)</f>
        <v>8.252240819</v>
      </c>
      <c r="M44" s="39">
        <f>IFERROR(__xludf.DUMMYFUNCTION("""COMPUTED_VALUE"""),0.0945)</f>
        <v>0.0945</v>
      </c>
      <c r="N44" s="39">
        <f>IFERROR(__xludf.DUMMYFUNCTION("""COMPUTED_VALUE"""),0.0959)</f>
        <v>0.0959</v>
      </c>
      <c r="O44" s="66">
        <f>IFERROR(__xludf.DUMMYFUNCTION("""COMPUTED_VALUE"""),8.252240819)</f>
        <v>8.252240819</v>
      </c>
      <c r="P44" s="66">
        <f>IFERROR(__xludf.DUMMYFUNCTION("""COMPUTED_VALUE"""),0.7913898945421001)</f>
        <v>0.7913898945</v>
      </c>
      <c r="Q44" s="66">
        <f>IFERROR(__xludf.DUMMYFUNCTION("""COMPUTED_VALUE"""),0.7798367573955001)</f>
        <v>0.7798367574</v>
      </c>
      <c r="R44" s="81"/>
      <c r="S44" s="66"/>
      <c r="T44" s="66"/>
      <c r="U44" s="66"/>
      <c r="V44" s="66"/>
    </row>
    <row r="45">
      <c r="B45" s="75"/>
      <c r="C45" s="38"/>
      <c r="H45" s="66" t="str">
        <f>IFERROR(__xludf.DUMMYFUNCTION("""COMPUTED_VALUE"""),"Stable Coins")</f>
        <v>Stable Coins</v>
      </c>
      <c r="I45" s="66" t="str">
        <f>IFERROR(__xludf.DUMMYFUNCTION("""COMPUTED_VALUE"""),"Defi")</f>
        <v>Defi</v>
      </c>
      <c r="J45" s="66" t="str">
        <f>IFERROR(__xludf.DUMMYFUNCTION("""COMPUTED_VALUE"""),"Truefi Borrows Account")</f>
        <v>Truefi Borrows Account</v>
      </c>
      <c r="K45" s="66" t="str">
        <f>IFERROR(__xludf.DUMMYFUNCTION("""COMPUTED_VALUE"""),"2")</f>
        <v>2</v>
      </c>
      <c r="L45" s="72">
        <f>IFERROR(__xludf.DUMMYFUNCTION("""COMPUTED_VALUE"""),0.493151)</f>
        <v>0.493151</v>
      </c>
      <c r="M45" s="39">
        <f>IFERROR(__xludf.DUMMYFUNCTION("""COMPUTED_VALUE"""),0.0)</f>
        <v>0</v>
      </c>
      <c r="N45" s="39">
        <f>IFERROR(__xludf.DUMMYFUNCTION("""COMPUTED_VALUE"""),0.0959)</f>
        <v>0.0959</v>
      </c>
      <c r="O45" s="38">
        <f>IFERROR(__xludf.DUMMYFUNCTION("""COMPUTED_VALUE"""),0.493151)</f>
        <v>0.493151</v>
      </c>
      <c r="P45" s="66">
        <f>IFERROR(__xludf.DUMMYFUNCTION("""COMPUTED_VALUE"""),0.0472931809)</f>
        <v>0.0472931809</v>
      </c>
      <c r="Q45" s="66">
        <f>IFERROR(__xludf.DUMMYFUNCTION("""COMPUTED_VALUE"""),0.0)</f>
        <v>0</v>
      </c>
      <c r="R45" s="81"/>
      <c r="S45" s="66"/>
      <c r="T45" s="66"/>
      <c r="U45" s="66"/>
      <c r="V45" s="66"/>
    </row>
    <row r="46">
      <c r="A46" s="31" t="s">
        <v>8</v>
      </c>
      <c r="B46" s="85">
        <f>SUMIFs(L:L,I:I,A46)</f>
        <v>941243673</v>
      </c>
      <c r="C46" s="32">
        <f>SUMIFs(O:O,I:I,A46)</f>
        <v>941243673</v>
      </c>
      <c r="D46" s="33">
        <f>B46/$B$23</f>
        <v>0.3237561085</v>
      </c>
      <c r="E46" s="86">
        <f>iferror(SUMIFs(Q:Q,I:I,A46)/C46)</f>
        <v>0.08746432259</v>
      </c>
      <c r="L46" s="72"/>
      <c r="M46" s="39"/>
      <c r="N46" s="39"/>
    </row>
    <row r="47">
      <c r="A47" s="31"/>
      <c r="B47" s="85"/>
      <c r="C47" s="32"/>
      <c r="D47" s="33"/>
      <c r="E47" s="86"/>
      <c r="L47" s="72"/>
      <c r="M47" s="39"/>
      <c r="N47" s="39"/>
    </row>
    <row r="48">
      <c r="A48" s="31"/>
      <c r="B48" s="85"/>
      <c r="C48" s="32"/>
      <c r="D48" s="33"/>
      <c r="E48" s="86"/>
      <c r="L48" s="72"/>
      <c r="M48" s="39"/>
      <c r="N48" s="39"/>
    </row>
    <row r="49">
      <c r="A49" s="31" t="s">
        <v>10</v>
      </c>
      <c r="B49" s="85">
        <f>SUMIFs(L:L,I:I,A49)</f>
        <v>79333133.3</v>
      </c>
      <c r="C49" s="32">
        <f>SUMIFs(O:O,I:I,A49)</f>
        <v>79333133.3</v>
      </c>
      <c r="D49" s="33">
        <f>B49/$B$23</f>
        <v>0.02728792473</v>
      </c>
      <c r="E49" s="86">
        <f>iferror(SUMIFs(Q:Q,I:I,A49)/C49)</f>
        <v>0.04483187201</v>
      </c>
      <c r="L49" s="72"/>
      <c r="M49" s="39"/>
      <c r="N49" s="39"/>
    </row>
    <row r="50">
      <c r="A50" s="31" t="s">
        <v>22</v>
      </c>
      <c r="B50" s="85"/>
      <c r="C50" s="32"/>
      <c r="D50" s="33"/>
      <c r="E50" s="86"/>
      <c r="L50" s="72"/>
      <c r="M50" s="39"/>
      <c r="N50" s="39"/>
    </row>
    <row r="51">
      <c r="A51" s="31" t="s">
        <v>13</v>
      </c>
      <c r="B51" s="85">
        <f>SUMIFs(L:L,I:I,A51)</f>
        <v>74934283.63</v>
      </c>
      <c r="C51" s="32">
        <f>SUMIFs(O:O,I:I,A51)</f>
        <v>74934283.63</v>
      </c>
      <c r="D51" s="33">
        <f>B51/$B$23</f>
        <v>0.02577486867</v>
      </c>
      <c r="E51" s="86">
        <f>iferror(SUMIFs(Q:Q,I:I,A51)/C51)</f>
        <v>0.1315886056</v>
      </c>
      <c r="L51" s="72"/>
      <c r="M51" s="39"/>
      <c r="N51" s="39"/>
    </row>
    <row r="52">
      <c r="A52" s="31" t="s">
        <v>19</v>
      </c>
      <c r="B52" s="85"/>
      <c r="C52" s="32"/>
      <c r="D52" s="33"/>
      <c r="E52" s="86"/>
      <c r="L52" s="72"/>
      <c r="M52" s="39"/>
      <c r="N52" s="39"/>
    </row>
    <row r="53">
      <c r="A53" s="31" t="s">
        <v>9</v>
      </c>
      <c r="B53" s="85">
        <f>SUMIFs(L:L,I:I,A53)</f>
        <v>106500259.6</v>
      </c>
      <c r="C53" s="32">
        <f>SUMIFs(O:O,I:I,A53)</f>
        <v>106500259.6</v>
      </c>
      <c r="D53" s="33">
        <f>B53/$B$23</f>
        <v>0.03663250078</v>
      </c>
      <c r="E53" s="86">
        <f>iferror(SUMIFs(Q:Q,I:I,A53)/C53)</f>
        <v>0.04077394622</v>
      </c>
      <c r="L53" s="72"/>
      <c r="M53" s="39"/>
      <c r="N53" s="39"/>
    </row>
    <row r="54">
      <c r="B54" s="75"/>
      <c r="C54" s="38"/>
      <c r="L54" s="72"/>
      <c r="M54" s="39"/>
      <c r="N54" s="39"/>
    </row>
    <row r="55">
      <c r="B55" s="75">
        <f>sum(B46:B53)</f>
        <v>1202011350</v>
      </c>
      <c r="C55" s="38"/>
      <c r="E55" s="39">
        <f>sumproduct(B46:B53,E46:E53)/B55</f>
        <v>0.08326446079</v>
      </c>
      <c r="L55" s="72"/>
      <c r="M55" s="39"/>
      <c r="N55" s="39"/>
    </row>
    <row r="56">
      <c r="B56" s="75"/>
      <c r="C56" s="38"/>
      <c r="L56" s="72"/>
      <c r="M56" s="39"/>
      <c r="N56" s="39"/>
    </row>
    <row r="57">
      <c r="B57" s="75"/>
      <c r="C57" s="38"/>
      <c r="L57" s="72"/>
      <c r="M57" s="39"/>
      <c r="N57" s="39"/>
    </row>
    <row r="58">
      <c r="B58" s="75"/>
      <c r="C58" s="38"/>
      <c r="L58" s="72"/>
      <c r="M58" s="39"/>
      <c r="N58" s="39"/>
    </row>
    <row r="59">
      <c r="B59" s="75"/>
      <c r="C59" s="38"/>
      <c r="L59" s="72"/>
      <c r="M59" s="39"/>
      <c r="N59" s="39"/>
    </row>
    <row r="60">
      <c r="B60" s="75"/>
      <c r="C60" s="38"/>
      <c r="L60" s="72"/>
      <c r="M60" s="39"/>
      <c r="N60" s="39"/>
    </row>
    <row r="61">
      <c r="B61" s="75"/>
      <c r="C61" s="38"/>
      <c r="L61" s="72"/>
      <c r="M61" s="39"/>
      <c r="N61" s="39"/>
    </row>
    <row r="62">
      <c r="B62" s="75"/>
      <c r="C62" s="38"/>
      <c r="L62" s="72"/>
      <c r="M62" s="39"/>
      <c r="N62" s="39"/>
    </row>
    <row r="63">
      <c r="B63" s="75"/>
      <c r="C63" s="38"/>
      <c r="L63" s="72"/>
      <c r="M63" s="39"/>
      <c r="N63" s="39"/>
    </row>
    <row r="64">
      <c r="B64" s="75"/>
      <c r="C64" s="38"/>
      <c r="L64" s="72"/>
      <c r="M64" s="39"/>
      <c r="N64" s="39"/>
    </row>
    <row r="65">
      <c r="B65" s="75"/>
      <c r="C65" s="38"/>
      <c r="L65" s="72"/>
      <c r="M65" s="39"/>
      <c r="N65" s="39"/>
    </row>
    <row r="66">
      <c r="B66" s="75"/>
      <c r="C66" s="38"/>
      <c r="L66" s="72"/>
      <c r="M66" s="39"/>
      <c r="N66" s="39"/>
    </row>
    <row r="67">
      <c r="B67" s="75"/>
      <c r="C67" s="38"/>
      <c r="L67" s="72"/>
      <c r="M67" s="39"/>
      <c r="N67" s="39"/>
    </row>
    <row r="68">
      <c r="B68" s="75"/>
      <c r="C68" s="38"/>
      <c r="L68" s="72"/>
      <c r="M68" s="39"/>
      <c r="N68" s="39"/>
    </row>
    <row r="69">
      <c r="B69" s="75"/>
      <c r="C69" s="38"/>
      <c r="L69" s="72"/>
      <c r="M69" s="39"/>
      <c r="N69" s="39"/>
    </row>
    <row r="70">
      <c r="B70" s="75"/>
      <c r="C70" s="38"/>
      <c r="L70" s="72"/>
      <c r="M70" s="39"/>
      <c r="N70" s="39"/>
    </row>
    <row r="71">
      <c r="B71" s="75"/>
      <c r="C71" s="38"/>
      <c r="L71" s="72"/>
      <c r="M71" s="39"/>
      <c r="N71" s="39"/>
    </row>
    <row r="72">
      <c r="B72" s="75"/>
      <c r="C72" s="38"/>
      <c r="L72" s="72"/>
      <c r="M72" s="39"/>
      <c r="N72" s="39"/>
    </row>
    <row r="73">
      <c r="B73" s="75"/>
      <c r="C73" s="38"/>
      <c r="L73" s="72"/>
      <c r="M73" s="39"/>
      <c r="N73" s="39"/>
    </row>
    <row r="74">
      <c r="B74" s="75"/>
      <c r="C74" s="38"/>
      <c r="L74" s="72"/>
      <c r="M74" s="39"/>
      <c r="N74" s="39"/>
    </row>
    <row r="75">
      <c r="B75" s="75"/>
      <c r="C75" s="38"/>
      <c r="L75" s="72"/>
      <c r="M75" s="39"/>
      <c r="N75" s="39"/>
    </row>
    <row r="76">
      <c r="B76" s="75"/>
      <c r="C76" s="38"/>
      <c r="L76" s="72"/>
      <c r="M76" s="39"/>
      <c r="N76" s="39"/>
    </row>
    <row r="77">
      <c r="B77" s="75"/>
      <c r="C77" s="38"/>
      <c r="L77" s="72"/>
      <c r="M77" s="39"/>
      <c r="N77" s="39"/>
    </row>
    <row r="78">
      <c r="B78" s="75"/>
      <c r="C78" s="38"/>
      <c r="L78" s="72"/>
      <c r="M78" s="39"/>
      <c r="N78" s="39"/>
    </row>
    <row r="79">
      <c r="B79" s="75"/>
      <c r="C79" s="38"/>
      <c r="L79" s="72"/>
      <c r="M79" s="39"/>
      <c r="N79" s="39"/>
    </row>
    <row r="80">
      <c r="B80" s="75"/>
      <c r="C80" s="38"/>
      <c r="L80" s="72"/>
      <c r="M80" s="39"/>
      <c r="N80" s="39"/>
    </row>
    <row r="81">
      <c r="B81" s="75"/>
      <c r="C81" s="38"/>
      <c r="L81" s="72"/>
      <c r="M81" s="39"/>
      <c r="N81" s="39"/>
    </row>
    <row r="82">
      <c r="B82" s="75"/>
      <c r="C82" s="38"/>
      <c r="L82" s="72"/>
      <c r="M82" s="39"/>
      <c r="N82" s="39"/>
    </row>
    <row r="83">
      <c r="B83" s="75"/>
      <c r="C83" s="38"/>
      <c r="L83" s="72"/>
      <c r="M83" s="39"/>
      <c r="N83" s="39"/>
    </row>
    <row r="84">
      <c r="B84" s="75"/>
      <c r="C84" s="38"/>
      <c r="L84" s="72"/>
      <c r="M84" s="39"/>
      <c r="N84" s="39"/>
    </row>
    <row r="85">
      <c r="B85" s="75"/>
      <c r="C85" s="38"/>
      <c r="L85" s="72"/>
      <c r="M85" s="39"/>
      <c r="N85" s="39"/>
    </row>
    <row r="86">
      <c r="B86" s="75"/>
      <c r="C86" s="38"/>
      <c r="L86" s="72"/>
      <c r="M86" s="39"/>
      <c r="N86" s="39"/>
    </row>
    <row r="87">
      <c r="B87" s="75"/>
      <c r="C87" s="38"/>
      <c r="L87" s="72"/>
      <c r="M87" s="39"/>
      <c r="N87" s="39"/>
    </row>
    <row r="88">
      <c r="B88" s="75"/>
      <c r="C88" s="38"/>
      <c r="L88" s="72"/>
      <c r="M88" s="39"/>
      <c r="N88" s="39"/>
    </row>
    <row r="89">
      <c r="B89" s="75"/>
      <c r="C89" s="38"/>
      <c r="L89" s="72"/>
      <c r="M89" s="39"/>
      <c r="N89" s="39"/>
    </row>
    <row r="90">
      <c r="B90" s="75"/>
      <c r="C90" s="38"/>
      <c r="L90" s="72"/>
      <c r="M90" s="39"/>
      <c r="N90" s="39"/>
    </row>
    <row r="91">
      <c r="B91" s="75"/>
      <c r="C91" s="38"/>
      <c r="L91" s="72"/>
      <c r="M91" s="39"/>
      <c r="N91" s="39"/>
    </row>
    <row r="92">
      <c r="B92" s="75"/>
      <c r="C92" s="38"/>
      <c r="L92" s="72"/>
      <c r="M92" s="39"/>
      <c r="N92" s="39"/>
    </row>
    <row r="93">
      <c r="B93" s="75"/>
      <c r="C93" s="38"/>
      <c r="L93" s="72"/>
      <c r="M93" s="39"/>
      <c r="N93" s="39"/>
    </row>
    <row r="94">
      <c r="B94" s="75"/>
      <c r="C94" s="38"/>
      <c r="L94" s="72"/>
      <c r="M94" s="39"/>
      <c r="N94" s="39"/>
    </row>
    <row r="95">
      <c r="B95" s="75"/>
      <c r="C95" s="38"/>
      <c r="L95" s="72"/>
      <c r="M95" s="39"/>
      <c r="N95" s="39"/>
    </row>
    <row r="96">
      <c r="B96" s="75"/>
      <c r="C96" s="38"/>
      <c r="L96" s="72"/>
      <c r="M96" s="39"/>
      <c r="N96" s="39"/>
    </row>
    <row r="97">
      <c r="B97" s="75"/>
      <c r="C97" s="38"/>
      <c r="L97" s="72"/>
      <c r="M97" s="39"/>
      <c r="N97" s="39"/>
    </row>
    <row r="98">
      <c r="B98" s="75"/>
      <c r="C98" s="38"/>
      <c r="L98" s="72"/>
      <c r="M98" s="39"/>
      <c r="N98" s="39"/>
    </row>
    <row r="99">
      <c r="B99" s="75"/>
      <c r="C99" s="38"/>
      <c r="L99" s="72"/>
      <c r="M99" s="39"/>
      <c r="N99" s="39"/>
    </row>
    <row r="100">
      <c r="B100" s="75"/>
      <c r="C100" s="38"/>
      <c r="L100" s="72"/>
      <c r="M100" s="39"/>
      <c r="N100" s="39"/>
    </row>
    <row r="101">
      <c r="B101" s="75"/>
      <c r="C101" s="38"/>
      <c r="L101" s="72"/>
      <c r="M101" s="39"/>
      <c r="N101" s="39"/>
    </row>
    <row r="102">
      <c r="B102" s="75"/>
      <c r="C102" s="38"/>
      <c r="L102" s="72"/>
      <c r="M102" s="39"/>
      <c r="N102" s="39"/>
    </row>
    <row r="103">
      <c r="B103" s="75"/>
      <c r="C103" s="38"/>
      <c r="L103" s="72"/>
      <c r="M103" s="39"/>
      <c r="N103" s="39"/>
    </row>
    <row r="104">
      <c r="B104" s="75"/>
      <c r="C104" s="38"/>
      <c r="L104" s="72"/>
      <c r="M104" s="39"/>
      <c r="N104" s="39"/>
    </row>
    <row r="105">
      <c r="B105" s="75"/>
      <c r="C105" s="38"/>
      <c r="L105" s="72"/>
      <c r="M105" s="39"/>
      <c r="N105" s="39"/>
    </row>
    <row r="106">
      <c r="B106" s="75"/>
      <c r="C106" s="38"/>
      <c r="L106" s="72"/>
      <c r="M106" s="39"/>
      <c r="N106" s="39"/>
    </row>
    <row r="107">
      <c r="B107" s="75"/>
      <c r="C107" s="38"/>
      <c r="L107" s="72"/>
      <c r="M107" s="39"/>
      <c r="N107" s="39"/>
    </row>
    <row r="108">
      <c r="B108" s="75"/>
      <c r="C108" s="38"/>
      <c r="L108" s="72"/>
      <c r="M108" s="39"/>
      <c r="N108" s="39"/>
    </row>
    <row r="109">
      <c r="B109" s="75"/>
      <c r="C109" s="38"/>
      <c r="L109" s="72"/>
      <c r="M109" s="39"/>
      <c r="N109" s="39"/>
    </row>
    <row r="110">
      <c r="B110" s="75"/>
      <c r="C110" s="38"/>
      <c r="L110" s="72"/>
      <c r="M110" s="39"/>
      <c r="N110" s="39"/>
    </row>
    <row r="111">
      <c r="B111" s="75"/>
      <c r="C111" s="38"/>
      <c r="L111" s="72"/>
      <c r="M111" s="39"/>
      <c r="N111" s="39"/>
    </row>
    <row r="112">
      <c r="B112" s="75"/>
      <c r="C112" s="38"/>
      <c r="L112" s="72"/>
      <c r="M112" s="39"/>
      <c r="N112" s="39"/>
    </row>
    <row r="113">
      <c r="B113" s="75"/>
      <c r="C113" s="38"/>
      <c r="L113" s="72"/>
      <c r="M113" s="39"/>
      <c r="N113" s="39"/>
    </row>
    <row r="114">
      <c r="B114" s="75"/>
      <c r="C114" s="38"/>
      <c r="L114" s="72"/>
      <c r="M114" s="39"/>
      <c r="N114" s="39"/>
    </row>
    <row r="115">
      <c r="B115" s="75"/>
      <c r="C115" s="38"/>
      <c r="L115" s="72"/>
      <c r="M115" s="39"/>
      <c r="N115" s="39"/>
    </row>
    <row r="116">
      <c r="B116" s="75"/>
      <c r="C116" s="38"/>
      <c r="L116" s="72"/>
      <c r="M116" s="39"/>
      <c r="N116" s="39"/>
    </row>
    <row r="117">
      <c r="B117" s="75"/>
      <c r="C117" s="38"/>
      <c r="L117" s="72"/>
      <c r="M117" s="39"/>
      <c r="N117" s="39"/>
    </row>
    <row r="118">
      <c r="B118" s="75"/>
      <c r="C118" s="38"/>
      <c r="L118" s="72"/>
      <c r="M118" s="39"/>
      <c r="N118" s="39"/>
    </row>
    <row r="119">
      <c r="B119" s="75"/>
      <c r="C119" s="38"/>
      <c r="L119" s="72"/>
      <c r="M119" s="39"/>
      <c r="N119" s="39"/>
    </row>
    <row r="120">
      <c r="B120" s="75"/>
      <c r="C120" s="38"/>
      <c r="L120" s="72"/>
      <c r="M120" s="39"/>
      <c r="N120" s="39"/>
    </row>
    <row r="121">
      <c r="B121" s="75"/>
      <c r="C121" s="38"/>
      <c r="L121" s="72"/>
      <c r="M121" s="39"/>
      <c r="N121" s="39"/>
    </row>
    <row r="122">
      <c r="B122" s="75"/>
      <c r="C122" s="38"/>
      <c r="L122" s="72"/>
      <c r="M122" s="39"/>
      <c r="N122" s="39"/>
    </row>
    <row r="123">
      <c r="B123" s="75"/>
      <c r="C123" s="38"/>
      <c r="L123" s="72"/>
      <c r="M123" s="39"/>
      <c r="N123" s="39"/>
    </row>
    <row r="124">
      <c r="B124" s="75"/>
      <c r="C124" s="38"/>
      <c r="L124" s="72"/>
      <c r="M124" s="39"/>
      <c r="N124" s="39"/>
    </row>
    <row r="125">
      <c r="B125" s="75"/>
      <c r="C125" s="38"/>
      <c r="L125" s="72"/>
      <c r="M125" s="39"/>
      <c r="N125" s="39"/>
    </row>
    <row r="126">
      <c r="B126" s="75"/>
      <c r="C126" s="38"/>
      <c r="L126" s="72"/>
      <c r="M126" s="39"/>
      <c r="N126" s="39"/>
    </row>
    <row r="127">
      <c r="B127" s="75"/>
      <c r="C127" s="38"/>
      <c r="L127" s="72"/>
      <c r="M127" s="39"/>
      <c r="N127" s="39"/>
    </row>
    <row r="128">
      <c r="B128" s="75"/>
      <c r="C128" s="38"/>
      <c r="L128" s="72"/>
      <c r="M128" s="39"/>
      <c r="N128" s="39"/>
    </row>
    <row r="129">
      <c r="B129" s="75"/>
      <c r="C129" s="38"/>
      <c r="L129" s="72"/>
      <c r="M129" s="39"/>
      <c r="N129" s="39"/>
    </row>
    <row r="130">
      <c r="B130" s="75"/>
      <c r="C130" s="38"/>
      <c r="L130" s="72"/>
      <c r="M130" s="39"/>
      <c r="N130" s="39"/>
    </row>
    <row r="131">
      <c r="B131" s="75"/>
      <c r="C131" s="38"/>
      <c r="L131" s="72"/>
      <c r="M131" s="39"/>
      <c r="N131" s="39"/>
    </row>
    <row r="132">
      <c r="B132" s="75"/>
      <c r="C132" s="38"/>
      <c r="L132" s="72"/>
      <c r="M132" s="39"/>
      <c r="N132" s="39"/>
    </row>
    <row r="133">
      <c r="B133" s="75"/>
      <c r="C133" s="38"/>
      <c r="L133" s="72"/>
      <c r="M133" s="39"/>
      <c r="N133" s="39"/>
    </row>
    <row r="134">
      <c r="B134" s="75"/>
      <c r="C134" s="38"/>
      <c r="L134" s="72"/>
      <c r="M134" s="39"/>
      <c r="N134" s="39"/>
    </row>
    <row r="135">
      <c r="B135" s="75"/>
      <c r="C135" s="38"/>
      <c r="L135" s="72"/>
      <c r="M135" s="39"/>
      <c r="N135" s="39"/>
    </row>
    <row r="136">
      <c r="B136" s="75"/>
      <c r="C136" s="38"/>
      <c r="L136" s="72"/>
      <c r="M136" s="39"/>
      <c r="N136" s="39"/>
    </row>
    <row r="137">
      <c r="B137" s="75"/>
      <c r="C137" s="38"/>
      <c r="L137" s="72"/>
      <c r="M137" s="39"/>
      <c r="N137" s="39"/>
    </row>
    <row r="138">
      <c r="B138" s="75"/>
      <c r="C138" s="38"/>
      <c r="L138" s="72"/>
      <c r="M138" s="39"/>
      <c r="N138" s="39"/>
    </row>
    <row r="139">
      <c r="B139" s="75"/>
      <c r="C139" s="38"/>
      <c r="L139" s="72"/>
      <c r="M139" s="39"/>
      <c r="N139" s="39"/>
    </row>
    <row r="140">
      <c r="B140" s="75"/>
      <c r="C140" s="38"/>
      <c r="L140" s="72"/>
      <c r="M140" s="39"/>
      <c r="N140" s="39"/>
    </row>
    <row r="141">
      <c r="B141" s="75"/>
      <c r="C141" s="38"/>
      <c r="L141" s="72"/>
      <c r="M141" s="39"/>
      <c r="N141" s="39"/>
    </row>
    <row r="142">
      <c r="B142" s="75"/>
      <c r="C142" s="38"/>
      <c r="L142" s="72"/>
      <c r="M142" s="39"/>
      <c r="N142" s="39"/>
    </row>
    <row r="143">
      <c r="B143" s="75"/>
      <c r="C143" s="38"/>
      <c r="L143" s="72"/>
      <c r="M143" s="39"/>
      <c r="N143" s="39"/>
    </row>
    <row r="144">
      <c r="B144" s="75"/>
      <c r="C144" s="38"/>
      <c r="L144" s="72"/>
      <c r="M144" s="39"/>
      <c r="N144" s="39"/>
    </row>
    <row r="145">
      <c r="B145" s="75"/>
      <c r="C145" s="38"/>
      <c r="L145" s="72"/>
      <c r="M145" s="39"/>
      <c r="N145" s="39"/>
    </row>
    <row r="146">
      <c r="B146" s="75"/>
      <c r="C146" s="38"/>
      <c r="L146" s="72"/>
      <c r="M146" s="39"/>
      <c r="N146" s="39"/>
    </row>
    <row r="147">
      <c r="B147" s="75"/>
      <c r="C147" s="38"/>
      <c r="L147" s="72"/>
      <c r="M147" s="39"/>
      <c r="N147" s="39"/>
    </row>
    <row r="148">
      <c r="B148" s="75"/>
      <c r="C148" s="38"/>
      <c r="L148" s="72"/>
      <c r="M148" s="39"/>
      <c r="N148" s="39"/>
    </row>
    <row r="149">
      <c r="B149" s="75"/>
      <c r="C149" s="38"/>
      <c r="L149" s="72"/>
      <c r="M149" s="39"/>
      <c r="N149" s="39"/>
    </row>
    <row r="150">
      <c r="B150" s="75"/>
      <c r="C150" s="38"/>
      <c r="L150" s="72"/>
      <c r="M150" s="39"/>
      <c r="N150" s="39"/>
    </row>
    <row r="151">
      <c r="B151" s="75"/>
      <c r="C151" s="38"/>
      <c r="L151" s="72"/>
      <c r="M151" s="39"/>
      <c r="N151" s="39"/>
    </row>
    <row r="152">
      <c r="B152" s="75"/>
      <c r="C152" s="38"/>
      <c r="L152" s="72"/>
      <c r="M152" s="39"/>
      <c r="N152" s="39"/>
    </row>
    <row r="153">
      <c r="B153" s="75"/>
      <c r="C153" s="38"/>
      <c r="L153" s="72"/>
      <c r="M153" s="39"/>
      <c r="N153" s="39"/>
    </row>
    <row r="154">
      <c r="B154" s="75"/>
      <c r="C154" s="38"/>
      <c r="L154" s="72"/>
      <c r="M154" s="39"/>
      <c r="N154" s="39"/>
    </row>
    <row r="155">
      <c r="B155" s="75"/>
      <c r="C155" s="38"/>
      <c r="L155" s="72"/>
      <c r="M155" s="39"/>
      <c r="N155" s="39"/>
    </row>
    <row r="156">
      <c r="B156" s="75"/>
      <c r="C156" s="38"/>
      <c r="L156" s="72"/>
      <c r="M156" s="39"/>
      <c r="N156" s="39"/>
    </row>
    <row r="157">
      <c r="B157" s="75"/>
      <c r="C157" s="38"/>
      <c r="L157" s="72"/>
      <c r="M157" s="39"/>
      <c r="N157" s="39"/>
    </row>
    <row r="158">
      <c r="B158" s="75"/>
      <c r="C158" s="38"/>
      <c r="L158" s="72"/>
      <c r="M158" s="39"/>
      <c r="N158" s="39"/>
    </row>
    <row r="159">
      <c r="B159" s="75"/>
      <c r="C159" s="38"/>
      <c r="L159" s="72"/>
      <c r="M159" s="39"/>
      <c r="N159" s="39"/>
    </row>
    <row r="160">
      <c r="B160" s="75"/>
      <c r="C160" s="38"/>
      <c r="L160" s="72"/>
      <c r="M160" s="39"/>
      <c r="N160" s="39"/>
    </row>
    <row r="161">
      <c r="B161" s="75"/>
      <c r="C161" s="38"/>
      <c r="L161" s="72"/>
      <c r="M161" s="39"/>
      <c r="N161" s="39"/>
    </row>
    <row r="162">
      <c r="B162" s="75"/>
      <c r="C162" s="38"/>
      <c r="L162" s="72"/>
      <c r="M162" s="39"/>
      <c r="N162" s="39"/>
    </row>
    <row r="163">
      <c r="B163" s="75"/>
      <c r="C163" s="38"/>
      <c r="L163" s="72"/>
      <c r="M163" s="39"/>
      <c r="N163" s="39"/>
    </row>
    <row r="164">
      <c r="B164" s="75"/>
      <c r="C164" s="38"/>
      <c r="L164" s="72"/>
      <c r="M164" s="39"/>
      <c r="N164" s="39"/>
    </row>
    <row r="165">
      <c r="B165" s="75"/>
      <c r="C165" s="38"/>
      <c r="L165" s="72"/>
      <c r="M165" s="39"/>
      <c r="N165" s="39"/>
    </row>
    <row r="166">
      <c r="B166" s="75"/>
      <c r="C166" s="38"/>
      <c r="L166" s="72"/>
      <c r="M166" s="39"/>
      <c r="N166" s="39"/>
    </row>
    <row r="167">
      <c r="B167" s="75"/>
      <c r="C167" s="38"/>
      <c r="L167" s="72"/>
      <c r="M167" s="39"/>
      <c r="N167" s="39"/>
    </row>
    <row r="168">
      <c r="B168" s="75"/>
      <c r="C168" s="38"/>
      <c r="L168" s="72"/>
      <c r="M168" s="39"/>
      <c r="N168" s="39"/>
    </row>
    <row r="169">
      <c r="B169" s="75"/>
      <c r="C169" s="38"/>
      <c r="L169" s="72"/>
      <c r="M169" s="39"/>
      <c r="N169" s="39"/>
    </row>
    <row r="170">
      <c r="B170" s="75"/>
      <c r="C170" s="38"/>
      <c r="L170" s="72"/>
      <c r="M170" s="39"/>
      <c r="N170" s="39"/>
    </row>
    <row r="171">
      <c r="B171" s="75"/>
      <c r="C171" s="38"/>
      <c r="L171" s="72"/>
      <c r="M171" s="39"/>
      <c r="N171" s="39"/>
    </row>
    <row r="172">
      <c r="B172" s="75"/>
      <c r="C172" s="38"/>
      <c r="L172" s="72"/>
      <c r="M172" s="39"/>
      <c r="N172" s="39"/>
    </row>
    <row r="173">
      <c r="B173" s="75"/>
      <c r="C173" s="38"/>
      <c r="L173" s="72"/>
      <c r="M173" s="39"/>
      <c r="N173" s="39"/>
    </row>
    <row r="174">
      <c r="B174" s="75"/>
      <c r="C174" s="38"/>
      <c r="L174" s="72"/>
      <c r="M174" s="39"/>
      <c r="N174" s="39"/>
    </row>
    <row r="175">
      <c r="B175" s="75"/>
      <c r="C175" s="38"/>
      <c r="L175" s="72"/>
      <c r="M175" s="39"/>
      <c r="N175" s="39"/>
    </row>
    <row r="176">
      <c r="B176" s="75"/>
      <c r="C176" s="38"/>
      <c r="L176" s="72"/>
      <c r="M176" s="39"/>
      <c r="N176" s="39"/>
    </row>
    <row r="177">
      <c r="B177" s="75"/>
      <c r="C177" s="38"/>
      <c r="L177" s="72"/>
      <c r="M177" s="39"/>
      <c r="N177" s="39"/>
    </row>
    <row r="178">
      <c r="B178" s="75"/>
      <c r="C178" s="38"/>
      <c r="L178" s="72"/>
      <c r="M178" s="39"/>
      <c r="N178" s="39"/>
    </row>
    <row r="179">
      <c r="B179" s="75"/>
      <c r="C179" s="38"/>
      <c r="L179" s="72"/>
      <c r="M179" s="39"/>
      <c r="N179" s="39"/>
    </row>
    <row r="180">
      <c r="B180" s="75"/>
      <c r="C180" s="38"/>
      <c r="L180" s="72"/>
      <c r="M180" s="39"/>
      <c r="N180" s="39"/>
    </row>
    <row r="181">
      <c r="B181" s="75"/>
      <c r="C181" s="38"/>
      <c r="L181" s="72"/>
      <c r="M181" s="39"/>
      <c r="N181" s="39"/>
    </row>
    <row r="182">
      <c r="B182" s="75"/>
      <c r="C182" s="38"/>
      <c r="L182" s="72"/>
      <c r="M182" s="39"/>
      <c r="N182" s="39"/>
    </row>
    <row r="183">
      <c r="B183" s="75"/>
      <c r="C183" s="38"/>
      <c r="L183" s="72"/>
      <c r="M183" s="39"/>
      <c r="N183" s="39"/>
    </row>
    <row r="184">
      <c r="B184" s="75"/>
      <c r="C184" s="38"/>
      <c r="L184" s="72"/>
      <c r="M184" s="39"/>
      <c r="N184" s="39"/>
    </row>
    <row r="185">
      <c r="B185" s="75"/>
      <c r="C185" s="38"/>
      <c r="L185" s="72"/>
      <c r="M185" s="39"/>
      <c r="N185" s="39"/>
    </row>
    <row r="186">
      <c r="B186" s="75"/>
      <c r="C186" s="38"/>
      <c r="L186" s="72"/>
      <c r="M186" s="39"/>
      <c r="N186" s="39"/>
    </row>
    <row r="187">
      <c r="B187" s="75"/>
      <c r="C187" s="38"/>
      <c r="L187" s="72"/>
      <c r="M187" s="39"/>
      <c r="N187" s="39"/>
    </row>
    <row r="188">
      <c r="B188" s="75"/>
      <c r="C188" s="38"/>
      <c r="L188" s="72"/>
      <c r="M188" s="39"/>
      <c r="N188" s="39"/>
    </row>
    <row r="189">
      <c r="B189" s="75"/>
      <c r="C189" s="38"/>
      <c r="L189" s="72"/>
      <c r="M189" s="39"/>
      <c r="N189" s="39"/>
    </row>
    <row r="190">
      <c r="B190" s="75"/>
      <c r="C190" s="38"/>
      <c r="L190" s="72"/>
      <c r="M190" s="39"/>
      <c r="N190" s="39"/>
    </row>
    <row r="191">
      <c r="B191" s="75"/>
      <c r="C191" s="38"/>
      <c r="L191" s="72"/>
      <c r="M191" s="39"/>
      <c r="N191" s="39"/>
    </row>
    <row r="192">
      <c r="B192" s="75"/>
      <c r="C192" s="38"/>
      <c r="L192" s="72"/>
      <c r="M192" s="39"/>
      <c r="N192" s="39"/>
    </row>
    <row r="193">
      <c r="B193" s="75"/>
      <c r="C193" s="38"/>
      <c r="L193" s="72"/>
      <c r="M193" s="39"/>
      <c r="N193" s="39"/>
    </row>
    <row r="194">
      <c r="B194" s="75"/>
      <c r="C194" s="38"/>
      <c r="L194" s="72"/>
      <c r="M194" s="39"/>
      <c r="N194" s="39"/>
    </row>
    <row r="195">
      <c r="B195" s="75"/>
      <c r="C195" s="38"/>
      <c r="L195" s="72"/>
      <c r="M195" s="39"/>
      <c r="N195" s="39"/>
    </row>
    <row r="196">
      <c r="B196" s="75"/>
      <c r="C196" s="38"/>
      <c r="L196" s="72"/>
      <c r="M196" s="39"/>
      <c r="N196" s="39"/>
    </row>
    <row r="197">
      <c r="B197" s="75"/>
      <c r="C197" s="38"/>
      <c r="L197" s="72"/>
      <c r="M197" s="39"/>
      <c r="N197" s="39"/>
    </row>
    <row r="198">
      <c r="B198" s="75"/>
      <c r="C198" s="38"/>
      <c r="L198" s="72"/>
      <c r="M198" s="39"/>
      <c r="N198" s="39"/>
    </row>
    <row r="199">
      <c r="B199" s="75"/>
      <c r="C199" s="38"/>
      <c r="L199" s="72"/>
      <c r="M199" s="39"/>
      <c r="N199" s="39"/>
    </row>
    <row r="200">
      <c r="B200" s="75"/>
      <c r="C200" s="38"/>
      <c r="L200" s="72"/>
      <c r="M200" s="39"/>
      <c r="N200" s="39"/>
    </row>
    <row r="201">
      <c r="B201" s="75"/>
      <c r="C201" s="38"/>
      <c r="L201" s="72"/>
      <c r="M201" s="39"/>
      <c r="N201" s="39"/>
    </row>
    <row r="202">
      <c r="B202" s="75"/>
      <c r="C202" s="38"/>
      <c r="L202" s="72"/>
      <c r="M202" s="39"/>
      <c r="N202" s="39"/>
    </row>
    <row r="203">
      <c r="B203" s="75"/>
      <c r="C203" s="38"/>
      <c r="L203" s="72"/>
      <c r="M203" s="39"/>
      <c r="N203" s="39"/>
    </row>
    <row r="204">
      <c r="B204" s="75"/>
      <c r="C204" s="38"/>
      <c r="L204" s="72"/>
      <c r="M204" s="39"/>
      <c r="N204" s="39"/>
    </row>
    <row r="205">
      <c r="B205" s="75"/>
      <c r="C205" s="38"/>
      <c r="L205" s="72"/>
      <c r="M205" s="39"/>
      <c r="N205" s="39"/>
    </row>
    <row r="206">
      <c r="B206" s="75"/>
      <c r="C206" s="38"/>
      <c r="L206" s="72"/>
      <c r="M206" s="39"/>
      <c r="N206" s="39"/>
    </row>
    <row r="207">
      <c r="B207" s="75"/>
      <c r="C207" s="38"/>
      <c r="L207" s="72"/>
      <c r="M207" s="39"/>
      <c r="N207" s="39"/>
    </row>
    <row r="208">
      <c r="B208" s="75"/>
      <c r="C208" s="38"/>
      <c r="L208" s="72"/>
      <c r="M208" s="39"/>
      <c r="N208" s="39"/>
    </row>
    <row r="209">
      <c r="B209" s="75"/>
      <c r="C209" s="38"/>
      <c r="L209" s="72"/>
      <c r="M209" s="39"/>
      <c r="N209" s="39"/>
    </row>
    <row r="210">
      <c r="B210" s="75"/>
      <c r="C210" s="38"/>
      <c r="L210" s="72"/>
      <c r="M210" s="39"/>
      <c r="N210" s="39"/>
    </row>
    <row r="211">
      <c r="B211" s="75"/>
      <c r="C211" s="38"/>
      <c r="L211" s="72"/>
      <c r="M211" s="39"/>
      <c r="N211" s="39"/>
    </row>
    <row r="212">
      <c r="B212" s="75"/>
      <c r="C212" s="38"/>
      <c r="L212" s="72"/>
      <c r="M212" s="39"/>
      <c r="N212" s="39"/>
    </row>
    <row r="213">
      <c r="B213" s="75"/>
      <c r="C213" s="38"/>
      <c r="L213" s="72"/>
      <c r="M213" s="39"/>
      <c r="N213" s="39"/>
    </row>
    <row r="214">
      <c r="B214" s="75"/>
      <c r="C214" s="38"/>
      <c r="L214" s="72"/>
      <c r="M214" s="39"/>
      <c r="N214" s="39"/>
    </row>
    <row r="215">
      <c r="B215" s="75"/>
      <c r="C215" s="38"/>
      <c r="L215" s="72"/>
      <c r="M215" s="39"/>
      <c r="N215" s="39"/>
    </row>
    <row r="216">
      <c r="B216" s="75"/>
      <c r="C216" s="38"/>
      <c r="L216" s="72"/>
      <c r="M216" s="39"/>
      <c r="N216" s="39"/>
    </row>
    <row r="217">
      <c r="B217" s="75"/>
      <c r="C217" s="38"/>
      <c r="L217" s="72"/>
      <c r="M217" s="39"/>
      <c r="N217" s="39"/>
    </row>
    <row r="218">
      <c r="B218" s="75"/>
      <c r="C218" s="38"/>
      <c r="L218" s="72"/>
      <c r="M218" s="39"/>
      <c r="N218" s="39"/>
    </row>
    <row r="219">
      <c r="B219" s="75"/>
      <c r="C219" s="38"/>
      <c r="L219" s="72"/>
      <c r="M219" s="39"/>
      <c r="N219" s="39"/>
    </row>
    <row r="220">
      <c r="B220" s="75"/>
      <c r="C220" s="38"/>
      <c r="L220" s="72"/>
      <c r="M220" s="39"/>
      <c r="N220" s="39"/>
    </row>
    <row r="221">
      <c r="B221" s="75"/>
      <c r="C221" s="38"/>
      <c r="L221" s="72"/>
      <c r="M221" s="39"/>
      <c r="N221" s="39"/>
    </row>
    <row r="222">
      <c r="B222" s="75"/>
      <c r="C222" s="38"/>
      <c r="L222" s="72"/>
      <c r="M222" s="39"/>
      <c r="N222" s="39"/>
    </row>
    <row r="223">
      <c r="B223" s="75"/>
      <c r="C223" s="38"/>
      <c r="L223" s="72"/>
      <c r="M223" s="39"/>
      <c r="N223" s="39"/>
    </row>
    <row r="224">
      <c r="B224" s="75"/>
      <c r="C224" s="38"/>
      <c r="L224" s="72"/>
      <c r="M224" s="39"/>
      <c r="N224" s="39"/>
    </row>
    <row r="225">
      <c r="B225" s="75"/>
      <c r="C225" s="38"/>
      <c r="L225" s="72"/>
      <c r="M225" s="39"/>
      <c r="N225" s="39"/>
    </row>
    <row r="226">
      <c r="B226" s="75"/>
      <c r="C226" s="38"/>
      <c r="L226" s="72"/>
      <c r="M226" s="39"/>
      <c r="N226" s="39"/>
    </row>
    <row r="227">
      <c r="B227" s="75"/>
      <c r="C227" s="38"/>
      <c r="L227" s="72"/>
      <c r="M227" s="39"/>
      <c r="N227" s="39"/>
    </row>
    <row r="228">
      <c r="B228" s="75"/>
      <c r="C228" s="38"/>
      <c r="L228" s="72"/>
      <c r="M228" s="39"/>
      <c r="N228" s="39"/>
    </row>
    <row r="229">
      <c r="B229" s="75"/>
      <c r="C229" s="38"/>
      <c r="L229" s="72"/>
      <c r="M229" s="39"/>
      <c r="N229" s="39"/>
    </row>
    <row r="230">
      <c r="B230" s="75"/>
      <c r="C230" s="38"/>
      <c r="L230" s="72"/>
      <c r="M230" s="39"/>
      <c r="N230" s="39"/>
    </row>
    <row r="231">
      <c r="B231" s="75"/>
      <c r="C231" s="38"/>
      <c r="L231" s="72"/>
      <c r="M231" s="39"/>
      <c r="N231" s="39"/>
    </row>
    <row r="232">
      <c r="B232" s="75"/>
      <c r="C232" s="38"/>
      <c r="L232" s="72"/>
      <c r="M232" s="39"/>
      <c r="N232" s="39"/>
    </row>
    <row r="233">
      <c r="B233" s="75"/>
      <c r="C233" s="38"/>
      <c r="L233" s="72"/>
      <c r="M233" s="39"/>
      <c r="N233" s="39"/>
    </row>
    <row r="234">
      <c r="B234" s="75"/>
      <c r="C234" s="38"/>
      <c r="L234" s="72"/>
      <c r="M234" s="39"/>
      <c r="N234" s="39"/>
    </row>
    <row r="235">
      <c r="B235" s="75"/>
      <c r="C235" s="38"/>
      <c r="L235" s="72"/>
      <c r="M235" s="39"/>
      <c r="N235" s="39"/>
    </row>
    <row r="236">
      <c r="B236" s="75"/>
      <c r="C236" s="38"/>
      <c r="L236" s="72"/>
      <c r="M236" s="39"/>
      <c r="N236" s="39"/>
    </row>
    <row r="237">
      <c r="B237" s="75"/>
      <c r="C237" s="38"/>
      <c r="L237" s="72"/>
      <c r="M237" s="39"/>
      <c r="N237" s="39"/>
    </row>
    <row r="238">
      <c r="B238" s="75"/>
      <c r="C238" s="38"/>
      <c r="L238" s="72"/>
      <c r="M238" s="39"/>
      <c r="N238" s="39"/>
    </row>
    <row r="239">
      <c r="B239" s="75"/>
      <c r="C239" s="38"/>
      <c r="L239" s="72"/>
      <c r="M239" s="39"/>
      <c r="N239" s="39"/>
    </row>
    <row r="240">
      <c r="B240" s="75"/>
      <c r="C240" s="38"/>
      <c r="L240" s="72"/>
      <c r="M240" s="39"/>
      <c r="N240" s="39"/>
    </row>
    <row r="241">
      <c r="B241" s="75"/>
      <c r="C241" s="38"/>
      <c r="L241" s="72"/>
      <c r="M241" s="39"/>
      <c r="N241" s="39"/>
    </row>
    <row r="242">
      <c r="B242" s="75"/>
      <c r="C242" s="38"/>
      <c r="L242" s="72"/>
      <c r="M242" s="39"/>
      <c r="N242" s="39"/>
    </row>
    <row r="243">
      <c r="B243" s="75"/>
      <c r="C243" s="38"/>
      <c r="L243" s="72"/>
      <c r="M243" s="39"/>
      <c r="N243" s="39"/>
    </row>
    <row r="244">
      <c r="B244" s="75"/>
      <c r="C244" s="38"/>
      <c r="L244" s="72"/>
      <c r="M244" s="39"/>
      <c r="N244" s="39"/>
    </row>
    <row r="245">
      <c r="B245" s="75"/>
      <c r="C245" s="38"/>
      <c r="L245" s="72"/>
      <c r="M245" s="39"/>
      <c r="N245" s="39"/>
    </row>
    <row r="246">
      <c r="B246" s="75"/>
      <c r="C246" s="38"/>
      <c r="L246" s="72"/>
      <c r="M246" s="39"/>
      <c r="N246" s="39"/>
    </row>
    <row r="247">
      <c r="B247" s="75"/>
      <c r="C247" s="38"/>
      <c r="L247" s="72"/>
      <c r="M247" s="39"/>
      <c r="N247" s="39"/>
    </row>
    <row r="248">
      <c r="B248" s="75"/>
      <c r="C248" s="38"/>
      <c r="L248" s="72"/>
      <c r="M248" s="39"/>
      <c r="N248" s="39"/>
    </row>
    <row r="249">
      <c r="B249" s="75"/>
      <c r="C249" s="38"/>
      <c r="L249" s="72"/>
      <c r="M249" s="39"/>
      <c r="N249" s="39"/>
    </row>
    <row r="250">
      <c r="B250" s="75"/>
      <c r="C250" s="38"/>
      <c r="L250" s="72"/>
      <c r="M250" s="39"/>
      <c r="N250" s="39"/>
    </row>
    <row r="251">
      <c r="B251" s="75"/>
      <c r="C251" s="38"/>
      <c r="L251" s="72"/>
      <c r="M251" s="39"/>
      <c r="N251" s="39"/>
    </row>
    <row r="252">
      <c r="B252" s="75"/>
      <c r="C252" s="38"/>
      <c r="L252" s="72"/>
      <c r="M252" s="39"/>
      <c r="N252" s="39"/>
    </row>
    <row r="253">
      <c r="B253" s="75"/>
      <c r="C253" s="38"/>
      <c r="L253" s="72"/>
      <c r="M253" s="39"/>
      <c r="N253" s="39"/>
    </row>
    <row r="254">
      <c r="B254" s="75"/>
      <c r="C254" s="38"/>
      <c r="L254" s="72"/>
      <c r="M254" s="39"/>
      <c r="N254" s="39"/>
    </row>
    <row r="255">
      <c r="B255" s="75"/>
      <c r="C255" s="38"/>
      <c r="L255" s="72"/>
      <c r="M255" s="39"/>
      <c r="N255" s="39"/>
    </row>
    <row r="256">
      <c r="B256" s="75"/>
      <c r="C256" s="38"/>
      <c r="L256" s="72"/>
      <c r="M256" s="39"/>
      <c r="N256" s="39"/>
    </row>
    <row r="257">
      <c r="B257" s="75"/>
      <c r="C257" s="38"/>
      <c r="L257" s="72"/>
      <c r="M257" s="39"/>
      <c r="N257" s="39"/>
    </row>
    <row r="258">
      <c r="B258" s="75"/>
      <c r="C258" s="38"/>
      <c r="L258" s="72"/>
      <c r="M258" s="39"/>
      <c r="N258" s="39"/>
    </row>
    <row r="259">
      <c r="B259" s="75"/>
      <c r="C259" s="38"/>
      <c r="L259" s="72"/>
      <c r="M259" s="39"/>
      <c r="N259" s="39"/>
    </row>
    <row r="260">
      <c r="B260" s="75"/>
      <c r="C260" s="38"/>
      <c r="L260" s="72"/>
      <c r="M260" s="39"/>
      <c r="N260" s="39"/>
    </row>
    <row r="261">
      <c r="B261" s="75"/>
      <c r="C261" s="38"/>
      <c r="L261" s="72"/>
      <c r="M261" s="39"/>
      <c r="N261" s="39"/>
    </row>
    <row r="262">
      <c r="B262" s="75"/>
      <c r="C262" s="38"/>
      <c r="L262" s="72"/>
      <c r="M262" s="39"/>
      <c r="N262" s="39"/>
    </row>
    <row r="263">
      <c r="B263" s="75"/>
      <c r="C263" s="38"/>
      <c r="L263" s="72"/>
      <c r="M263" s="39"/>
      <c r="N263" s="39"/>
    </row>
    <row r="264">
      <c r="B264" s="75"/>
      <c r="C264" s="38"/>
      <c r="L264" s="72"/>
      <c r="M264" s="39"/>
      <c r="N264" s="39"/>
    </row>
    <row r="265">
      <c r="B265" s="75"/>
      <c r="C265" s="38"/>
      <c r="L265" s="72"/>
      <c r="M265" s="39"/>
      <c r="N265" s="39"/>
    </row>
    <row r="266">
      <c r="B266" s="75"/>
      <c r="C266" s="38"/>
      <c r="L266" s="72"/>
      <c r="M266" s="39"/>
      <c r="N266" s="39"/>
    </row>
    <row r="267">
      <c r="B267" s="75"/>
      <c r="C267" s="38"/>
      <c r="L267" s="72"/>
      <c r="M267" s="39"/>
      <c r="N267" s="39"/>
    </row>
    <row r="268">
      <c r="B268" s="75"/>
      <c r="C268" s="38"/>
      <c r="L268" s="72"/>
      <c r="M268" s="39"/>
      <c r="N268" s="39"/>
    </row>
    <row r="269">
      <c r="B269" s="75"/>
      <c r="C269" s="38"/>
      <c r="L269" s="72"/>
      <c r="M269" s="39"/>
      <c r="N269" s="39"/>
    </row>
    <row r="270">
      <c r="B270" s="75"/>
      <c r="C270" s="38"/>
      <c r="L270" s="72"/>
      <c r="M270" s="39"/>
      <c r="N270" s="39"/>
    </row>
    <row r="271">
      <c r="B271" s="75"/>
      <c r="C271" s="38"/>
      <c r="L271" s="72"/>
      <c r="M271" s="39"/>
      <c r="N271" s="39"/>
    </row>
    <row r="272">
      <c r="B272" s="75"/>
      <c r="C272" s="38"/>
      <c r="L272" s="72"/>
      <c r="M272" s="39"/>
      <c r="N272" s="39"/>
    </row>
    <row r="273">
      <c r="B273" s="75"/>
      <c r="C273" s="38"/>
      <c r="L273" s="72"/>
      <c r="M273" s="39"/>
      <c r="N273" s="39"/>
    </row>
    <row r="274">
      <c r="B274" s="75"/>
      <c r="C274" s="38"/>
      <c r="L274" s="72"/>
      <c r="M274" s="39"/>
      <c r="N274" s="39"/>
    </row>
    <row r="275">
      <c r="B275" s="75"/>
      <c r="C275" s="38"/>
      <c r="L275" s="72"/>
      <c r="M275" s="39"/>
      <c r="N275" s="39"/>
    </row>
    <row r="276">
      <c r="B276" s="75"/>
      <c r="C276" s="38"/>
      <c r="L276" s="72"/>
      <c r="M276" s="39"/>
      <c r="N276" s="39"/>
    </row>
    <row r="277">
      <c r="B277" s="75"/>
      <c r="C277" s="38"/>
      <c r="L277" s="72"/>
      <c r="M277" s="39"/>
      <c r="N277" s="39"/>
    </row>
    <row r="278">
      <c r="B278" s="75"/>
      <c r="C278" s="38"/>
      <c r="L278" s="72"/>
      <c r="M278" s="39"/>
      <c r="N278" s="39"/>
    </row>
    <row r="279">
      <c r="B279" s="75"/>
      <c r="C279" s="38"/>
      <c r="L279" s="72"/>
      <c r="M279" s="39"/>
      <c r="N279" s="39"/>
    </row>
    <row r="280">
      <c r="B280" s="75"/>
      <c r="C280" s="38"/>
      <c r="L280" s="72"/>
      <c r="M280" s="39"/>
      <c r="N280" s="39"/>
    </row>
    <row r="281">
      <c r="B281" s="75"/>
      <c r="C281" s="38"/>
      <c r="L281" s="72"/>
      <c r="M281" s="39"/>
      <c r="N281" s="39"/>
    </row>
    <row r="282">
      <c r="B282" s="75"/>
      <c r="C282" s="38"/>
      <c r="L282" s="72"/>
      <c r="M282" s="39"/>
      <c r="N282" s="39"/>
    </row>
    <row r="283">
      <c r="B283" s="75"/>
      <c r="C283" s="38"/>
      <c r="L283" s="72"/>
      <c r="M283" s="39"/>
      <c r="N283" s="39"/>
    </row>
    <row r="284">
      <c r="B284" s="75"/>
      <c r="C284" s="38"/>
      <c r="L284" s="72"/>
      <c r="M284" s="39"/>
      <c r="N284" s="39"/>
    </row>
    <row r="285">
      <c r="B285" s="75"/>
      <c r="C285" s="38"/>
      <c r="L285" s="72"/>
      <c r="M285" s="39"/>
      <c r="N285" s="39"/>
    </row>
    <row r="286">
      <c r="B286" s="75"/>
      <c r="C286" s="38"/>
      <c r="L286" s="72"/>
      <c r="M286" s="39"/>
      <c r="N286" s="39"/>
    </row>
    <row r="287">
      <c r="B287" s="75"/>
      <c r="C287" s="38"/>
      <c r="L287" s="72"/>
      <c r="M287" s="39"/>
      <c r="N287" s="39"/>
    </row>
    <row r="288">
      <c r="B288" s="75"/>
      <c r="C288" s="38"/>
      <c r="L288" s="72"/>
      <c r="M288" s="39"/>
      <c r="N288" s="39"/>
    </row>
    <row r="289">
      <c r="B289" s="75"/>
      <c r="C289" s="38"/>
      <c r="L289" s="72"/>
      <c r="M289" s="39"/>
      <c r="N289" s="39"/>
    </row>
    <row r="290">
      <c r="B290" s="75"/>
      <c r="C290" s="38"/>
      <c r="L290" s="72"/>
      <c r="M290" s="39"/>
      <c r="N290" s="39"/>
    </row>
    <row r="291">
      <c r="B291" s="75"/>
      <c r="C291" s="38"/>
      <c r="L291" s="72"/>
      <c r="M291" s="39"/>
      <c r="N291" s="39"/>
    </row>
    <row r="292">
      <c r="B292" s="75"/>
      <c r="C292" s="38"/>
      <c r="L292" s="72"/>
      <c r="M292" s="39"/>
      <c r="N292" s="39"/>
    </row>
    <row r="293">
      <c r="B293" s="75"/>
      <c r="C293" s="38"/>
      <c r="L293" s="72"/>
      <c r="M293" s="39"/>
      <c r="N293" s="39"/>
    </row>
    <row r="294">
      <c r="B294" s="75"/>
      <c r="C294" s="38"/>
      <c r="L294" s="72"/>
      <c r="M294" s="39"/>
      <c r="N294" s="39"/>
    </row>
    <row r="295">
      <c r="B295" s="75"/>
      <c r="C295" s="38"/>
      <c r="L295" s="72"/>
      <c r="M295" s="39"/>
      <c r="N295" s="39"/>
    </row>
    <row r="296">
      <c r="B296" s="75"/>
      <c r="C296" s="38"/>
      <c r="L296" s="72"/>
      <c r="M296" s="39"/>
      <c r="N296" s="39"/>
    </row>
    <row r="297">
      <c r="B297" s="75"/>
      <c r="C297" s="38"/>
      <c r="L297" s="72"/>
      <c r="M297" s="39"/>
      <c r="N297" s="39"/>
    </row>
    <row r="298">
      <c r="B298" s="75"/>
      <c r="C298" s="38"/>
      <c r="L298" s="72"/>
      <c r="M298" s="39"/>
      <c r="N298" s="39"/>
    </row>
    <row r="299">
      <c r="B299" s="75"/>
      <c r="C299" s="38"/>
      <c r="L299" s="72"/>
      <c r="M299" s="39"/>
      <c r="N299" s="39"/>
    </row>
    <row r="300">
      <c r="B300" s="75"/>
      <c r="C300" s="38"/>
      <c r="L300" s="72"/>
      <c r="M300" s="39"/>
      <c r="N300" s="39"/>
    </row>
    <row r="301">
      <c r="B301" s="75"/>
      <c r="C301" s="38"/>
      <c r="L301" s="72"/>
      <c r="M301" s="39"/>
      <c r="N301" s="39"/>
    </row>
    <row r="302">
      <c r="B302" s="75"/>
      <c r="C302" s="38"/>
      <c r="L302" s="72"/>
      <c r="M302" s="39"/>
      <c r="N302" s="39"/>
    </row>
    <row r="303">
      <c r="B303" s="75"/>
      <c r="C303" s="38"/>
      <c r="L303" s="72"/>
      <c r="M303" s="39"/>
      <c r="N303" s="39"/>
    </row>
    <row r="304">
      <c r="B304" s="75"/>
      <c r="C304" s="38"/>
      <c r="L304" s="72"/>
      <c r="M304" s="39"/>
      <c r="N304" s="39"/>
    </row>
    <row r="305">
      <c r="B305" s="75"/>
      <c r="C305" s="38"/>
      <c r="L305" s="72"/>
      <c r="M305" s="39"/>
      <c r="N305" s="39"/>
    </row>
    <row r="306">
      <c r="B306" s="75"/>
      <c r="C306" s="38"/>
      <c r="L306" s="72"/>
      <c r="M306" s="39"/>
      <c r="N306" s="39"/>
    </row>
    <row r="307">
      <c r="B307" s="75"/>
      <c r="C307" s="38"/>
      <c r="L307" s="72"/>
      <c r="M307" s="39"/>
      <c r="N307" s="39"/>
    </row>
    <row r="308">
      <c r="B308" s="75"/>
      <c r="C308" s="38"/>
      <c r="L308" s="72"/>
      <c r="M308" s="39"/>
      <c r="N308" s="39"/>
    </row>
    <row r="309">
      <c r="B309" s="75"/>
      <c r="C309" s="38"/>
      <c r="L309" s="72"/>
      <c r="M309" s="39"/>
      <c r="N309" s="39"/>
    </row>
    <row r="310">
      <c r="B310" s="75"/>
      <c r="C310" s="38"/>
      <c r="L310" s="72"/>
      <c r="M310" s="39"/>
      <c r="N310" s="39"/>
    </row>
    <row r="311">
      <c r="B311" s="75"/>
      <c r="C311" s="38"/>
      <c r="L311" s="72"/>
      <c r="M311" s="39"/>
      <c r="N311" s="39"/>
    </row>
    <row r="312">
      <c r="B312" s="75"/>
      <c r="C312" s="38"/>
      <c r="L312" s="72"/>
      <c r="M312" s="39"/>
      <c r="N312" s="39"/>
    </row>
    <row r="313">
      <c r="B313" s="75"/>
      <c r="C313" s="38"/>
      <c r="L313" s="72"/>
      <c r="M313" s="39"/>
      <c r="N313" s="39"/>
    </row>
    <row r="314">
      <c r="B314" s="75"/>
      <c r="C314" s="38"/>
      <c r="L314" s="72"/>
      <c r="M314" s="39"/>
      <c r="N314" s="39"/>
    </row>
    <row r="315">
      <c r="B315" s="75"/>
      <c r="C315" s="38"/>
      <c r="L315" s="72"/>
      <c r="M315" s="39"/>
      <c r="N315" s="39"/>
    </row>
    <row r="316">
      <c r="B316" s="75"/>
      <c r="C316" s="38"/>
      <c r="L316" s="72"/>
      <c r="M316" s="39"/>
      <c r="N316" s="39"/>
    </row>
    <row r="317">
      <c r="B317" s="75"/>
      <c r="C317" s="38"/>
      <c r="L317" s="72"/>
      <c r="M317" s="39"/>
      <c r="N317" s="39"/>
    </row>
    <row r="318">
      <c r="B318" s="75"/>
      <c r="C318" s="38"/>
      <c r="L318" s="72"/>
      <c r="M318" s="39"/>
      <c r="N318" s="39"/>
    </row>
    <row r="319">
      <c r="B319" s="75"/>
      <c r="C319" s="38"/>
      <c r="L319" s="72"/>
      <c r="M319" s="39"/>
      <c r="N319" s="39"/>
    </row>
    <row r="320">
      <c r="B320" s="75"/>
      <c r="C320" s="38"/>
      <c r="L320" s="72"/>
      <c r="M320" s="39"/>
      <c r="N320" s="39"/>
    </row>
    <row r="321">
      <c r="B321" s="75"/>
      <c r="C321" s="38"/>
      <c r="L321" s="72"/>
      <c r="M321" s="39"/>
      <c r="N321" s="39"/>
    </row>
    <row r="322">
      <c r="B322" s="75"/>
      <c r="C322" s="38"/>
      <c r="L322" s="72"/>
      <c r="M322" s="39"/>
      <c r="N322" s="39"/>
    </row>
    <row r="323">
      <c r="B323" s="75"/>
      <c r="C323" s="38"/>
      <c r="L323" s="72"/>
      <c r="M323" s="39"/>
      <c r="N323" s="39"/>
    </row>
    <row r="324">
      <c r="B324" s="75"/>
      <c r="C324" s="38"/>
      <c r="L324" s="72"/>
      <c r="M324" s="39"/>
      <c r="N324" s="39"/>
    </row>
    <row r="325">
      <c r="B325" s="75"/>
      <c r="C325" s="38"/>
      <c r="L325" s="72"/>
      <c r="M325" s="39"/>
      <c r="N325" s="39"/>
    </row>
    <row r="326">
      <c r="B326" s="75"/>
      <c r="C326" s="38"/>
      <c r="L326" s="72"/>
      <c r="M326" s="39"/>
      <c r="N326" s="39"/>
    </row>
    <row r="327">
      <c r="B327" s="75"/>
      <c r="C327" s="38"/>
      <c r="L327" s="72"/>
      <c r="M327" s="39"/>
      <c r="N327" s="39"/>
    </row>
    <row r="328">
      <c r="B328" s="75"/>
      <c r="C328" s="38"/>
      <c r="L328" s="72"/>
      <c r="M328" s="39"/>
      <c r="N328" s="39"/>
    </row>
    <row r="329">
      <c r="B329" s="75"/>
      <c r="C329" s="38"/>
      <c r="L329" s="72"/>
      <c r="M329" s="39"/>
      <c r="N329" s="39"/>
    </row>
    <row r="330">
      <c r="B330" s="75"/>
      <c r="C330" s="38"/>
      <c r="L330" s="72"/>
      <c r="M330" s="39"/>
      <c r="N330" s="39"/>
    </row>
    <row r="331">
      <c r="B331" s="75"/>
      <c r="C331" s="38"/>
      <c r="L331" s="72"/>
      <c r="M331" s="39"/>
      <c r="N331" s="39"/>
    </row>
    <row r="332">
      <c r="B332" s="75"/>
      <c r="C332" s="38"/>
      <c r="L332" s="72"/>
      <c r="M332" s="39"/>
      <c r="N332" s="39"/>
    </row>
    <row r="333">
      <c r="B333" s="75"/>
      <c r="C333" s="38"/>
      <c r="L333" s="72"/>
      <c r="M333" s="39"/>
      <c r="N333" s="39"/>
    </row>
    <row r="334">
      <c r="B334" s="75"/>
      <c r="C334" s="38"/>
      <c r="L334" s="72"/>
      <c r="M334" s="39"/>
      <c r="N334" s="39"/>
    </row>
    <row r="335">
      <c r="B335" s="75"/>
      <c r="C335" s="38"/>
      <c r="L335" s="72"/>
      <c r="M335" s="39"/>
      <c r="N335" s="39"/>
    </row>
    <row r="336">
      <c r="B336" s="75"/>
      <c r="C336" s="38"/>
      <c r="L336" s="72"/>
      <c r="M336" s="39"/>
      <c r="N336" s="39"/>
    </row>
    <row r="337">
      <c r="B337" s="75"/>
      <c r="C337" s="38"/>
      <c r="L337" s="72"/>
      <c r="M337" s="39"/>
      <c r="N337" s="39"/>
    </row>
    <row r="338">
      <c r="B338" s="75"/>
      <c r="C338" s="38"/>
      <c r="L338" s="72"/>
      <c r="M338" s="39"/>
      <c r="N338" s="39"/>
    </row>
    <row r="339">
      <c r="B339" s="75"/>
      <c r="C339" s="38"/>
      <c r="L339" s="72"/>
      <c r="M339" s="39"/>
      <c r="N339" s="39"/>
    </row>
    <row r="340">
      <c r="B340" s="75"/>
      <c r="C340" s="38"/>
      <c r="L340" s="72"/>
      <c r="M340" s="39"/>
      <c r="N340" s="39"/>
    </row>
    <row r="341">
      <c r="B341" s="75"/>
      <c r="C341" s="38"/>
      <c r="L341" s="72"/>
      <c r="M341" s="39"/>
      <c r="N341" s="39"/>
    </row>
    <row r="342">
      <c r="B342" s="75"/>
      <c r="C342" s="38"/>
      <c r="L342" s="72"/>
      <c r="M342" s="39"/>
      <c r="N342" s="39"/>
    </row>
    <row r="343">
      <c r="B343" s="75"/>
      <c r="C343" s="38"/>
      <c r="L343" s="72"/>
      <c r="M343" s="39"/>
      <c r="N343" s="39"/>
    </row>
    <row r="344">
      <c r="B344" s="75"/>
      <c r="C344" s="38"/>
      <c r="L344" s="72"/>
      <c r="M344" s="39"/>
      <c r="N344" s="39"/>
    </row>
    <row r="345">
      <c r="B345" s="75"/>
      <c r="C345" s="38"/>
      <c r="L345" s="72"/>
      <c r="M345" s="39"/>
      <c r="N345" s="39"/>
    </row>
    <row r="346">
      <c r="B346" s="75"/>
      <c r="C346" s="38"/>
      <c r="L346" s="72"/>
      <c r="M346" s="39"/>
      <c r="N346" s="39"/>
    </row>
    <row r="347">
      <c r="B347" s="75"/>
      <c r="C347" s="38"/>
      <c r="L347" s="72"/>
      <c r="M347" s="39"/>
      <c r="N347" s="39"/>
    </row>
    <row r="348">
      <c r="B348" s="75"/>
      <c r="C348" s="38"/>
      <c r="L348" s="72"/>
      <c r="M348" s="39"/>
      <c r="N348" s="39"/>
    </row>
    <row r="349">
      <c r="B349" s="75"/>
      <c r="C349" s="38"/>
      <c r="L349" s="72"/>
      <c r="M349" s="39"/>
      <c r="N349" s="39"/>
    </row>
    <row r="350">
      <c r="B350" s="75"/>
      <c r="C350" s="38"/>
      <c r="L350" s="72"/>
      <c r="M350" s="39"/>
      <c r="N350" s="39"/>
    </row>
    <row r="351">
      <c r="B351" s="75"/>
      <c r="C351" s="38"/>
      <c r="L351" s="72"/>
      <c r="M351" s="39"/>
      <c r="N351" s="39"/>
    </row>
    <row r="352">
      <c r="B352" s="75"/>
      <c r="C352" s="38"/>
      <c r="L352" s="72"/>
      <c r="M352" s="39"/>
      <c r="N352" s="39"/>
    </row>
    <row r="353">
      <c r="B353" s="75"/>
      <c r="C353" s="38"/>
      <c r="L353" s="72"/>
      <c r="M353" s="39"/>
      <c r="N353" s="39"/>
    </row>
    <row r="354">
      <c r="B354" s="75"/>
      <c r="C354" s="38"/>
      <c r="L354" s="72"/>
      <c r="M354" s="39"/>
      <c r="N354" s="39"/>
    </row>
    <row r="355">
      <c r="B355" s="75"/>
      <c r="C355" s="38"/>
      <c r="L355" s="72"/>
      <c r="M355" s="39"/>
      <c r="N355" s="39"/>
    </row>
    <row r="356">
      <c r="B356" s="75"/>
      <c r="C356" s="38"/>
      <c r="L356" s="72"/>
      <c r="M356" s="39"/>
      <c r="N356" s="39"/>
    </row>
    <row r="357">
      <c r="B357" s="75"/>
      <c r="C357" s="38"/>
      <c r="L357" s="72"/>
      <c r="M357" s="39"/>
      <c r="N357" s="39"/>
    </row>
    <row r="358">
      <c r="B358" s="75"/>
      <c r="C358" s="38"/>
      <c r="L358" s="72"/>
      <c r="M358" s="39"/>
      <c r="N358" s="39"/>
    </row>
    <row r="359">
      <c r="B359" s="75"/>
      <c r="C359" s="38"/>
      <c r="L359" s="72"/>
      <c r="M359" s="39"/>
      <c r="N359" s="39"/>
    </row>
    <row r="360">
      <c r="B360" s="75"/>
      <c r="C360" s="38"/>
      <c r="L360" s="72"/>
      <c r="M360" s="39"/>
      <c r="N360" s="39"/>
    </row>
    <row r="361">
      <c r="B361" s="75"/>
      <c r="C361" s="38"/>
      <c r="L361" s="72"/>
      <c r="M361" s="39"/>
      <c r="N361" s="39"/>
    </row>
    <row r="362">
      <c r="B362" s="75"/>
      <c r="C362" s="38"/>
      <c r="L362" s="72"/>
      <c r="M362" s="39"/>
      <c r="N362" s="39"/>
    </row>
    <row r="363">
      <c r="B363" s="75"/>
      <c r="C363" s="38"/>
      <c r="L363" s="72"/>
      <c r="M363" s="39"/>
      <c r="N363" s="39"/>
    </row>
    <row r="364">
      <c r="B364" s="75"/>
      <c r="C364" s="38"/>
      <c r="L364" s="72"/>
      <c r="M364" s="39"/>
      <c r="N364" s="39"/>
    </row>
    <row r="365">
      <c r="B365" s="75"/>
      <c r="C365" s="38"/>
      <c r="L365" s="72"/>
      <c r="M365" s="39"/>
      <c r="N365" s="39"/>
    </row>
    <row r="366">
      <c r="B366" s="75"/>
      <c r="C366" s="38"/>
      <c r="L366" s="72"/>
      <c r="M366" s="39"/>
      <c r="N366" s="39"/>
    </row>
    <row r="367">
      <c r="B367" s="75"/>
      <c r="C367" s="38"/>
      <c r="L367" s="72"/>
      <c r="M367" s="39"/>
      <c r="N367" s="39"/>
    </row>
    <row r="368">
      <c r="B368" s="75"/>
      <c r="C368" s="38"/>
      <c r="L368" s="72"/>
      <c r="M368" s="39"/>
      <c r="N368" s="39"/>
    </row>
    <row r="369">
      <c r="B369" s="75"/>
      <c r="C369" s="38"/>
      <c r="L369" s="72"/>
      <c r="M369" s="39"/>
      <c r="N369" s="39"/>
    </row>
    <row r="370">
      <c r="B370" s="75"/>
      <c r="C370" s="38"/>
      <c r="L370" s="72"/>
      <c r="M370" s="39"/>
      <c r="N370" s="39"/>
    </row>
    <row r="371">
      <c r="B371" s="75"/>
      <c r="C371" s="38"/>
      <c r="L371" s="72"/>
      <c r="M371" s="39"/>
      <c r="N371" s="39"/>
    </row>
    <row r="372">
      <c r="B372" s="75"/>
      <c r="C372" s="38"/>
      <c r="L372" s="72"/>
      <c r="M372" s="39"/>
      <c r="N372" s="39"/>
    </row>
    <row r="373">
      <c r="B373" s="75"/>
      <c r="C373" s="38"/>
      <c r="L373" s="72"/>
      <c r="M373" s="39"/>
      <c r="N373" s="39"/>
    </row>
    <row r="374">
      <c r="B374" s="75"/>
      <c r="C374" s="38"/>
      <c r="L374" s="72"/>
      <c r="M374" s="39"/>
      <c r="N374" s="39"/>
    </row>
    <row r="375">
      <c r="B375" s="75"/>
      <c r="C375" s="38"/>
      <c r="L375" s="72"/>
      <c r="M375" s="39"/>
      <c r="N375" s="39"/>
    </row>
    <row r="376">
      <c r="B376" s="75"/>
      <c r="C376" s="38"/>
      <c r="L376" s="72"/>
      <c r="M376" s="39"/>
      <c r="N376" s="39"/>
    </row>
    <row r="377">
      <c r="B377" s="75"/>
      <c r="C377" s="38"/>
      <c r="L377" s="72"/>
      <c r="M377" s="39"/>
      <c r="N377" s="39"/>
    </row>
    <row r="378">
      <c r="B378" s="75"/>
      <c r="C378" s="38"/>
      <c r="L378" s="72"/>
      <c r="M378" s="39"/>
      <c r="N378" s="39"/>
    </row>
    <row r="379">
      <c r="B379" s="75"/>
      <c r="C379" s="38"/>
      <c r="L379" s="72"/>
      <c r="M379" s="39"/>
      <c r="N379" s="39"/>
    </row>
    <row r="380">
      <c r="B380" s="75"/>
      <c r="C380" s="38"/>
      <c r="L380" s="72"/>
      <c r="M380" s="39"/>
      <c r="N380" s="39"/>
    </row>
    <row r="381">
      <c r="B381" s="75"/>
      <c r="C381" s="38"/>
      <c r="L381" s="72"/>
      <c r="M381" s="39"/>
      <c r="N381" s="39"/>
    </row>
    <row r="382">
      <c r="B382" s="75"/>
      <c r="C382" s="38"/>
      <c r="L382" s="72"/>
      <c r="M382" s="39"/>
      <c r="N382" s="39"/>
    </row>
    <row r="383">
      <c r="B383" s="75"/>
      <c r="C383" s="38"/>
      <c r="L383" s="72"/>
      <c r="M383" s="39"/>
      <c r="N383" s="39"/>
    </row>
    <row r="384">
      <c r="B384" s="75"/>
      <c r="C384" s="38"/>
      <c r="L384" s="72"/>
      <c r="M384" s="39"/>
      <c r="N384" s="39"/>
    </row>
    <row r="385">
      <c r="B385" s="75"/>
      <c r="C385" s="38"/>
      <c r="L385" s="72"/>
      <c r="M385" s="39"/>
      <c r="N385" s="39"/>
    </row>
    <row r="386">
      <c r="B386" s="75"/>
      <c r="C386" s="38"/>
      <c r="L386" s="72"/>
      <c r="M386" s="39"/>
      <c r="N386" s="39"/>
    </row>
    <row r="387">
      <c r="B387" s="75"/>
      <c r="C387" s="38"/>
      <c r="L387" s="72"/>
      <c r="M387" s="39"/>
      <c r="N387" s="39"/>
    </row>
    <row r="388">
      <c r="B388" s="75"/>
      <c r="C388" s="38"/>
      <c r="L388" s="72"/>
      <c r="M388" s="39"/>
      <c r="N388" s="39"/>
    </row>
    <row r="389">
      <c r="B389" s="75"/>
      <c r="C389" s="38"/>
      <c r="L389" s="72"/>
      <c r="M389" s="39"/>
      <c r="N389" s="39"/>
    </row>
    <row r="390">
      <c r="B390" s="75"/>
      <c r="C390" s="38"/>
      <c r="L390" s="72"/>
      <c r="M390" s="39"/>
      <c r="N390" s="39"/>
    </row>
    <row r="391">
      <c r="B391" s="75"/>
      <c r="C391" s="38"/>
      <c r="L391" s="72"/>
      <c r="M391" s="39"/>
      <c r="N391" s="39"/>
    </row>
    <row r="392">
      <c r="B392" s="75"/>
      <c r="C392" s="38"/>
      <c r="L392" s="72"/>
      <c r="M392" s="39"/>
      <c r="N392" s="39"/>
    </row>
    <row r="393">
      <c r="B393" s="75"/>
      <c r="C393" s="38"/>
      <c r="L393" s="72"/>
      <c r="M393" s="39"/>
      <c r="N393" s="39"/>
    </row>
    <row r="394">
      <c r="B394" s="75"/>
      <c r="C394" s="38"/>
      <c r="L394" s="72"/>
      <c r="M394" s="39"/>
      <c r="N394" s="39"/>
    </row>
    <row r="395">
      <c r="B395" s="75"/>
      <c r="C395" s="38"/>
      <c r="L395" s="72"/>
      <c r="M395" s="39"/>
      <c r="N395" s="39"/>
    </row>
    <row r="396">
      <c r="B396" s="75"/>
      <c r="C396" s="38"/>
      <c r="L396" s="72"/>
      <c r="M396" s="39"/>
      <c r="N396" s="39"/>
    </row>
    <row r="397">
      <c r="B397" s="75"/>
      <c r="C397" s="38"/>
      <c r="L397" s="72"/>
      <c r="M397" s="39"/>
      <c r="N397" s="39"/>
    </row>
    <row r="398">
      <c r="B398" s="75"/>
      <c r="C398" s="38"/>
      <c r="L398" s="72"/>
      <c r="M398" s="39"/>
      <c r="N398" s="39"/>
    </row>
    <row r="399">
      <c r="B399" s="75"/>
      <c r="C399" s="38"/>
      <c r="L399" s="72"/>
      <c r="M399" s="39"/>
      <c r="N399" s="39"/>
    </row>
    <row r="400">
      <c r="B400" s="75"/>
      <c r="C400" s="38"/>
      <c r="L400" s="72"/>
      <c r="M400" s="39"/>
      <c r="N400" s="39"/>
    </row>
    <row r="401">
      <c r="B401" s="75"/>
      <c r="C401" s="38"/>
      <c r="L401" s="72"/>
      <c r="M401" s="39"/>
      <c r="N401" s="39"/>
    </row>
    <row r="402">
      <c r="B402" s="75"/>
      <c r="C402" s="38"/>
      <c r="L402" s="72"/>
      <c r="M402" s="39"/>
      <c r="N402" s="39"/>
    </row>
    <row r="403">
      <c r="B403" s="75"/>
      <c r="C403" s="38"/>
      <c r="L403" s="72"/>
      <c r="M403" s="39"/>
      <c r="N403" s="39"/>
    </row>
    <row r="404">
      <c r="B404" s="75"/>
      <c r="C404" s="38"/>
      <c r="L404" s="72"/>
      <c r="M404" s="39"/>
      <c r="N404" s="39"/>
    </row>
    <row r="405">
      <c r="B405" s="75"/>
      <c r="C405" s="38"/>
      <c r="L405" s="72"/>
      <c r="M405" s="39"/>
      <c r="N405" s="39"/>
    </row>
    <row r="406">
      <c r="B406" s="75"/>
      <c r="C406" s="38"/>
      <c r="L406" s="72"/>
      <c r="M406" s="39"/>
      <c r="N406" s="39"/>
    </row>
    <row r="407">
      <c r="B407" s="75"/>
      <c r="C407" s="38"/>
      <c r="L407" s="72"/>
      <c r="M407" s="39"/>
      <c r="N407" s="39"/>
    </row>
    <row r="408">
      <c r="B408" s="75"/>
      <c r="C408" s="38"/>
      <c r="L408" s="72"/>
      <c r="M408" s="39"/>
      <c r="N408" s="39"/>
    </row>
    <row r="409">
      <c r="B409" s="75"/>
      <c r="C409" s="38"/>
      <c r="L409" s="72"/>
      <c r="M409" s="39"/>
      <c r="N409" s="39"/>
    </row>
    <row r="410">
      <c r="B410" s="75"/>
      <c r="C410" s="38"/>
      <c r="L410" s="72"/>
      <c r="M410" s="39"/>
      <c r="N410" s="39"/>
    </row>
    <row r="411">
      <c r="B411" s="75"/>
      <c r="C411" s="38"/>
      <c r="L411" s="72"/>
      <c r="M411" s="39"/>
      <c r="N411" s="39"/>
    </row>
    <row r="412">
      <c r="B412" s="75"/>
      <c r="C412" s="38"/>
      <c r="L412" s="72"/>
      <c r="M412" s="39"/>
      <c r="N412" s="39"/>
    </row>
    <row r="413">
      <c r="B413" s="75"/>
      <c r="C413" s="38"/>
      <c r="L413" s="72"/>
      <c r="M413" s="39"/>
      <c r="N413" s="39"/>
    </row>
    <row r="414">
      <c r="B414" s="75"/>
      <c r="C414" s="38"/>
      <c r="L414" s="72"/>
      <c r="M414" s="39"/>
      <c r="N414" s="39"/>
    </row>
    <row r="415">
      <c r="B415" s="75"/>
      <c r="C415" s="38"/>
      <c r="L415" s="72"/>
      <c r="M415" s="39"/>
      <c r="N415" s="39"/>
    </row>
    <row r="416">
      <c r="B416" s="75"/>
      <c r="C416" s="38"/>
      <c r="L416" s="72"/>
      <c r="M416" s="39"/>
      <c r="N416" s="39"/>
    </row>
    <row r="417">
      <c r="B417" s="75"/>
      <c r="C417" s="38"/>
      <c r="L417" s="72"/>
      <c r="M417" s="39"/>
      <c r="N417" s="39"/>
    </row>
    <row r="418">
      <c r="B418" s="75"/>
      <c r="C418" s="38"/>
      <c r="L418" s="72"/>
      <c r="M418" s="39"/>
      <c r="N418" s="39"/>
    </row>
    <row r="419">
      <c r="B419" s="75"/>
      <c r="C419" s="38"/>
      <c r="L419" s="72"/>
      <c r="M419" s="39"/>
      <c r="N419" s="39"/>
    </row>
    <row r="420">
      <c r="B420" s="75"/>
      <c r="C420" s="38"/>
      <c r="L420" s="72"/>
      <c r="M420" s="39"/>
      <c r="N420" s="39"/>
    </row>
    <row r="421">
      <c r="B421" s="75"/>
      <c r="C421" s="38"/>
      <c r="L421" s="72"/>
      <c r="M421" s="39"/>
      <c r="N421" s="39"/>
    </row>
    <row r="422">
      <c r="B422" s="75"/>
      <c r="C422" s="38"/>
      <c r="L422" s="72"/>
      <c r="M422" s="39"/>
      <c r="N422" s="39"/>
    </row>
    <row r="423">
      <c r="B423" s="75"/>
      <c r="C423" s="38"/>
      <c r="L423" s="72"/>
      <c r="M423" s="39"/>
      <c r="N423" s="39"/>
    </row>
    <row r="424">
      <c r="B424" s="75"/>
      <c r="C424" s="38"/>
      <c r="L424" s="72"/>
      <c r="M424" s="39"/>
      <c r="N424" s="39"/>
    </row>
    <row r="425">
      <c r="B425" s="75"/>
      <c r="C425" s="38"/>
      <c r="L425" s="72"/>
      <c r="M425" s="39"/>
      <c r="N425" s="39"/>
    </row>
    <row r="426">
      <c r="B426" s="75"/>
      <c r="C426" s="38"/>
      <c r="L426" s="72"/>
      <c r="M426" s="39"/>
      <c r="N426" s="39"/>
    </row>
    <row r="427">
      <c r="B427" s="75"/>
      <c r="C427" s="38"/>
      <c r="L427" s="72"/>
      <c r="M427" s="39"/>
      <c r="N427" s="39"/>
    </row>
    <row r="428">
      <c r="B428" s="75"/>
      <c r="C428" s="38"/>
      <c r="L428" s="72"/>
      <c r="M428" s="39"/>
      <c r="N428" s="39"/>
    </row>
    <row r="429">
      <c r="B429" s="75"/>
      <c r="C429" s="38"/>
      <c r="L429" s="72"/>
      <c r="M429" s="39"/>
      <c r="N429" s="39"/>
    </row>
    <row r="430">
      <c r="B430" s="75"/>
      <c r="C430" s="38"/>
      <c r="L430" s="72"/>
      <c r="M430" s="39"/>
      <c r="N430" s="39"/>
    </row>
    <row r="431">
      <c r="B431" s="75"/>
      <c r="C431" s="38"/>
      <c r="L431" s="72"/>
      <c r="M431" s="39"/>
      <c r="N431" s="39"/>
    </row>
    <row r="432">
      <c r="B432" s="75"/>
      <c r="C432" s="38"/>
      <c r="L432" s="72"/>
      <c r="M432" s="39"/>
      <c r="N432" s="39"/>
    </row>
    <row r="433">
      <c r="B433" s="75"/>
      <c r="C433" s="38"/>
      <c r="L433" s="72"/>
      <c r="M433" s="39"/>
      <c r="N433" s="39"/>
    </row>
    <row r="434">
      <c r="B434" s="75"/>
      <c r="C434" s="38"/>
      <c r="L434" s="72"/>
      <c r="M434" s="39"/>
      <c r="N434" s="39"/>
    </row>
    <row r="435">
      <c r="B435" s="75"/>
      <c r="C435" s="38"/>
      <c r="L435" s="72"/>
      <c r="M435" s="39"/>
      <c r="N435" s="39"/>
    </row>
    <row r="436">
      <c r="B436" s="75"/>
      <c r="C436" s="38"/>
      <c r="L436" s="72"/>
      <c r="M436" s="39"/>
      <c r="N436" s="39"/>
    </row>
    <row r="437">
      <c r="B437" s="75"/>
      <c r="C437" s="38"/>
      <c r="L437" s="72"/>
      <c r="M437" s="39"/>
      <c r="N437" s="39"/>
    </row>
    <row r="438">
      <c r="B438" s="75"/>
      <c r="C438" s="38"/>
      <c r="L438" s="72"/>
      <c r="M438" s="39"/>
      <c r="N438" s="39"/>
    </row>
    <row r="439">
      <c r="B439" s="75"/>
      <c r="C439" s="38"/>
      <c r="L439" s="72"/>
      <c r="M439" s="39"/>
      <c r="N439" s="39"/>
    </row>
    <row r="440">
      <c r="B440" s="75"/>
      <c r="C440" s="38"/>
      <c r="L440" s="72"/>
      <c r="M440" s="39"/>
      <c r="N440" s="39"/>
    </row>
    <row r="441">
      <c r="B441" s="75"/>
      <c r="C441" s="38"/>
      <c r="L441" s="72"/>
      <c r="M441" s="39"/>
      <c r="N441" s="39"/>
    </row>
    <row r="442">
      <c r="B442" s="75"/>
      <c r="C442" s="38"/>
      <c r="L442" s="72"/>
      <c r="M442" s="39"/>
      <c r="N442" s="39"/>
    </row>
    <row r="443">
      <c r="B443" s="75"/>
      <c r="C443" s="38"/>
      <c r="L443" s="72"/>
      <c r="M443" s="39"/>
      <c r="N443" s="39"/>
    </row>
    <row r="444">
      <c r="B444" s="75"/>
      <c r="C444" s="38"/>
      <c r="L444" s="72"/>
      <c r="M444" s="39"/>
      <c r="N444" s="39"/>
    </row>
    <row r="445">
      <c r="B445" s="75"/>
      <c r="C445" s="38"/>
      <c r="L445" s="72"/>
      <c r="M445" s="39"/>
      <c r="N445" s="39"/>
    </row>
    <row r="446">
      <c r="B446" s="75"/>
      <c r="C446" s="38"/>
      <c r="L446" s="72"/>
      <c r="M446" s="39"/>
      <c r="N446" s="39"/>
    </row>
    <row r="447">
      <c r="B447" s="75"/>
      <c r="C447" s="38"/>
      <c r="L447" s="72"/>
      <c r="M447" s="39"/>
      <c r="N447" s="39"/>
    </row>
    <row r="448">
      <c r="B448" s="75"/>
      <c r="C448" s="38"/>
      <c r="L448" s="72"/>
      <c r="M448" s="39"/>
      <c r="N448" s="39"/>
    </row>
    <row r="449">
      <c r="B449" s="75"/>
      <c r="C449" s="38"/>
      <c r="L449" s="72"/>
      <c r="M449" s="39"/>
      <c r="N449" s="39"/>
    </row>
    <row r="450">
      <c r="B450" s="75"/>
      <c r="C450" s="38"/>
      <c r="L450" s="72"/>
      <c r="M450" s="39"/>
      <c r="N450" s="39"/>
    </row>
    <row r="451">
      <c r="B451" s="75"/>
      <c r="C451" s="38"/>
      <c r="L451" s="72"/>
      <c r="M451" s="39"/>
      <c r="N451" s="39"/>
    </row>
    <row r="452">
      <c r="B452" s="75"/>
      <c r="C452" s="38"/>
      <c r="L452" s="72"/>
      <c r="M452" s="39"/>
      <c r="N452" s="39"/>
    </row>
    <row r="453">
      <c r="B453" s="75"/>
      <c r="C453" s="38"/>
      <c r="L453" s="72"/>
      <c r="M453" s="39"/>
      <c r="N453" s="39"/>
    </row>
    <row r="454">
      <c r="B454" s="75"/>
      <c r="C454" s="38"/>
      <c r="L454" s="72"/>
      <c r="M454" s="39"/>
      <c r="N454" s="39"/>
    </row>
    <row r="455">
      <c r="B455" s="75"/>
      <c r="C455" s="38"/>
      <c r="L455" s="72"/>
      <c r="M455" s="39"/>
      <c r="N455" s="39"/>
    </row>
    <row r="456">
      <c r="B456" s="75"/>
      <c r="C456" s="38"/>
      <c r="L456" s="72"/>
      <c r="M456" s="39"/>
      <c r="N456" s="39"/>
    </row>
    <row r="457">
      <c r="B457" s="75"/>
      <c r="C457" s="38"/>
      <c r="L457" s="72"/>
      <c r="M457" s="39"/>
      <c r="N457" s="39"/>
    </row>
    <row r="458">
      <c r="B458" s="75"/>
      <c r="C458" s="38"/>
      <c r="L458" s="72"/>
      <c r="M458" s="39"/>
      <c r="N458" s="39"/>
    </row>
    <row r="459">
      <c r="B459" s="75"/>
      <c r="C459" s="38"/>
      <c r="L459" s="72"/>
      <c r="M459" s="39"/>
      <c r="N459" s="39"/>
    </row>
    <row r="460">
      <c r="B460" s="75"/>
      <c r="C460" s="38"/>
      <c r="L460" s="72"/>
      <c r="M460" s="39"/>
      <c r="N460" s="39"/>
    </row>
    <row r="461">
      <c r="B461" s="75"/>
      <c r="C461" s="38"/>
      <c r="L461" s="72"/>
      <c r="M461" s="39"/>
      <c r="N461" s="39"/>
    </row>
    <row r="462">
      <c r="B462" s="75"/>
      <c r="C462" s="38"/>
      <c r="L462" s="72"/>
      <c r="M462" s="39"/>
      <c r="N462" s="39"/>
    </row>
    <row r="463">
      <c r="B463" s="75"/>
      <c r="C463" s="38"/>
      <c r="L463" s="72"/>
      <c r="M463" s="39"/>
      <c r="N463" s="39"/>
    </row>
    <row r="464">
      <c r="B464" s="75"/>
      <c r="C464" s="38"/>
      <c r="L464" s="72"/>
      <c r="M464" s="39"/>
      <c r="N464" s="39"/>
    </row>
    <row r="465">
      <c r="B465" s="75"/>
      <c r="C465" s="38"/>
      <c r="L465" s="72"/>
      <c r="M465" s="39"/>
      <c r="N465" s="39"/>
    </row>
    <row r="466">
      <c r="B466" s="75"/>
      <c r="C466" s="38"/>
      <c r="L466" s="72"/>
      <c r="M466" s="39"/>
      <c r="N466" s="39"/>
    </row>
    <row r="467">
      <c r="B467" s="75"/>
      <c r="C467" s="38"/>
      <c r="L467" s="72"/>
      <c r="M467" s="39"/>
      <c r="N467" s="39"/>
    </row>
    <row r="468">
      <c r="B468" s="75"/>
      <c r="C468" s="38"/>
      <c r="L468" s="72"/>
      <c r="M468" s="39"/>
      <c r="N468" s="39"/>
    </row>
    <row r="469">
      <c r="B469" s="75"/>
      <c r="C469" s="38"/>
      <c r="L469" s="72"/>
      <c r="M469" s="39"/>
      <c r="N469" s="39"/>
    </row>
    <row r="470">
      <c r="B470" s="75"/>
      <c r="C470" s="38"/>
      <c r="L470" s="72"/>
      <c r="M470" s="39"/>
      <c r="N470" s="39"/>
    </row>
    <row r="471">
      <c r="B471" s="75"/>
      <c r="C471" s="38"/>
      <c r="L471" s="72"/>
      <c r="M471" s="39"/>
      <c r="N471" s="39"/>
    </row>
    <row r="472">
      <c r="B472" s="75"/>
      <c r="C472" s="38"/>
      <c r="L472" s="72"/>
      <c r="M472" s="39"/>
      <c r="N472" s="39"/>
    </row>
    <row r="473">
      <c r="B473" s="75"/>
      <c r="C473" s="38"/>
      <c r="L473" s="72"/>
      <c r="M473" s="39"/>
      <c r="N473" s="39"/>
    </row>
    <row r="474">
      <c r="B474" s="75"/>
      <c r="C474" s="38"/>
      <c r="L474" s="72"/>
      <c r="M474" s="39"/>
      <c r="N474" s="39"/>
    </row>
    <row r="475">
      <c r="B475" s="75"/>
      <c r="C475" s="38"/>
      <c r="L475" s="72"/>
      <c r="M475" s="39"/>
      <c r="N475" s="39"/>
    </row>
    <row r="476">
      <c r="B476" s="75"/>
      <c r="C476" s="38"/>
      <c r="L476" s="72"/>
      <c r="M476" s="39"/>
      <c r="N476" s="39"/>
    </row>
    <row r="477">
      <c r="B477" s="75"/>
      <c r="C477" s="38"/>
      <c r="L477" s="72"/>
      <c r="M477" s="39"/>
      <c r="N477" s="39"/>
    </row>
    <row r="478">
      <c r="B478" s="75"/>
      <c r="C478" s="38"/>
      <c r="L478" s="72"/>
      <c r="M478" s="39"/>
      <c r="N478" s="39"/>
    </row>
    <row r="479">
      <c r="B479" s="75"/>
      <c r="C479" s="38"/>
      <c r="L479" s="72"/>
      <c r="M479" s="39"/>
      <c r="N479" s="39"/>
    </row>
    <row r="480">
      <c r="B480" s="75"/>
      <c r="C480" s="38"/>
      <c r="L480" s="72"/>
      <c r="M480" s="39"/>
      <c r="N480" s="39"/>
    </row>
    <row r="481">
      <c r="B481" s="75"/>
      <c r="C481" s="38"/>
      <c r="L481" s="72"/>
      <c r="M481" s="39"/>
      <c r="N481" s="39"/>
    </row>
    <row r="482">
      <c r="B482" s="75"/>
      <c r="C482" s="38"/>
      <c r="L482" s="72"/>
      <c r="M482" s="39"/>
      <c r="N482" s="39"/>
    </row>
    <row r="483">
      <c r="B483" s="75"/>
      <c r="C483" s="38"/>
      <c r="L483" s="72"/>
      <c r="M483" s="39"/>
      <c r="N483" s="39"/>
    </row>
    <row r="484">
      <c r="B484" s="75"/>
      <c r="C484" s="38"/>
      <c r="L484" s="72"/>
      <c r="M484" s="39"/>
      <c r="N484" s="39"/>
    </row>
    <row r="485">
      <c r="B485" s="75"/>
      <c r="C485" s="38"/>
      <c r="L485" s="72"/>
      <c r="M485" s="39"/>
      <c r="N485" s="39"/>
    </row>
    <row r="486">
      <c r="B486" s="75"/>
      <c r="C486" s="38"/>
      <c r="L486" s="72"/>
      <c r="M486" s="39"/>
      <c r="N486" s="39"/>
    </row>
    <row r="487">
      <c r="B487" s="75"/>
      <c r="C487" s="38"/>
      <c r="L487" s="72"/>
      <c r="M487" s="39"/>
      <c r="N487" s="39"/>
    </row>
    <row r="488">
      <c r="B488" s="75"/>
      <c r="C488" s="38"/>
      <c r="L488" s="72"/>
      <c r="M488" s="39"/>
      <c r="N488" s="39"/>
    </row>
    <row r="489">
      <c r="B489" s="75"/>
      <c r="C489" s="38"/>
      <c r="L489" s="72"/>
      <c r="M489" s="39"/>
      <c r="N489" s="39"/>
    </row>
    <row r="490">
      <c r="B490" s="75"/>
      <c r="C490" s="38"/>
      <c r="L490" s="72"/>
      <c r="M490" s="39"/>
      <c r="N490" s="39"/>
    </row>
    <row r="491">
      <c r="B491" s="75"/>
      <c r="C491" s="38"/>
      <c r="L491" s="72"/>
      <c r="M491" s="39"/>
      <c r="N491" s="39"/>
    </row>
    <row r="492">
      <c r="B492" s="75"/>
      <c r="C492" s="38"/>
      <c r="L492" s="72"/>
      <c r="M492" s="39"/>
      <c r="N492" s="39"/>
    </row>
    <row r="493">
      <c r="B493" s="75"/>
      <c r="C493" s="38"/>
      <c r="L493" s="72"/>
      <c r="M493" s="39"/>
      <c r="N493" s="39"/>
    </row>
    <row r="494">
      <c r="B494" s="75"/>
      <c r="C494" s="38"/>
      <c r="L494" s="72"/>
      <c r="M494" s="39"/>
      <c r="N494" s="39"/>
    </row>
    <row r="495">
      <c r="B495" s="75"/>
      <c r="C495" s="38"/>
      <c r="L495" s="72"/>
      <c r="M495" s="39"/>
      <c r="N495" s="39"/>
    </row>
    <row r="496">
      <c r="B496" s="75"/>
      <c r="C496" s="38"/>
      <c r="L496" s="72"/>
      <c r="M496" s="39"/>
      <c r="N496" s="39"/>
    </row>
    <row r="497">
      <c r="B497" s="75"/>
      <c r="C497" s="38"/>
      <c r="L497" s="72"/>
      <c r="M497" s="39"/>
      <c r="N497" s="39"/>
    </row>
    <row r="498">
      <c r="B498" s="75"/>
      <c r="C498" s="38"/>
      <c r="L498" s="72"/>
      <c r="M498" s="39"/>
      <c r="N498" s="39"/>
    </row>
    <row r="499">
      <c r="B499" s="75"/>
      <c r="C499" s="38"/>
      <c r="L499" s="72"/>
      <c r="M499" s="39"/>
      <c r="N499" s="39"/>
    </row>
    <row r="500">
      <c r="B500" s="75"/>
      <c r="C500" s="38"/>
      <c r="L500" s="72"/>
      <c r="M500" s="39"/>
      <c r="N500" s="39"/>
    </row>
    <row r="501">
      <c r="B501" s="75"/>
      <c r="C501" s="38"/>
      <c r="L501" s="72"/>
      <c r="M501" s="39"/>
      <c r="N501" s="39"/>
    </row>
    <row r="502">
      <c r="B502" s="75"/>
      <c r="C502" s="38"/>
      <c r="L502" s="72"/>
      <c r="M502" s="39"/>
      <c r="N502" s="39"/>
    </row>
    <row r="503">
      <c r="B503" s="75"/>
      <c r="C503" s="38"/>
      <c r="L503" s="72"/>
      <c r="M503" s="39"/>
      <c r="N503" s="39"/>
    </row>
    <row r="504">
      <c r="B504" s="75"/>
      <c r="C504" s="38"/>
      <c r="L504" s="72"/>
      <c r="M504" s="39"/>
      <c r="N504" s="39"/>
    </row>
    <row r="505">
      <c r="B505" s="75"/>
      <c r="C505" s="38"/>
      <c r="L505" s="72"/>
      <c r="M505" s="39"/>
      <c r="N505" s="39"/>
    </row>
    <row r="506">
      <c r="B506" s="75"/>
      <c r="C506" s="38"/>
      <c r="L506" s="72"/>
      <c r="M506" s="39"/>
      <c r="N506" s="39"/>
    </row>
    <row r="507">
      <c r="B507" s="75"/>
      <c r="C507" s="38"/>
      <c r="L507" s="72"/>
      <c r="M507" s="39"/>
      <c r="N507" s="39"/>
    </row>
    <row r="508">
      <c r="B508" s="75"/>
      <c r="C508" s="38"/>
      <c r="L508" s="72"/>
      <c r="M508" s="39"/>
      <c r="N508" s="39"/>
    </row>
    <row r="509">
      <c r="B509" s="75"/>
      <c r="C509" s="38"/>
      <c r="L509" s="72"/>
      <c r="M509" s="39"/>
      <c r="N509" s="39"/>
    </row>
    <row r="510">
      <c r="B510" s="75"/>
      <c r="C510" s="38"/>
      <c r="L510" s="72"/>
      <c r="M510" s="39"/>
      <c r="N510" s="39"/>
    </row>
    <row r="511">
      <c r="B511" s="75"/>
      <c r="C511" s="38"/>
      <c r="L511" s="72"/>
      <c r="M511" s="39"/>
      <c r="N511" s="39"/>
    </row>
    <row r="512">
      <c r="B512" s="75"/>
      <c r="C512" s="38"/>
      <c r="L512" s="72"/>
      <c r="M512" s="39"/>
      <c r="N512" s="39"/>
    </row>
    <row r="513">
      <c r="B513" s="75"/>
      <c r="C513" s="38"/>
      <c r="L513" s="72"/>
      <c r="M513" s="39"/>
      <c r="N513" s="39"/>
    </row>
    <row r="514">
      <c r="B514" s="75"/>
      <c r="C514" s="38"/>
      <c r="L514" s="72"/>
      <c r="M514" s="39"/>
      <c r="N514" s="39"/>
    </row>
    <row r="515">
      <c r="B515" s="75"/>
      <c r="C515" s="38"/>
      <c r="L515" s="72"/>
      <c r="M515" s="39"/>
      <c r="N515" s="39"/>
    </row>
    <row r="516">
      <c r="B516" s="75"/>
      <c r="C516" s="38"/>
      <c r="L516" s="72"/>
      <c r="M516" s="39"/>
      <c r="N516" s="39"/>
    </row>
    <row r="517">
      <c r="B517" s="75"/>
      <c r="C517" s="38"/>
      <c r="L517" s="72"/>
      <c r="M517" s="39"/>
      <c r="N517" s="39"/>
    </row>
    <row r="518">
      <c r="B518" s="75"/>
      <c r="C518" s="38"/>
      <c r="L518" s="72"/>
      <c r="M518" s="39"/>
      <c r="N518" s="39"/>
    </row>
    <row r="519">
      <c r="B519" s="75"/>
      <c r="C519" s="38"/>
      <c r="L519" s="72"/>
      <c r="M519" s="39"/>
      <c r="N519" s="39"/>
    </row>
    <row r="520">
      <c r="B520" s="75"/>
      <c r="C520" s="38"/>
      <c r="L520" s="72"/>
      <c r="M520" s="39"/>
      <c r="N520" s="39"/>
    </row>
    <row r="521">
      <c r="B521" s="75"/>
      <c r="C521" s="38"/>
      <c r="L521" s="72"/>
      <c r="M521" s="39"/>
      <c r="N521" s="39"/>
    </row>
    <row r="522">
      <c r="B522" s="75"/>
      <c r="C522" s="38"/>
      <c r="L522" s="72"/>
      <c r="M522" s="39"/>
      <c r="N522" s="39"/>
    </row>
    <row r="523">
      <c r="B523" s="75"/>
      <c r="C523" s="38"/>
      <c r="L523" s="72"/>
      <c r="M523" s="39"/>
      <c r="N523" s="39"/>
    </row>
    <row r="524">
      <c r="B524" s="75"/>
      <c r="C524" s="38"/>
      <c r="L524" s="72"/>
      <c r="M524" s="39"/>
      <c r="N524" s="39"/>
    </row>
    <row r="525">
      <c r="B525" s="75"/>
      <c r="C525" s="38"/>
      <c r="L525" s="72"/>
      <c r="M525" s="39"/>
      <c r="N525" s="39"/>
    </row>
    <row r="526">
      <c r="B526" s="75"/>
      <c r="C526" s="38"/>
      <c r="L526" s="72"/>
      <c r="M526" s="39"/>
      <c r="N526" s="39"/>
    </row>
    <row r="527">
      <c r="B527" s="75"/>
      <c r="C527" s="38"/>
      <c r="L527" s="72"/>
      <c r="M527" s="39"/>
      <c r="N527" s="39"/>
    </row>
    <row r="528">
      <c r="B528" s="75"/>
      <c r="C528" s="38"/>
      <c r="L528" s="72"/>
      <c r="M528" s="39"/>
      <c r="N528" s="39"/>
    </row>
    <row r="529">
      <c r="B529" s="75"/>
      <c r="C529" s="38"/>
      <c r="L529" s="72"/>
      <c r="M529" s="39"/>
      <c r="N529" s="39"/>
    </row>
    <row r="530">
      <c r="B530" s="75"/>
      <c r="C530" s="38"/>
      <c r="L530" s="72"/>
      <c r="M530" s="39"/>
      <c r="N530" s="39"/>
    </row>
    <row r="531">
      <c r="B531" s="75"/>
      <c r="C531" s="38"/>
      <c r="L531" s="72"/>
      <c r="M531" s="39"/>
      <c r="N531" s="39"/>
    </row>
    <row r="532">
      <c r="B532" s="75"/>
      <c r="C532" s="38"/>
      <c r="L532" s="72"/>
      <c r="M532" s="39"/>
      <c r="N532" s="39"/>
    </row>
    <row r="533">
      <c r="B533" s="75"/>
      <c r="C533" s="38"/>
      <c r="L533" s="72"/>
      <c r="M533" s="39"/>
      <c r="N533" s="39"/>
    </row>
    <row r="534">
      <c r="B534" s="75"/>
      <c r="C534" s="38"/>
      <c r="L534" s="72"/>
      <c r="M534" s="39"/>
      <c r="N534" s="39"/>
    </row>
    <row r="535">
      <c r="B535" s="75"/>
      <c r="C535" s="38"/>
      <c r="L535" s="72"/>
      <c r="M535" s="39"/>
      <c r="N535" s="39"/>
    </row>
    <row r="536">
      <c r="B536" s="75"/>
      <c r="C536" s="38"/>
      <c r="L536" s="72"/>
      <c r="M536" s="39"/>
      <c r="N536" s="39"/>
    </row>
    <row r="537">
      <c r="B537" s="75"/>
      <c r="C537" s="38"/>
      <c r="L537" s="72"/>
      <c r="M537" s="39"/>
      <c r="N537" s="39"/>
    </row>
    <row r="538">
      <c r="B538" s="75"/>
      <c r="C538" s="38"/>
      <c r="L538" s="72"/>
      <c r="M538" s="39"/>
      <c r="N538" s="39"/>
    </row>
    <row r="539">
      <c r="B539" s="75"/>
      <c r="C539" s="38"/>
      <c r="L539" s="72"/>
      <c r="M539" s="39"/>
      <c r="N539" s="39"/>
    </row>
    <row r="540">
      <c r="B540" s="75"/>
      <c r="C540" s="38"/>
      <c r="L540" s="72"/>
      <c r="M540" s="39"/>
      <c r="N540" s="39"/>
    </row>
    <row r="541">
      <c r="B541" s="75"/>
      <c r="C541" s="38"/>
      <c r="L541" s="72"/>
      <c r="M541" s="39"/>
      <c r="N541" s="39"/>
    </row>
    <row r="542">
      <c r="B542" s="75"/>
      <c r="C542" s="38"/>
      <c r="L542" s="72"/>
      <c r="M542" s="39"/>
      <c r="N542" s="39"/>
    </row>
    <row r="543">
      <c r="B543" s="75"/>
      <c r="C543" s="38"/>
      <c r="L543" s="72"/>
      <c r="M543" s="39"/>
      <c r="N543" s="39"/>
    </row>
    <row r="544">
      <c r="B544" s="75"/>
      <c r="C544" s="38"/>
      <c r="L544" s="72"/>
      <c r="M544" s="39"/>
      <c r="N544" s="39"/>
    </row>
    <row r="545">
      <c r="B545" s="75"/>
      <c r="C545" s="38"/>
      <c r="L545" s="72"/>
      <c r="M545" s="39"/>
      <c r="N545" s="39"/>
    </row>
    <row r="546">
      <c r="B546" s="75"/>
      <c r="C546" s="38"/>
      <c r="L546" s="72"/>
      <c r="M546" s="39"/>
      <c r="N546" s="39"/>
    </row>
    <row r="547">
      <c r="B547" s="75"/>
      <c r="C547" s="38"/>
      <c r="L547" s="72"/>
      <c r="M547" s="39"/>
      <c r="N547" s="39"/>
    </row>
    <row r="548">
      <c r="B548" s="75"/>
      <c r="C548" s="38"/>
      <c r="L548" s="72"/>
      <c r="M548" s="39"/>
      <c r="N548" s="39"/>
    </row>
    <row r="549">
      <c r="B549" s="75"/>
      <c r="C549" s="38"/>
      <c r="L549" s="72"/>
      <c r="M549" s="39"/>
      <c r="N549" s="39"/>
    </row>
    <row r="550">
      <c r="B550" s="75"/>
      <c r="C550" s="38"/>
      <c r="L550" s="72"/>
      <c r="M550" s="39"/>
      <c r="N550" s="39"/>
    </row>
    <row r="551">
      <c r="B551" s="75"/>
      <c r="C551" s="38"/>
      <c r="L551" s="72"/>
      <c r="M551" s="39"/>
      <c r="N551" s="39"/>
    </row>
    <row r="552">
      <c r="B552" s="75"/>
      <c r="C552" s="38"/>
      <c r="L552" s="72"/>
      <c r="M552" s="39"/>
      <c r="N552" s="39"/>
    </row>
    <row r="553">
      <c r="B553" s="75"/>
      <c r="C553" s="38"/>
      <c r="L553" s="72"/>
      <c r="M553" s="39"/>
      <c r="N553" s="39"/>
    </row>
    <row r="554">
      <c r="B554" s="75"/>
      <c r="C554" s="38"/>
      <c r="L554" s="72"/>
      <c r="M554" s="39"/>
      <c r="N554" s="39"/>
    </row>
    <row r="555">
      <c r="B555" s="75"/>
      <c r="C555" s="38"/>
      <c r="L555" s="72"/>
      <c r="M555" s="39"/>
      <c r="N555" s="39"/>
    </row>
    <row r="556">
      <c r="B556" s="75"/>
      <c r="C556" s="38"/>
      <c r="L556" s="72"/>
      <c r="M556" s="39"/>
      <c r="N556" s="39"/>
    </row>
    <row r="557">
      <c r="B557" s="75"/>
      <c r="C557" s="38"/>
      <c r="L557" s="72"/>
      <c r="M557" s="39"/>
      <c r="N557" s="39"/>
    </row>
    <row r="558">
      <c r="B558" s="75"/>
      <c r="C558" s="38"/>
      <c r="L558" s="72"/>
      <c r="M558" s="39"/>
      <c r="N558" s="39"/>
    </row>
    <row r="559">
      <c r="B559" s="75"/>
      <c r="C559" s="38"/>
      <c r="L559" s="72"/>
      <c r="M559" s="39"/>
      <c r="N559" s="39"/>
    </row>
    <row r="560">
      <c r="B560" s="75"/>
      <c r="C560" s="38"/>
      <c r="L560" s="72"/>
      <c r="M560" s="39"/>
      <c r="N560" s="39"/>
    </row>
    <row r="561">
      <c r="B561" s="75"/>
      <c r="C561" s="38"/>
      <c r="L561" s="72"/>
      <c r="M561" s="39"/>
      <c r="N561" s="39"/>
    </row>
    <row r="562">
      <c r="B562" s="75"/>
      <c r="C562" s="38"/>
      <c r="L562" s="72"/>
      <c r="M562" s="39"/>
      <c r="N562" s="39"/>
    </row>
    <row r="563">
      <c r="B563" s="75"/>
      <c r="C563" s="38"/>
      <c r="L563" s="72"/>
      <c r="M563" s="39"/>
      <c r="N563" s="39"/>
    </row>
    <row r="564">
      <c r="B564" s="75"/>
      <c r="C564" s="38"/>
      <c r="L564" s="72"/>
      <c r="M564" s="39"/>
      <c r="N564" s="39"/>
    </row>
    <row r="565">
      <c r="B565" s="75"/>
      <c r="C565" s="38"/>
      <c r="L565" s="72"/>
      <c r="M565" s="39"/>
      <c r="N565" s="39"/>
    </row>
    <row r="566">
      <c r="B566" s="75"/>
      <c r="C566" s="38"/>
      <c r="L566" s="72"/>
      <c r="M566" s="39"/>
      <c r="N566" s="39"/>
    </row>
    <row r="567">
      <c r="B567" s="75"/>
      <c r="C567" s="38"/>
      <c r="L567" s="72"/>
      <c r="M567" s="39"/>
      <c r="N567" s="39"/>
    </row>
    <row r="568">
      <c r="B568" s="75"/>
      <c r="C568" s="38"/>
      <c r="L568" s="72"/>
      <c r="M568" s="39"/>
      <c r="N568" s="39"/>
    </row>
    <row r="569">
      <c r="B569" s="75"/>
      <c r="C569" s="38"/>
      <c r="L569" s="72"/>
      <c r="M569" s="39"/>
      <c r="N569" s="39"/>
    </row>
    <row r="570">
      <c r="B570" s="75"/>
      <c r="C570" s="38"/>
      <c r="L570" s="72"/>
      <c r="M570" s="39"/>
      <c r="N570" s="39"/>
    </row>
    <row r="571">
      <c r="B571" s="75"/>
      <c r="C571" s="38"/>
      <c r="L571" s="72"/>
      <c r="M571" s="39"/>
      <c r="N571" s="39"/>
    </row>
    <row r="572">
      <c r="B572" s="75"/>
      <c r="C572" s="38"/>
      <c r="L572" s="72"/>
      <c r="M572" s="39"/>
      <c r="N572" s="39"/>
    </row>
    <row r="573">
      <c r="B573" s="75"/>
      <c r="C573" s="38"/>
      <c r="L573" s="72"/>
      <c r="M573" s="39"/>
      <c r="N573" s="39"/>
    </row>
    <row r="574">
      <c r="B574" s="75"/>
      <c r="C574" s="38"/>
      <c r="L574" s="72"/>
      <c r="M574" s="39"/>
      <c r="N574" s="39"/>
    </row>
    <row r="575">
      <c r="B575" s="75"/>
      <c r="C575" s="38"/>
      <c r="L575" s="72"/>
      <c r="M575" s="39"/>
      <c r="N575" s="39"/>
    </row>
    <row r="576">
      <c r="B576" s="75"/>
      <c r="C576" s="38"/>
      <c r="L576" s="72"/>
      <c r="M576" s="39"/>
      <c r="N576" s="39"/>
    </row>
    <row r="577">
      <c r="B577" s="75"/>
      <c r="C577" s="38"/>
      <c r="L577" s="72"/>
      <c r="M577" s="39"/>
      <c r="N577" s="39"/>
    </row>
    <row r="578">
      <c r="B578" s="75"/>
      <c r="C578" s="38"/>
      <c r="L578" s="72"/>
      <c r="M578" s="39"/>
      <c r="N578" s="39"/>
    </row>
    <row r="579">
      <c r="B579" s="75"/>
      <c r="C579" s="38"/>
      <c r="L579" s="72"/>
      <c r="M579" s="39"/>
      <c r="N579" s="39"/>
    </row>
    <row r="580">
      <c r="B580" s="75"/>
      <c r="C580" s="38"/>
      <c r="L580" s="72"/>
      <c r="M580" s="39"/>
      <c r="N580" s="39"/>
    </row>
    <row r="581">
      <c r="B581" s="75"/>
      <c r="C581" s="38"/>
      <c r="L581" s="72"/>
      <c r="M581" s="39"/>
      <c r="N581" s="39"/>
    </row>
    <row r="582">
      <c r="B582" s="75"/>
      <c r="C582" s="38"/>
      <c r="L582" s="72"/>
      <c r="M582" s="39"/>
      <c r="N582" s="39"/>
    </row>
    <row r="583">
      <c r="B583" s="75"/>
      <c r="C583" s="38"/>
      <c r="L583" s="72"/>
      <c r="M583" s="39"/>
      <c r="N583" s="39"/>
    </row>
    <row r="584">
      <c r="B584" s="75"/>
      <c r="C584" s="38"/>
      <c r="L584" s="72"/>
      <c r="M584" s="39"/>
      <c r="N584" s="39"/>
    </row>
    <row r="585">
      <c r="B585" s="75"/>
      <c r="C585" s="38"/>
      <c r="L585" s="72"/>
      <c r="M585" s="39"/>
      <c r="N585" s="39"/>
    </row>
    <row r="586">
      <c r="B586" s="75"/>
      <c r="C586" s="38"/>
      <c r="L586" s="72"/>
      <c r="M586" s="39"/>
      <c r="N586" s="39"/>
    </row>
    <row r="587">
      <c r="B587" s="75"/>
      <c r="C587" s="38"/>
      <c r="L587" s="72"/>
      <c r="M587" s="39"/>
      <c r="N587" s="39"/>
    </row>
    <row r="588">
      <c r="B588" s="75"/>
      <c r="C588" s="38"/>
      <c r="L588" s="72"/>
      <c r="M588" s="39"/>
      <c r="N588" s="39"/>
    </row>
    <row r="589">
      <c r="B589" s="75"/>
      <c r="C589" s="38"/>
      <c r="L589" s="72"/>
      <c r="M589" s="39"/>
      <c r="N589" s="39"/>
    </row>
    <row r="590">
      <c r="B590" s="75"/>
      <c r="C590" s="38"/>
      <c r="L590" s="72"/>
      <c r="M590" s="39"/>
      <c r="N590" s="39"/>
    </row>
    <row r="591">
      <c r="B591" s="75"/>
      <c r="C591" s="38"/>
      <c r="L591" s="72"/>
      <c r="M591" s="39"/>
      <c r="N591" s="39"/>
    </row>
    <row r="592">
      <c r="B592" s="75"/>
      <c r="C592" s="38"/>
      <c r="L592" s="72"/>
      <c r="M592" s="39"/>
      <c r="N592" s="39"/>
    </row>
    <row r="593">
      <c r="B593" s="75"/>
      <c r="C593" s="38"/>
      <c r="L593" s="72"/>
      <c r="M593" s="39"/>
      <c r="N593" s="39"/>
    </row>
    <row r="594">
      <c r="B594" s="75"/>
      <c r="C594" s="38"/>
      <c r="L594" s="72"/>
      <c r="M594" s="39"/>
      <c r="N594" s="39"/>
    </row>
    <row r="595">
      <c r="B595" s="75"/>
      <c r="C595" s="38"/>
      <c r="L595" s="72"/>
      <c r="M595" s="39"/>
      <c r="N595" s="39"/>
    </row>
    <row r="596">
      <c r="B596" s="75"/>
      <c r="C596" s="38"/>
      <c r="L596" s="72"/>
      <c r="M596" s="39"/>
      <c r="N596" s="39"/>
    </row>
    <row r="597">
      <c r="B597" s="75"/>
      <c r="C597" s="38"/>
      <c r="L597" s="72"/>
      <c r="M597" s="39"/>
      <c r="N597" s="39"/>
    </row>
    <row r="598">
      <c r="B598" s="75"/>
      <c r="C598" s="38"/>
      <c r="L598" s="72"/>
      <c r="M598" s="39"/>
      <c r="N598" s="39"/>
    </row>
    <row r="599">
      <c r="B599" s="75"/>
      <c r="C599" s="38"/>
      <c r="L599" s="72"/>
      <c r="M599" s="39"/>
      <c r="N599" s="39"/>
    </row>
    <row r="600">
      <c r="B600" s="75"/>
      <c r="C600" s="38"/>
      <c r="L600" s="72"/>
      <c r="M600" s="39"/>
      <c r="N600" s="39"/>
    </row>
    <row r="601">
      <c r="B601" s="75"/>
      <c r="C601" s="38"/>
      <c r="L601" s="72"/>
      <c r="M601" s="39"/>
      <c r="N601" s="39"/>
    </row>
    <row r="602">
      <c r="B602" s="75"/>
      <c r="C602" s="38"/>
      <c r="L602" s="72"/>
      <c r="M602" s="39"/>
      <c r="N602" s="39"/>
    </row>
    <row r="603">
      <c r="B603" s="75"/>
      <c r="C603" s="38"/>
      <c r="L603" s="72"/>
      <c r="M603" s="39"/>
      <c r="N603" s="39"/>
    </row>
    <row r="604">
      <c r="B604" s="75"/>
      <c r="C604" s="38"/>
      <c r="L604" s="72"/>
      <c r="M604" s="39"/>
      <c r="N604" s="39"/>
    </row>
    <row r="605">
      <c r="B605" s="75"/>
      <c r="C605" s="38"/>
      <c r="L605" s="72"/>
      <c r="M605" s="39"/>
      <c r="N605" s="39"/>
    </row>
    <row r="606">
      <c r="B606" s="75"/>
      <c r="C606" s="38"/>
      <c r="L606" s="72"/>
      <c r="M606" s="39"/>
      <c r="N606" s="39"/>
    </row>
    <row r="607">
      <c r="B607" s="75"/>
      <c r="C607" s="38"/>
      <c r="L607" s="72"/>
      <c r="M607" s="39"/>
      <c r="N607" s="39"/>
    </row>
    <row r="608">
      <c r="B608" s="75"/>
      <c r="C608" s="38"/>
      <c r="L608" s="72"/>
      <c r="M608" s="39"/>
      <c r="N608" s="39"/>
    </row>
    <row r="609">
      <c r="B609" s="75"/>
      <c r="C609" s="38"/>
      <c r="L609" s="72"/>
      <c r="M609" s="39"/>
      <c r="N609" s="39"/>
    </row>
    <row r="610">
      <c r="B610" s="75"/>
      <c r="C610" s="38"/>
      <c r="L610" s="72"/>
      <c r="M610" s="39"/>
      <c r="N610" s="39"/>
    </row>
    <row r="611">
      <c r="B611" s="75"/>
      <c r="C611" s="38"/>
      <c r="L611" s="72"/>
      <c r="M611" s="39"/>
      <c r="N611" s="39"/>
    </row>
    <row r="612">
      <c r="B612" s="75"/>
      <c r="C612" s="38"/>
      <c r="L612" s="72"/>
      <c r="M612" s="39"/>
      <c r="N612" s="39"/>
    </row>
    <row r="613">
      <c r="B613" s="75"/>
      <c r="C613" s="38"/>
      <c r="L613" s="72"/>
      <c r="M613" s="39"/>
      <c r="N613" s="39"/>
    </row>
    <row r="614">
      <c r="B614" s="75"/>
      <c r="C614" s="38"/>
      <c r="L614" s="72"/>
      <c r="M614" s="39"/>
      <c r="N614" s="39"/>
    </row>
    <row r="615">
      <c r="B615" s="75"/>
      <c r="C615" s="38"/>
      <c r="L615" s="72"/>
      <c r="M615" s="39"/>
      <c r="N615" s="39"/>
    </row>
    <row r="616">
      <c r="B616" s="75"/>
      <c r="C616" s="38"/>
      <c r="L616" s="72"/>
      <c r="M616" s="39"/>
      <c r="N616" s="39"/>
    </row>
    <row r="617">
      <c r="B617" s="75"/>
      <c r="C617" s="38"/>
      <c r="L617" s="72"/>
      <c r="M617" s="39"/>
      <c r="N617" s="39"/>
    </row>
    <row r="618">
      <c r="B618" s="75"/>
      <c r="C618" s="38"/>
      <c r="L618" s="72"/>
      <c r="M618" s="39"/>
      <c r="N618" s="39"/>
    </row>
    <row r="619">
      <c r="B619" s="75"/>
      <c r="C619" s="38"/>
      <c r="L619" s="72"/>
      <c r="M619" s="39"/>
      <c r="N619" s="39"/>
    </row>
    <row r="620">
      <c r="B620" s="75"/>
      <c r="C620" s="38"/>
      <c r="L620" s="72"/>
      <c r="M620" s="39"/>
      <c r="N620" s="39"/>
    </row>
    <row r="621">
      <c r="B621" s="75"/>
      <c r="C621" s="38"/>
      <c r="L621" s="72"/>
      <c r="M621" s="39"/>
      <c r="N621" s="39"/>
    </row>
    <row r="622">
      <c r="B622" s="75"/>
      <c r="C622" s="38"/>
      <c r="L622" s="72"/>
      <c r="M622" s="39"/>
      <c r="N622" s="39"/>
    </row>
    <row r="623">
      <c r="B623" s="75"/>
      <c r="C623" s="38"/>
      <c r="L623" s="72"/>
      <c r="M623" s="39"/>
      <c r="N623" s="39"/>
    </row>
    <row r="624">
      <c r="B624" s="75"/>
      <c r="C624" s="38"/>
      <c r="L624" s="72"/>
      <c r="M624" s="39"/>
      <c r="N624" s="39"/>
    </row>
    <row r="625">
      <c r="B625" s="75"/>
      <c r="C625" s="38"/>
      <c r="L625" s="72"/>
      <c r="M625" s="39"/>
      <c r="N625" s="39"/>
    </row>
    <row r="626">
      <c r="B626" s="75"/>
      <c r="C626" s="38"/>
      <c r="L626" s="72"/>
      <c r="M626" s="39"/>
      <c r="N626" s="39"/>
    </row>
    <row r="627">
      <c r="B627" s="75"/>
      <c r="C627" s="38"/>
      <c r="L627" s="72"/>
      <c r="M627" s="39"/>
      <c r="N627" s="39"/>
    </row>
    <row r="628">
      <c r="B628" s="75"/>
      <c r="C628" s="38"/>
      <c r="L628" s="72"/>
      <c r="M628" s="39"/>
      <c r="N628" s="39"/>
    </row>
    <row r="629">
      <c r="B629" s="75"/>
      <c r="C629" s="38"/>
      <c r="L629" s="72"/>
      <c r="M629" s="39"/>
      <c r="N629" s="39"/>
    </row>
    <row r="630">
      <c r="B630" s="75"/>
      <c r="C630" s="38"/>
      <c r="L630" s="72"/>
      <c r="M630" s="39"/>
      <c r="N630" s="39"/>
    </row>
    <row r="631">
      <c r="B631" s="75"/>
      <c r="C631" s="38"/>
      <c r="L631" s="72"/>
      <c r="M631" s="39"/>
      <c r="N631" s="39"/>
    </row>
    <row r="632">
      <c r="B632" s="75"/>
      <c r="C632" s="38"/>
      <c r="L632" s="72"/>
      <c r="M632" s="39"/>
      <c r="N632" s="39"/>
    </row>
    <row r="633">
      <c r="B633" s="75"/>
      <c r="C633" s="38"/>
      <c r="L633" s="72"/>
      <c r="M633" s="39"/>
      <c r="N633" s="39"/>
    </row>
    <row r="634">
      <c r="B634" s="75"/>
      <c r="C634" s="38"/>
      <c r="L634" s="72"/>
      <c r="M634" s="39"/>
      <c r="N634" s="39"/>
    </row>
    <row r="635">
      <c r="B635" s="75"/>
      <c r="C635" s="38"/>
      <c r="L635" s="72"/>
      <c r="M635" s="39"/>
      <c r="N635" s="39"/>
    </row>
    <row r="636">
      <c r="B636" s="75"/>
      <c r="C636" s="38"/>
      <c r="L636" s="72"/>
      <c r="M636" s="39"/>
      <c r="N636" s="39"/>
    </row>
    <row r="637">
      <c r="B637" s="75"/>
      <c r="C637" s="38"/>
      <c r="L637" s="72"/>
      <c r="M637" s="39"/>
      <c r="N637" s="39"/>
    </row>
    <row r="638">
      <c r="B638" s="75"/>
      <c r="C638" s="38"/>
      <c r="L638" s="72"/>
      <c r="M638" s="39"/>
      <c r="N638" s="39"/>
    </row>
    <row r="639">
      <c r="B639" s="75"/>
      <c r="C639" s="38"/>
      <c r="L639" s="72"/>
      <c r="M639" s="39"/>
      <c r="N639" s="39"/>
    </row>
    <row r="640">
      <c r="B640" s="75"/>
      <c r="C640" s="38"/>
      <c r="L640" s="72"/>
      <c r="M640" s="39"/>
      <c r="N640" s="39"/>
    </row>
    <row r="641">
      <c r="B641" s="75"/>
      <c r="C641" s="38"/>
      <c r="L641" s="72"/>
      <c r="M641" s="39"/>
      <c r="N641" s="39"/>
    </row>
    <row r="642">
      <c r="B642" s="75"/>
      <c r="C642" s="38"/>
      <c r="L642" s="72"/>
      <c r="M642" s="39"/>
      <c r="N642" s="39"/>
    </row>
    <row r="643">
      <c r="B643" s="75"/>
      <c r="C643" s="38"/>
      <c r="L643" s="72"/>
      <c r="M643" s="39"/>
      <c r="N643" s="39"/>
    </row>
    <row r="644">
      <c r="B644" s="75"/>
      <c r="C644" s="38"/>
      <c r="L644" s="72"/>
      <c r="M644" s="39"/>
      <c r="N644" s="39"/>
    </row>
    <row r="645">
      <c r="B645" s="75"/>
      <c r="C645" s="38"/>
      <c r="L645" s="72"/>
      <c r="M645" s="39"/>
      <c r="N645" s="39"/>
    </row>
    <row r="646">
      <c r="B646" s="75"/>
      <c r="C646" s="38"/>
      <c r="L646" s="72"/>
      <c r="M646" s="39"/>
      <c r="N646" s="39"/>
    </row>
    <row r="647">
      <c r="B647" s="75"/>
      <c r="C647" s="38"/>
      <c r="L647" s="72"/>
      <c r="M647" s="39"/>
      <c r="N647" s="39"/>
    </row>
    <row r="648">
      <c r="B648" s="75"/>
      <c r="C648" s="38"/>
      <c r="L648" s="72"/>
      <c r="M648" s="39"/>
      <c r="N648" s="39"/>
    </row>
    <row r="649">
      <c r="B649" s="75"/>
      <c r="C649" s="38"/>
      <c r="L649" s="72"/>
      <c r="M649" s="39"/>
      <c r="N649" s="39"/>
    </row>
    <row r="650">
      <c r="B650" s="75"/>
      <c r="C650" s="38"/>
      <c r="L650" s="72"/>
      <c r="M650" s="39"/>
      <c r="N650" s="39"/>
    </row>
    <row r="651">
      <c r="B651" s="75"/>
      <c r="C651" s="38"/>
      <c r="L651" s="72"/>
      <c r="M651" s="39"/>
      <c r="N651" s="39"/>
    </row>
    <row r="652">
      <c r="B652" s="75"/>
      <c r="C652" s="38"/>
      <c r="L652" s="72"/>
      <c r="M652" s="39"/>
      <c r="N652" s="39"/>
    </row>
    <row r="653">
      <c r="B653" s="75"/>
      <c r="C653" s="38"/>
      <c r="L653" s="72"/>
      <c r="M653" s="39"/>
      <c r="N653" s="39"/>
    </row>
    <row r="654">
      <c r="B654" s="75"/>
      <c r="C654" s="38"/>
      <c r="L654" s="72"/>
      <c r="M654" s="39"/>
      <c r="N654" s="39"/>
    </row>
    <row r="655">
      <c r="B655" s="75"/>
      <c r="C655" s="38"/>
      <c r="L655" s="72"/>
      <c r="M655" s="39"/>
      <c r="N655" s="39"/>
    </row>
    <row r="656">
      <c r="B656" s="75"/>
      <c r="C656" s="38"/>
      <c r="L656" s="72"/>
      <c r="M656" s="39"/>
      <c r="N656" s="39"/>
    </row>
    <row r="657">
      <c r="B657" s="75"/>
      <c r="C657" s="38"/>
      <c r="L657" s="72"/>
      <c r="M657" s="39"/>
      <c r="N657" s="39"/>
    </row>
    <row r="658">
      <c r="B658" s="75"/>
      <c r="C658" s="38"/>
      <c r="L658" s="72"/>
      <c r="M658" s="39"/>
      <c r="N658" s="39"/>
    </row>
    <row r="659">
      <c r="B659" s="75"/>
      <c r="C659" s="38"/>
      <c r="L659" s="72"/>
      <c r="M659" s="39"/>
      <c r="N659" s="39"/>
    </row>
    <row r="660">
      <c r="B660" s="75"/>
      <c r="C660" s="38"/>
      <c r="L660" s="72"/>
      <c r="M660" s="39"/>
      <c r="N660" s="39"/>
    </row>
    <row r="661">
      <c r="B661" s="75"/>
      <c r="C661" s="38"/>
      <c r="L661" s="72"/>
      <c r="M661" s="39"/>
      <c r="N661" s="39"/>
    </row>
    <row r="662">
      <c r="B662" s="75"/>
      <c r="C662" s="38"/>
      <c r="L662" s="72"/>
      <c r="M662" s="39"/>
      <c r="N662" s="39"/>
    </row>
    <row r="663">
      <c r="B663" s="75"/>
      <c r="C663" s="38"/>
      <c r="L663" s="72"/>
      <c r="M663" s="39"/>
      <c r="N663" s="39"/>
    </row>
    <row r="664">
      <c r="B664" s="75"/>
      <c r="C664" s="38"/>
      <c r="L664" s="72"/>
      <c r="M664" s="39"/>
      <c r="N664" s="39"/>
    </row>
    <row r="665">
      <c r="B665" s="75"/>
      <c r="C665" s="38"/>
      <c r="L665" s="72"/>
      <c r="M665" s="39"/>
      <c r="N665" s="39"/>
    </row>
    <row r="666">
      <c r="B666" s="75"/>
      <c r="C666" s="38"/>
      <c r="L666" s="72"/>
      <c r="M666" s="39"/>
      <c r="N666" s="39"/>
    </row>
    <row r="667">
      <c r="B667" s="75"/>
      <c r="C667" s="38"/>
      <c r="L667" s="72"/>
      <c r="M667" s="39"/>
      <c r="N667" s="39"/>
    </row>
    <row r="668">
      <c r="B668" s="75"/>
      <c r="C668" s="38"/>
      <c r="L668" s="72"/>
      <c r="M668" s="39"/>
      <c r="N668" s="39"/>
    </row>
    <row r="669">
      <c r="B669" s="75"/>
      <c r="C669" s="38"/>
      <c r="L669" s="72"/>
      <c r="M669" s="39"/>
      <c r="N669" s="39"/>
    </row>
    <row r="670">
      <c r="B670" s="75"/>
      <c r="C670" s="38"/>
      <c r="L670" s="72"/>
      <c r="M670" s="39"/>
      <c r="N670" s="39"/>
    </row>
    <row r="671">
      <c r="B671" s="75"/>
      <c r="C671" s="38"/>
      <c r="L671" s="72"/>
      <c r="M671" s="39"/>
      <c r="N671" s="39"/>
    </row>
    <row r="672">
      <c r="B672" s="75"/>
      <c r="C672" s="38"/>
      <c r="L672" s="72"/>
      <c r="M672" s="39"/>
      <c r="N672" s="39"/>
    </row>
    <row r="673">
      <c r="B673" s="75"/>
      <c r="C673" s="38"/>
      <c r="L673" s="72"/>
      <c r="M673" s="39"/>
      <c r="N673" s="39"/>
    </row>
    <row r="674">
      <c r="B674" s="75"/>
      <c r="C674" s="38"/>
      <c r="L674" s="72"/>
      <c r="M674" s="39"/>
      <c r="N674" s="39"/>
    </row>
    <row r="675">
      <c r="B675" s="75"/>
      <c r="C675" s="38"/>
      <c r="L675" s="72"/>
      <c r="M675" s="39"/>
      <c r="N675" s="39"/>
    </row>
    <row r="676">
      <c r="B676" s="75"/>
      <c r="C676" s="38"/>
      <c r="L676" s="72"/>
      <c r="M676" s="39"/>
      <c r="N676" s="39"/>
    </row>
    <row r="677">
      <c r="B677" s="75"/>
      <c r="C677" s="38"/>
      <c r="L677" s="72"/>
      <c r="M677" s="39"/>
      <c r="N677" s="39"/>
    </row>
    <row r="678">
      <c r="B678" s="75"/>
      <c r="C678" s="38"/>
      <c r="L678" s="72"/>
      <c r="M678" s="39"/>
      <c r="N678" s="39"/>
    </row>
    <row r="679">
      <c r="B679" s="75"/>
      <c r="C679" s="38"/>
      <c r="L679" s="72"/>
      <c r="M679" s="39"/>
      <c r="N679" s="39"/>
    </row>
    <row r="680">
      <c r="B680" s="75"/>
      <c r="C680" s="38"/>
      <c r="L680" s="72"/>
      <c r="M680" s="39"/>
      <c r="N680" s="39"/>
    </row>
    <row r="681">
      <c r="B681" s="75"/>
      <c r="C681" s="38"/>
      <c r="L681" s="72"/>
      <c r="M681" s="39"/>
      <c r="N681" s="39"/>
    </row>
    <row r="682">
      <c r="B682" s="75"/>
      <c r="C682" s="38"/>
      <c r="L682" s="72"/>
      <c r="M682" s="39"/>
      <c r="N682" s="39"/>
    </row>
    <row r="683">
      <c r="B683" s="75"/>
      <c r="C683" s="38"/>
      <c r="L683" s="72"/>
      <c r="M683" s="39"/>
      <c r="N683" s="39"/>
    </row>
    <row r="684">
      <c r="B684" s="75"/>
      <c r="C684" s="38"/>
      <c r="L684" s="72"/>
      <c r="M684" s="39"/>
      <c r="N684" s="39"/>
    </row>
    <row r="685">
      <c r="B685" s="75"/>
      <c r="C685" s="38"/>
      <c r="L685" s="72"/>
      <c r="M685" s="39"/>
      <c r="N685" s="39"/>
    </row>
    <row r="686">
      <c r="B686" s="75"/>
      <c r="C686" s="38"/>
      <c r="L686" s="72"/>
      <c r="M686" s="39"/>
      <c r="N686" s="39"/>
    </row>
    <row r="687">
      <c r="B687" s="75"/>
      <c r="C687" s="38"/>
      <c r="L687" s="72"/>
      <c r="M687" s="39"/>
      <c r="N687" s="39"/>
    </row>
    <row r="688">
      <c r="B688" s="75"/>
      <c r="C688" s="38"/>
      <c r="L688" s="72"/>
      <c r="M688" s="39"/>
      <c r="N688" s="39"/>
    </row>
    <row r="689">
      <c r="B689" s="75"/>
      <c r="C689" s="38"/>
      <c r="L689" s="72"/>
      <c r="M689" s="39"/>
      <c r="N689" s="39"/>
    </row>
    <row r="690">
      <c r="B690" s="75"/>
      <c r="C690" s="38"/>
      <c r="L690" s="72"/>
      <c r="M690" s="39"/>
      <c r="N690" s="39"/>
    </row>
    <row r="691">
      <c r="B691" s="75"/>
      <c r="C691" s="38"/>
      <c r="L691" s="72"/>
      <c r="M691" s="39"/>
      <c r="N691" s="39"/>
    </row>
    <row r="692">
      <c r="B692" s="75"/>
      <c r="C692" s="38"/>
      <c r="L692" s="72"/>
      <c r="M692" s="39"/>
      <c r="N692" s="39"/>
    </row>
    <row r="693">
      <c r="B693" s="75"/>
      <c r="C693" s="38"/>
      <c r="L693" s="72"/>
      <c r="M693" s="39"/>
      <c r="N693" s="39"/>
    </row>
    <row r="694">
      <c r="B694" s="75"/>
      <c r="C694" s="38"/>
      <c r="L694" s="72"/>
      <c r="M694" s="39"/>
      <c r="N694" s="39"/>
    </row>
    <row r="695">
      <c r="B695" s="75"/>
      <c r="C695" s="38"/>
      <c r="L695" s="72"/>
      <c r="M695" s="39"/>
      <c r="N695" s="39"/>
    </row>
    <row r="696">
      <c r="B696" s="75"/>
      <c r="C696" s="38"/>
      <c r="L696" s="72"/>
      <c r="M696" s="39"/>
      <c r="N696" s="39"/>
    </row>
    <row r="697">
      <c r="B697" s="75"/>
      <c r="C697" s="38"/>
      <c r="L697" s="72"/>
      <c r="M697" s="39"/>
      <c r="N697" s="39"/>
    </row>
    <row r="698">
      <c r="B698" s="75"/>
      <c r="C698" s="38"/>
      <c r="L698" s="72"/>
      <c r="M698" s="39"/>
      <c r="N698" s="39"/>
    </row>
    <row r="699">
      <c r="B699" s="75"/>
      <c r="C699" s="38"/>
      <c r="L699" s="72"/>
      <c r="M699" s="39"/>
      <c r="N699" s="39"/>
    </row>
    <row r="700">
      <c r="B700" s="75"/>
      <c r="C700" s="38"/>
      <c r="L700" s="72"/>
      <c r="M700" s="39"/>
      <c r="N700" s="39"/>
    </row>
    <row r="701">
      <c r="B701" s="75"/>
      <c r="C701" s="38"/>
      <c r="L701" s="72"/>
      <c r="M701" s="39"/>
      <c r="N701" s="39"/>
    </row>
    <row r="702">
      <c r="B702" s="75"/>
      <c r="C702" s="38"/>
      <c r="L702" s="72"/>
      <c r="M702" s="39"/>
      <c r="N702" s="39"/>
    </row>
    <row r="703">
      <c r="B703" s="75"/>
      <c r="C703" s="38"/>
      <c r="L703" s="72"/>
      <c r="M703" s="39"/>
      <c r="N703" s="39"/>
    </row>
    <row r="704">
      <c r="B704" s="75"/>
      <c r="C704" s="38"/>
      <c r="L704" s="72"/>
      <c r="M704" s="39"/>
      <c r="N704" s="39"/>
    </row>
    <row r="705">
      <c r="B705" s="75"/>
      <c r="C705" s="38"/>
      <c r="L705" s="72"/>
      <c r="M705" s="39"/>
      <c r="N705" s="39"/>
    </row>
    <row r="706">
      <c r="B706" s="75"/>
      <c r="C706" s="38"/>
      <c r="L706" s="72"/>
      <c r="M706" s="39"/>
      <c r="N706" s="39"/>
    </row>
    <row r="707">
      <c r="B707" s="75"/>
      <c r="C707" s="38"/>
      <c r="L707" s="72"/>
      <c r="M707" s="39"/>
      <c r="N707" s="39"/>
    </row>
    <row r="708">
      <c r="B708" s="75"/>
      <c r="C708" s="38"/>
      <c r="L708" s="72"/>
      <c r="M708" s="39"/>
      <c r="N708" s="39"/>
    </row>
    <row r="709">
      <c r="B709" s="75"/>
      <c r="C709" s="38"/>
      <c r="L709" s="72"/>
      <c r="M709" s="39"/>
      <c r="N709" s="39"/>
    </row>
    <row r="710">
      <c r="B710" s="75"/>
      <c r="C710" s="38"/>
      <c r="L710" s="72"/>
      <c r="M710" s="39"/>
      <c r="N710" s="39"/>
    </row>
    <row r="711">
      <c r="B711" s="75"/>
      <c r="C711" s="38"/>
      <c r="L711" s="72"/>
      <c r="M711" s="39"/>
      <c r="N711" s="39"/>
    </row>
    <row r="712">
      <c r="B712" s="75"/>
      <c r="C712" s="38"/>
      <c r="L712" s="72"/>
      <c r="M712" s="39"/>
      <c r="N712" s="39"/>
    </row>
    <row r="713">
      <c r="B713" s="75"/>
      <c r="C713" s="38"/>
      <c r="L713" s="72"/>
      <c r="M713" s="39"/>
      <c r="N713" s="39"/>
    </row>
    <row r="714">
      <c r="B714" s="75"/>
      <c r="C714" s="38"/>
      <c r="L714" s="72"/>
      <c r="M714" s="39"/>
      <c r="N714" s="39"/>
    </row>
    <row r="715">
      <c r="B715" s="75"/>
      <c r="C715" s="38"/>
      <c r="L715" s="72"/>
      <c r="M715" s="39"/>
      <c r="N715" s="39"/>
    </row>
    <row r="716">
      <c r="B716" s="75"/>
      <c r="C716" s="38"/>
      <c r="L716" s="72"/>
      <c r="M716" s="39"/>
      <c r="N716" s="39"/>
    </row>
    <row r="717">
      <c r="B717" s="75"/>
      <c r="C717" s="38"/>
      <c r="L717" s="72"/>
      <c r="M717" s="39"/>
      <c r="N717" s="39"/>
    </row>
    <row r="718">
      <c r="B718" s="75"/>
      <c r="C718" s="38"/>
      <c r="L718" s="72"/>
      <c r="M718" s="39"/>
      <c r="N718" s="39"/>
    </row>
    <row r="719">
      <c r="B719" s="75"/>
      <c r="C719" s="38"/>
      <c r="L719" s="72"/>
      <c r="M719" s="39"/>
      <c r="N719" s="39"/>
    </row>
    <row r="720">
      <c r="B720" s="75"/>
      <c r="C720" s="38"/>
      <c r="L720" s="72"/>
      <c r="M720" s="39"/>
      <c r="N720" s="39"/>
    </row>
    <row r="721">
      <c r="B721" s="75"/>
      <c r="C721" s="38"/>
      <c r="L721" s="72"/>
      <c r="M721" s="39"/>
      <c r="N721" s="39"/>
    </row>
    <row r="722">
      <c r="B722" s="75"/>
      <c r="C722" s="38"/>
      <c r="L722" s="72"/>
      <c r="M722" s="39"/>
      <c r="N722" s="39"/>
    </row>
    <row r="723">
      <c r="B723" s="75"/>
      <c r="C723" s="38"/>
      <c r="L723" s="72"/>
      <c r="M723" s="39"/>
      <c r="N723" s="39"/>
    </row>
    <row r="724">
      <c r="B724" s="75"/>
      <c r="C724" s="38"/>
      <c r="L724" s="72"/>
      <c r="M724" s="39"/>
      <c r="N724" s="39"/>
    </row>
    <row r="725">
      <c r="B725" s="75"/>
      <c r="C725" s="38"/>
      <c r="L725" s="72"/>
      <c r="M725" s="39"/>
      <c r="N725" s="39"/>
    </row>
    <row r="726">
      <c r="B726" s="75"/>
      <c r="C726" s="38"/>
      <c r="L726" s="72"/>
      <c r="M726" s="39"/>
      <c r="N726" s="39"/>
    </row>
    <row r="727">
      <c r="B727" s="75"/>
      <c r="C727" s="38"/>
      <c r="L727" s="72"/>
      <c r="M727" s="39"/>
      <c r="N727" s="39"/>
    </row>
    <row r="728">
      <c r="B728" s="75"/>
      <c r="C728" s="38"/>
      <c r="L728" s="72"/>
      <c r="M728" s="39"/>
      <c r="N728" s="39"/>
    </row>
    <row r="729">
      <c r="B729" s="75"/>
      <c r="C729" s="38"/>
      <c r="L729" s="72"/>
      <c r="M729" s="39"/>
      <c r="N729" s="39"/>
    </row>
    <row r="730">
      <c r="B730" s="75"/>
      <c r="C730" s="38"/>
      <c r="L730" s="72"/>
      <c r="M730" s="39"/>
      <c r="N730" s="39"/>
    </row>
    <row r="731">
      <c r="B731" s="75"/>
      <c r="C731" s="38"/>
      <c r="L731" s="72"/>
      <c r="M731" s="39"/>
      <c r="N731" s="39"/>
    </row>
    <row r="732">
      <c r="B732" s="75"/>
      <c r="C732" s="38"/>
      <c r="L732" s="72"/>
      <c r="M732" s="39"/>
      <c r="N732" s="39"/>
    </row>
    <row r="733">
      <c r="B733" s="75"/>
      <c r="C733" s="38"/>
      <c r="L733" s="72"/>
      <c r="M733" s="39"/>
      <c r="N733" s="39"/>
    </row>
    <row r="734">
      <c r="B734" s="75"/>
      <c r="C734" s="38"/>
      <c r="L734" s="72"/>
      <c r="M734" s="39"/>
      <c r="N734" s="39"/>
    </row>
    <row r="735">
      <c r="B735" s="75"/>
      <c r="C735" s="38"/>
      <c r="L735" s="72"/>
      <c r="M735" s="39"/>
      <c r="N735" s="39"/>
    </row>
    <row r="736">
      <c r="B736" s="75"/>
      <c r="C736" s="38"/>
      <c r="L736" s="72"/>
      <c r="M736" s="39"/>
      <c r="N736" s="39"/>
    </row>
    <row r="737">
      <c r="B737" s="75"/>
      <c r="C737" s="38"/>
      <c r="L737" s="72"/>
      <c r="M737" s="39"/>
      <c r="N737" s="39"/>
    </row>
    <row r="738">
      <c r="B738" s="75"/>
      <c r="C738" s="38"/>
      <c r="L738" s="72"/>
      <c r="M738" s="39"/>
      <c r="N738" s="39"/>
    </row>
    <row r="739">
      <c r="B739" s="75"/>
      <c r="C739" s="38"/>
      <c r="L739" s="72"/>
      <c r="M739" s="39"/>
      <c r="N739" s="39"/>
    </row>
    <row r="740">
      <c r="B740" s="75"/>
      <c r="C740" s="38"/>
      <c r="L740" s="72"/>
      <c r="M740" s="39"/>
      <c r="N740" s="39"/>
    </row>
    <row r="741">
      <c r="B741" s="75"/>
      <c r="C741" s="38"/>
      <c r="L741" s="72"/>
      <c r="M741" s="39"/>
      <c r="N741" s="39"/>
    </row>
    <row r="742">
      <c r="B742" s="75"/>
      <c r="C742" s="38"/>
      <c r="L742" s="72"/>
      <c r="M742" s="39"/>
      <c r="N742" s="39"/>
    </row>
    <row r="743">
      <c r="B743" s="75"/>
      <c r="C743" s="38"/>
      <c r="L743" s="72"/>
      <c r="M743" s="39"/>
      <c r="N743" s="39"/>
    </row>
    <row r="744">
      <c r="B744" s="75"/>
      <c r="C744" s="38"/>
      <c r="L744" s="72"/>
      <c r="M744" s="39"/>
      <c r="N744" s="39"/>
    </row>
    <row r="745">
      <c r="B745" s="75"/>
      <c r="C745" s="38"/>
      <c r="L745" s="72"/>
      <c r="M745" s="39"/>
      <c r="N745" s="39"/>
    </row>
    <row r="746">
      <c r="B746" s="75"/>
      <c r="C746" s="38"/>
      <c r="L746" s="72"/>
      <c r="M746" s="39"/>
      <c r="N746" s="39"/>
    </row>
    <row r="747">
      <c r="B747" s="75"/>
      <c r="C747" s="38"/>
      <c r="L747" s="72"/>
      <c r="M747" s="39"/>
      <c r="N747" s="39"/>
    </row>
    <row r="748">
      <c r="B748" s="75"/>
      <c r="C748" s="38"/>
      <c r="L748" s="72"/>
      <c r="M748" s="39"/>
      <c r="N748" s="39"/>
    </row>
    <row r="749">
      <c r="B749" s="75"/>
      <c r="C749" s="38"/>
      <c r="L749" s="72"/>
      <c r="M749" s="39"/>
      <c r="N749" s="39"/>
    </row>
    <row r="750">
      <c r="B750" s="75"/>
      <c r="C750" s="38"/>
      <c r="L750" s="72"/>
      <c r="M750" s="39"/>
      <c r="N750" s="39"/>
    </row>
    <row r="751">
      <c r="B751" s="75"/>
      <c r="C751" s="38"/>
      <c r="L751" s="72"/>
      <c r="M751" s="39"/>
      <c r="N751" s="39"/>
    </row>
    <row r="752">
      <c r="B752" s="75"/>
      <c r="C752" s="38"/>
      <c r="L752" s="72"/>
      <c r="M752" s="39"/>
      <c r="N752" s="39"/>
    </row>
    <row r="753">
      <c r="B753" s="75"/>
      <c r="C753" s="38"/>
      <c r="L753" s="72"/>
      <c r="M753" s="39"/>
      <c r="N753" s="39"/>
    </row>
    <row r="754">
      <c r="B754" s="75"/>
      <c r="C754" s="38"/>
      <c r="L754" s="72"/>
      <c r="M754" s="39"/>
      <c r="N754" s="39"/>
    </row>
    <row r="755">
      <c r="B755" s="75"/>
      <c r="C755" s="38"/>
      <c r="L755" s="72"/>
      <c r="M755" s="39"/>
      <c r="N755" s="39"/>
    </row>
    <row r="756">
      <c r="B756" s="75"/>
      <c r="C756" s="38"/>
      <c r="L756" s="72"/>
      <c r="M756" s="39"/>
      <c r="N756" s="39"/>
    </row>
    <row r="757">
      <c r="B757" s="75"/>
      <c r="C757" s="38"/>
      <c r="L757" s="72"/>
      <c r="M757" s="39"/>
      <c r="N757" s="39"/>
    </row>
    <row r="758">
      <c r="B758" s="75"/>
      <c r="C758" s="38"/>
      <c r="L758" s="72"/>
      <c r="M758" s="39"/>
      <c r="N758" s="39"/>
    </row>
    <row r="759">
      <c r="B759" s="75"/>
      <c r="C759" s="38"/>
      <c r="L759" s="72"/>
      <c r="M759" s="39"/>
      <c r="N759" s="39"/>
    </row>
    <row r="760">
      <c r="B760" s="75"/>
      <c r="C760" s="38"/>
      <c r="L760" s="72"/>
      <c r="M760" s="39"/>
      <c r="N760" s="39"/>
    </row>
    <row r="761">
      <c r="B761" s="75"/>
      <c r="C761" s="38"/>
      <c r="L761" s="72"/>
      <c r="M761" s="39"/>
      <c r="N761" s="39"/>
    </row>
    <row r="762">
      <c r="B762" s="75"/>
      <c r="C762" s="38"/>
      <c r="L762" s="72"/>
      <c r="M762" s="39"/>
      <c r="N762" s="39"/>
    </row>
    <row r="763">
      <c r="B763" s="75"/>
      <c r="C763" s="38"/>
      <c r="L763" s="72"/>
      <c r="M763" s="39"/>
      <c r="N763" s="39"/>
    </row>
    <row r="764">
      <c r="B764" s="75"/>
      <c r="C764" s="38"/>
      <c r="L764" s="72"/>
      <c r="M764" s="39"/>
      <c r="N764" s="39"/>
    </row>
    <row r="765">
      <c r="B765" s="75"/>
      <c r="C765" s="38"/>
      <c r="L765" s="72"/>
      <c r="M765" s="39"/>
      <c r="N765" s="39"/>
    </row>
    <row r="766">
      <c r="B766" s="75"/>
      <c r="C766" s="38"/>
      <c r="L766" s="72"/>
      <c r="M766" s="39"/>
      <c r="N766" s="39"/>
    </row>
    <row r="767">
      <c r="B767" s="75"/>
      <c r="C767" s="38"/>
      <c r="L767" s="72"/>
      <c r="M767" s="39"/>
      <c r="N767" s="39"/>
    </row>
    <row r="768">
      <c r="B768" s="75"/>
      <c r="C768" s="38"/>
      <c r="L768" s="72"/>
      <c r="M768" s="39"/>
      <c r="N768" s="39"/>
    </row>
    <row r="769">
      <c r="B769" s="75"/>
      <c r="C769" s="38"/>
      <c r="L769" s="72"/>
      <c r="M769" s="39"/>
      <c r="N769" s="39"/>
    </row>
    <row r="770">
      <c r="B770" s="75"/>
      <c r="C770" s="38"/>
      <c r="L770" s="72"/>
      <c r="M770" s="39"/>
      <c r="N770" s="39"/>
    </row>
    <row r="771">
      <c r="B771" s="75"/>
      <c r="C771" s="38"/>
      <c r="L771" s="72"/>
      <c r="M771" s="39"/>
      <c r="N771" s="39"/>
    </row>
    <row r="772">
      <c r="B772" s="75"/>
      <c r="C772" s="38"/>
      <c r="L772" s="72"/>
      <c r="M772" s="39"/>
      <c r="N772" s="39"/>
    </row>
    <row r="773">
      <c r="B773" s="75"/>
      <c r="C773" s="38"/>
      <c r="L773" s="72"/>
      <c r="M773" s="39"/>
      <c r="N773" s="39"/>
    </row>
    <row r="774">
      <c r="B774" s="75"/>
      <c r="C774" s="38"/>
      <c r="L774" s="72"/>
      <c r="M774" s="39"/>
      <c r="N774" s="39"/>
    </row>
    <row r="775">
      <c r="B775" s="75"/>
      <c r="C775" s="38"/>
      <c r="L775" s="72"/>
      <c r="M775" s="39"/>
      <c r="N775" s="39"/>
    </row>
    <row r="776">
      <c r="B776" s="75"/>
      <c r="C776" s="38"/>
      <c r="L776" s="72"/>
      <c r="M776" s="39"/>
      <c r="N776" s="39"/>
    </row>
    <row r="777">
      <c r="B777" s="75"/>
      <c r="C777" s="38"/>
      <c r="L777" s="72"/>
      <c r="M777" s="39"/>
      <c r="N777" s="39"/>
    </row>
    <row r="778">
      <c r="B778" s="75"/>
      <c r="C778" s="38"/>
      <c r="L778" s="72"/>
      <c r="M778" s="39"/>
      <c r="N778" s="39"/>
    </row>
    <row r="779">
      <c r="B779" s="75"/>
      <c r="C779" s="38"/>
      <c r="L779" s="72"/>
      <c r="M779" s="39"/>
      <c r="N779" s="39"/>
    </row>
    <row r="780">
      <c r="B780" s="75"/>
      <c r="C780" s="38"/>
      <c r="L780" s="72"/>
      <c r="M780" s="39"/>
      <c r="N780" s="39"/>
    </row>
    <row r="781">
      <c r="B781" s="75"/>
      <c r="C781" s="38"/>
      <c r="L781" s="72"/>
      <c r="M781" s="39"/>
      <c r="N781" s="39"/>
    </row>
    <row r="782">
      <c r="B782" s="75"/>
      <c r="C782" s="38"/>
      <c r="L782" s="72"/>
      <c r="M782" s="39"/>
      <c r="N782" s="39"/>
    </row>
    <row r="783">
      <c r="B783" s="75"/>
      <c r="C783" s="38"/>
      <c r="L783" s="72"/>
      <c r="M783" s="39"/>
      <c r="N783" s="39"/>
    </row>
    <row r="784">
      <c r="B784" s="75"/>
      <c r="C784" s="38"/>
      <c r="L784" s="72"/>
      <c r="M784" s="39"/>
      <c r="N784" s="39"/>
    </row>
    <row r="785">
      <c r="B785" s="75"/>
      <c r="C785" s="38"/>
      <c r="L785" s="72"/>
      <c r="M785" s="39"/>
      <c r="N785" s="39"/>
    </row>
    <row r="786">
      <c r="B786" s="75"/>
      <c r="C786" s="38"/>
      <c r="L786" s="72"/>
      <c r="M786" s="39"/>
      <c r="N786" s="39"/>
    </row>
    <row r="787">
      <c r="B787" s="75"/>
      <c r="C787" s="38"/>
      <c r="L787" s="72"/>
      <c r="M787" s="39"/>
      <c r="N787" s="39"/>
    </row>
    <row r="788">
      <c r="B788" s="75"/>
      <c r="C788" s="38"/>
      <c r="L788" s="72"/>
      <c r="M788" s="39"/>
      <c r="N788" s="39"/>
    </row>
    <row r="789">
      <c r="B789" s="75"/>
      <c r="C789" s="38"/>
      <c r="L789" s="72"/>
      <c r="M789" s="39"/>
      <c r="N789" s="39"/>
    </row>
    <row r="790">
      <c r="B790" s="75"/>
      <c r="C790" s="38"/>
      <c r="L790" s="72"/>
      <c r="M790" s="39"/>
      <c r="N790" s="39"/>
    </row>
    <row r="791">
      <c r="B791" s="75"/>
      <c r="C791" s="38"/>
      <c r="L791" s="72"/>
      <c r="M791" s="39"/>
      <c r="N791" s="39"/>
    </row>
    <row r="792">
      <c r="B792" s="75"/>
      <c r="C792" s="38"/>
      <c r="L792" s="72"/>
      <c r="M792" s="39"/>
      <c r="N792" s="39"/>
    </row>
    <row r="793">
      <c r="B793" s="75"/>
      <c r="C793" s="38"/>
      <c r="L793" s="72"/>
      <c r="M793" s="39"/>
      <c r="N793" s="39"/>
    </row>
    <row r="794">
      <c r="B794" s="75"/>
      <c r="C794" s="38"/>
      <c r="L794" s="72"/>
      <c r="M794" s="39"/>
      <c r="N794" s="39"/>
    </row>
    <row r="795">
      <c r="B795" s="75"/>
      <c r="C795" s="38"/>
      <c r="L795" s="72"/>
      <c r="M795" s="39"/>
      <c r="N795" s="39"/>
    </row>
    <row r="796">
      <c r="B796" s="75"/>
      <c r="C796" s="38"/>
      <c r="L796" s="72"/>
      <c r="M796" s="39"/>
      <c r="N796" s="39"/>
    </row>
    <row r="797">
      <c r="B797" s="75"/>
      <c r="C797" s="38"/>
      <c r="L797" s="72"/>
      <c r="M797" s="39"/>
      <c r="N797" s="39"/>
    </row>
    <row r="798">
      <c r="B798" s="75"/>
      <c r="C798" s="38"/>
      <c r="L798" s="72"/>
      <c r="M798" s="39"/>
      <c r="N798" s="39"/>
    </row>
    <row r="799">
      <c r="B799" s="75"/>
      <c r="C799" s="38"/>
      <c r="L799" s="72"/>
      <c r="M799" s="39"/>
      <c r="N799" s="39"/>
    </row>
    <row r="800">
      <c r="B800" s="75"/>
      <c r="C800" s="38"/>
      <c r="L800" s="72"/>
      <c r="M800" s="39"/>
      <c r="N800" s="39"/>
    </row>
    <row r="801">
      <c r="B801" s="75"/>
      <c r="C801" s="38"/>
      <c r="L801" s="72"/>
      <c r="M801" s="39"/>
      <c r="N801" s="39"/>
    </row>
    <row r="802">
      <c r="B802" s="75"/>
      <c r="C802" s="38"/>
      <c r="L802" s="72"/>
      <c r="M802" s="39"/>
      <c r="N802" s="39"/>
    </row>
    <row r="803">
      <c r="B803" s="75"/>
      <c r="C803" s="38"/>
      <c r="L803" s="72"/>
      <c r="M803" s="39"/>
      <c r="N803" s="39"/>
    </row>
    <row r="804">
      <c r="B804" s="75"/>
      <c r="C804" s="38"/>
      <c r="L804" s="72"/>
      <c r="M804" s="39"/>
      <c r="N804" s="39"/>
    </row>
    <row r="805">
      <c r="B805" s="75"/>
      <c r="C805" s="38"/>
      <c r="L805" s="72"/>
      <c r="M805" s="39"/>
      <c r="N805" s="39"/>
    </row>
    <row r="806">
      <c r="B806" s="75"/>
      <c r="C806" s="38"/>
      <c r="L806" s="72"/>
      <c r="M806" s="39"/>
      <c r="N806" s="39"/>
    </row>
    <row r="807">
      <c r="B807" s="75"/>
      <c r="C807" s="38"/>
      <c r="L807" s="72"/>
      <c r="M807" s="39"/>
      <c r="N807" s="39"/>
    </row>
    <row r="808">
      <c r="B808" s="75"/>
      <c r="C808" s="38"/>
      <c r="L808" s="72"/>
      <c r="M808" s="39"/>
      <c r="N808" s="39"/>
    </row>
    <row r="809">
      <c r="B809" s="75"/>
      <c r="C809" s="38"/>
      <c r="L809" s="72"/>
      <c r="M809" s="39"/>
      <c r="N809" s="39"/>
    </row>
    <row r="810">
      <c r="B810" s="75"/>
      <c r="C810" s="38"/>
      <c r="L810" s="72"/>
      <c r="M810" s="39"/>
      <c r="N810" s="39"/>
    </row>
    <row r="811">
      <c r="B811" s="75"/>
      <c r="C811" s="38"/>
      <c r="L811" s="72"/>
      <c r="M811" s="39"/>
      <c r="N811" s="39"/>
    </row>
    <row r="812">
      <c r="B812" s="75"/>
      <c r="C812" s="38"/>
      <c r="L812" s="72"/>
      <c r="M812" s="39"/>
      <c r="N812" s="39"/>
    </row>
    <row r="813">
      <c r="B813" s="75"/>
      <c r="C813" s="38"/>
      <c r="L813" s="72"/>
      <c r="M813" s="39"/>
      <c r="N813" s="39"/>
    </row>
    <row r="814">
      <c r="B814" s="75"/>
      <c r="C814" s="38"/>
      <c r="L814" s="72"/>
      <c r="M814" s="39"/>
      <c r="N814" s="39"/>
    </row>
    <row r="815">
      <c r="B815" s="75"/>
      <c r="C815" s="38"/>
      <c r="L815" s="72"/>
      <c r="M815" s="39"/>
      <c r="N815" s="39"/>
    </row>
    <row r="816">
      <c r="B816" s="75"/>
      <c r="C816" s="38"/>
      <c r="L816" s="72"/>
      <c r="M816" s="39"/>
      <c r="N816" s="39"/>
    </row>
    <row r="817">
      <c r="B817" s="75"/>
      <c r="C817" s="38"/>
      <c r="L817" s="72"/>
      <c r="M817" s="39"/>
      <c r="N817" s="39"/>
    </row>
    <row r="818">
      <c r="B818" s="75"/>
      <c r="C818" s="38"/>
      <c r="L818" s="72"/>
      <c r="M818" s="39"/>
      <c r="N818" s="39"/>
    </row>
    <row r="819">
      <c r="B819" s="75"/>
      <c r="C819" s="38"/>
      <c r="L819" s="72"/>
      <c r="M819" s="39"/>
      <c r="N819" s="39"/>
    </row>
    <row r="820">
      <c r="B820" s="75"/>
      <c r="C820" s="38"/>
      <c r="L820" s="72"/>
      <c r="M820" s="39"/>
      <c r="N820" s="39"/>
    </row>
    <row r="821">
      <c r="B821" s="75"/>
      <c r="C821" s="38"/>
      <c r="L821" s="72"/>
      <c r="M821" s="39"/>
      <c r="N821" s="39"/>
    </row>
    <row r="822">
      <c r="B822" s="75"/>
      <c r="C822" s="38"/>
      <c r="L822" s="72"/>
      <c r="M822" s="39"/>
      <c r="N822" s="39"/>
    </row>
    <row r="823">
      <c r="B823" s="75"/>
      <c r="C823" s="38"/>
      <c r="L823" s="72"/>
      <c r="M823" s="39"/>
      <c r="N823" s="39"/>
    </row>
    <row r="824">
      <c r="B824" s="75"/>
      <c r="C824" s="38"/>
      <c r="L824" s="72"/>
      <c r="M824" s="39"/>
      <c r="N824" s="39"/>
    </row>
    <row r="825">
      <c r="B825" s="75"/>
      <c r="C825" s="38"/>
      <c r="L825" s="72"/>
      <c r="M825" s="39"/>
      <c r="N825" s="39"/>
    </row>
    <row r="826">
      <c r="B826" s="75"/>
      <c r="C826" s="38"/>
      <c r="L826" s="72"/>
      <c r="M826" s="39"/>
      <c r="N826" s="39"/>
    </row>
    <row r="827">
      <c r="B827" s="75"/>
      <c r="C827" s="38"/>
      <c r="L827" s="72"/>
      <c r="M827" s="39"/>
      <c r="N827" s="39"/>
    </row>
    <row r="828">
      <c r="B828" s="75"/>
      <c r="C828" s="38"/>
      <c r="L828" s="72"/>
      <c r="M828" s="39"/>
      <c r="N828" s="39"/>
    </row>
    <row r="829">
      <c r="B829" s="75"/>
      <c r="C829" s="38"/>
      <c r="L829" s="72"/>
      <c r="M829" s="39"/>
      <c r="N829" s="39"/>
    </row>
    <row r="830">
      <c r="B830" s="75"/>
      <c r="C830" s="38"/>
      <c r="L830" s="72"/>
      <c r="M830" s="39"/>
      <c r="N830" s="39"/>
    </row>
    <row r="831">
      <c r="B831" s="75"/>
      <c r="C831" s="38"/>
      <c r="L831" s="72"/>
      <c r="M831" s="39"/>
      <c r="N831" s="39"/>
    </row>
    <row r="832">
      <c r="B832" s="75"/>
      <c r="C832" s="38"/>
      <c r="L832" s="72"/>
      <c r="M832" s="39"/>
      <c r="N832" s="39"/>
    </row>
    <row r="833">
      <c r="B833" s="75"/>
      <c r="C833" s="38"/>
      <c r="L833" s="72"/>
      <c r="M833" s="39"/>
      <c r="N833" s="39"/>
    </row>
    <row r="834">
      <c r="B834" s="75"/>
      <c r="C834" s="38"/>
      <c r="L834" s="72"/>
      <c r="M834" s="39"/>
      <c r="N834" s="39"/>
    </row>
    <row r="835">
      <c r="B835" s="75"/>
      <c r="C835" s="38"/>
      <c r="L835" s="72"/>
      <c r="M835" s="39"/>
      <c r="N835" s="39"/>
    </row>
    <row r="836">
      <c r="B836" s="75"/>
      <c r="C836" s="38"/>
      <c r="L836" s="72"/>
      <c r="M836" s="39"/>
      <c r="N836" s="39"/>
    </row>
    <row r="837">
      <c r="B837" s="75"/>
      <c r="C837" s="38"/>
      <c r="L837" s="72"/>
      <c r="M837" s="39"/>
      <c r="N837" s="39"/>
    </row>
    <row r="838">
      <c r="B838" s="75"/>
      <c r="C838" s="38"/>
      <c r="L838" s="72"/>
      <c r="M838" s="39"/>
      <c r="N838" s="39"/>
    </row>
    <row r="839">
      <c r="B839" s="75"/>
      <c r="C839" s="38"/>
      <c r="L839" s="72"/>
      <c r="M839" s="39"/>
      <c r="N839" s="39"/>
    </row>
    <row r="840">
      <c r="B840" s="75"/>
      <c r="C840" s="38"/>
      <c r="L840" s="72"/>
      <c r="M840" s="39"/>
      <c r="N840" s="39"/>
    </row>
    <row r="841">
      <c r="B841" s="75"/>
      <c r="C841" s="38"/>
      <c r="L841" s="72"/>
      <c r="M841" s="39"/>
      <c r="N841" s="39"/>
    </row>
    <row r="842">
      <c r="B842" s="75"/>
      <c r="C842" s="38"/>
      <c r="L842" s="72"/>
      <c r="M842" s="39"/>
      <c r="N842" s="39"/>
    </row>
    <row r="843">
      <c r="B843" s="75"/>
      <c r="C843" s="38"/>
      <c r="L843" s="72"/>
      <c r="M843" s="39"/>
      <c r="N843" s="39"/>
    </row>
    <row r="844">
      <c r="B844" s="75"/>
      <c r="C844" s="38"/>
      <c r="L844" s="72"/>
      <c r="M844" s="39"/>
      <c r="N844" s="39"/>
    </row>
    <row r="845">
      <c r="B845" s="75"/>
      <c r="C845" s="38"/>
      <c r="L845" s="72"/>
      <c r="M845" s="39"/>
      <c r="N845" s="39"/>
    </row>
    <row r="846">
      <c r="B846" s="75"/>
      <c r="C846" s="38"/>
      <c r="L846" s="72"/>
      <c r="M846" s="39"/>
      <c r="N846" s="39"/>
    </row>
    <row r="847">
      <c r="B847" s="75"/>
      <c r="C847" s="38"/>
      <c r="L847" s="72"/>
      <c r="M847" s="39"/>
      <c r="N847" s="39"/>
    </row>
    <row r="848">
      <c r="B848" s="75"/>
      <c r="C848" s="38"/>
      <c r="L848" s="72"/>
      <c r="M848" s="39"/>
      <c r="N848" s="39"/>
    </row>
    <row r="849">
      <c r="B849" s="75"/>
      <c r="C849" s="38"/>
      <c r="L849" s="72"/>
      <c r="M849" s="39"/>
      <c r="N849" s="39"/>
    </row>
    <row r="850">
      <c r="B850" s="75"/>
      <c r="C850" s="38"/>
      <c r="L850" s="72"/>
      <c r="M850" s="39"/>
      <c r="N850" s="39"/>
    </row>
    <row r="851">
      <c r="B851" s="75"/>
      <c r="C851" s="38"/>
      <c r="L851" s="72"/>
      <c r="M851" s="39"/>
      <c r="N851" s="39"/>
    </row>
    <row r="852">
      <c r="B852" s="75"/>
      <c r="C852" s="38"/>
      <c r="L852" s="72"/>
      <c r="M852" s="39"/>
      <c r="N852" s="39"/>
    </row>
    <row r="853">
      <c r="B853" s="75"/>
      <c r="C853" s="38"/>
      <c r="L853" s="72"/>
      <c r="M853" s="39"/>
      <c r="N853" s="39"/>
    </row>
    <row r="854">
      <c r="B854" s="75"/>
      <c r="C854" s="38"/>
      <c r="L854" s="72"/>
      <c r="M854" s="39"/>
      <c r="N854" s="39"/>
    </row>
    <row r="855">
      <c r="B855" s="75"/>
      <c r="C855" s="38"/>
      <c r="L855" s="72"/>
      <c r="M855" s="39"/>
      <c r="N855" s="39"/>
    </row>
    <row r="856">
      <c r="B856" s="75"/>
      <c r="C856" s="38"/>
      <c r="L856" s="72"/>
      <c r="M856" s="39"/>
      <c r="N856" s="39"/>
    </row>
    <row r="857">
      <c r="B857" s="75"/>
      <c r="C857" s="38"/>
      <c r="L857" s="72"/>
      <c r="M857" s="39"/>
      <c r="N857" s="39"/>
    </row>
    <row r="858">
      <c r="B858" s="75"/>
      <c r="C858" s="38"/>
      <c r="L858" s="72"/>
      <c r="M858" s="39"/>
      <c r="N858" s="39"/>
    </row>
    <row r="859">
      <c r="B859" s="75"/>
      <c r="C859" s="38"/>
      <c r="L859" s="72"/>
      <c r="M859" s="39"/>
      <c r="N859" s="39"/>
    </row>
    <row r="860">
      <c r="B860" s="75"/>
      <c r="C860" s="38"/>
      <c r="L860" s="72"/>
      <c r="M860" s="39"/>
      <c r="N860" s="39"/>
    </row>
    <row r="861">
      <c r="B861" s="75"/>
      <c r="C861" s="38"/>
      <c r="L861" s="72"/>
      <c r="M861" s="39"/>
      <c r="N861" s="39"/>
    </row>
    <row r="862">
      <c r="B862" s="75"/>
      <c r="C862" s="38"/>
      <c r="L862" s="72"/>
      <c r="M862" s="39"/>
      <c r="N862" s="39"/>
    </row>
    <row r="863">
      <c r="B863" s="75"/>
      <c r="C863" s="38"/>
      <c r="L863" s="72"/>
      <c r="M863" s="39"/>
      <c r="N863" s="39"/>
    </row>
    <row r="864">
      <c r="B864" s="75"/>
      <c r="C864" s="38"/>
      <c r="L864" s="72"/>
      <c r="M864" s="39"/>
      <c r="N864" s="39"/>
    </row>
    <row r="865">
      <c r="B865" s="75"/>
      <c r="C865" s="38"/>
      <c r="L865" s="72"/>
      <c r="M865" s="39"/>
      <c r="N865" s="39"/>
    </row>
    <row r="866">
      <c r="B866" s="75"/>
      <c r="C866" s="38"/>
      <c r="L866" s="72"/>
      <c r="M866" s="39"/>
      <c r="N866" s="39"/>
    </row>
    <row r="867">
      <c r="B867" s="75"/>
      <c r="C867" s="38"/>
      <c r="L867" s="72"/>
      <c r="M867" s="39"/>
      <c r="N867" s="39"/>
    </row>
    <row r="868">
      <c r="B868" s="75"/>
      <c r="C868" s="38"/>
      <c r="L868" s="72"/>
      <c r="M868" s="39"/>
      <c r="N868" s="39"/>
    </row>
    <row r="869">
      <c r="B869" s="75"/>
      <c r="C869" s="38"/>
      <c r="L869" s="72"/>
      <c r="M869" s="39"/>
      <c r="N869" s="39"/>
    </row>
    <row r="870">
      <c r="B870" s="75"/>
      <c r="C870" s="38"/>
      <c r="L870" s="72"/>
      <c r="M870" s="39"/>
      <c r="N870" s="39"/>
    </row>
    <row r="871">
      <c r="B871" s="75"/>
      <c r="C871" s="38"/>
      <c r="L871" s="72"/>
      <c r="M871" s="39"/>
      <c r="N871" s="39"/>
    </row>
    <row r="872">
      <c r="B872" s="75"/>
      <c r="C872" s="38"/>
      <c r="L872" s="72"/>
      <c r="M872" s="39"/>
      <c r="N872" s="39"/>
    </row>
    <row r="873">
      <c r="B873" s="75"/>
      <c r="C873" s="38"/>
      <c r="L873" s="72"/>
      <c r="M873" s="39"/>
      <c r="N873" s="39"/>
    </row>
    <row r="874">
      <c r="B874" s="75"/>
      <c r="C874" s="38"/>
      <c r="L874" s="72"/>
      <c r="M874" s="39"/>
      <c r="N874" s="39"/>
    </row>
    <row r="875">
      <c r="B875" s="75"/>
      <c r="C875" s="38"/>
      <c r="L875" s="72"/>
      <c r="M875" s="39"/>
      <c r="N875" s="39"/>
    </row>
    <row r="876">
      <c r="B876" s="75"/>
      <c r="C876" s="38"/>
      <c r="L876" s="72"/>
      <c r="M876" s="39"/>
      <c r="N876" s="39"/>
    </row>
    <row r="877">
      <c r="B877" s="75"/>
      <c r="C877" s="38"/>
      <c r="L877" s="72"/>
      <c r="M877" s="39"/>
      <c r="N877" s="39"/>
    </row>
    <row r="878">
      <c r="B878" s="75"/>
      <c r="C878" s="38"/>
      <c r="L878" s="72"/>
      <c r="M878" s="39"/>
      <c r="N878" s="39"/>
    </row>
    <row r="879">
      <c r="B879" s="75"/>
      <c r="C879" s="38"/>
      <c r="L879" s="72"/>
      <c r="M879" s="39"/>
      <c r="N879" s="39"/>
    </row>
    <row r="880">
      <c r="B880" s="75"/>
      <c r="C880" s="38"/>
      <c r="L880" s="72"/>
      <c r="M880" s="39"/>
      <c r="N880" s="39"/>
    </row>
    <row r="881">
      <c r="B881" s="75"/>
      <c r="C881" s="38"/>
      <c r="L881" s="72"/>
      <c r="M881" s="39"/>
      <c r="N881" s="39"/>
    </row>
    <row r="882">
      <c r="B882" s="75"/>
      <c r="C882" s="38"/>
      <c r="L882" s="72"/>
      <c r="M882" s="39"/>
      <c r="N882" s="39"/>
    </row>
    <row r="883">
      <c r="B883" s="75"/>
      <c r="C883" s="38"/>
      <c r="L883" s="72"/>
      <c r="M883" s="39"/>
      <c r="N883" s="39"/>
    </row>
    <row r="884">
      <c r="B884" s="75"/>
      <c r="C884" s="38"/>
      <c r="L884" s="72"/>
      <c r="M884" s="39"/>
      <c r="N884" s="39"/>
    </row>
    <row r="885">
      <c r="B885" s="75"/>
      <c r="C885" s="38"/>
      <c r="L885" s="72"/>
      <c r="M885" s="39"/>
      <c r="N885" s="39"/>
    </row>
    <row r="886">
      <c r="B886" s="75"/>
      <c r="C886" s="38"/>
      <c r="L886" s="72"/>
      <c r="M886" s="39"/>
      <c r="N886" s="39"/>
    </row>
    <row r="887">
      <c r="B887" s="75"/>
      <c r="C887" s="38"/>
      <c r="L887" s="72"/>
      <c r="M887" s="39"/>
      <c r="N887" s="39"/>
    </row>
    <row r="888">
      <c r="B888" s="75"/>
      <c r="C888" s="38"/>
      <c r="L888" s="72"/>
      <c r="M888" s="39"/>
      <c r="N888" s="39"/>
    </row>
    <row r="889">
      <c r="B889" s="75"/>
      <c r="C889" s="38"/>
      <c r="L889" s="72"/>
      <c r="M889" s="39"/>
      <c r="N889" s="39"/>
    </row>
    <row r="890">
      <c r="B890" s="75"/>
      <c r="C890" s="38"/>
      <c r="L890" s="72"/>
      <c r="M890" s="39"/>
      <c r="N890" s="39"/>
    </row>
    <row r="891">
      <c r="B891" s="75"/>
      <c r="C891" s="38"/>
      <c r="L891" s="72"/>
      <c r="M891" s="39"/>
      <c r="N891" s="39"/>
    </row>
    <row r="892">
      <c r="B892" s="75"/>
      <c r="C892" s="38"/>
      <c r="L892" s="72"/>
      <c r="M892" s="39"/>
      <c r="N892" s="39"/>
    </row>
    <row r="893">
      <c r="B893" s="75"/>
      <c r="C893" s="38"/>
      <c r="L893" s="72"/>
      <c r="M893" s="39"/>
      <c r="N893" s="39"/>
    </row>
    <row r="894">
      <c r="B894" s="75"/>
      <c r="C894" s="38"/>
      <c r="L894" s="72"/>
      <c r="M894" s="39"/>
      <c r="N894" s="39"/>
    </row>
    <row r="895">
      <c r="B895" s="75"/>
      <c r="C895" s="38"/>
      <c r="L895" s="72"/>
      <c r="M895" s="39"/>
      <c r="N895" s="39"/>
    </row>
    <row r="896">
      <c r="B896" s="75"/>
      <c r="C896" s="38"/>
      <c r="L896" s="72"/>
      <c r="M896" s="39"/>
      <c r="N896" s="39"/>
    </row>
    <row r="897">
      <c r="B897" s="75"/>
      <c r="C897" s="38"/>
      <c r="L897" s="72"/>
      <c r="M897" s="39"/>
      <c r="N897" s="39"/>
    </row>
    <row r="898">
      <c r="B898" s="75"/>
      <c r="C898" s="38"/>
      <c r="L898" s="72"/>
      <c r="M898" s="39"/>
      <c r="N898" s="39"/>
    </row>
    <row r="899">
      <c r="B899" s="75"/>
      <c r="C899" s="38"/>
      <c r="L899" s="72"/>
      <c r="M899" s="39"/>
      <c r="N899" s="39"/>
    </row>
    <row r="900">
      <c r="B900" s="75"/>
      <c r="C900" s="38"/>
      <c r="L900" s="72"/>
      <c r="M900" s="39"/>
      <c r="N900" s="39"/>
    </row>
    <row r="901">
      <c r="B901" s="75"/>
      <c r="C901" s="38"/>
      <c r="L901" s="72"/>
      <c r="M901" s="39"/>
      <c r="N901" s="39"/>
    </row>
    <row r="902">
      <c r="B902" s="75"/>
      <c r="C902" s="38"/>
      <c r="L902" s="72"/>
      <c r="M902" s="39"/>
      <c r="N902" s="39"/>
    </row>
    <row r="903">
      <c r="B903" s="75"/>
      <c r="C903" s="38"/>
      <c r="L903" s="72"/>
      <c r="M903" s="39"/>
      <c r="N903" s="39"/>
    </row>
    <row r="904">
      <c r="B904" s="75"/>
      <c r="C904" s="38"/>
      <c r="L904" s="72"/>
      <c r="M904" s="39"/>
      <c r="N904" s="39"/>
    </row>
    <row r="905">
      <c r="B905" s="75"/>
      <c r="C905" s="38"/>
      <c r="L905" s="72"/>
      <c r="M905" s="39"/>
      <c r="N905" s="39"/>
    </row>
    <row r="906">
      <c r="B906" s="75"/>
      <c r="C906" s="38"/>
      <c r="L906" s="72"/>
      <c r="M906" s="39"/>
      <c r="N906" s="39"/>
    </row>
    <row r="907">
      <c r="B907" s="75"/>
      <c r="C907" s="38"/>
      <c r="L907" s="72"/>
      <c r="M907" s="39"/>
      <c r="N907" s="39"/>
    </row>
    <row r="908">
      <c r="B908" s="75"/>
      <c r="C908" s="38"/>
      <c r="L908" s="72"/>
      <c r="M908" s="39"/>
      <c r="N908" s="39"/>
    </row>
    <row r="909">
      <c r="B909" s="75"/>
      <c r="C909" s="38"/>
      <c r="L909" s="72"/>
      <c r="M909" s="39"/>
      <c r="N909" s="39"/>
    </row>
    <row r="910">
      <c r="B910" s="75"/>
      <c r="C910" s="38"/>
      <c r="L910" s="72"/>
      <c r="M910" s="39"/>
      <c r="N910" s="39"/>
    </row>
    <row r="911">
      <c r="B911" s="75"/>
      <c r="C911" s="38"/>
      <c r="L911" s="72"/>
      <c r="M911" s="39"/>
      <c r="N911" s="39"/>
    </row>
    <row r="912">
      <c r="B912" s="75"/>
      <c r="C912" s="38"/>
      <c r="L912" s="72"/>
      <c r="M912" s="39"/>
      <c r="N912" s="39"/>
    </row>
    <row r="913">
      <c r="B913" s="75"/>
      <c r="C913" s="38"/>
      <c r="L913" s="72"/>
      <c r="M913" s="39"/>
      <c r="N913" s="39"/>
    </row>
    <row r="914">
      <c r="B914" s="75"/>
      <c r="C914" s="38"/>
      <c r="L914" s="72"/>
      <c r="M914" s="39"/>
      <c r="N914" s="39"/>
    </row>
    <row r="915">
      <c r="B915" s="75"/>
      <c r="C915" s="38"/>
      <c r="L915" s="72"/>
      <c r="M915" s="39"/>
      <c r="N915" s="39"/>
    </row>
    <row r="916">
      <c r="B916" s="75"/>
      <c r="C916" s="38"/>
      <c r="L916" s="72"/>
      <c r="M916" s="39"/>
      <c r="N916" s="39"/>
    </row>
    <row r="917">
      <c r="B917" s="75"/>
      <c r="C917" s="38"/>
      <c r="L917" s="72"/>
      <c r="M917" s="39"/>
      <c r="N917" s="39"/>
    </row>
    <row r="918">
      <c r="B918" s="75"/>
      <c r="C918" s="38"/>
      <c r="L918" s="72"/>
      <c r="M918" s="39"/>
      <c r="N918" s="39"/>
    </row>
    <row r="919">
      <c r="B919" s="75"/>
      <c r="C919" s="38"/>
      <c r="L919" s="72"/>
      <c r="M919" s="39"/>
      <c r="N919" s="39"/>
    </row>
    <row r="920">
      <c r="B920" s="75"/>
      <c r="C920" s="38"/>
      <c r="L920" s="72"/>
      <c r="M920" s="39"/>
      <c r="N920" s="39"/>
    </row>
    <row r="921">
      <c r="B921" s="75"/>
      <c r="C921" s="38"/>
      <c r="L921" s="72"/>
      <c r="M921" s="39"/>
      <c r="N921" s="39"/>
    </row>
    <row r="922">
      <c r="B922" s="75"/>
      <c r="C922" s="38"/>
      <c r="L922" s="72"/>
      <c r="M922" s="39"/>
      <c r="N922" s="39"/>
    </row>
    <row r="923">
      <c r="B923" s="75"/>
      <c r="C923" s="38"/>
      <c r="L923" s="72"/>
      <c r="M923" s="39"/>
      <c r="N923" s="39"/>
    </row>
    <row r="924">
      <c r="B924" s="75"/>
      <c r="C924" s="38"/>
      <c r="L924" s="72"/>
      <c r="M924" s="39"/>
      <c r="N924" s="39"/>
    </row>
    <row r="925">
      <c r="B925" s="75"/>
      <c r="C925" s="38"/>
      <c r="L925" s="72"/>
      <c r="M925" s="39"/>
      <c r="N925" s="39"/>
    </row>
    <row r="926">
      <c r="B926" s="75"/>
      <c r="C926" s="38"/>
      <c r="L926" s="72"/>
      <c r="M926" s="39"/>
      <c r="N926" s="39"/>
    </row>
    <row r="927">
      <c r="B927" s="75"/>
      <c r="C927" s="38"/>
      <c r="L927" s="72"/>
      <c r="M927" s="39"/>
      <c r="N927" s="39"/>
    </row>
    <row r="928">
      <c r="B928" s="75"/>
      <c r="C928" s="38"/>
      <c r="L928" s="72"/>
      <c r="M928" s="39"/>
      <c r="N928" s="39"/>
    </row>
    <row r="929">
      <c r="B929" s="75"/>
      <c r="C929" s="38"/>
      <c r="L929" s="72"/>
      <c r="M929" s="39"/>
      <c r="N929" s="39"/>
    </row>
    <row r="930">
      <c r="B930" s="75"/>
      <c r="C930" s="38"/>
      <c r="L930" s="72"/>
      <c r="M930" s="39"/>
      <c r="N930" s="39"/>
    </row>
    <row r="931">
      <c r="B931" s="75"/>
      <c r="C931" s="38"/>
      <c r="L931" s="72"/>
      <c r="M931" s="39"/>
      <c r="N931" s="39"/>
    </row>
    <row r="932">
      <c r="B932" s="75"/>
      <c r="C932" s="38"/>
      <c r="L932" s="72"/>
      <c r="M932" s="39"/>
      <c r="N932" s="39"/>
    </row>
    <row r="933">
      <c r="B933" s="75"/>
      <c r="C933" s="38"/>
      <c r="L933" s="72"/>
      <c r="M933" s="39"/>
      <c r="N933" s="39"/>
    </row>
    <row r="934">
      <c r="B934" s="75"/>
      <c r="C934" s="38"/>
      <c r="L934" s="72"/>
      <c r="M934" s="39"/>
      <c r="N934" s="39"/>
    </row>
    <row r="935">
      <c r="B935" s="75"/>
      <c r="C935" s="38"/>
      <c r="L935" s="72"/>
      <c r="M935" s="39"/>
      <c r="N935" s="39"/>
    </row>
    <row r="936">
      <c r="B936" s="75"/>
      <c r="C936" s="38"/>
      <c r="L936" s="72"/>
      <c r="M936" s="39"/>
      <c r="N936" s="39"/>
    </row>
    <row r="937">
      <c r="B937" s="75"/>
      <c r="C937" s="38"/>
      <c r="L937" s="72"/>
      <c r="M937" s="39"/>
      <c r="N937" s="39"/>
    </row>
    <row r="938">
      <c r="B938" s="75"/>
      <c r="C938" s="38"/>
      <c r="L938" s="72"/>
      <c r="M938" s="39"/>
      <c r="N938" s="39"/>
    </row>
    <row r="939">
      <c r="B939" s="75"/>
      <c r="C939" s="38"/>
      <c r="L939" s="72"/>
      <c r="M939" s="39"/>
      <c r="N939" s="39"/>
    </row>
    <row r="940">
      <c r="B940" s="75"/>
      <c r="C940" s="38"/>
      <c r="L940" s="72"/>
      <c r="M940" s="39"/>
      <c r="N940" s="39"/>
    </row>
    <row r="941">
      <c r="B941" s="75"/>
      <c r="C941" s="38"/>
      <c r="L941" s="72"/>
      <c r="M941" s="39"/>
      <c r="N941" s="39"/>
    </row>
    <row r="942">
      <c r="B942" s="75"/>
      <c r="C942" s="38"/>
      <c r="L942" s="72"/>
      <c r="M942" s="39"/>
      <c r="N942" s="39"/>
    </row>
    <row r="943">
      <c r="B943" s="75"/>
      <c r="C943" s="38"/>
      <c r="L943" s="72"/>
      <c r="M943" s="39"/>
      <c r="N943" s="39"/>
    </row>
    <row r="944">
      <c r="B944" s="75"/>
      <c r="C944" s="38"/>
      <c r="L944" s="72"/>
      <c r="M944" s="39"/>
      <c r="N944" s="39"/>
    </row>
    <row r="945">
      <c r="B945" s="75"/>
      <c r="C945" s="38"/>
      <c r="L945" s="72"/>
      <c r="M945" s="39"/>
      <c r="N945" s="39"/>
    </row>
    <row r="946">
      <c r="B946" s="75"/>
      <c r="C946" s="38"/>
      <c r="L946" s="72"/>
      <c r="M946" s="39"/>
      <c r="N946" s="39"/>
    </row>
    <row r="947">
      <c r="B947" s="75"/>
      <c r="C947" s="38"/>
      <c r="L947" s="72"/>
      <c r="M947" s="39"/>
      <c r="N947" s="39"/>
    </row>
    <row r="948">
      <c r="B948" s="75"/>
      <c r="C948" s="38"/>
      <c r="L948" s="72"/>
      <c r="M948" s="39"/>
      <c r="N948" s="39"/>
    </row>
    <row r="949">
      <c r="B949" s="75"/>
      <c r="C949" s="38"/>
      <c r="L949" s="72"/>
      <c r="M949" s="39"/>
      <c r="N949" s="39"/>
    </row>
    <row r="950">
      <c r="B950" s="75"/>
      <c r="C950" s="38"/>
      <c r="L950" s="72"/>
      <c r="M950" s="39"/>
      <c r="N950" s="39"/>
    </row>
    <row r="951">
      <c r="B951" s="75"/>
      <c r="C951" s="38"/>
      <c r="L951" s="72"/>
      <c r="M951" s="39"/>
      <c r="N951" s="39"/>
    </row>
    <row r="952">
      <c r="B952" s="75"/>
      <c r="C952" s="38"/>
      <c r="L952" s="72"/>
      <c r="M952" s="39"/>
      <c r="N952" s="39"/>
    </row>
    <row r="953">
      <c r="B953" s="75"/>
      <c r="C953" s="38"/>
      <c r="L953" s="72"/>
      <c r="M953" s="39"/>
      <c r="N953" s="39"/>
    </row>
    <row r="954">
      <c r="B954" s="75"/>
      <c r="C954" s="38"/>
      <c r="L954" s="72"/>
      <c r="M954" s="39"/>
      <c r="N954" s="39"/>
    </row>
    <row r="955">
      <c r="B955" s="75"/>
      <c r="C955" s="38"/>
      <c r="L955" s="72"/>
      <c r="M955" s="39"/>
      <c r="N955" s="39"/>
    </row>
    <row r="956">
      <c r="B956" s="75"/>
      <c r="C956" s="38"/>
      <c r="L956" s="72"/>
      <c r="M956" s="39"/>
      <c r="N956" s="39"/>
    </row>
    <row r="957">
      <c r="B957" s="75"/>
      <c r="C957" s="38"/>
      <c r="L957" s="72"/>
      <c r="M957" s="39"/>
      <c r="N957" s="39"/>
    </row>
    <row r="958">
      <c r="B958" s="75"/>
      <c r="C958" s="38"/>
      <c r="L958" s="72"/>
      <c r="M958" s="39"/>
      <c r="N958" s="39"/>
    </row>
    <row r="959">
      <c r="B959" s="75"/>
      <c r="C959" s="38"/>
      <c r="L959" s="72"/>
      <c r="M959" s="39"/>
      <c r="N959" s="39"/>
    </row>
    <row r="960">
      <c r="B960" s="75"/>
      <c r="C960" s="38"/>
      <c r="L960" s="72"/>
      <c r="M960" s="39"/>
      <c r="N960" s="39"/>
    </row>
    <row r="961">
      <c r="B961" s="75"/>
      <c r="C961" s="38"/>
      <c r="L961" s="72"/>
      <c r="M961" s="39"/>
      <c r="N961" s="39"/>
    </row>
    <row r="962">
      <c r="B962" s="75"/>
      <c r="C962" s="38"/>
      <c r="L962" s="72"/>
      <c r="M962" s="39"/>
      <c r="N962" s="39"/>
    </row>
    <row r="963">
      <c r="B963" s="75"/>
      <c r="C963" s="38"/>
      <c r="L963" s="72"/>
      <c r="M963" s="39"/>
      <c r="N963" s="39"/>
    </row>
    <row r="964">
      <c r="B964" s="75"/>
      <c r="C964" s="38"/>
      <c r="L964" s="72"/>
      <c r="M964" s="39"/>
      <c r="N964" s="39"/>
    </row>
    <row r="965">
      <c r="B965" s="75"/>
      <c r="C965" s="38"/>
      <c r="L965" s="72"/>
      <c r="M965" s="39"/>
      <c r="N965" s="39"/>
    </row>
    <row r="966">
      <c r="B966" s="75"/>
      <c r="C966" s="38"/>
      <c r="L966" s="72"/>
      <c r="M966" s="39"/>
      <c r="N966" s="39"/>
    </row>
    <row r="967">
      <c r="B967" s="75"/>
      <c r="C967" s="38"/>
      <c r="L967" s="72"/>
      <c r="M967" s="39"/>
      <c r="N967" s="39"/>
    </row>
    <row r="968">
      <c r="B968" s="75"/>
      <c r="C968" s="38"/>
      <c r="L968" s="72"/>
      <c r="M968" s="39"/>
      <c r="N968" s="39"/>
    </row>
    <row r="969">
      <c r="B969" s="75"/>
      <c r="C969" s="38"/>
      <c r="L969" s="72"/>
      <c r="M969" s="39"/>
      <c r="N969" s="39"/>
    </row>
    <row r="970">
      <c r="B970" s="75"/>
      <c r="C970" s="38"/>
      <c r="L970" s="72"/>
      <c r="M970" s="39"/>
      <c r="N970" s="39"/>
    </row>
    <row r="971">
      <c r="B971" s="75"/>
      <c r="C971" s="38"/>
      <c r="L971" s="72"/>
      <c r="M971" s="39"/>
      <c r="N971" s="39"/>
    </row>
    <row r="972">
      <c r="B972" s="75"/>
      <c r="C972" s="38"/>
      <c r="L972" s="72"/>
      <c r="M972" s="39"/>
      <c r="N972" s="39"/>
    </row>
    <row r="973">
      <c r="B973" s="75"/>
      <c r="C973" s="38"/>
      <c r="L973" s="72"/>
      <c r="M973" s="39"/>
      <c r="N973" s="39"/>
    </row>
    <row r="974">
      <c r="B974" s="75"/>
      <c r="C974" s="38"/>
      <c r="L974" s="72"/>
      <c r="M974" s="39"/>
      <c r="N974" s="39"/>
    </row>
    <row r="975">
      <c r="B975" s="75"/>
      <c r="C975" s="38"/>
      <c r="L975" s="72"/>
      <c r="M975" s="39"/>
      <c r="N975" s="39"/>
    </row>
    <row r="976">
      <c r="B976" s="75"/>
      <c r="C976" s="38"/>
      <c r="L976" s="72"/>
      <c r="M976" s="39"/>
      <c r="N976" s="39"/>
    </row>
    <row r="977">
      <c r="B977" s="75"/>
      <c r="C977" s="38"/>
      <c r="L977" s="72"/>
      <c r="M977" s="39"/>
      <c r="N977" s="39"/>
    </row>
    <row r="978">
      <c r="B978" s="75"/>
      <c r="C978" s="38"/>
      <c r="L978" s="72"/>
      <c r="M978" s="39"/>
      <c r="N978" s="39"/>
    </row>
    <row r="979">
      <c r="B979" s="75"/>
      <c r="C979" s="38"/>
      <c r="L979" s="72"/>
      <c r="M979" s="39"/>
      <c r="N979" s="39"/>
    </row>
    <row r="980">
      <c r="B980" s="75"/>
      <c r="C980" s="38"/>
      <c r="L980" s="72"/>
      <c r="M980" s="39"/>
      <c r="N980" s="39"/>
    </row>
    <row r="981">
      <c r="B981" s="75"/>
      <c r="C981" s="38"/>
      <c r="L981" s="72"/>
      <c r="M981" s="39"/>
      <c r="N981" s="39"/>
    </row>
    <row r="982">
      <c r="B982" s="75"/>
      <c r="C982" s="38"/>
      <c r="L982" s="72"/>
      <c r="M982" s="39"/>
      <c r="N982" s="39"/>
    </row>
    <row r="983">
      <c r="B983" s="75"/>
      <c r="C983" s="38"/>
      <c r="L983" s="72"/>
      <c r="M983" s="39"/>
      <c r="N983" s="39"/>
    </row>
    <row r="984">
      <c r="B984" s="75"/>
      <c r="C984" s="38"/>
      <c r="L984" s="72"/>
      <c r="M984" s="39"/>
      <c r="N984" s="39"/>
    </row>
    <row r="985">
      <c r="B985" s="75"/>
      <c r="C985" s="38"/>
      <c r="L985" s="72"/>
      <c r="M985" s="39"/>
      <c r="N985" s="39"/>
    </row>
    <row r="986">
      <c r="B986" s="75"/>
      <c r="C986" s="38"/>
      <c r="L986" s="72"/>
      <c r="M986" s="39"/>
      <c r="N986" s="39"/>
    </row>
    <row r="987">
      <c r="B987" s="75"/>
      <c r="C987" s="38"/>
      <c r="L987" s="72"/>
      <c r="M987" s="39"/>
      <c r="N987" s="39"/>
    </row>
    <row r="988">
      <c r="B988" s="75"/>
      <c r="C988" s="38"/>
      <c r="L988" s="72"/>
      <c r="M988" s="39"/>
      <c r="N988" s="39"/>
    </row>
    <row r="989">
      <c r="B989" s="75"/>
      <c r="C989" s="38"/>
      <c r="L989" s="72"/>
      <c r="M989" s="39"/>
      <c r="N989" s="39"/>
    </row>
    <row r="990">
      <c r="B990" s="75"/>
      <c r="C990" s="38"/>
      <c r="L990" s="72"/>
      <c r="M990" s="39"/>
      <c r="N990" s="39"/>
    </row>
    <row r="991">
      <c r="B991" s="75"/>
      <c r="C991" s="38"/>
      <c r="L991" s="72"/>
      <c r="M991" s="39"/>
      <c r="N991" s="39"/>
    </row>
    <row r="992">
      <c r="B992" s="75"/>
      <c r="C992" s="38"/>
      <c r="L992" s="72"/>
      <c r="M992" s="39"/>
      <c r="N992" s="39"/>
    </row>
    <row r="993">
      <c r="L993" s="72"/>
      <c r="M993" s="39"/>
      <c r="N993" s="39"/>
    </row>
  </sheetData>
  <customSheetViews>
    <customSheetView guid="{5DBABF29-6CA3-4159-8573-02A74A978F79}" filter="1" showAutoFilter="1">
      <autoFilter ref="$A$6:$E$21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63"/>
    <col customWidth="1" min="10" max="10" width="19.25"/>
    <col customWidth="1" min="15" max="15" width="16.75"/>
    <col customWidth="1" min="16" max="16" width="17.0"/>
  </cols>
  <sheetData>
    <row r="1">
      <c r="A1" s="58" t="s">
        <v>120</v>
      </c>
      <c r="B1" s="22" t="s">
        <v>132</v>
      </c>
      <c r="C1" s="38"/>
      <c r="L1" s="72"/>
      <c r="M1" s="39"/>
      <c r="N1" s="39"/>
      <c r="O1" s="91"/>
      <c r="Q1" s="81"/>
    </row>
    <row r="2">
      <c r="B2" s="75"/>
      <c r="C2" s="38"/>
      <c r="L2" s="72"/>
      <c r="M2" s="39"/>
      <c r="N2" s="39"/>
      <c r="O2" s="91"/>
      <c r="Q2" s="81"/>
    </row>
    <row r="3" ht="13.5" customHeight="1">
      <c r="B3" s="75"/>
      <c r="C3" s="38"/>
      <c r="H3" s="77" t="s">
        <v>38</v>
      </c>
      <c r="I3" s="78" t="s">
        <v>120</v>
      </c>
      <c r="J3" s="78" t="s">
        <v>121</v>
      </c>
      <c r="K3" s="78" t="s">
        <v>122</v>
      </c>
      <c r="L3" s="79" t="s">
        <v>123</v>
      </c>
      <c r="M3" s="80" t="s">
        <v>124</v>
      </c>
      <c r="N3" s="80" t="s">
        <v>125</v>
      </c>
      <c r="O3" s="92" t="s">
        <v>126</v>
      </c>
      <c r="P3" s="78" t="s">
        <v>127</v>
      </c>
      <c r="Q3" s="93" t="s">
        <v>128</v>
      </c>
    </row>
    <row r="4">
      <c r="B4" s="75"/>
      <c r="C4" s="38"/>
      <c r="G4" s="81"/>
      <c r="H4" s="66" t="str">
        <f>IFERROR(__xludf.DUMMYFUNCTION("Filter(Pivot_Data!1:2444,Pivot_Data!B:B=B1)"),"BTC")</f>
        <v>BTC</v>
      </c>
      <c r="I4" s="66" t="str">
        <f>IFERROR(__xludf.DUMMYFUNCTION("""COMPUTED_VALUE"""),"undeployed")</f>
        <v>undeployed</v>
      </c>
      <c r="J4" s="66" t="str">
        <f>IFERROR(__xludf.DUMMYFUNCTION("""COMPUTED_VALUE"""),"Celsius Network")</f>
        <v>Celsius Network</v>
      </c>
      <c r="K4" s="66" t="str">
        <f>IFERROR(__xludf.DUMMYFUNCTION("""COMPUTED_VALUE"""),"1")</f>
        <v>1</v>
      </c>
      <c r="L4" s="72">
        <f>IFERROR(__xludf.DUMMYFUNCTION("""COMPUTED_VALUE"""),17691.51839)</f>
        <v>17691.51839</v>
      </c>
      <c r="M4" s="39">
        <f>IFERROR(__xludf.DUMMYFUNCTION("""COMPUTED_VALUE"""),0.0)</f>
        <v>0</v>
      </c>
      <c r="N4" s="39">
        <f>IFERROR(__xludf.DUMMYFUNCTION("""COMPUTED_VALUE"""),0.0298)</f>
        <v>0.0298</v>
      </c>
      <c r="O4" s="91">
        <f>IFERROR(__xludf.DUMMYFUNCTION("""COMPUTED_VALUE"""),8.193761333246709E8)</f>
        <v>819376133.3</v>
      </c>
      <c r="P4" s="66">
        <f>IFERROR(__xludf.DUMMYFUNCTION("""COMPUTED_VALUE"""),2.4417408773075193E7)</f>
        <v>24417408.77</v>
      </c>
      <c r="Q4" s="81">
        <f>IFERROR(__xludf.DUMMYFUNCTION("""COMPUTED_VALUE"""),0.0)</f>
        <v>0</v>
      </c>
      <c r="R4" s="81"/>
      <c r="S4" s="66"/>
      <c r="T4" s="66"/>
      <c r="U4" s="66"/>
      <c r="V4" s="66"/>
    </row>
    <row r="5">
      <c r="B5" s="75"/>
      <c r="C5" s="38"/>
      <c r="G5" s="81"/>
      <c r="H5" s="66" t="str">
        <f>IFERROR(__xludf.DUMMYFUNCTION("""COMPUTED_VALUE"""),"ETH")</f>
        <v>ETH</v>
      </c>
      <c r="I5" s="66" t="str">
        <f>IFERROR(__xludf.DUMMYFUNCTION("""COMPUTED_VALUE"""),"undeployed")</f>
        <v>undeployed</v>
      </c>
      <c r="J5" s="66" t="str">
        <f>IFERROR(__xludf.DUMMYFUNCTION("""COMPUTED_VALUE"""),"Celsius Network")</f>
        <v>Celsius Network</v>
      </c>
      <c r="K5" s="66" t="str">
        <f>IFERROR(__xludf.DUMMYFUNCTION("""COMPUTED_VALUE"""),"1")</f>
        <v>1</v>
      </c>
      <c r="L5" s="72">
        <f>IFERROR(__xludf.DUMMYFUNCTION("""COMPUTED_VALUE"""),57379.52715)</f>
        <v>57379.52715</v>
      </c>
      <c r="M5" s="39">
        <f>IFERROR(__xludf.DUMMYFUNCTION("""COMPUTED_VALUE"""),0.0)</f>
        <v>0</v>
      </c>
      <c r="N5" s="39">
        <f>IFERROR(__xludf.DUMMYFUNCTION("""COMPUTED_VALUE"""),0.0384)</f>
        <v>0.0384</v>
      </c>
      <c r="O5" s="91">
        <f>IFERROR(__xludf.DUMMYFUNCTION("""COMPUTED_VALUE"""),2.191711758925847E8)</f>
        <v>219171175.9</v>
      </c>
      <c r="P5" s="66">
        <f>IFERROR(__xludf.DUMMYFUNCTION("""COMPUTED_VALUE"""),8416173.154275252)</f>
        <v>8416173.154</v>
      </c>
      <c r="Q5" s="81">
        <f>IFERROR(__xludf.DUMMYFUNCTION("""COMPUTED_VALUE"""),0.0)</f>
        <v>0</v>
      </c>
      <c r="R5" s="81"/>
      <c r="S5" s="66"/>
      <c r="T5" s="66"/>
      <c r="U5" s="66"/>
      <c r="V5" s="66"/>
    </row>
    <row r="6">
      <c r="A6" s="82" t="s">
        <v>38</v>
      </c>
      <c r="B6" s="83" t="s">
        <v>129</v>
      </c>
      <c r="C6" s="84" t="s">
        <v>130</v>
      </c>
      <c r="D6" s="82" t="s">
        <v>131</v>
      </c>
      <c r="E6" s="82" t="s">
        <v>124</v>
      </c>
      <c r="G6" s="81"/>
      <c r="H6" s="66" t="str">
        <f>IFERROR(__xludf.DUMMYFUNCTION("""COMPUTED_VALUE"""),"Stable Coins")</f>
        <v>Stable Coins</v>
      </c>
      <c r="I6" s="66" t="str">
        <f>IFERROR(__xludf.DUMMYFUNCTION("""COMPUTED_VALUE"""),"undeployed")</f>
        <v>undeployed</v>
      </c>
      <c r="J6" s="66" t="str">
        <f>IFERROR(__xludf.DUMMYFUNCTION("""COMPUTED_VALUE"""),"Bank - Balances")</f>
        <v>Bank - Balances</v>
      </c>
      <c r="K6" s="66" t="str">
        <f>IFERROR(__xludf.DUMMYFUNCTION("""COMPUTED_VALUE"""),"1")</f>
        <v>1</v>
      </c>
      <c r="L6" s="72">
        <f>IFERROR(__xludf.DUMMYFUNCTION("""COMPUTED_VALUE"""),2.108746895E8)</f>
        <v>210874689.5</v>
      </c>
      <c r="M6" s="39">
        <f>IFERROR(__xludf.DUMMYFUNCTION("""COMPUTED_VALUE"""),0.0)</f>
        <v>0</v>
      </c>
      <c r="N6" s="39">
        <f>IFERROR(__xludf.DUMMYFUNCTION("""COMPUTED_VALUE"""),0.0959)</f>
        <v>0.0959</v>
      </c>
      <c r="O6" s="91">
        <f>IFERROR(__xludf.DUMMYFUNCTION("""COMPUTED_VALUE"""),2.108746895E8)</f>
        <v>210874689.5</v>
      </c>
      <c r="P6" s="66">
        <f>IFERROR(__xludf.DUMMYFUNCTION("""COMPUTED_VALUE"""),2.022288272305E7)</f>
        <v>20222882.72</v>
      </c>
      <c r="Q6" s="81">
        <f>IFERROR(__xludf.DUMMYFUNCTION("""COMPUTED_VALUE"""),0.0)</f>
        <v>0</v>
      </c>
      <c r="R6" s="81"/>
      <c r="S6" s="66"/>
      <c r="T6" s="66"/>
      <c r="U6" s="66"/>
      <c r="V6" s="66"/>
    </row>
    <row r="7">
      <c r="A7" s="31" t="str">
        <f>IFERROR(__xludf.DUMMYFUNCTION("unique(H4:H1000)"),"BTC")</f>
        <v>BTC</v>
      </c>
      <c r="B7" s="85">
        <f t="shared" ref="B7:B64" si="1">SUMIFs(L:L,H:H,A7)</f>
        <v>22607.6205</v>
      </c>
      <c r="C7" s="32">
        <f t="shared" ref="C7:C64" si="2">SUMIFs(O:O,H:H,A7)</f>
        <v>1047063585</v>
      </c>
      <c r="D7" s="33">
        <f t="shared" ref="D7:D64" si="3">C7/$C$66</f>
        <v>0.4151954982</v>
      </c>
      <c r="E7" s="86">
        <f t="shared" ref="E7:E17" si="4">iferror(SUMIFs(Q:Q,H:H,A7)/C7)</f>
        <v>0</v>
      </c>
      <c r="G7" s="81"/>
      <c r="H7" s="66" t="str">
        <f>IFERROR(__xludf.DUMMYFUNCTION("""COMPUTED_VALUE"""),"BTC")</f>
        <v>BTC</v>
      </c>
      <c r="I7" s="66" t="str">
        <f>IFERROR(__xludf.DUMMYFUNCTION("""COMPUTED_VALUE"""),"undeployed")</f>
        <v>undeployed</v>
      </c>
      <c r="J7" s="66" t="str">
        <f>IFERROR(__xludf.DUMMYFUNCTION("""COMPUTED_VALUE"""),"Celsius Network System")</f>
        <v>Celsius Network System</v>
      </c>
      <c r="K7" s="66" t="str">
        <f>IFERROR(__xludf.DUMMYFUNCTION("""COMPUTED_VALUE"""),"1")</f>
        <v>1</v>
      </c>
      <c r="L7" s="72">
        <f>IFERROR(__xludf.DUMMYFUNCTION("""COMPUTED_VALUE"""),4252.37243)</f>
        <v>4252.37243</v>
      </c>
      <c r="M7" s="39">
        <f>IFERROR(__xludf.DUMMYFUNCTION("""COMPUTED_VALUE"""),0.0)</f>
        <v>0</v>
      </c>
      <c r="N7" s="39">
        <f>IFERROR(__xludf.DUMMYFUNCTION("""COMPUTED_VALUE"""),0.0298)</f>
        <v>0.0298</v>
      </c>
      <c r="O7" s="91">
        <f>IFERROR(__xludf.DUMMYFUNCTION("""COMPUTED_VALUE"""),1.9694705690831518E8)</f>
        <v>196947056.9</v>
      </c>
      <c r="P7" s="66">
        <f>IFERROR(__xludf.DUMMYFUNCTION("""COMPUTED_VALUE"""),5869022.295867792)</f>
        <v>5869022.296</v>
      </c>
      <c r="Q7" s="81">
        <f>IFERROR(__xludf.DUMMYFUNCTION("""COMPUTED_VALUE"""),0.0)</f>
        <v>0</v>
      </c>
      <c r="R7" s="81"/>
      <c r="S7" s="66"/>
      <c r="T7" s="66"/>
      <c r="U7" s="66"/>
      <c r="V7" s="66"/>
    </row>
    <row r="8">
      <c r="A8" s="31" t="str">
        <f>IFERROR(__xludf.DUMMYFUNCTION("""COMPUTED_VALUE"""),"ETH")</f>
        <v>ETH</v>
      </c>
      <c r="B8" s="85">
        <f t="shared" si="1"/>
        <v>115211.2693</v>
      </c>
      <c r="C8" s="32">
        <f t="shared" si="2"/>
        <v>440069666.5</v>
      </c>
      <c r="D8" s="33">
        <f t="shared" si="3"/>
        <v>0.1745022433</v>
      </c>
      <c r="E8" s="86">
        <f t="shared" si="4"/>
        <v>0</v>
      </c>
      <c r="G8" s="81"/>
      <c r="H8" s="66" t="str">
        <f>IFERROR(__xludf.DUMMYFUNCTION("""COMPUTED_VALUE"""),"ETH")</f>
        <v>ETH</v>
      </c>
      <c r="I8" s="66" t="str">
        <f>IFERROR(__xludf.DUMMYFUNCTION("""COMPUTED_VALUE"""),"undeployed")</f>
        <v>undeployed</v>
      </c>
      <c r="J8" s="66" t="str">
        <f>IFERROR(__xludf.DUMMYFUNCTION("""COMPUTED_VALUE"""),"Celsius Network System")</f>
        <v>Celsius Network System</v>
      </c>
      <c r="K8" s="66" t="str">
        <f>IFERROR(__xludf.DUMMYFUNCTION("""COMPUTED_VALUE"""),"1")</f>
        <v>1</v>
      </c>
      <c r="L8" s="72">
        <f>IFERROR(__xludf.DUMMYFUNCTION("""COMPUTED_VALUE"""),34445.88763)</f>
        <v>34445.88763</v>
      </c>
      <c r="M8" s="39">
        <f>IFERROR(__xludf.DUMMYFUNCTION("""COMPUTED_VALUE"""),0.0)</f>
        <v>0</v>
      </c>
      <c r="N8" s="39">
        <f>IFERROR(__xludf.DUMMYFUNCTION("""COMPUTED_VALUE"""),0.0384)</f>
        <v>0.0384</v>
      </c>
      <c r="O8" s="91">
        <f>IFERROR(__xludf.DUMMYFUNCTION("""COMPUTED_VALUE"""),1.3157211415833247E8)</f>
        <v>131572114.2</v>
      </c>
      <c r="P8" s="66">
        <f>IFERROR(__xludf.DUMMYFUNCTION("""COMPUTED_VALUE"""),5052369.183679966)</f>
        <v>5052369.184</v>
      </c>
      <c r="Q8" s="81">
        <f>IFERROR(__xludf.DUMMYFUNCTION("""COMPUTED_VALUE"""),0.0)</f>
        <v>0</v>
      </c>
      <c r="R8" s="81"/>
      <c r="S8" s="66"/>
      <c r="T8" s="66"/>
      <c r="U8" s="66"/>
      <c r="V8" s="66"/>
    </row>
    <row r="9">
      <c r="A9" s="31" t="str">
        <f>IFERROR(__xludf.DUMMYFUNCTION("""COMPUTED_VALUE"""),"Stable Coins")</f>
        <v>Stable Coins</v>
      </c>
      <c r="B9" s="85">
        <f t="shared" si="1"/>
        <v>340113506.2</v>
      </c>
      <c r="C9" s="32">
        <f t="shared" si="2"/>
        <v>340113506.2</v>
      </c>
      <c r="D9" s="33">
        <f t="shared" si="3"/>
        <v>0.1348663049</v>
      </c>
      <c r="E9" s="86">
        <f t="shared" si="4"/>
        <v>0</v>
      </c>
      <c r="G9" s="81"/>
      <c r="H9" s="66" t="str">
        <f>IFERROR(__xludf.DUMMYFUNCTION("""COMPUTED_VALUE"""),"FTT")</f>
        <v>FTT</v>
      </c>
      <c r="I9" s="66" t="str">
        <f>IFERROR(__xludf.DUMMYFUNCTION("""COMPUTED_VALUE"""),"undeployed")</f>
        <v>undeployed</v>
      </c>
      <c r="J9" s="66" t="str">
        <f>IFERROR(__xludf.DUMMYFUNCTION("""COMPUTED_VALUE"""),"Celsius Network")</f>
        <v>Celsius Network</v>
      </c>
      <c r="K9" s="66" t="str">
        <f>IFERROR(__xludf.DUMMYFUNCTION("""COMPUTED_VALUE"""),"1")</f>
        <v>1</v>
      </c>
      <c r="L9" s="72">
        <f>IFERROR(__xludf.DUMMYFUNCTION("""COMPUTED_VALUE"""),2459108.075)</f>
        <v>2459108.075</v>
      </c>
      <c r="M9" s="39">
        <f>IFERROR(__xludf.DUMMYFUNCTION("""COMPUTED_VALUE"""),0.0)</f>
        <v>0</v>
      </c>
      <c r="N9" s="39" t="str">
        <f>IFERROR(__xludf.DUMMYFUNCTION("""COMPUTED_VALUE"""),"N/A")</f>
        <v>N/A</v>
      </c>
      <c r="O9" s="91">
        <f>IFERROR(__xludf.DUMMYFUNCTION("""COMPUTED_VALUE"""),9.718054838238339E7)</f>
        <v>97180548.38</v>
      </c>
      <c r="P9" s="66" t="str">
        <f>IFERROR(__xludf.DUMMYFUNCTION("""COMPUTED_VALUE"""),"N/A")</f>
        <v>N/A</v>
      </c>
      <c r="Q9" s="81">
        <f>IFERROR(__xludf.DUMMYFUNCTION("""COMPUTED_VALUE"""),0.0)</f>
        <v>0</v>
      </c>
      <c r="R9" s="81"/>
      <c r="S9" s="66"/>
      <c r="T9" s="66"/>
      <c r="U9" s="66"/>
      <c r="V9" s="66"/>
    </row>
    <row r="10">
      <c r="A10" s="31" t="str">
        <f>IFERROR(__xludf.DUMMYFUNCTION("""COMPUTED_VALUE"""),"FTT")</f>
        <v>FTT</v>
      </c>
      <c r="B10" s="85">
        <f t="shared" si="1"/>
        <v>2619746.47</v>
      </c>
      <c r="C10" s="32">
        <f t="shared" si="2"/>
        <v>103528755.5</v>
      </c>
      <c r="D10" s="33">
        <f t="shared" si="3"/>
        <v>0.04105259109</v>
      </c>
      <c r="E10" s="86">
        <f t="shared" si="4"/>
        <v>0</v>
      </c>
      <c r="G10" s="81"/>
      <c r="H10" s="66" t="str">
        <f>IFERROR(__xludf.DUMMYFUNCTION("""COMPUTED_VALUE"""),"CEL")</f>
        <v>CEL</v>
      </c>
      <c r="I10" s="66" t="str">
        <f>IFERROR(__xludf.DUMMYFUNCTION("""COMPUTED_VALUE"""),"undeployed")</f>
        <v>undeployed</v>
      </c>
      <c r="J10" s="66" t="str">
        <f>IFERROR(__xludf.DUMMYFUNCTION("""COMPUTED_VALUE"""),"Celsius OTC")</f>
        <v>Celsius OTC</v>
      </c>
      <c r="K10" s="66" t="str">
        <f>IFERROR(__xludf.DUMMYFUNCTION("""COMPUTED_VALUE"""),"1")</f>
        <v>1</v>
      </c>
      <c r="L10" s="72">
        <f>IFERROR(__xludf.DUMMYFUNCTION("""COMPUTED_VALUE"""),2.050911728E7)</f>
        <v>20509117.28</v>
      </c>
      <c r="M10" s="39">
        <f>IFERROR(__xludf.DUMMYFUNCTION("""COMPUTED_VALUE"""),0.0)</f>
        <v>0</v>
      </c>
      <c r="N10" s="39">
        <f>IFERROR(__xludf.DUMMYFUNCTION("""COMPUTED_VALUE"""),0.0415)</f>
        <v>0.0415</v>
      </c>
      <c r="O10" s="91">
        <f>IFERROR(__xludf.DUMMYFUNCTION("""COMPUTED_VALUE"""),8.032646683049157E7)</f>
        <v>80326466.83</v>
      </c>
      <c r="P10" s="66">
        <f>IFERROR(__xludf.DUMMYFUNCTION("""COMPUTED_VALUE"""),3333548.3734654007)</f>
        <v>3333548.373</v>
      </c>
      <c r="Q10" s="81">
        <f>IFERROR(__xludf.DUMMYFUNCTION("""COMPUTED_VALUE"""),0.0)</f>
        <v>0</v>
      </c>
      <c r="R10" s="81"/>
      <c r="S10" s="66"/>
      <c r="T10" s="66"/>
      <c r="U10" s="66"/>
      <c r="V10" s="66"/>
    </row>
    <row r="11">
      <c r="A11" s="31" t="str">
        <f>IFERROR(__xludf.DUMMYFUNCTION("""COMPUTED_VALUE"""),"CEL")</f>
        <v>CEL</v>
      </c>
      <c r="B11" s="85">
        <f t="shared" si="1"/>
        <v>57931977.42</v>
      </c>
      <c r="C11" s="32">
        <f t="shared" si="2"/>
        <v>226897676.7</v>
      </c>
      <c r="D11" s="33">
        <f t="shared" si="3"/>
        <v>0.08997246708</v>
      </c>
      <c r="E11" s="86">
        <f t="shared" si="4"/>
        <v>0</v>
      </c>
      <c r="G11" s="81"/>
      <c r="H11" s="66" t="str">
        <f>IFERROR(__xludf.DUMMYFUNCTION("""COMPUTED_VALUE"""),"ETH")</f>
        <v>ETH</v>
      </c>
      <c r="I11" s="66" t="str">
        <f>IFERROR(__xludf.DUMMYFUNCTION("""COMPUTED_VALUE"""),"Undeployed")</f>
        <v>Undeployed</v>
      </c>
      <c r="J11" s="66" t="str">
        <f>IFERROR(__xludf.DUMMYFUNCTION("""COMPUTED_VALUE"""),"Network Deposits")</f>
        <v>Network Deposits</v>
      </c>
      <c r="K11" s="66" t="str">
        <f>IFERROR(__xludf.DUMMYFUNCTION("""COMPUTED_VALUE"""),"1")</f>
        <v>1</v>
      </c>
      <c r="L11" s="72">
        <f>IFERROR(__xludf.DUMMYFUNCTION("""COMPUTED_VALUE"""),19151.647)</f>
        <v>19151.647</v>
      </c>
      <c r="M11" s="39">
        <f>IFERROR(__xludf.DUMMYFUNCTION("""COMPUTED_VALUE"""),0.0)</f>
        <v>0</v>
      </c>
      <c r="N11" s="39">
        <f>IFERROR(__xludf.DUMMYFUNCTION("""COMPUTED_VALUE"""),0.0384)</f>
        <v>0.0384</v>
      </c>
      <c r="O11" s="91">
        <f>IFERROR(__xludf.DUMMYFUNCTION("""COMPUTED_VALUE"""),7.315307744340122E7)</f>
        <v>73153077.44</v>
      </c>
      <c r="P11" s="66">
        <f>IFERROR(__xludf.DUMMYFUNCTION("""COMPUTED_VALUE"""),2809078.1738266065)</f>
        <v>2809078.174</v>
      </c>
      <c r="Q11" s="81">
        <f>IFERROR(__xludf.DUMMYFUNCTION("""COMPUTED_VALUE"""),0.0)</f>
        <v>0</v>
      </c>
      <c r="R11" s="81"/>
      <c r="S11" s="66"/>
      <c r="T11" s="66"/>
      <c r="U11" s="66"/>
      <c r="V11" s="66"/>
    </row>
    <row r="12">
      <c r="A12" s="31" t="str">
        <f>IFERROR(__xludf.DUMMYFUNCTION("""COMPUTED_VALUE"""),"SRM")</f>
        <v>SRM</v>
      </c>
      <c r="B12" s="85">
        <f t="shared" si="1"/>
        <v>20006134.92</v>
      </c>
      <c r="C12" s="32">
        <f t="shared" si="2"/>
        <v>66526794.41</v>
      </c>
      <c r="D12" s="33">
        <f t="shared" si="3"/>
        <v>0.02638008421</v>
      </c>
      <c r="E12" s="86">
        <f t="shared" si="4"/>
        <v>0</v>
      </c>
      <c r="G12" s="81"/>
      <c r="H12" s="66" t="str">
        <f>IFERROR(__xludf.DUMMYFUNCTION("""COMPUTED_VALUE"""),"CEL")</f>
        <v>CEL</v>
      </c>
      <c r="I12" s="66" t="str">
        <f>IFERROR(__xludf.DUMMYFUNCTION("""COMPUTED_VALUE"""),"undeployed")</f>
        <v>undeployed</v>
      </c>
      <c r="J12" s="66" t="str">
        <f>IFERROR(__xludf.DUMMYFUNCTION("""COMPUTED_VALUE"""),"Celsius Network System")</f>
        <v>Celsius Network System</v>
      </c>
      <c r="K12" s="66" t="str">
        <f>IFERROR(__xludf.DUMMYFUNCTION("""COMPUTED_VALUE"""),"1")</f>
        <v>1</v>
      </c>
      <c r="L12" s="72">
        <f>IFERROR(__xludf.DUMMYFUNCTION("""COMPUTED_VALUE"""),1.747356095E7)</f>
        <v>17473560.95</v>
      </c>
      <c r="M12" s="39">
        <f>IFERROR(__xludf.DUMMYFUNCTION("""COMPUTED_VALUE"""),0.0)</f>
        <v>0</v>
      </c>
      <c r="N12" s="39">
        <f>IFERROR(__xludf.DUMMYFUNCTION("""COMPUTED_VALUE"""),0.0415)</f>
        <v>0.0415</v>
      </c>
      <c r="O12" s="91">
        <f>IFERROR(__xludf.DUMMYFUNCTION("""COMPUTED_VALUE"""),6.843733910622738E7)</f>
        <v>68437339.11</v>
      </c>
      <c r="P12" s="66">
        <f>IFERROR(__xludf.DUMMYFUNCTION("""COMPUTED_VALUE"""),2840149.5729084364)</f>
        <v>2840149.573</v>
      </c>
      <c r="Q12" s="81">
        <f>IFERROR(__xludf.DUMMYFUNCTION("""COMPUTED_VALUE"""),0.0)</f>
        <v>0</v>
      </c>
      <c r="R12" s="81"/>
      <c r="S12" s="66"/>
      <c r="T12" s="66"/>
      <c r="U12" s="66"/>
      <c r="V12" s="66"/>
    </row>
    <row r="13">
      <c r="A13" s="31" t="str">
        <f>IFERROR(__xludf.DUMMYFUNCTION("""COMPUTED_VALUE"""),"MATIC")</f>
        <v>MATIC</v>
      </c>
      <c r="B13" s="85">
        <f t="shared" si="1"/>
        <v>31547183.85</v>
      </c>
      <c r="C13" s="32">
        <f t="shared" si="2"/>
        <v>66173612.41</v>
      </c>
      <c r="D13" s="33">
        <f t="shared" si="3"/>
        <v>0.02624003582</v>
      </c>
      <c r="E13" s="86">
        <f t="shared" si="4"/>
        <v>0</v>
      </c>
      <c r="G13" s="81"/>
      <c r="H13" s="66" t="str">
        <f>IFERROR(__xludf.DUMMYFUNCTION("""COMPUTED_VALUE"""),"SRM")</f>
        <v>SRM</v>
      </c>
      <c r="I13" s="66" t="str">
        <f>IFERROR(__xludf.DUMMYFUNCTION("""COMPUTED_VALUE"""),"undeployed")</f>
        <v>undeployed</v>
      </c>
      <c r="J13" s="66" t="str">
        <f>IFERROR(__xludf.DUMMYFUNCTION("""COMPUTED_VALUE"""),"FTX - Main Account")</f>
        <v>FTX - Main Account</v>
      </c>
      <c r="K13" s="66" t="str">
        <f>IFERROR(__xludf.DUMMYFUNCTION("""COMPUTED_VALUE"""),"2")</f>
        <v>2</v>
      </c>
      <c r="L13" s="72">
        <f>IFERROR(__xludf.DUMMYFUNCTION("""COMPUTED_VALUE"""),2.00060916E7)</f>
        <v>20006091.6</v>
      </c>
      <c r="M13" s="39">
        <f>IFERROR(__xludf.DUMMYFUNCTION("""COMPUTED_VALUE"""),0.0)</f>
        <v>0</v>
      </c>
      <c r="N13" s="39" t="str">
        <f>IFERROR(__xludf.DUMMYFUNCTION("""COMPUTED_VALUE"""),"N/A")</f>
        <v>N/A</v>
      </c>
      <c r="O13" s="91">
        <f>IFERROR(__xludf.DUMMYFUNCTION("""COMPUTED_VALUE"""),6.652665035743579E7)</f>
        <v>66526650.36</v>
      </c>
      <c r="P13" s="66" t="str">
        <f>IFERROR(__xludf.DUMMYFUNCTION("""COMPUTED_VALUE"""),"N/A")</f>
        <v>N/A</v>
      </c>
      <c r="Q13" s="81">
        <f>IFERROR(__xludf.DUMMYFUNCTION("""COMPUTED_VALUE"""),0.0)</f>
        <v>0</v>
      </c>
      <c r="R13" s="81"/>
      <c r="S13" s="66"/>
      <c r="T13" s="66"/>
      <c r="U13" s="66"/>
      <c r="V13" s="66"/>
    </row>
    <row r="14">
      <c r="A14" s="31" t="str">
        <f>IFERROR(__xludf.DUMMYFUNCTION("""COMPUTED_VALUE"""),"LUNA")</f>
        <v>LUNA</v>
      </c>
      <c r="B14" s="85">
        <f t="shared" si="1"/>
        <v>516792.0401</v>
      </c>
      <c r="C14" s="32">
        <f t="shared" si="2"/>
        <v>39035835.24</v>
      </c>
      <c r="D14" s="33">
        <f t="shared" si="3"/>
        <v>0.01547900557</v>
      </c>
      <c r="E14" s="86">
        <f t="shared" si="4"/>
        <v>0</v>
      </c>
      <c r="G14" s="81"/>
      <c r="H14" s="66" t="str">
        <f>IFERROR(__xludf.DUMMYFUNCTION("""COMPUTED_VALUE"""),"MATIC")</f>
        <v>MATIC</v>
      </c>
      <c r="I14" s="66" t="str">
        <f>IFERROR(__xludf.DUMMYFUNCTION("""COMPUTED_VALUE"""),"undeployed")</f>
        <v>undeployed</v>
      </c>
      <c r="J14" s="66" t="str">
        <f>IFERROR(__xludf.DUMMYFUNCTION("""COMPUTED_VALUE"""),"Celsius Network System")</f>
        <v>Celsius Network System</v>
      </c>
      <c r="K14" s="66" t="str">
        <f>IFERROR(__xludf.DUMMYFUNCTION("""COMPUTED_VALUE"""),"1")</f>
        <v>1</v>
      </c>
      <c r="L14" s="72">
        <f>IFERROR(__xludf.DUMMYFUNCTION("""COMPUTED_VALUE"""),3.143914203E7)</f>
        <v>31439142.03</v>
      </c>
      <c r="M14" s="39">
        <f>IFERROR(__xludf.DUMMYFUNCTION("""COMPUTED_VALUE"""),0.0)</f>
        <v>0</v>
      </c>
      <c r="N14" s="39">
        <f>IFERROR(__xludf.DUMMYFUNCTION("""COMPUTED_VALUE"""),0.0818)</f>
        <v>0.0818</v>
      </c>
      <c r="O14" s="91">
        <f>IFERROR(__xludf.DUMMYFUNCTION("""COMPUTED_VALUE"""),6.594698307097258E7)</f>
        <v>65946983.07</v>
      </c>
      <c r="P14" s="66">
        <f>IFERROR(__xludf.DUMMYFUNCTION("""COMPUTED_VALUE"""),5394463.215205557)</f>
        <v>5394463.215</v>
      </c>
      <c r="Q14" s="81">
        <f>IFERROR(__xludf.DUMMYFUNCTION("""COMPUTED_VALUE"""),0.0)</f>
        <v>0</v>
      </c>
      <c r="R14" s="81"/>
      <c r="S14" s="66"/>
      <c r="T14" s="66"/>
      <c r="U14" s="66"/>
      <c r="V14" s="66"/>
    </row>
    <row r="15">
      <c r="A15" s="31" t="str">
        <f>IFERROR(__xludf.DUMMYFUNCTION("""COMPUTED_VALUE"""),"XRP")</f>
        <v>XRP</v>
      </c>
      <c r="B15" s="85">
        <f t="shared" si="1"/>
        <v>31617022.4</v>
      </c>
      <c r="C15" s="32">
        <f t="shared" si="2"/>
        <v>27397207.1</v>
      </c>
      <c r="D15" s="33">
        <f t="shared" si="3"/>
        <v>0.01086390284</v>
      </c>
      <c r="E15" s="86">
        <f t="shared" si="4"/>
        <v>0</v>
      </c>
      <c r="G15" s="81"/>
      <c r="H15" s="66" t="str">
        <f>IFERROR(__xludf.DUMMYFUNCTION("""COMPUTED_VALUE"""),"Stable Coins")</f>
        <v>Stable Coins</v>
      </c>
      <c r="I15" s="66" t="str">
        <f>IFERROR(__xludf.DUMMYFUNCTION("""COMPUTED_VALUE"""),"undeployed")</f>
        <v>undeployed</v>
      </c>
      <c r="J15" s="66" t="str">
        <f>IFERROR(__xludf.DUMMYFUNCTION("""COMPUTED_VALUE"""),"Celsius Network")</f>
        <v>Celsius Network</v>
      </c>
      <c r="K15" s="66" t="str">
        <f>IFERROR(__xludf.DUMMYFUNCTION("""COMPUTED_VALUE"""),"1")</f>
        <v>1</v>
      </c>
      <c r="L15" s="72">
        <f>IFERROR(__xludf.DUMMYFUNCTION("""COMPUTED_VALUE"""),4.635566319712216E7)</f>
        <v>46355663.2</v>
      </c>
      <c r="M15" s="39">
        <f>IFERROR(__xludf.DUMMYFUNCTION("""COMPUTED_VALUE"""),0.0)</f>
        <v>0</v>
      </c>
      <c r="N15" s="39">
        <f>IFERROR(__xludf.DUMMYFUNCTION("""COMPUTED_VALUE"""),0.0959)</f>
        <v>0.0959</v>
      </c>
      <c r="O15" s="91">
        <f>IFERROR(__xludf.DUMMYFUNCTION("""COMPUTED_VALUE"""),4.635566319712216E7)</f>
        <v>46355663.2</v>
      </c>
      <c r="P15" s="66">
        <f>IFERROR(__xludf.DUMMYFUNCTION("""COMPUTED_VALUE"""),4445508.1006040145)</f>
        <v>4445508.101</v>
      </c>
      <c r="Q15" s="81">
        <f>IFERROR(__xludf.DUMMYFUNCTION("""COMPUTED_VALUE"""),0.0)</f>
        <v>0</v>
      </c>
      <c r="R15" s="81"/>
      <c r="S15" s="66"/>
      <c r="T15" s="66"/>
      <c r="U15" s="66"/>
      <c r="V15" s="66"/>
    </row>
    <row r="16">
      <c r="A16" s="31" t="str">
        <f>IFERROR(__xludf.DUMMYFUNCTION("""COMPUTED_VALUE"""),"ZEC")</f>
        <v>ZEC</v>
      </c>
      <c r="B16" s="85">
        <f t="shared" si="1"/>
        <v>93963.51496</v>
      </c>
      <c r="C16" s="32">
        <f t="shared" si="2"/>
        <v>14987654.83</v>
      </c>
      <c r="D16" s="33">
        <f t="shared" si="3"/>
        <v>0.005943103078</v>
      </c>
      <c r="E16" s="86">
        <f t="shared" si="4"/>
        <v>0</v>
      </c>
      <c r="G16" s="81"/>
      <c r="H16" s="66" t="str">
        <f>IFERROR(__xludf.DUMMYFUNCTION("""COMPUTED_VALUE"""),"Stable Coins")</f>
        <v>Stable Coins</v>
      </c>
      <c r="I16" s="66" t="str">
        <f>IFERROR(__xludf.DUMMYFUNCTION("""COMPUTED_VALUE"""),"undeployed")</f>
        <v>undeployed</v>
      </c>
      <c r="J16" s="66" t="str">
        <f>IFERROR(__xludf.DUMMYFUNCTION("""COMPUTED_VALUE"""),"Celsius Network System")</f>
        <v>Celsius Network System</v>
      </c>
      <c r="K16" s="66" t="str">
        <f>IFERROR(__xludf.DUMMYFUNCTION("""COMPUTED_VALUE"""),"1")</f>
        <v>1</v>
      </c>
      <c r="L16" s="72">
        <f>IFERROR(__xludf.DUMMYFUNCTION("""COMPUTED_VALUE"""),4.43760322948377E7)</f>
        <v>44376032.29</v>
      </c>
      <c r="M16" s="39">
        <f>IFERROR(__xludf.DUMMYFUNCTION("""COMPUTED_VALUE"""),0.0)</f>
        <v>0</v>
      </c>
      <c r="N16" s="39">
        <f>IFERROR(__xludf.DUMMYFUNCTION("""COMPUTED_VALUE"""),0.0959)</f>
        <v>0.0959</v>
      </c>
      <c r="O16" s="91">
        <f>IFERROR(__xludf.DUMMYFUNCTION("""COMPUTED_VALUE"""),4.43760322948377E7)</f>
        <v>44376032.29</v>
      </c>
      <c r="P16" s="66">
        <f>IFERROR(__xludf.DUMMYFUNCTION("""COMPUTED_VALUE"""),4255661.497074936)</f>
        <v>4255661.497</v>
      </c>
      <c r="Q16" s="81">
        <f>IFERROR(__xludf.DUMMYFUNCTION("""COMPUTED_VALUE"""),0.0)</f>
        <v>0</v>
      </c>
      <c r="R16" s="81"/>
      <c r="S16" s="66"/>
      <c r="T16" s="66"/>
      <c r="U16" s="66"/>
      <c r="V16" s="66"/>
    </row>
    <row r="17">
      <c r="A17" s="31" t="str">
        <f>IFERROR(__xludf.DUMMYFUNCTION("""COMPUTED_VALUE"""),"XLM")</f>
        <v>XLM</v>
      </c>
      <c r="B17" s="85">
        <f t="shared" si="1"/>
        <v>55153186.76</v>
      </c>
      <c r="C17" s="32">
        <f t="shared" si="2"/>
        <v>14898364.88</v>
      </c>
      <c r="D17" s="33">
        <f t="shared" si="3"/>
        <v>0.005907696646</v>
      </c>
      <c r="E17" s="86">
        <f t="shared" si="4"/>
        <v>0</v>
      </c>
      <c r="G17" s="81"/>
      <c r="H17" s="66" t="str">
        <f>IFERROR(__xludf.DUMMYFUNCTION("""COMPUTED_VALUE"""),"CEL")</f>
        <v>CEL</v>
      </c>
      <c r="I17" s="66" t="str">
        <f>IFERROR(__xludf.DUMMYFUNCTION("""COMPUTED_VALUE"""),"undeployed")</f>
        <v>undeployed</v>
      </c>
      <c r="J17" s="66" t="str">
        <f>IFERROR(__xludf.DUMMYFUNCTION("""COMPUTED_VALUE"""),"FTX - Management")</f>
        <v>FTX - Management</v>
      </c>
      <c r="K17" s="66" t="str">
        <f>IFERROR(__xludf.DUMMYFUNCTION("""COMPUTED_VALUE"""),"4")</f>
        <v>4</v>
      </c>
      <c r="L17" s="72">
        <f>IFERROR(__xludf.DUMMYFUNCTION("""COMPUTED_VALUE"""),1.0E7)</f>
        <v>10000000</v>
      </c>
      <c r="M17" s="39">
        <f>IFERROR(__xludf.DUMMYFUNCTION("""COMPUTED_VALUE"""),0.0)</f>
        <v>0</v>
      </c>
      <c r="N17" s="39">
        <f>IFERROR(__xludf.DUMMYFUNCTION("""COMPUTED_VALUE"""),0.0415)</f>
        <v>0.0415</v>
      </c>
      <c r="O17" s="91">
        <f>IFERROR(__xludf.DUMMYFUNCTION("""COMPUTED_VALUE"""),3.916622336E7)</f>
        <v>39166223.36</v>
      </c>
      <c r="P17" s="66">
        <f>IFERROR(__xludf.DUMMYFUNCTION("""COMPUTED_VALUE"""),1625398.26944)</f>
        <v>1625398.269</v>
      </c>
      <c r="Q17" s="81">
        <f>IFERROR(__xludf.DUMMYFUNCTION("""COMPUTED_VALUE"""),0.0)</f>
        <v>0</v>
      </c>
      <c r="R17" s="81"/>
      <c r="S17" s="66"/>
      <c r="T17" s="66"/>
      <c r="U17" s="66"/>
      <c r="V17" s="66"/>
    </row>
    <row r="18">
      <c r="A18" s="31" t="str">
        <f>IFERROR(__xludf.DUMMYFUNCTION("""COMPUTED_VALUE"""),"ADA")</f>
        <v>ADA</v>
      </c>
      <c r="B18" s="85">
        <f t="shared" si="1"/>
        <v>22641789.36</v>
      </c>
      <c r="C18" s="32">
        <f t="shared" si="2"/>
        <v>27734540.18</v>
      </c>
      <c r="D18" s="33">
        <f t="shared" si="3"/>
        <v>0.01099766661</v>
      </c>
      <c r="E18" s="86">
        <f t="shared" ref="E18:E64" si="5">iferror(SUMIFs(Q:Q,I:I,A18)/C18)</f>
        <v>0</v>
      </c>
      <c r="G18" s="81"/>
      <c r="H18" s="66" t="str">
        <f>IFERROR(__xludf.DUMMYFUNCTION("""COMPUTED_VALUE"""),"Stable Coins")</f>
        <v>Stable Coins</v>
      </c>
      <c r="I18" s="66" t="str">
        <f>IFERROR(__xludf.DUMMYFUNCTION("""COMPUTED_VALUE"""),"undeployed")</f>
        <v>undeployed</v>
      </c>
      <c r="J18" s="66" t="str">
        <f>IFERROR(__xludf.DUMMYFUNCTION("""COMPUTED_VALUE"""),"PrimeTrust")</f>
        <v>PrimeTrust</v>
      </c>
      <c r="K18" s="66" t="str">
        <f>IFERROR(__xludf.DUMMYFUNCTION("""COMPUTED_VALUE"""),"5")</f>
        <v>5</v>
      </c>
      <c r="L18" s="72">
        <f>IFERROR(__xludf.DUMMYFUNCTION("""COMPUTED_VALUE"""),2.777839669E7)</f>
        <v>27778396.69</v>
      </c>
      <c r="M18" s="39">
        <f>IFERROR(__xludf.DUMMYFUNCTION("""COMPUTED_VALUE"""),0.0)</f>
        <v>0</v>
      </c>
      <c r="N18" s="39">
        <f>IFERROR(__xludf.DUMMYFUNCTION("""COMPUTED_VALUE"""),0.0959)</f>
        <v>0.0959</v>
      </c>
      <c r="O18" s="91">
        <f>IFERROR(__xludf.DUMMYFUNCTION("""COMPUTED_VALUE"""),2.777839669E7)</f>
        <v>27778396.69</v>
      </c>
      <c r="P18" s="66">
        <f>IFERROR(__xludf.DUMMYFUNCTION("""COMPUTED_VALUE"""),2663948.242571)</f>
        <v>2663948.243</v>
      </c>
      <c r="Q18" s="81">
        <f>IFERROR(__xludf.DUMMYFUNCTION("""COMPUTED_VALUE"""),0.0)</f>
        <v>0</v>
      </c>
      <c r="R18" s="81"/>
      <c r="S18" s="66"/>
      <c r="T18" s="66"/>
      <c r="U18" s="66"/>
      <c r="V18" s="66"/>
    </row>
    <row r="19">
      <c r="A19" s="31" t="str">
        <f>IFERROR(__xludf.DUMMYFUNCTION("""COMPUTED_VALUE"""),"LTC")</f>
        <v>LTC</v>
      </c>
      <c r="B19" s="85">
        <f t="shared" si="1"/>
        <v>87434.00567</v>
      </c>
      <c r="C19" s="32">
        <f t="shared" si="2"/>
        <v>13134199.17</v>
      </c>
      <c r="D19" s="33">
        <f t="shared" si="3"/>
        <v>0.005208146332</v>
      </c>
      <c r="E19" s="86">
        <f t="shared" si="5"/>
        <v>0</v>
      </c>
      <c r="G19" s="81"/>
      <c r="H19" s="66" t="str">
        <f>IFERROR(__xludf.DUMMYFUNCTION("""COMPUTED_VALUE"""),"CEL")</f>
        <v>CEL</v>
      </c>
      <c r="I19" s="66" t="str">
        <f>IFERROR(__xludf.DUMMYFUNCTION("""COMPUTED_VALUE"""),"undeployed")</f>
        <v>undeployed</v>
      </c>
      <c r="J19" s="66" t="str">
        <f>IFERROR(__xludf.DUMMYFUNCTION("""COMPUTED_VALUE"""),"FTX - CEL")</f>
        <v>FTX - CEL</v>
      </c>
      <c r="K19" s="66" t="str">
        <f>IFERROR(__xludf.DUMMYFUNCTION("""COMPUTED_VALUE"""),"2")</f>
        <v>2</v>
      </c>
      <c r="L19" s="72">
        <f>IFERROR(__xludf.DUMMYFUNCTION("""COMPUTED_VALUE"""),5779333.465)</f>
        <v>5779333.465</v>
      </c>
      <c r="M19" s="39">
        <f>IFERROR(__xludf.DUMMYFUNCTION("""COMPUTED_VALUE"""),0.0)</f>
        <v>0</v>
      </c>
      <c r="N19" s="39">
        <f>IFERROR(__xludf.DUMMYFUNCTION("""COMPUTED_VALUE"""),0.0)</f>
        <v>0</v>
      </c>
      <c r="O19" s="91">
        <f>IFERROR(__xludf.DUMMYFUNCTION("""COMPUTED_VALUE"""),2.2635466536211275E7)</f>
        <v>22635466.54</v>
      </c>
      <c r="P19" s="66">
        <f>IFERROR(__xludf.DUMMYFUNCTION("""COMPUTED_VALUE"""),0.0)</f>
        <v>0</v>
      </c>
      <c r="Q19" s="81">
        <f>IFERROR(__xludf.DUMMYFUNCTION("""COMPUTED_VALUE"""),0.0)</f>
        <v>0</v>
      </c>
      <c r="R19" s="81"/>
      <c r="S19" s="66"/>
      <c r="T19" s="66"/>
      <c r="U19" s="66"/>
      <c r="V19" s="66"/>
    </row>
    <row r="20">
      <c r="A20" s="31" t="str">
        <f>IFERROR(__xludf.DUMMYFUNCTION("""COMPUTED_VALUE"""),"PAXG")</f>
        <v>PAXG</v>
      </c>
      <c r="B20" s="85">
        <f t="shared" si="1"/>
        <v>8071.966009</v>
      </c>
      <c r="C20" s="32">
        <f t="shared" si="2"/>
        <v>14579094.65</v>
      </c>
      <c r="D20" s="33">
        <f t="shared" si="3"/>
        <v>0.005781095392</v>
      </c>
      <c r="E20" s="86">
        <f t="shared" si="5"/>
        <v>0</v>
      </c>
      <c r="G20" s="81"/>
      <c r="H20" s="66" t="str">
        <f>IFERROR(__xludf.DUMMYFUNCTION("""COMPUTED_VALUE"""),"LUNA")</f>
        <v>LUNA</v>
      </c>
      <c r="I20" s="66" t="str">
        <f>IFERROR(__xludf.DUMMYFUNCTION("""COMPUTED_VALUE"""),"undeployed")</f>
        <v>undeployed</v>
      </c>
      <c r="J20" s="66" t="str">
        <f>IFERROR(__xludf.DUMMYFUNCTION("""COMPUTED_VALUE"""),"Celsius Network")</f>
        <v>Celsius Network</v>
      </c>
      <c r="K20" s="66" t="str">
        <f>IFERROR(__xludf.DUMMYFUNCTION("""COMPUTED_VALUE"""),"1")</f>
        <v>1</v>
      </c>
      <c r="L20" s="72">
        <f>IFERROR(__xludf.DUMMYFUNCTION("""COMPUTED_VALUE"""),271630.69)</f>
        <v>271630.69</v>
      </c>
      <c r="M20" s="39">
        <f>IFERROR(__xludf.DUMMYFUNCTION("""COMPUTED_VALUE"""),0.0)</f>
        <v>0</v>
      </c>
      <c r="N20" s="39">
        <f>IFERROR(__xludf.DUMMYFUNCTION("""COMPUTED_VALUE"""),0.0488)</f>
        <v>0.0488</v>
      </c>
      <c r="O20" s="91">
        <f>IFERROR(__xludf.DUMMYFUNCTION("""COMPUTED_VALUE"""),2.051759709571913E7)</f>
        <v>20517597.1</v>
      </c>
      <c r="P20" s="66">
        <f>IFERROR(__xludf.DUMMYFUNCTION("""COMPUTED_VALUE"""),1001258.7382710936)</f>
        <v>1001258.738</v>
      </c>
      <c r="Q20" s="81">
        <f>IFERROR(__xludf.DUMMYFUNCTION("""COMPUTED_VALUE"""),0.0)</f>
        <v>0</v>
      </c>
      <c r="R20" s="81"/>
      <c r="S20" s="66"/>
      <c r="T20" s="66"/>
      <c r="U20" s="66"/>
      <c r="V20" s="66"/>
    </row>
    <row r="21">
      <c r="A21" s="31" t="str">
        <f>IFERROR(__xludf.DUMMYFUNCTION("""COMPUTED_VALUE"""),"LINK")</f>
        <v>LINK</v>
      </c>
      <c r="B21" s="85">
        <f t="shared" si="1"/>
        <v>953610.9186</v>
      </c>
      <c r="C21" s="32">
        <f t="shared" si="2"/>
        <v>17654281.82</v>
      </c>
      <c r="D21" s="33">
        <f t="shared" si="3"/>
        <v>0.007000509274</v>
      </c>
      <c r="E21" s="86">
        <f t="shared" si="5"/>
        <v>0</v>
      </c>
      <c r="H21" s="66" t="str">
        <f>IFERROR(__xludf.DUMMYFUNCTION("""COMPUTED_VALUE"""),"BTC")</f>
        <v>BTC</v>
      </c>
      <c r="I21" s="66" t="str">
        <f>IFERROR(__xludf.DUMMYFUNCTION("""COMPUTED_VALUE"""),"undeployed")</f>
        <v>undeployed</v>
      </c>
      <c r="J21" s="58" t="str">
        <f>IFERROR(__xludf.DUMMYFUNCTION("""COMPUTED_VALUE"""),"PrimeTrust")</f>
        <v>PrimeTrust</v>
      </c>
      <c r="K21" s="66" t="str">
        <f>IFERROR(__xludf.DUMMYFUNCTION("""COMPUTED_VALUE"""),"5")</f>
        <v>5</v>
      </c>
      <c r="L21" s="72">
        <f>IFERROR(__xludf.DUMMYFUNCTION("""COMPUTED_VALUE"""),419.2)</f>
        <v>419.2</v>
      </c>
      <c r="M21" s="39">
        <f>IFERROR(__xludf.DUMMYFUNCTION("""COMPUTED_VALUE"""),0.0)</f>
        <v>0</v>
      </c>
      <c r="N21" s="39">
        <f>IFERROR(__xludf.DUMMYFUNCTION("""COMPUTED_VALUE"""),0.0298)</f>
        <v>0.0298</v>
      </c>
      <c r="O21" s="91">
        <f>IFERROR(__xludf.DUMMYFUNCTION("""COMPUTED_VALUE"""),1.9415093013375998E7)</f>
        <v>19415093.01</v>
      </c>
      <c r="P21" s="66">
        <f>IFERROR(__xludf.DUMMYFUNCTION("""COMPUTED_VALUE"""),578569.7717986048)</f>
        <v>578569.7718</v>
      </c>
      <c r="Q21" s="81">
        <f>IFERROR(__xludf.DUMMYFUNCTION("""COMPUTED_VALUE"""),0.0)</f>
        <v>0</v>
      </c>
      <c r="R21" s="81"/>
      <c r="S21" s="66"/>
      <c r="T21" s="66"/>
      <c r="U21" s="66"/>
      <c r="V21" s="66"/>
    </row>
    <row r="22">
      <c r="A22" s="66" t="str">
        <f>IFERROR(__xludf.DUMMYFUNCTION("""COMPUTED_VALUE"""),"TGBP")</f>
        <v>TGBP</v>
      </c>
      <c r="B22" s="85">
        <f t="shared" si="1"/>
        <v>4352768.658</v>
      </c>
      <c r="C22" s="32">
        <f t="shared" si="2"/>
        <v>5748701.567</v>
      </c>
      <c r="D22" s="33">
        <f t="shared" si="3"/>
        <v>0.002279551161</v>
      </c>
      <c r="E22" s="86">
        <f t="shared" si="5"/>
        <v>0</v>
      </c>
      <c r="H22" s="66" t="str">
        <f>IFERROR(__xludf.DUMMYFUNCTION("""COMPUTED_VALUE"""),"LUNA")</f>
        <v>LUNA</v>
      </c>
      <c r="I22" s="66" t="str">
        <f>IFERROR(__xludf.DUMMYFUNCTION("""COMPUTED_VALUE"""),"undeployed")</f>
        <v>undeployed</v>
      </c>
      <c r="J22" s="66" t="str">
        <f>IFERROR(__xludf.DUMMYFUNCTION("""COMPUTED_VALUE"""),"Celsius Network System")</f>
        <v>Celsius Network System</v>
      </c>
      <c r="K22" s="66" t="str">
        <f>IFERROR(__xludf.DUMMYFUNCTION("""COMPUTED_VALUE"""),"1")</f>
        <v>1</v>
      </c>
      <c r="L22" s="72">
        <f>IFERROR(__xludf.DUMMYFUNCTION("""COMPUTED_VALUE"""),244372.4811)</f>
        <v>244372.4811</v>
      </c>
      <c r="M22" s="39">
        <f>IFERROR(__xludf.DUMMYFUNCTION("""COMPUTED_VALUE"""),0.0)</f>
        <v>0</v>
      </c>
      <c r="N22" s="39">
        <f>IFERROR(__xludf.DUMMYFUNCTION("""COMPUTED_VALUE"""),0.0488)</f>
        <v>0.0488</v>
      </c>
      <c r="O22" s="91">
        <f>IFERROR(__xludf.DUMMYFUNCTION("""COMPUTED_VALUE"""),1.845865100328331E7)</f>
        <v>18458651</v>
      </c>
      <c r="P22" s="66">
        <f>IFERROR(__xludf.DUMMYFUNCTION("""COMPUTED_VALUE"""),900782.1689602257)</f>
        <v>900782.169</v>
      </c>
      <c r="Q22" s="81">
        <f>IFERROR(__xludf.DUMMYFUNCTION("""COMPUTED_VALUE"""),0.0)</f>
        <v>0</v>
      </c>
      <c r="R22" s="81"/>
      <c r="S22" s="66"/>
      <c r="T22" s="66"/>
      <c r="U22" s="66"/>
      <c r="V22" s="66"/>
    </row>
    <row r="23">
      <c r="A23" s="66" t="str">
        <f>IFERROR(__xludf.DUMMYFUNCTION("""COMPUTED_VALUE"""),"TAUD")</f>
        <v>TAUD</v>
      </c>
      <c r="B23" s="85">
        <f t="shared" si="1"/>
        <v>7208907.6</v>
      </c>
      <c r="C23" s="32">
        <f t="shared" si="2"/>
        <v>5116882.614</v>
      </c>
      <c r="D23" s="33">
        <f t="shared" si="3"/>
        <v>0.002029013956</v>
      </c>
      <c r="E23" s="86">
        <f t="shared" si="5"/>
        <v>0</v>
      </c>
      <c r="H23" s="66" t="str">
        <f>IFERROR(__xludf.DUMMYFUNCTION("""COMPUTED_VALUE"""),"XRP")</f>
        <v>XRP</v>
      </c>
      <c r="I23" s="66" t="str">
        <f>IFERROR(__xludf.DUMMYFUNCTION("""COMPUTED_VALUE"""),"undeployed")</f>
        <v>undeployed</v>
      </c>
      <c r="J23" s="66" t="str">
        <f>IFERROR(__xludf.DUMMYFUNCTION("""COMPUTED_VALUE"""),"Celsius Network")</f>
        <v>Celsius Network</v>
      </c>
      <c r="K23" s="66" t="str">
        <f>IFERROR(__xludf.DUMMYFUNCTION("""COMPUTED_VALUE"""),"1")</f>
        <v>1</v>
      </c>
      <c r="L23" s="72">
        <f>IFERROR(__xludf.DUMMYFUNCTION("""COMPUTED_VALUE"""),2.009704043E7)</f>
        <v>20097040.43</v>
      </c>
      <c r="M23" s="39">
        <f>IFERROR(__xludf.DUMMYFUNCTION("""COMPUTED_VALUE"""),0.0)</f>
        <v>0</v>
      </c>
      <c r="N23" s="39">
        <f>IFERROR(__xludf.DUMMYFUNCTION("""COMPUTED_VALUE"""),0.0127)</f>
        <v>0.0127</v>
      </c>
      <c r="O23" s="91">
        <f>IFERROR(__xludf.DUMMYFUNCTION("""COMPUTED_VALUE"""),1.7414757525374673E7)</f>
        <v>17414757.53</v>
      </c>
      <c r="P23" s="66">
        <f>IFERROR(__xludf.DUMMYFUNCTION("""COMPUTED_VALUE"""),221167.42057225833)</f>
        <v>221167.4206</v>
      </c>
      <c r="Q23" s="81">
        <f>IFERROR(__xludf.DUMMYFUNCTION("""COMPUTED_VALUE"""),0.0)</f>
        <v>0</v>
      </c>
      <c r="R23" s="81"/>
      <c r="S23" s="66"/>
      <c r="T23" s="66"/>
      <c r="U23" s="66"/>
      <c r="V23" s="66"/>
    </row>
    <row r="24">
      <c r="A24" s="66" t="str">
        <f>IFERROR(__xludf.DUMMYFUNCTION("""COMPUTED_VALUE"""),"BNB")</f>
        <v>BNB</v>
      </c>
      <c r="B24" s="85">
        <f t="shared" si="1"/>
        <v>8473.624113</v>
      </c>
      <c r="C24" s="32">
        <f t="shared" si="2"/>
        <v>4407151.607</v>
      </c>
      <c r="D24" s="33">
        <f t="shared" si="3"/>
        <v>0.001747582032</v>
      </c>
      <c r="E24" s="86">
        <f t="shared" si="5"/>
        <v>0</v>
      </c>
      <c r="H24" s="66" t="str">
        <f>IFERROR(__xludf.DUMMYFUNCTION("""COMPUTED_VALUE"""),"ZEC")</f>
        <v>ZEC</v>
      </c>
      <c r="I24" s="66" t="str">
        <f>IFERROR(__xludf.DUMMYFUNCTION("""COMPUTED_VALUE"""),"undeployed")</f>
        <v>undeployed</v>
      </c>
      <c r="J24" s="66" t="str">
        <f>IFERROR(__xludf.DUMMYFUNCTION("""COMPUTED_VALUE"""),"Celsius Network System")</f>
        <v>Celsius Network System</v>
      </c>
      <c r="K24" s="66" t="str">
        <f>IFERROR(__xludf.DUMMYFUNCTION("""COMPUTED_VALUE"""),"1")</f>
        <v>1</v>
      </c>
      <c r="L24" s="72">
        <f>IFERROR(__xludf.DUMMYFUNCTION("""COMPUTED_VALUE"""),93748.89346)</f>
        <v>93748.89346</v>
      </c>
      <c r="M24" s="39">
        <f>IFERROR(__xludf.DUMMYFUNCTION("""COMPUTED_VALUE"""),0.0)</f>
        <v>0</v>
      </c>
      <c r="N24" s="39">
        <f>IFERROR(__xludf.DUMMYFUNCTION("""COMPUTED_VALUE"""),0.0155)</f>
        <v>0.0155</v>
      </c>
      <c r="O24" s="91">
        <f>IFERROR(__xludf.DUMMYFUNCTION("""COMPUTED_VALUE"""),1.4953421620035734E7)</f>
        <v>14953421.62</v>
      </c>
      <c r="P24" s="66">
        <f>IFERROR(__xludf.DUMMYFUNCTION("""COMPUTED_VALUE"""),231778.03511055387)</f>
        <v>231778.0351</v>
      </c>
      <c r="Q24" s="81">
        <f>IFERROR(__xludf.DUMMYFUNCTION("""COMPUTED_VALUE"""),0.0)</f>
        <v>0</v>
      </c>
      <c r="R24" s="81"/>
      <c r="S24" s="66"/>
      <c r="T24" s="66"/>
      <c r="U24" s="66"/>
      <c r="V24" s="66"/>
    </row>
    <row r="25">
      <c r="A25" s="66" t="str">
        <f>IFERROR(__xludf.DUMMYFUNCTION("""COMPUTED_VALUE"""),"COMP")</f>
        <v>COMP</v>
      </c>
      <c r="B25" s="85">
        <f t="shared" si="1"/>
        <v>20904.70143</v>
      </c>
      <c r="C25" s="32">
        <f t="shared" si="2"/>
        <v>3921303.895</v>
      </c>
      <c r="D25" s="33">
        <f t="shared" si="3"/>
        <v>0.001554927272</v>
      </c>
      <c r="E25" s="86">
        <f t="shared" si="5"/>
        <v>0</v>
      </c>
      <c r="H25" s="66" t="str">
        <f>IFERROR(__xludf.DUMMYFUNCTION("""COMPUTED_VALUE"""),"ETH")</f>
        <v>ETH</v>
      </c>
      <c r="I25" s="66" t="str">
        <f>IFERROR(__xludf.DUMMYFUNCTION("""COMPUTED_VALUE"""),"undeployed")</f>
        <v>undeployed</v>
      </c>
      <c r="J25" s="66" t="str">
        <f>IFERROR(__xludf.DUMMYFUNCTION("""COMPUTED_VALUE"""),"PrimeTrust")</f>
        <v>PrimeTrust</v>
      </c>
      <c r="K25" s="66" t="str">
        <f>IFERROR(__xludf.DUMMYFUNCTION("""COMPUTED_VALUE"""),"5")</f>
        <v>5</v>
      </c>
      <c r="L25" s="72">
        <f>IFERROR(__xludf.DUMMYFUNCTION("""COMPUTED_VALUE"""),3812.224816)</f>
        <v>3812.224816</v>
      </c>
      <c r="M25" s="39">
        <f>IFERROR(__xludf.DUMMYFUNCTION("""COMPUTED_VALUE"""),0.0)</f>
        <v>0</v>
      </c>
      <c r="N25" s="39">
        <f>IFERROR(__xludf.DUMMYFUNCTION("""COMPUTED_VALUE"""),0.0384)</f>
        <v>0.0384</v>
      </c>
      <c r="O25" s="91">
        <f>IFERROR(__xludf.DUMMYFUNCTION("""COMPUTED_VALUE"""),1.4561461852158403E7)</f>
        <v>14561461.85</v>
      </c>
      <c r="P25" s="66">
        <f>IFERROR(__xludf.DUMMYFUNCTION("""COMPUTED_VALUE"""),559160.1351228827)</f>
        <v>559160.1351</v>
      </c>
      <c r="Q25" s="81">
        <f>IFERROR(__xludf.DUMMYFUNCTION("""COMPUTED_VALUE"""),0.0)</f>
        <v>0</v>
      </c>
      <c r="R25" s="81"/>
      <c r="S25" s="66"/>
      <c r="T25" s="66"/>
      <c r="U25" s="66"/>
      <c r="V25" s="66"/>
    </row>
    <row r="26">
      <c r="A26" s="66" t="str">
        <f>IFERROR(__xludf.DUMMYFUNCTION("""COMPUTED_VALUE"""),"DOT")</f>
        <v>DOT</v>
      </c>
      <c r="B26" s="85">
        <f t="shared" si="1"/>
        <v>190105.0993</v>
      </c>
      <c r="C26" s="32">
        <f t="shared" si="2"/>
        <v>4610509.291</v>
      </c>
      <c r="D26" s="33">
        <f t="shared" si="3"/>
        <v>0.001828220109</v>
      </c>
      <c r="E26" s="86">
        <f t="shared" si="5"/>
        <v>0</v>
      </c>
      <c r="H26" s="66" t="str">
        <f>IFERROR(__xludf.DUMMYFUNCTION("""COMPUTED_VALUE"""),"XLM")</f>
        <v>XLM</v>
      </c>
      <c r="I26" s="66" t="str">
        <f>IFERROR(__xludf.DUMMYFUNCTION("""COMPUTED_VALUE"""),"undeployed")</f>
        <v>undeployed</v>
      </c>
      <c r="J26" s="66" t="str">
        <f>IFERROR(__xludf.DUMMYFUNCTION("""COMPUTED_VALUE"""),"Celsius Network System")</f>
        <v>Celsius Network System</v>
      </c>
      <c r="K26" s="66" t="str">
        <f>IFERROR(__xludf.DUMMYFUNCTION("""COMPUTED_VALUE"""),"1")</f>
        <v>1</v>
      </c>
      <c r="L26" s="72">
        <f>IFERROR(__xludf.DUMMYFUNCTION("""COMPUTED_VALUE"""),5.357216403E7)</f>
        <v>53572164.03</v>
      </c>
      <c r="M26" s="39">
        <f>IFERROR(__xludf.DUMMYFUNCTION("""COMPUTED_VALUE"""),0.0)</f>
        <v>0</v>
      </c>
      <c r="N26" s="39">
        <f>IFERROR(__xludf.DUMMYFUNCTION("""COMPUTED_VALUE"""),0.0091)</f>
        <v>0.0091</v>
      </c>
      <c r="O26" s="91">
        <f>IFERROR(__xludf.DUMMYFUNCTION("""COMPUTED_VALUE"""),1.447128795293181E7)</f>
        <v>14471287.95</v>
      </c>
      <c r="P26" s="66">
        <f>IFERROR(__xludf.DUMMYFUNCTION("""COMPUTED_VALUE"""),131688.7203716795)</f>
        <v>131688.7204</v>
      </c>
      <c r="Q26" s="81">
        <f>IFERROR(__xludf.DUMMYFUNCTION("""COMPUTED_VALUE"""),0.0)</f>
        <v>0</v>
      </c>
      <c r="R26" s="81"/>
      <c r="S26" s="66"/>
      <c r="T26" s="66"/>
      <c r="U26" s="66"/>
      <c r="V26" s="66"/>
    </row>
    <row r="27">
      <c r="A27" s="66" t="str">
        <f>IFERROR(__xludf.DUMMYFUNCTION("""COMPUTED_VALUE"""),"BAT")</f>
        <v>BAT</v>
      </c>
      <c r="B27" s="85">
        <f t="shared" si="1"/>
        <v>4061153.844</v>
      </c>
      <c r="C27" s="32">
        <f t="shared" si="2"/>
        <v>4380372.31</v>
      </c>
      <c r="D27" s="33">
        <f t="shared" si="3"/>
        <v>0.001736963151</v>
      </c>
      <c r="E27" s="86">
        <f t="shared" si="5"/>
        <v>0</v>
      </c>
      <c r="H27" s="66" t="str">
        <f>IFERROR(__xludf.DUMMYFUNCTION("""COMPUTED_VALUE"""),"CEL")</f>
        <v>CEL</v>
      </c>
      <c r="I27" s="66" t="str">
        <f>IFERROR(__xludf.DUMMYFUNCTION("""COMPUTED_VALUE"""),"undeployed")</f>
        <v>undeployed</v>
      </c>
      <c r="J27" s="66" t="str">
        <f>IFERROR(__xludf.DUMMYFUNCTION("""COMPUTED_VALUE"""),"Celsius Network")</f>
        <v>Celsius Network</v>
      </c>
      <c r="K27" s="66" t="str">
        <f>IFERROR(__xludf.DUMMYFUNCTION("""COMPUTED_VALUE"""),"1")</f>
        <v>1</v>
      </c>
      <c r="L27" s="72">
        <f>IFERROR(__xludf.DUMMYFUNCTION("""COMPUTED_VALUE"""),3647403.527)</f>
        <v>3647403.527</v>
      </c>
      <c r="M27" s="39">
        <f>IFERROR(__xludf.DUMMYFUNCTION("""COMPUTED_VALUE"""),0.0)</f>
        <v>0</v>
      </c>
      <c r="N27" s="39">
        <f>IFERROR(__xludf.DUMMYFUNCTION("""COMPUTED_VALUE"""),0.0415)</f>
        <v>0.0415</v>
      </c>
      <c r="O27" s="91">
        <f>IFERROR(__xludf.DUMMYFUNCTION("""COMPUTED_VALUE"""),1.4285502122253379E7)</f>
        <v>14285502.12</v>
      </c>
      <c r="P27" s="66">
        <f>IFERROR(__xludf.DUMMYFUNCTION("""COMPUTED_VALUE"""),592848.3380735152)</f>
        <v>592848.3381</v>
      </c>
      <c r="Q27" s="81">
        <f>IFERROR(__xludf.DUMMYFUNCTION("""COMPUTED_VALUE"""),0.0)</f>
        <v>0</v>
      </c>
      <c r="R27" s="81"/>
      <c r="S27" s="66"/>
      <c r="T27" s="66"/>
      <c r="U27" s="66"/>
      <c r="V27" s="66"/>
    </row>
    <row r="28">
      <c r="A28" s="66" t="str">
        <f>IFERROR(__xludf.DUMMYFUNCTION("""COMPUTED_VALUE"""),"EOS")</f>
        <v>EOS</v>
      </c>
      <c r="B28" s="85">
        <f t="shared" si="1"/>
        <v>837822.8287</v>
      </c>
      <c r="C28" s="32">
        <f t="shared" si="2"/>
        <v>2701806.348</v>
      </c>
      <c r="D28" s="33">
        <f t="shared" si="3"/>
        <v>0.001071355979</v>
      </c>
      <c r="E28" s="86">
        <f t="shared" si="5"/>
        <v>0</v>
      </c>
      <c r="H28" s="66" t="str">
        <f>IFERROR(__xludf.DUMMYFUNCTION("""COMPUTED_VALUE"""),"ADA")</f>
        <v>ADA</v>
      </c>
      <c r="I28" s="66" t="str">
        <f>IFERROR(__xludf.DUMMYFUNCTION("""COMPUTED_VALUE"""),"undeployed")</f>
        <v>undeployed</v>
      </c>
      <c r="J28" s="66" t="str">
        <f>IFERROR(__xludf.DUMMYFUNCTION("""COMPUTED_VALUE"""),"Celsius Network System")</f>
        <v>Celsius Network System</v>
      </c>
      <c r="K28" s="66" t="str">
        <f>IFERROR(__xludf.DUMMYFUNCTION("""COMPUTED_VALUE"""),"1")</f>
        <v>1</v>
      </c>
      <c r="L28" s="72">
        <f>IFERROR(__xludf.DUMMYFUNCTION("""COMPUTED_VALUE"""),1.149205632E7)</f>
        <v>11492056.32</v>
      </c>
      <c r="M28" s="39">
        <f>IFERROR(__xludf.DUMMYFUNCTION("""COMPUTED_VALUE"""),0.0)</f>
        <v>0</v>
      </c>
      <c r="N28" s="39">
        <f>IFERROR(__xludf.DUMMYFUNCTION("""COMPUTED_VALUE"""),0.0205)</f>
        <v>0.0205</v>
      </c>
      <c r="O28" s="91">
        <f>IFERROR(__xludf.DUMMYFUNCTION("""COMPUTED_VALUE"""),1.4076930612015286E7)</f>
        <v>14076930.61</v>
      </c>
      <c r="P28" s="66">
        <f>IFERROR(__xludf.DUMMYFUNCTION("""COMPUTED_VALUE"""),288577.0775463134)</f>
        <v>288577.0775</v>
      </c>
      <c r="Q28" s="81">
        <f>IFERROR(__xludf.DUMMYFUNCTION("""COMPUTED_VALUE"""),0.0)</f>
        <v>0</v>
      </c>
      <c r="R28" s="81"/>
      <c r="S28" s="66"/>
      <c r="T28" s="66"/>
      <c r="U28" s="66"/>
      <c r="V28" s="66"/>
    </row>
    <row r="29">
      <c r="A29" s="66" t="str">
        <f>IFERROR(__xludf.DUMMYFUNCTION("""COMPUTED_VALUE"""),"TCAD")</f>
        <v>TCAD</v>
      </c>
      <c r="B29" s="85">
        <f t="shared" si="1"/>
        <v>3348120.317</v>
      </c>
      <c r="C29" s="32">
        <f t="shared" si="2"/>
        <v>2590775.501</v>
      </c>
      <c r="D29" s="33">
        <f t="shared" si="3"/>
        <v>0.00102732856</v>
      </c>
      <c r="E29" s="86">
        <f t="shared" si="5"/>
        <v>0</v>
      </c>
      <c r="H29" s="66" t="str">
        <f>IFERROR(__xludf.DUMMYFUNCTION("""COMPUTED_VALUE"""),"ADA")</f>
        <v>ADA</v>
      </c>
      <c r="I29" s="66" t="str">
        <f>IFERROR(__xludf.DUMMYFUNCTION("""COMPUTED_VALUE"""),"undeployed")</f>
        <v>undeployed</v>
      </c>
      <c r="J29" s="66" t="str">
        <f>IFERROR(__xludf.DUMMYFUNCTION("""COMPUTED_VALUE"""),"Celsius Network")</f>
        <v>Celsius Network</v>
      </c>
      <c r="K29" s="66" t="str">
        <f>IFERROR(__xludf.DUMMYFUNCTION("""COMPUTED_VALUE"""),"1")</f>
        <v>1</v>
      </c>
      <c r="L29" s="72">
        <f>IFERROR(__xludf.DUMMYFUNCTION("""COMPUTED_VALUE"""),1.10149051E7)</f>
        <v>11014905.1</v>
      </c>
      <c r="M29" s="39">
        <f>IFERROR(__xludf.DUMMYFUNCTION("""COMPUTED_VALUE"""),0.0)</f>
        <v>0</v>
      </c>
      <c r="N29" s="39">
        <f>IFERROR(__xludf.DUMMYFUNCTION("""COMPUTED_VALUE"""),0.0205)</f>
        <v>0.0205</v>
      </c>
      <c r="O29" s="91">
        <f>IFERROR(__xludf.DUMMYFUNCTION("""COMPUTED_VALUE"""),1.3492455177128239E7)</f>
        <v>13492455.18</v>
      </c>
      <c r="P29" s="66">
        <f>IFERROR(__xludf.DUMMYFUNCTION("""COMPUTED_VALUE"""),276595.3311311289)</f>
        <v>276595.3311</v>
      </c>
      <c r="Q29" s="81">
        <f>IFERROR(__xludf.DUMMYFUNCTION("""COMPUTED_VALUE"""),0.0)</f>
        <v>0</v>
      </c>
      <c r="R29" s="81"/>
      <c r="S29" s="66"/>
      <c r="T29" s="66"/>
      <c r="U29" s="66"/>
      <c r="V29" s="66"/>
    </row>
    <row r="30">
      <c r="A30" s="66" t="str">
        <f>IFERROR(__xludf.DUMMYFUNCTION("""COMPUTED_VALUE"""),"DASH")</f>
        <v>DASH</v>
      </c>
      <c r="B30" s="85">
        <f t="shared" si="1"/>
        <v>19670.23826</v>
      </c>
      <c r="C30" s="32">
        <f t="shared" si="2"/>
        <v>2505959.777</v>
      </c>
      <c r="D30" s="33">
        <f t="shared" si="3"/>
        <v>0.0009936963076</v>
      </c>
      <c r="E30" s="86">
        <f t="shared" si="5"/>
        <v>0</v>
      </c>
      <c r="H30" s="66" t="str">
        <f>IFERROR(__xludf.DUMMYFUNCTION("""COMPUTED_VALUE"""),"LTC")</f>
        <v>LTC</v>
      </c>
      <c r="I30" s="66" t="str">
        <f>IFERROR(__xludf.DUMMYFUNCTION("""COMPUTED_VALUE"""),"undeployed")</f>
        <v>undeployed</v>
      </c>
      <c r="J30" s="66" t="str">
        <f>IFERROR(__xludf.DUMMYFUNCTION("""COMPUTED_VALUE"""),"Celsius Network System")</f>
        <v>Celsius Network System</v>
      </c>
      <c r="K30" s="66" t="str">
        <f>IFERROR(__xludf.DUMMYFUNCTION("""COMPUTED_VALUE"""),"1")</f>
        <v>1</v>
      </c>
      <c r="L30" s="72">
        <f>IFERROR(__xludf.DUMMYFUNCTION("""COMPUTED_VALUE"""),76806.06444)</f>
        <v>76806.06444</v>
      </c>
      <c r="M30" s="39">
        <f>IFERROR(__xludf.DUMMYFUNCTION("""COMPUTED_VALUE"""),0.0)</f>
        <v>0</v>
      </c>
      <c r="N30" s="39">
        <f>IFERROR(__xludf.DUMMYFUNCTION("""COMPUTED_VALUE"""),0.0285)</f>
        <v>0.0285</v>
      </c>
      <c r="O30" s="91">
        <f>IFERROR(__xludf.DUMMYFUNCTION("""COMPUTED_VALUE"""),1.1537686514503513E7)</f>
        <v>11537686.51</v>
      </c>
      <c r="P30" s="66">
        <f>IFERROR(__xludf.DUMMYFUNCTION("""COMPUTED_VALUE"""),328824.0656633501)</f>
        <v>328824.0657</v>
      </c>
      <c r="Q30" s="81">
        <f>IFERROR(__xludf.DUMMYFUNCTION("""COMPUTED_VALUE"""),0.0)</f>
        <v>0</v>
      </c>
      <c r="R30" s="81"/>
      <c r="S30" s="66"/>
      <c r="T30" s="66"/>
      <c r="U30" s="66"/>
      <c r="V30" s="66"/>
    </row>
    <row r="31">
      <c r="A31" s="66" t="str">
        <f>IFERROR(__xludf.DUMMYFUNCTION("""COMPUTED_VALUE"""),"THKD")</f>
        <v>THKD</v>
      </c>
      <c r="B31" s="85">
        <f t="shared" si="1"/>
        <v>18969302.24</v>
      </c>
      <c r="C31" s="32">
        <f t="shared" si="2"/>
        <v>2431864.547</v>
      </c>
      <c r="D31" s="33">
        <f t="shared" si="3"/>
        <v>0.0009643150871</v>
      </c>
      <c r="E31" s="86">
        <f t="shared" si="5"/>
        <v>0</v>
      </c>
      <c r="H31" s="66" t="str">
        <f>IFERROR(__xludf.DUMMYFUNCTION("""COMPUTED_VALUE"""),"BTC")</f>
        <v>BTC</v>
      </c>
      <c r="I31" s="66" t="str">
        <f>IFERROR(__xludf.DUMMYFUNCTION("""COMPUTED_VALUE"""),"undeployed")</f>
        <v>undeployed</v>
      </c>
      <c r="J31" s="66" t="str">
        <f>IFERROR(__xludf.DUMMYFUNCTION("""COMPUTED_VALUE"""),"FTX - Grayscale")</f>
        <v>FTX - Grayscale</v>
      </c>
      <c r="K31" s="66" t="str">
        <f>IFERROR(__xludf.DUMMYFUNCTION("""COMPUTED_VALUE"""),"2")</f>
        <v>2</v>
      </c>
      <c r="L31" s="72">
        <f>IFERROR(__xludf.DUMMYFUNCTION("""COMPUTED_VALUE"""),233.0504122)</f>
        <v>233.0504122</v>
      </c>
      <c r="M31" s="39">
        <f>IFERROR(__xludf.DUMMYFUNCTION("""COMPUTED_VALUE"""),0.0)</f>
        <v>0</v>
      </c>
      <c r="N31" s="39">
        <f>IFERROR(__xludf.DUMMYFUNCTION("""COMPUTED_VALUE"""),0.0298)</f>
        <v>0.0298</v>
      </c>
      <c r="O31" s="91">
        <f>IFERROR(__xludf.DUMMYFUNCTION("""COMPUTED_VALUE"""),1.0793643677644601E7)</f>
        <v>10793643.68</v>
      </c>
      <c r="P31" s="66">
        <f>IFERROR(__xludf.DUMMYFUNCTION("""COMPUTED_VALUE"""),321650.5815938091)</f>
        <v>321650.5816</v>
      </c>
      <c r="Q31" s="81">
        <f>IFERROR(__xludf.DUMMYFUNCTION("""COMPUTED_VALUE"""),0.0)</f>
        <v>0</v>
      </c>
      <c r="R31" s="81"/>
      <c r="S31" s="66"/>
      <c r="T31" s="66"/>
      <c r="U31" s="66"/>
      <c r="V31" s="66"/>
    </row>
    <row r="32">
      <c r="A32" s="66" t="str">
        <f>IFERROR(__xludf.DUMMYFUNCTION("""COMPUTED_VALUE"""),"SNX")</f>
        <v>SNX</v>
      </c>
      <c r="B32" s="85">
        <f t="shared" si="1"/>
        <v>458813.6326</v>
      </c>
      <c r="C32" s="32">
        <f t="shared" si="2"/>
        <v>2275796.728</v>
      </c>
      <c r="D32" s="33">
        <f t="shared" si="3"/>
        <v>0.0009024290117</v>
      </c>
      <c r="E32" s="86">
        <f t="shared" si="5"/>
        <v>0</v>
      </c>
      <c r="H32" s="66" t="str">
        <f>IFERROR(__xludf.DUMMYFUNCTION("""COMPUTED_VALUE"""),"XRP")</f>
        <v>XRP</v>
      </c>
      <c r="I32" s="66" t="str">
        <f>IFERROR(__xludf.DUMMYFUNCTION("""COMPUTED_VALUE"""),"undeployed")</f>
        <v>undeployed</v>
      </c>
      <c r="J32" s="66" t="str">
        <f>IFERROR(__xludf.DUMMYFUNCTION("""COMPUTED_VALUE"""),"Celsius Network System")</f>
        <v>Celsius Network System</v>
      </c>
      <c r="K32" s="66" t="str">
        <f>IFERROR(__xludf.DUMMYFUNCTION("""COMPUTED_VALUE"""),"1")</f>
        <v>1</v>
      </c>
      <c r="L32" s="72">
        <f>IFERROR(__xludf.DUMMYFUNCTION("""COMPUTED_VALUE"""),1.150043527E7)</f>
        <v>11500435.27</v>
      </c>
      <c r="M32" s="39">
        <f>IFERROR(__xludf.DUMMYFUNCTION("""COMPUTED_VALUE"""),0.0)</f>
        <v>0</v>
      </c>
      <c r="N32" s="39">
        <f>IFERROR(__xludf.DUMMYFUNCTION("""COMPUTED_VALUE"""),0.0127)</f>
        <v>0.0127</v>
      </c>
      <c r="O32" s="91">
        <f>IFERROR(__xludf.DUMMYFUNCTION("""COMPUTED_VALUE"""),9965511.706109297)</f>
        <v>9965511.706</v>
      </c>
      <c r="P32" s="66">
        <f>IFERROR(__xludf.DUMMYFUNCTION("""COMPUTED_VALUE"""),126561.99866758806)</f>
        <v>126561.9987</v>
      </c>
      <c r="Q32" s="81">
        <f>IFERROR(__xludf.DUMMYFUNCTION("""COMPUTED_VALUE"""),0.0)</f>
        <v>0</v>
      </c>
      <c r="R32" s="81"/>
      <c r="S32" s="66"/>
      <c r="T32" s="66"/>
      <c r="U32" s="66"/>
      <c r="V32" s="66"/>
    </row>
    <row r="33">
      <c r="A33" s="66" t="str">
        <f>IFERROR(__xludf.DUMMYFUNCTION("""COMPUTED_VALUE"""),"MANA")</f>
        <v>MANA</v>
      </c>
      <c r="B33" s="85">
        <f t="shared" si="1"/>
        <v>585213.4697</v>
      </c>
      <c r="C33" s="32">
        <f t="shared" si="2"/>
        <v>1850882.741</v>
      </c>
      <c r="D33" s="33">
        <f t="shared" si="3"/>
        <v>0.0007339364989</v>
      </c>
      <c r="E33" s="86">
        <f t="shared" si="5"/>
        <v>0</v>
      </c>
      <c r="H33" s="66" t="str">
        <f>IFERROR(__xludf.DUMMYFUNCTION("""COMPUTED_VALUE"""),"PAXG")</f>
        <v>PAXG</v>
      </c>
      <c r="I33" s="66" t="str">
        <f>IFERROR(__xludf.DUMMYFUNCTION("""COMPUTED_VALUE"""),"undeployed")</f>
        <v>undeployed</v>
      </c>
      <c r="J33" s="66" t="str">
        <f>IFERROR(__xludf.DUMMYFUNCTION("""COMPUTED_VALUE"""),"Celsius Network System")</f>
        <v>Celsius Network System</v>
      </c>
      <c r="K33" s="66" t="str">
        <f>IFERROR(__xludf.DUMMYFUNCTION("""COMPUTED_VALUE"""),"1")</f>
        <v>1</v>
      </c>
      <c r="L33" s="72">
        <f>IFERROR(__xludf.DUMMYFUNCTION("""COMPUTED_VALUE"""),5091.428493)</f>
        <v>5091.428493</v>
      </c>
      <c r="M33" s="39">
        <f>IFERROR(__xludf.DUMMYFUNCTION("""COMPUTED_VALUE"""),0.0)</f>
        <v>0</v>
      </c>
      <c r="N33" s="39">
        <f>IFERROR(__xludf.DUMMYFUNCTION("""COMPUTED_VALUE"""),0.0526)</f>
        <v>0.0526</v>
      </c>
      <c r="O33" s="91">
        <f>IFERROR(__xludf.DUMMYFUNCTION("""COMPUTED_VALUE"""),9195828.849958507)</f>
        <v>9195828.85</v>
      </c>
      <c r="P33" s="66">
        <f>IFERROR(__xludf.DUMMYFUNCTION("""COMPUTED_VALUE"""),483700.5975078175)</f>
        <v>483700.5975</v>
      </c>
      <c r="Q33" s="81">
        <f>IFERROR(__xludf.DUMMYFUNCTION("""COMPUTED_VALUE"""),0.0)</f>
        <v>0</v>
      </c>
      <c r="R33" s="81"/>
      <c r="S33" s="66"/>
      <c r="T33" s="66"/>
      <c r="U33" s="66"/>
      <c r="V33" s="66"/>
    </row>
    <row r="34">
      <c r="A34" s="66" t="str">
        <f>IFERROR(__xludf.DUMMYFUNCTION("""COMPUTED_VALUE"""),"WBTC")</f>
        <v>WBTC</v>
      </c>
      <c r="B34" s="85">
        <f t="shared" si="1"/>
        <v>89.42852823</v>
      </c>
      <c r="C34" s="32">
        <f t="shared" si="2"/>
        <v>4140973.091</v>
      </c>
      <c r="D34" s="33">
        <f t="shared" si="3"/>
        <v>0.001642033407</v>
      </c>
      <c r="E34" s="86">
        <f t="shared" si="5"/>
        <v>0</v>
      </c>
      <c r="H34" s="66" t="str">
        <f>IFERROR(__xludf.DUMMYFUNCTION("""COMPUTED_VALUE"""),"LINK")</f>
        <v>LINK</v>
      </c>
      <c r="I34" s="66" t="str">
        <f>IFERROR(__xludf.DUMMYFUNCTION("""COMPUTED_VALUE"""),"undeployed")</f>
        <v>undeployed</v>
      </c>
      <c r="J34" s="66" t="str">
        <f>IFERROR(__xludf.DUMMYFUNCTION("""COMPUTED_VALUE"""),"Celsius Network System")</f>
        <v>Celsius Network System</v>
      </c>
      <c r="K34" s="66" t="str">
        <f>IFERROR(__xludf.DUMMYFUNCTION("""COMPUTED_VALUE"""),"1")</f>
        <v>1</v>
      </c>
      <c r="L34" s="72">
        <f>IFERROR(__xludf.DUMMYFUNCTION("""COMPUTED_VALUE"""),447233.0038)</f>
        <v>447233.0038</v>
      </c>
      <c r="M34" s="39">
        <f>IFERROR(__xludf.DUMMYFUNCTION("""COMPUTED_VALUE"""),0.0)</f>
        <v>0</v>
      </c>
      <c r="N34" s="39">
        <f>IFERROR(__xludf.DUMMYFUNCTION("""COMPUTED_VALUE"""),0.0251)</f>
        <v>0.0251</v>
      </c>
      <c r="O34" s="91">
        <f>IFERROR(__xludf.DUMMYFUNCTION("""COMPUTED_VALUE"""),8279663.47284209)</f>
        <v>8279663.473</v>
      </c>
      <c r="P34" s="66">
        <f>IFERROR(__xludf.DUMMYFUNCTION("""COMPUTED_VALUE"""),207819.55316833645)</f>
        <v>207819.5532</v>
      </c>
      <c r="Q34" s="81">
        <f>IFERROR(__xludf.DUMMYFUNCTION("""COMPUTED_VALUE"""),0.0)</f>
        <v>0</v>
      </c>
      <c r="R34" s="81"/>
      <c r="S34" s="66"/>
      <c r="T34" s="66"/>
      <c r="U34" s="66"/>
      <c r="V34" s="66"/>
    </row>
    <row r="35">
      <c r="A35" s="66" t="str">
        <f>IFERROR(__xludf.DUMMYFUNCTION("""COMPUTED_VALUE"""),"AAVE")</f>
        <v>AAVE</v>
      </c>
      <c r="B35" s="85">
        <f t="shared" si="1"/>
        <v>10344.61488</v>
      </c>
      <c r="C35" s="32">
        <f t="shared" si="2"/>
        <v>1791313.19</v>
      </c>
      <c r="D35" s="33">
        <f t="shared" si="3"/>
        <v>0.0007103151931</v>
      </c>
      <c r="E35" s="86">
        <f t="shared" si="5"/>
        <v>0</v>
      </c>
      <c r="H35" s="66" t="str">
        <f>IFERROR(__xludf.DUMMYFUNCTION("""COMPUTED_VALUE"""),"TGBP")</f>
        <v>TGBP</v>
      </c>
      <c r="I35" s="66" t="str">
        <f>IFERROR(__xludf.DUMMYFUNCTION("""COMPUTED_VALUE"""),"undeployed")</f>
        <v>undeployed</v>
      </c>
      <c r="J35" s="66" t="str">
        <f>IFERROR(__xludf.DUMMYFUNCTION("""COMPUTED_VALUE"""),"Celsius Network System")</f>
        <v>Celsius Network System</v>
      </c>
      <c r="K35" s="66" t="str">
        <f>IFERROR(__xludf.DUMMYFUNCTION("""COMPUTED_VALUE"""),"1")</f>
        <v>1</v>
      </c>
      <c r="L35" s="72">
        <f>IFERROR(__xludf.DUMMYFUNCTION("""COMPUTED_VALUE"""),4323764.658)</f>
        <v>4323764.658</v>
      </c>
      <c r="M35" s="39">
        <f>IFERROR(__xludf.DUMMYFUNCTION("""COMPUTED_VALUE"""),0.0)</f>
        <v>0</v>
      </c>
      <c r="N35" s="39" t="str">
        <f>IFERROR(__xludf.DUMMYFUNCTION("""COMPUTED_VALUE"""),"N/A")</f>
        <v>N/A</v>
      </c>
      <c r="O35" s="91">
        <f>IFERROR(__xludf.DUMMYFUNCTION("""COMPUTED_VALUE"""),5710395.9838205995)</f>
        <v>5710395.984</v>
      </c>
      <c r="P35" s="66" t="str">
        <f>IFERROR(__xludf.DUMMYFUNCTION("""COMPUTED_VALUE"""),"N/A")</f>
        <v>N/A</v>
      </c>
      <c r="Q35" s="81">
        <f>IFERROR(__xludf.DUMMYFUNCTION("""COMPUTED_VALUE"""),0.0)</f>
        <v>0</v>
      </c>
      <c r="R35" s="81"/>
      <c r="S35" s="66"/>
      <c r="T35" s="66"/>
      <c r="U35" s="66"/>
      <c r="V35" s="66"/>
    </row>
    <row r="36">
      <c r="A36" s="66" t="str">
        <f>IFERROR(__xludf.DUMMYFUNCTION("""COMPUTED_VALUE"""),"UNI")</f>
        <v>UNI</v>
      </c>
      <c r="B36" s="85">
        <f t="shared" si="1"/>
        <v>152722.1539</v>
      </c>
      <c r="C36" s="32">
        <f t="shared" si="2"/>
        <v>2205342.055</v>
      </c>
      <c r="D36" s="33">
        <f t="shared" si="3"/>
        <v>0.0008744913931</v>
      </c>
      <c r="E36" s="86">
        <f t="shared" si="5"/>
        <v>0</v>
      </c>
      <c r="H36" s="66" t="str">
        <f>IFERROR(__xludf.DUMMYFUNCTION("""COMPUTED_VALUE"""),"LINK")</f>
        <v>LINK</v>
      </c>
      <c r="I36" s="66" t="str">
        <f>IFERROR(__xludf.DUMMYFUNCTION("""COMPUTED_VALUE"""),"Undeployed")</f>
        <v>Undeployed</v>
      </c>
      <c r="J36" s="66" t="str">
        <f>IFERROR(__xludf.DUMMYFUNCTION("""COMPUTED_VALUE"""),"Network Deposits")</f>
        <v>Network Deposits</v>
      </c>
      <c r="K36" s="66" t="str">
        <f>IFERROR(__xludf.DUMMYFUNCTION("""COMPUTED_VALUE"""),"1")</f>
        <v>1</v>
      </c>
      <c r="L36" s="72">
        <f>IFERROR(__xludf.DUMMYFUNCTION("""COMPUTED_VALUE"""),300011.9038)</f>
        <v>300011.9038</v>
      </c>
      <c r="M36" s="39">
        <f>IFERROR(__xludf.DUMMYFUNCTION("""COMPUTED_VALUE"""),0.0)</f>
        <v>0</v>
      </c>
      <c r="N36" s="39">
        <f>IFERROR(__xludf.DUMMYFUNCTION("""COMPUTED_VALUE"""),0.0251)</f>
        <v>0.0251</v>
      </c>
      <c r="O36" s="91">
        <f>IFERROR(__xludf.DUMMYFUNCTION("""COMPUTED_VALUE"""),5554146.4520840775)</f>
        <v>5554146.452</v>
      </c>
      <c r="P36" s="66">
        <f>IFERROR(__xludf.DUMMYFUNCTION("""COMPUTED_VALUE"""),139409.07594731034)</f>
        <v>139409.0759</v>
      </c>
      <c r="Q36" s="81">
        <f>IFERROR(__xludf.DUMMYFUNCTION("""COMPUTED_VALUE"""),0.0)</f>
        <v>0</v>
      </c>
      <c r="R36" s="81"/>
      <c r="S36" s="66"/>
      <c r="T36" s="66"/>
      <c r="U36" s="66"/>
      <c r="V36" s="66"/>
    </row>
    <row r="37">
      <c r="A37" s="66" t="str">
        <f>IFERROR(__xludf.DUMMYFUNCTION("""COMPUTED_VALUE"""),"OMG")</f>
        <v>OMG</v>
      </c>
      <c r="B37" s="85">
        <f t="shared" si="1"/>
        <v>262785.4504</v>
      </c>
      <c r="C37" s="32">
        <f t="shared" si="2"/>
        <v>1514217.102</v>
      </c>
      <c r="D37" s="33">
        <f t="shared" si="3"/>
        <v>0.0006004373879</v>
      </c>
      <c r="E37" s="86">
        <f t="shared" si="5"/>
        <v>0</v>
      </c>
      <c r="H37" s="66" t="str">
        <f>IFERROR(__xludf.DUMMYFUNCTION("""COMPUTED_VALUE"""),"PAXG")</f>
        <v>PAXG</v>
      </c>
      <c r="I37" s="66" t="str">
        <f>IFERROR(__xludf.DUMMYFUNCTION("""COMPUTED_VALUE"""),"undeployed")</f>
        <v>undeployed</v>
      </c>
      <c r="J37" s="66" t="str">
        <f>IFERROR(__xludf.DUMMYFUNCTION("""COMPUTED_VALUE"""),"Celsius Network")</f>
        <v>Celsius Network</v>
      </c>
      <c r="K37" s="66" t="str">
        <f>IFERROR(__xludf.DUMMYFUNCTION("""COMPUTED_VALUE"""),"1")</f>
        <v>1</v>
      </c>
      <c r="L37" s="72">
        <f>IFERROR(__xludf.DUMMYFUNCTION("""COMPUTED_VALUE"""),2946.983626)</f>
        <v>2946.983626</v>
      </c>
      <c r="M37" s="39">
        <f>IFERROR(__xludf.DUMMYFUNCTION("""COMPUTED_VALUE"""),0.0)</f>
        <v>0</v>
      </c>
      <c r="N37" s="39">
        <f>IFERROR(__xludf.DUMMYFUNCTION("""COMPUTED_VALUE"""),0.0526)</f>
        <v>0.0526</v>
      </c>
      <c r="O37" s="91">
        <f>IFERROR(__xludf.DUMMYFUNCTION("""COMPUTED_VALUE"""),5322662.801919888)</f>
        <v>5322662.802</v>
      </c>
      <c r="P37" s="66">
        <f>IFERROR(__xludf.DUMMYFUNCTION("""COMPUTED_VALUE"""),279972.0633809861)</f>
        <v>279972.0634</v>
      </c>
      <c r="Q37" s="81">
        <f>IFERROR(__xludf.DUMMYFUNCTION("""COMPUTED_VALUE"""),0.0)</f>
        <v>0</v>
      </c>
      <c r="R37" s="81"/>
      <c r="S37" s="66"/>
      <c r="T37" s="66"/>
      <c r="U37" s="66"/>
      <c r="V37" s="66"/>
    </row>
    <row r="38">
      <c r="A38" s="66" t="str">
        <f>IFERROR(__xludf.DUMMYFUNCTION("""COMPUTED_VALUE"""),"ETC")</f>
        <v>ETC</v>
      </c>
      <c r="B38" s="85">
        <f t="shared" si="1"/>
        <v>32197.82291</v>
      </c>
      <c r="C38" s="32">
        <f t="shared" si="2"/>
        <v>1104211.359</v>
      </c>
      <c r="D38" s="33">
        <f t="shared" si="3"/>
        <v>0.0004378564892</v>
      </c>
      <c r="E38" s="86">
        <f t="shared" si="5"/>
        <v>0</v>
      </c>
      <c r="H38" s="66" t="str">
        <f>IFERROR(__xludf.DUMMYFUNCTION("""COMPUTED_VALUE"""),"TAUD")</f>
        <v>TAUD</v>
      </c>
      <c r="I38" s="66" t="str">
        <f>IFERROR(__xludf.DUMMYFUNCTION("""COMPUTED_VALUE"""),"undeployed")</f>
        <v>undeployed</v>
      </c>
      <c r="J38" s="66" t="str">
        <f>IFERROR(__xludf.DUMMYFUNCTION("""COMPUTED_VALUE"""),"Celsius Network System")</f>
        <v>Celsius Network System</v>
      </c>
      <c r="K38" s="66" t="str">
        <f>IFERROR(__xludf.DUMMYFUNCTION("""COMPUTED_VALUE"""),"1")</f>
        <v>1</v>
      </c>
      <c r="L38" s="72">
        <f>IFERROR(__xludf.DUMMYFUNCTION("""COMPUTED_VALUE"""),7171269.6)</f>
        <v>7171269.6</v>
      </c>
      <c r="M38" s="39">
        <f>IFERROR(__xludf.DUMMYFUNCTION("""COMPUTED_VALUE"""),0.0)</f>
        <v>0</v>
      </c>
      <c r="N38" s="39" t="str">
        <f>IFERROR(__xludf.DUMMYFUNCTION("""COMPUTED_VALUE"""),"N/A")</f>
        <v>N/A</v>
      </c>
      <c r="O38" s="91">
        <f>IFERROR(__xludf.DUMMYFUNCTION("""COMPUTED_VALUE"""),5090167.162079999)</f>
        <v>5090167.162</v>
      </c>
      <c r="P38" s="66" t="str">
        <f>IFERROR(__xludf.DUMMYFUNCTION("""COMPUTED_VALUE"""),"N/A")</f>
        <v>N/A</v>
      </c>
      <c r="Q38" s="81">
        <f>IFERROR(__xludf.DUMMYFUNCTION("""COMPUTED_VALUE"""),0.0)</f>
        <v>0</v>
      </c>
      <c r="R38" s="81"/>
      <c r="S38" s="66"/>
      <c r="T38" s="66"/>
      <c r="U38" s="66"/>
      <c r="V38" s="66"/>
    </row>
    <row r="39">
      <c r="A39" s="66" t="str">
        <f>IFERROR(__xludf.DUMMYFUNCTION("""COMPUTED_VALUE"""),"BCH")</f>
        <v>BCH</v>
      </c>
      <c r="B39" s="85">
        <f t="shared" si="1"/>
        <v>2287.240112</v>
      </c>
      <c r="C39" s="32">
        <f t="shared" si="2"/>
        <v>978656.7472</v>
      </c>
      <c r="D39" s="33">
        <f t="shared" si="3"/>
        <v>0.0003880699143</v>
      </c>
      <c r="E39" s="86">
        <f t="shared" si="5"/>
        <v>0</v>
      </c>
      <c r="H39" s="66" t="str">
        <f>IFERROR(__xludf.DUMMYFUNCTION("""COMPUTED_VALUE"""),"FTT")</f>
        <v>FTT</v>
      </c>
      <c r="I39" s="66" t="str">
        <f>IFERROR(__xludf.DUMMYFUNCTION("""COMPUTED_VALUE"""),"undeployed")</f>
        <v>undeployed</v>
      </c>
      <c r="J39" s="66" t="str">
        <f>IFERROR(__xludf.DUMMYFUNCTION("""COMPUTED_VALUE"""),"FTX - CEL")</f>
        <v>FTX - CEL</v>
      </c>
      <c r="K39" s="66" t="str">
        <f>IFERROR(__xludf.DUMMYFUNCTION("""COMPUTED_VALUE"""),"2")</f>
        <v>2</v>
      </c>
      <c r="L39" s="72">
        <f>IFERROR(__xludf.DUMMYFUNCTION("""COMPUTED_VALUE"""),125000.0)</f>
        <v>125000</v>
      </c>
      <c r="M39" s="39">
        <f>IFERROR(__xludf.DUMMYFUNCTION("""COMPUTED_VALUE"""),0.0)</f>
        <v>0</v>
      </c>
      <c r="N39" s="39" t="str">
        <f>IFERROR(__xludf.DUMMYFUNCTION("""COMPUTED_VALUE"""),"N/A")</f>
        <v>N/A</v>
      </c>
      <c r="O39" s="91">
        <f>IFERROR(__xludf.DUMMYFUNCTION("""COMPUTED_VALUE"""),4939827.03375)</f>
        <v>4939827.034</v>
      </c>
      <c r="P39" s="66" t="str">
        <f>IFERROR(__xludf.DUMMYFUNCTION("""COMPUTED_VALUE"""),"N/A")</f>
        <v>N/A</v>
      </c>
      <c r="Q39" s="81">
        <f>IFERROR(__xludf.DUMMYFUNCTION("""COMPUTED_VALUE"""),0.0)</f>
        <v>0</v>
      </c>
      <c r="R39" s="81"/>
      <c r="S39" s="66"/>
      <c r="T39" s="66"/>
      <c r="U39" s="66"/>
      <c r="V39" s="66"/>
    </row>
    <row r="40">
      <c r="A40" s="66" t="str">
        <f>IFERROR(__xludf.DUMMYFUNCTION("""COMPUTED_VALUE"""),"ZRX")</f>
        <v>ZRX</v>
      </c>
      <c r="B40" s="85">
        <f t="shared" si="1"/>
        <v>1430995.087</v>
      </c>
      <c r="C40" s="32">
        <f t="shared" si="2"/>
        <v>1070770.428</v>
      </c>
      <c r="D40" s="33">
        <f t="shared" si="3"/>
        <v>0.0004245960489</v>
      </c>
      <c r="E40" s="86">
        <f t="shared" si="5"/>
        <v>0</v>
      </c>
      <c r="H40" s="66" t="str">
        <f>IFERROR(__xludf.DUMMYFUNCTION("""COMPUTED_VALUE"""),"BNB")</f>
        <v>BNB</v>
      </c>
      <c r="I40" s="66" t="str">
        <f>IFERROR(__xludf.DUMMYFUNCTION("""COMPUTED_VALUE"""),"undeployed")</f>
        <v>undeployed</v>
      </c>
      <c r="J40" s="66" t="str">
        <f>IFERROR(__xludf.DUMMYFUNCTION("""COMPUTED_VALUE"""),"Celsius Network System")</f>
        <v>Celsius Network System</v>
      </c>
      <c r="K40" s="66" t="str">
        <f>IFERROR(__xludf.DUMMYFUNCTION("""COMPUTED_VALUE"""),"1")</f>
        <v>1</v>
      </c>
      <c r="L40" s="72">
        <f>IFERROR(__xludf.DUMMYFUNCTION("""COMPUTED_VALUE"""),8165.822522)</f>
        <v>8165.822522</v>
      </c>
      <c r="M40" s="39">
        <f>IFERROR(__xludf.DUMMYFUNCTION("""COMPUTED_VALUE"""),0.0)</f>
        <v>0</v>
      </c>
      <c r="N40" s="39">
        <f>IFERROR(__xludf.DUMMYFUNCTION("""COMPUTED_VALUE"""),0.0581)</f>
        <v>0.0581</v>
      </c>
      <c r="O40" s="91">
        <f>IFERROR(__xludf.DUMMYFUNCTION("""COMPUTED_VALUE"""),4247063.284129057)</f>
        <v>4247063.284</v>
      </c>
      <c r="P40" s="66">
        <f>IFERROR(__xludf.DUMMYFUNCTION("""COMPUTED_VALUE"""),246754.37680789822)</f>
        <v>246754.3768</v>
      </c>
      <c r="Q40" s="81">
        <f>IFERROR(__xludf.DUMMYFUNCTION("""COMPUTED_VALUE"""),0.0)</f>
        <v>0</v>
      </c>
      <c r="R40" s="81"/>
      <c r="S40" s="66"/>
      <c r="T40" s="66"/>
      <c r="U40" s="66"/>
      <c r="V40" s="66"/>
    </row>
    <row r="41">
      <c r="A41" s="66" t="str">
        <f>IFERROR(__xludf.DUMMYFUNCTION("""COMPUTED_VALUE"""),"BNT")</f>
        <v>BNT</v>
      </c>
      <c r="B41" s="85">
        <f t="shared" si="1"/>
        <v>292840.4527</v>
      </c>
      <c r="C41" s="32">
        <f t="shared" si="2"/>
        <v>927123.9432</v>
      </c>
      <c r="D41" s="33">
        <f t="shared" si="3"/>
        <v>0.0003676354454</v>
      </c>
      <c r="E41" s="86">
        <f t="shared" si="5"/>
        <v>0</v>
      </c>
      <c r="H41" s="66" t="str">
        <f>IFERROR(__xludf.DUMMYFUNCTION("""COMPUTED_VALUE"""),"COMP")</f>
        <v>COMP</v>
      </c>
      <c r="I41" s="66" t="str">
        <f>IFERROR(__xludf.DUMMYFUNCTION("""COMPUTED_VALUE"""),"undeployed")</f>
        <v>undeployed</v>
      </c>
      <c r="J41" s="66" t="str">
        <f>IFERROR(__xludf.DUMMYFUNCTION("""COMPUTED_VALUE"""),"Celsius Network System")</f>
        <v>Celsius Network System</v>
      </c>
      <c r="K41" s="66" t="str">
        <f>IFERROR(__xludf.DUMMYFUNCTION("""COMPUTED_VALUE"""),"1")</f>
        <v>1</v>
      </c>
      <c r="L41" s="72">
        <f>IFERROR(__xludf.DUMMYFUNCTION("""COMPUTED_VALUE"""),20374.71191)</f>
        <v>20374.71191</v>
      </c>
      <c r="M41" s="39">
        <f>IFERROR(__xludf.DUMMYFUNCTION("""COMPUTED_VALUE"""),0.0)</f>
        <v>0</v>
      </c>
      <c r="N41" s="39">
        <f>IFERROR(__xludf.DUMMYFUNCTION("""COMPUTED_VALUE"""),0.0453)</f>
        <v>0.0453</v>
      </c>
      <c r="O41" s="91">
        <f>IFERROR(__xludf.DUMMYFUNCTION("""COMPUTED_VALUE"""),3821888.460077801)</f>
        <v>3821888.46</v>
      </c>
      <c r="P41" s="66">
        <f>IFERROR(__xludf.DUMMYFUNCTION("""COMPUTED_VALUE"""),173131.5472415244)</f>
        <v>173131.5472</v>
      </c>
      <c r="Q41" s="81">
        <f>IFERROR(__xludf.DUMMYFUNCTION("""COMPUTED_VALUE"""),0.0)</f>
        <v>0</v>
      </c>
      <c r="R41" s="81"/>
      <c r="S41" s="66"/>
      <c r="T41" s="66"/>
      <c r="U41" s="66"/>
      <c r="V41" s="66"/>
    </row>
    <row r="42">
      <c r="A42" s="66" t="str">
        <f>IFERROR(__xludf.DUMMYFUNCTION("""COMPUTED_VALUE"""),"QI")</f>
        <v>QI</v>
      </c>
      <c r="B42" s="85">
        <f t="shared" si="1"/>
        <v>4271973.7</v>
      </c>
      <c r="C42" s="32">
        <f t="shared" si="2"/>
        <v>623943.1188</v>
      </c>
      <c r="D42" s="33">
        <f t="shared" si="3"/>
        <v>0.0002474141759</v>
      </c>
      <c r="E42" s="86">
        <f t="shared" si="5"/>
        <v>0</v>
      </c>
      <c r="H42" s="66" t="str">
        <f>IFERROR(__xludf.DUMMYFUNCTION("""COMPUTED_VALUE"""),"LINK")</f>
        <v>LINK</v>
      </c>
      <c r="I42" s="66" t="str">
        <f>IFERROR(__xludf.DUMMYFUNCTION("""COMPUTED_VALUE"""),"undeployed")</f>
        <v>undeployed</v>
      </c>
      <c r="J42" s="66" t="str">
        <f>IFERROR(__xludf.DUMMYFUNCTION("""COMPUTED_VALUE"""),"Celsius Network")</f>
        <v>Celsius Network</v>
      </c>
      <c r="K42" s="66" t="str">
        <f>IFERROR(__xludf.DUMMYFUNCTION("""COMPUTED_VALUE"""),"1")</f>
        <v>1</v>
      </c>
      <c r="L42" s="72">
        <f>IFERROR(__xludf.DUMMYFUNCTION("""COMPUTED_VALUE"""),201331.9213)</f>
        <v>201331.9213</v>
      </c>
      <c r="M42" s="39">
        <f>IFERROR(__xludf.DUMMYFUNCTION("""COMPUTED_VALUE"""),0.0)</f>
        <v>0</v>
      </c>
      <c r="N42" s="39">
        <f>IFERROR(__xludf.DUMMYFUNCTION("""COMPUTED_VALUE"""),0.0251)</f>
        <v>0.0251</v>
      </c>
      <c r="O42" s="91">
        <f>IFERROR(__xludf.DUMMYFUNCTION("""COMPUTED_VALUE"""),3727275.358797499)</f>
        <v>3727275.359</v>
      </c>
      <c r="P42" s="66">
        <f>IFERROR(__xludf.DUMMYFUNCTION("""COMPUTED_VALUE"""),93554.61150581723)</f>
        <v>93554.61151</v>
      </c>
      <c r="Q42" s="81">
        <f>IFERROR(__xludf.DUMMYFUNCTION("""COMPUTED_VALUE"""),0.0)</f>
        <v>0</v>
      </c>
      <c r="R42" s="81"/>
      <c r="S42" s="66"/>
      <c r="T42" s="66"/>
      <c r="U42" s="66"/>
      <c r="V42" s="66"/>
    </row>
    <row r="43">
      <c r="A43" s="66" t="str">
        <f>IFERROR(__xludf.DUMMYFUNCTION("""COMPUTED_VALUE"""),"1INCH")</f>
        <v>1INCH</v>
      </c>
      <c r="B43" s="85">
        <f t="shared" si="1"/>
        <v>218413.4035</v>
      </c>
      <c r="C43" s="32">
        <f t="shared" si="2"/>
        <v>515153.1539</v>
      </c>
      <c r="D43" s="33">
        <f t="shared" si="3"/>
        <v>0.0002042753405</v>
      </c>
      <c r="E43" s="86">
        <f t="shared" si="5"/>
        <v>0</v>
      </c>
      <c r="H43" s="66" t="str">
        <f>IFERROR(__xludf.DUMMYFUNCTION("""COMPUTED_VALUE"""),"DOT")</f>
        <v>DOT</v>
      </c>
      <c r="I43" s="66" t="str">
        <f>IFERROR(__xludf.DUMMYFUNCTION("""COMPUTED_VALUE"""),"undeployed")</f>
        <v>undeployed</v>
      </c>
      <c r="J43" s="66" t="str">
        <f>IFERROR(__xludf.DUMMYFUNCTION("""COMPUTED_VALUE"""),"Celsius Network System")</f>
        <v>Celsius Network System</v>
      </c>
      <c r="K43" s="66" t="str">
        <f>IFERROR(__xludf.DUMMYFUNCTION("""COMPUTED_VALUE"""),"1")</f>
        <v>1</v>
      </c>
      <c r="L43" s="72">
        <f>IFERROR(__xludf.DUMMYFUNCTION("""COMPUTED_VALUE"""),149219.182)</f>
        <v>149219.182</v>
      </c>
      <c r="M43" s="39">
        <f>IFERROR(__xludf.DUMMYFUNCTION("""COMPUTED_VALUE"""),0.0)</f>
        <v>0</v>
      </c>
      <c r="N43" s="39">
        <f>IFERROR(__xludf.DUMMYFUNCTION("""COMPUTED_VALUE"""),0.0668)</f>
        <v>0.0668</v>
      </c>
      <c r="O43" s="91">
        <f>IFERROR(__xludf.DUMMYFUNCTION("""COMPUTED_VALUE"""),3618926.7275467534)</f>
        <v>3618926.728</v>
      </c>
      <c r="P43" s="66">
        <f>IFERROR(__xludf.DUMMYFUNCTION("""COMPUTED_VALUE"""),241744.30540012312)</f>
        <v>241744.3054</v>
      </c>
      <c r="Q43" s="81">
        <f>IFERROR(__xludf.DUMMYFUNCTION("""COMPUTED_VALUE"""),0.0)</f>
        <v>0</v>
      </c>
      <c r="R43" s="81"/>
      <c r="S43" s="66"/>
      <c r="T43" s="66"/>
      <c r="U43" s="66"/>
      <c r="V43" s="66"/>
    </row>
    <row r="44">
      <c r="A44" s="66" t="str">
        <f>IFERROR(__xludf.DUMMYFUNCTION("""COMPUTED_VALUE"""),"CRV")</f>
        <v>CRV</v>
      </c>
      <c r="B44" s="85">
        <f t="shared" si="1"/>
        <v>122348.0943</v>
      </c>
      <c r="C44" s="32">
        <f t="shared" si="2"/>
        <v>488381.0992</v>
      </c>
      <c r="D44" s="33">
        <f t="shared" si="3"/>
        <v>0.0001936593314</v>
      </c>
      <c r="E44" s="86">
        <f t="shared" si="5"/>
        <v>0</v>
      </c>
      <c r="H44" s="66" t="str">
        <f>IFERROR(__xludf.DUMMYFUNCTION("""COMPUTED_VALUE"""),"Stable Coins")</f>
        <v>Stable Coins</v>
      </c>
      <c r="I44" s="66" t="str">
        <f>IFERROR(__xludf.DUMMYFUNCTION("""COMPUTED_VALUE"""),"undeployed")</f>
        <v>undeployed</v>
      </c>
      <c r="J44" s="66" t="str">
        <f>IFERROR(__xludf.DUMMYFUNCTION("""COMPUTED_VALUE"""),"FTX - Grayscale")</f>
        <v>FTX - Grayscale</v>
      </c>
      <c r="K44" s="66" t="str">
        <f>IFERROR(__xludf.DUMMYFUNCTION("""COMPUTED_VALUE"""),"2")</f>
        <v>2</v>
      </c>
      <c r="L44" s="72">
        <f>IFERROR(__xludf.DUMMYFUNCTION("""COMPUTED_VALUE"""),3612221.334)</f>
        <v>3612221.334</v>
      </c>
      <c r="M44" s="39">
        <f>IFERROR(__xludf.DUMMYFUNCTION("""COMPUTED_VALUE"""),0.0)</f>
        <v>0</v>
      </c>
      <c r="N44" s="39">
        <f>IFERROR(__xludf.DUMMYFUNCTION("""COMPUTED_VALUE"""),0.0959)</f>
        <v>0.0959</v>
      </c>
      <c r="O44" s="91">
        <f>IFERROR(__xludf.DUMMYFUNCTION("""COMPUTED_VALUE"""),3612221.334)</f>
        <v>3612221.334</v>
      </c>
      <c r="P44" s="66">
        <f>IFERROR(__xludf.DUMMYFUNCTION("""COMPUTED_VALUE"""),346412.02593059995)</f>
        <v>346412.0259</v>
      </c>
      <c r="Q44" s="81">
        <f>IFERROR(__xludf.DUMMYFUNCTION("""COMPUTED_VALUE"""),0.0)</f>
        <v>0</v>
      </c>
      <c r="R44" s="81"/>
      <c r="S44" s="66"/>
      <c r="T44" s="66"/>
      <c r="U44" s="66"/>
      <c r="V44" s="66"/>
    </row>
    <row r="45">
      <c r="A45" s="66" t="str">
        <f>IFERROR(__xludf.DUMMYFUNCTION("""COMPUTED_VALUE"""),"XAUT")</f>
        <v>XAUT</v>
      </c>
      <c r="B45" s="85">
        <f t="shared" si="1"/>
        <v>237.396921</v>
      </c>
      <c r="C45" s="32">
        <f t="shared" si="2"/>
        <v>427640.7024</v>
      </c>
      <c r="D45" s="33">
        <f t="shared" si="3"/>
        <v>0.0001695737461</v>
      </c>
      <c r="E45" s="86">
        <f t="shared" si="5"/>
        <v>0</v>
      </c>
      <c r="H45" s="66" t="str">
        <f>IFERROR(__xludf.DUMMYFUNCTION("""COMPUTED_VALUE"""),"BAT")</f>
        <v>BAT</v>
      </c>
      <c r="I45" s="66" t="str">
        <f>IFERROR(__xludf.DUMMYFUNCTION("""COMPUTED_VALUE"""),"undeployed")</f>
        <v>undeployed</v>
      </c>
      <c r="J45" s="66" t="str">
        <f>IFERROR(__xludf.DUMMYFUNCTION("""COMPUTED_VALUE"""),"Celsius Network System")</f>
        <v>Celsius Network System</v>
      </c>
      <c r="K45" s="66" t="str">
        <f>IFERROR(__xludf.DUMMYFUNCTION("""COMPUTED_VALUE"""),"1")</f>
        <v>1</v>
      </c>
      <c r="L45" s="72">
        <f>IFERROR(__xludf.DUMMYFUNCTION("""COMPUTED_VALUE"""),3278572.989)</f>
        <v>3278572.989</v>
      </c>
      <c r="M45" s="39">
        <f>IFERROR(__xludf.DUMMYFUNCTION("""COMPUTED_VALUE"""),0.0)</f>
        <v>0</v>
      </c>
      <c r="N45" s="39">
        <f>IFERROR(__xludf.DUMMYFUNCTION("""COMPUTED_VALUE"""),0.0097)</f>
        <v>0.0097</v>
      </c>
      <c r="O45" s="91">
        <f>IFERROR(__xludf.DUMMYFUNCTION("""COMPUTED_VALUE"""),3536278.3305184953)</f>
        <v>3536278.331</v>
      </c>
      <c r="P45" s="66">
        <f>IFERROR(__xludf.DUMMYFUNCTION("""COMPUTED_VALUE"""),34301.8998060294)</f>
        <v>34301.89981</v>
      </c>
      <c r="Q45" s="81">
        <f>IFERROR(__xludf.DUMMYFUNCTION("""COMPUTED_VALUE"""),0.0)</f>
        <v>0</v>
      </c>
      <c r="R45" s="81"/>
      <c r="S45" s="66"/>
      <c r="T45" s="66"/>
      <c r="U45" s="66"/>
      <c r="V45" s="66"/>
    </row>
    <row r="46">
      <c r="A46" s="66" t="str">
        <f>IFERROR(__xludf.DUMMYFUNCTION("""COMPUTED_VALUE"""),"SUSHI")</f>
        <v>SUSHI</v>
      </c>
      <c r="B46" s="85">
        <f t="shared" si="1"/>
        <v>80697.68221</v>
      </c>
      <c r="C46" s="32">
        <f t="shared" si="2"/>
        <v>422565.473</v>
      </c>
      <c r="D46" s="33">
        <f t="shared" si="3"/>
        <v>0.000167561249</v>
      </c>
      <c r="E46" s="86">
        <f t="shared" si="5"/>
        <v>0</v>
      </c>
      <c r="H46" s="66" t="str">
        <f>IFERROR(__xludf.DUMMYFUNCTION("""COMPUTED_VALUE"""),"Stable Coins")</f>
        <v>Stable Coins</v>
      </c>
      <c r="I46" s="66" t="str">
        <f>IFERROR(__xludf.DUMMYFUNCTION("""COMPUTED_VALUE"""),"undeployed")</f>
        <v>undeployed</v>
      </c>
      <c r="J46" s="66" t="str">
        <f>IFERROR(__xludf.DUMMYFUNCTION("""COMPUTED_VALUE"""),"FTX - CEL")</f>
        <v>FTX - CEL</v>
      </c>
      <c r="K46" s="66" t="str">
        <f>IFERROR(__xludf.DUMMYFUNCTION("""COMPUTED_VALUE"""),"2")</f>
        <v>2</v>
      </c>
      <c r="L46" s="72">
        <f>IFERROR(__xludf.DUMMYFUNCTION("""COMPUTED_VALUE"""),3330333.198)</f>
        <v>3330333.198</v>
      </c>
      <c r="M46" s="39">
        <f>IFERROR(__xludf.DUMMYFUNCTION("""COMPUTED_VALUE"""),0.0)</f>
        <v>0</v>
      </c>
      <c r="N46" s="39">
        <f>IFERROR(__xludf.DUMMYFUNCTION("""COMPUTED_VALUE"""),0.0959)</f>
        <v>0.0959</v>
      </c>
      <c r="O46" s="91">
        <f>IFERROR(__xludf.DUMMYFUNCTION("""COMPUTED_VALUE"""),3330333.198)</f>
        <v>3330333.198</v>
      </c>
      <c r="P46" s="66">
        <f>IFERROR(__xludf.DUMMYFUNCTION("""COMPUTED_VALUE"""),319378.9536882)</f>
        <v>319378.9537</v>
      </c>
      <c r="Q46" s="81">
        <f>IFERROR(__xludf.DUMMYFUNCTION("""COMPUTED_VALUE"""),0.0)</f>
        <v>0</v>
      </c>
      <c r="R46" s="81"/>
      <c r="S46" s="66"/>
      <c r="T46" s="66"/>
      <c r="U46" s="66"/>
      <c r="V46" s="66"/>
    </row>
    <row r="47">
      <c r="A47" s="66" t="str">
        <f>IFERROR(__xludf.DUMMYFUNCTION("""COMPUTED_VALUE"""),"BSV")</f>
        <v>BSV</v>
      </c>
      <c r="B47" s="85">
        <f t="shared" si="1"/>
        <v>5280.179593</v>
      </c>
      <c r="C47" s="32">
        <f t="shared" si="2"/>
        <v>642492.2529</v>
      </c>
      <c r="D47" s="33">
        <f t="shared" si="3"/>
        <v>0.0002547695239</v>
      </c>
      <c r="E47" s="86">
        <f t="shared" si="5"/>
        <v>0</v>
      </c>
      <c r="H47" s="66" t="str">
        <f>IFERROR(__xludf.DUMMYFUNCTION("""COMPUTED_VALUE"""),"EOS")</f>
        <v>EOS</v>
      </c>
      <c r="I47" s="66" t="str">
        <f>IFERROR(__xludf.DUMMYFUNCTION("""COMPUTED_VALUE"""),"undeployed")</f>
        <v>undeployed</v>
      </c>
      <c r="J47" s="66" t="str">
        <f>IFERROR(__xludf.DUMMYFUNCTION("""COMPUTED_VALUE"""),"Celsius Network System")</f>
        <v>Celsius Network System</v>
      </c>
      <c r="K47" s="66" t="str">
        <f>IFERROR(__xludf.DUMMYFUNCTION("""COMPUTED_VALUE"""),"1")</f>
        <v>1</v>
      </c>
      <c r="L47" s="72">
        <f>IFERROR(__xludf.DUMMYFUNCTION("""COMPUTED_VALUE"""),833608.7767)</f>
        <v>833608.7767</v>
      </c>
      <c r="M47" s="39">
        <f>IFERROR(__xludf.DUMMYFUNCTION("""COMPUTED_VALUE"""),0.0)</f>
        <v>0</v>
      </c>
      <c r="N47" s="39">
        <f>IFERROR(__xludf.DUMMYFUNCTION("""COMPUTED_VALUE"""),0.0288)</f>
        <v>0.0288</v>
      </c>
      <c r="O47" s="91">
        <f>IFERROR(__xludf.DUMMYFUNCTION("""COMPUTED_VALUE"""),2688216.8965536174)</f>
        <v>2688216.897</v>
      </c>
      <c r="P47" s="66">
        <f>IFERROR(__xludf.DUMMYFUNCTION("""COMPUTED_VALUE"""),77420.64662074418)</f>
        <v>77420.64662</v>
      </c>
      <c r="Q47" s="81">
        <f>IFERROR(__xludf.DUMMYFUNCTION("""COMPUTED_VALUE"""),0.0)</f>
        <v>0</v>
      </c>
      <c r="R47" s="81"/>
      <c r="S47" s="66"/>
      <c r="T47" s="66"/>
      <c r="U47" s="66"/>
      <c r="V47" s="66"/>
    </row>
    <row r="48">
      <c r="A48" s="82" t="str">
        <f>IFERROR(__xludf.DUMMYFUNCTION("""COMPUTED_VALUE"""),"LPT")</f>
        <v>LPT</v>
      </c>
      <c r="B48" s="85">
        <f t="shared" si="1"/>
        <v>12253.99809</v>
      </c>
      <c r="C48" s="32">
        <f t="shared" si="2"/>
        <v>410137.7426</v>
      </c>
      <c r="D48" s="33">
        <f t="shared" si="3"/>
        <v>0.000162633241</v>
      </c>
      <c r="E48" s="86">
        <f t="shared" si="5"/>
        <v>0</v>
      </c>
      <c r="H48" s="66" t="str">
        <f>IFERROR(__xludf.DUMMYFUNCTION("""COMPUTED_VALUE"""),"TCAD")</f>
        <v>TCAD</v>
      </c>
      <c r="I48" s="66" t="str">
        <f>IFERROR(__xludf.DUMMYFUNCTION("""COMPUTED_VALUE"""),"undeployed")</f>
        <v>undeployed</v>
      </c>
      <c r="J48" s="66" t="str">
        <f>IFERROR(__xludf.DUMMYFUNCTION("""COMPUTED_VALUE"""),"Celsius Network System")</f>
        <v>Celsius Network System</v>
      </c>
      <c r="K48" s="66" t="str">
        <f>IFERROR(__xludf.DUMMYFUNCTION("""COMPUTED_VALUE"""),"1")</f>
        <v>1</v>
      </c>
      <c r="L48" s="72">
        <f>IFERROR(__xludf.DUMMYFUNCTION("""COMPUTED_VALUE"""),3317320.317)</f>
        <v>3317320.317</v>
      </c>
      <c r="M48" s="39">
        <f>IFERROR(__xludf.DUMMYFUNCTION("""COMPUTED_VALUE"""),0.0)</f>
        <v>0</v>
      </c>
      <c r="N48" s="39" t="str">
        <f>IFERROR(__xludf.DUMMYFUNCTION("""COMPUTED_VALUE"""),"N/A")</f>
        <v>N/A</v>
      </c>
      <c r="O48" s="91">
        <f>IFERROR(__xludf.DUMMYFUNCTION("""COMPUTED_VALUE"""),2566942.4612946)</f>
        <v>2566942.461</v>
      </c>
      <c r="P48" s="66" t="str">
        <f>IFERROR(__xludf.DUMMYFUNCTION("""COMPUTED_VALUE"""),"N/A")</f>
        <v>N/A</v>
      </c>
      <c r="Q48" s="81">
        <f>IFERROR(__xludf.DUMMYFUNCTION("""COMPUTED_VALUE"""),0.0)</f>
        <v>0</v>
      </c>
      <c r="R48" s="81"/>
      <c r="S48" s="66"/>
      <c r="T48" s="66"/>
      <c r="U48" s="66"/>
      <c r="V48" s="66"/>
    </row>
    <row r="49">
      <c r="A49" s="66" t="str">
        <f>IFERROR(__xludf.DUMMYFUNCTION("""COMPUTED_VALUE"""),"XTZ")</f>
        <v>XTZ</v>
      </c>
      <c r="B49" s="85">
        <f t="shared" si="1"/>
        <v>94113.83263</v>
      </c>
      <c r="C49" s="32">
        <f t="shared" si="2"/>
        <v>379604.3187</v>
      </c>
      <c r="D49" s="33">
        <f t="shared" si="3"/>
        <v>0.000150525724</v>
      </c>
      <c r="E49" s="86">
        <f t="shared" si="5"/>
        <v>0</v>
      </c>
      <c r="H49" s="66" t="str">
        <f>IFERROR(__xludf.DUMMYFUNCTION("""COMPUTED_VALUE"""),"DASH")</f>
        <v>DASH</v>
      </c>
      <c r="I49" s="66" t="str">
        <f>IFERROR(__xludf.DUMMYFUNCTION("""COMPUTED_VALUE"""),"undeployed")</f>
        <v>undeployed</v>
      </c>
      <c r="J49" s="66" t="str">
        <f>IFERROR(__xludf.DUMMYFUNCTION("""COMPUTED_VALUE"""),"Celsius Network System")</f>
        <v>Celsius Network System</v>
      </c>
      <c r="K49" s="66" t="str">
        <f>IFERROR(__xludf.DUMMYFUNCTION("""COMPUTED_VALUE"""),"1")</f>
        <v>1</v>
      </c>
      <c r="L49" s="72">
        <f>IFERROR(__xludf.DUMMYFUNCTION("""COMPUTED_VALUE"""),19628.22645)</f>
        <v>19628.22645</v>
      </c>
      <c r="M49" s="39">
        <f>IFERROR(__xludf.DUMMYFUNCTION("""COMPUTED_VALUE"""),0.0)</f>
        <v>0</v>
      </c>
      <c r="N49" s="39">
        <f>IFERROR(__xludf.DUMMYFUNCTION("""COMPUTED_VALUE"""),0.041)</f>
        <v>0.041</v>
      </c>
      <c r="O49" s="91">
        <f>IFERROR(__xludf.DUMMYFUNCTION("""COMPUTED_VALUE"""),2500607.533842613)</f>
        <v>2500607.534</v>
      </c>
      <c r="P49" s="66">
        <f>IFERROR(__xludf.DUMMYFUNCTION("""COMPUTED_VALUE"""),102524.90888754714)</f>
        <v>102524.9089</v>
      </c>
      <c r="Q49" s="81">
        <f>IFERROR(__xludf.DUMMYFUNCTION("""COMPUTED_VALUE"""),0.0)</f>
        <v>0</v>
      </c>
      <c r="R49" s="81"/>
      <c r="S49" s="66"/>
      <c r="T49" s="66"/>
      <c r="U49" s="66"/>
      <c r="V49" s="66"/>
    </row>
    <row r="50">
      <c r="A50" s="66" t="str">
        <f>IFERROR(__xludf.DUMMYFUNCTION("""COMPUTED_VALUE"""),"KNC")</f>
        <v>KNC</v>
      </c>
      <c r="B50" s="85">
        <f t="shared" si="1"/>
        <v>277784.6084</v>
      </c>
      <c r="C50" s="32">
        <f t="shared" si="2"/>
        <v>343226.5045</v>
      </c>
      <c r="D50" s="33">
        <f t="shared" si="3"/>
        <v>0.0001361007121</v>
      </c>
      <c r="E50" s="86">
        <f t="shared" si="5"/>
        <v>0</v>
      </c>
      <c r="H50" s="66" t="str">
        <f>IFERROR(__xludf.DUMMYFUNCTION("""COMPUTED_VALUE"""),"Stable Coins")</f>
        <v>Stable Coins</v>
      </c>
      <c r="I50" s="66" t="str">
        <f>IFERROR(__xludf.DUMMYFUNCTION("""COMPUTED_VALUE"""),"undeployed")</f>
        <v>undeployed</v>
      </c>
      <c r="J50" s="66" t="str">
        <f>IFERROR(__xludf.DUMMYFUNCTION("""COMPUTED_VALUE"""),"Celsius OTC")</f>
        <v>Celsius OTC</v>
      </c>
      <c r="K50" s="66" t="str">
        <f>IFERROR(__xludf.DUMMYFUNCTION("""COMPUTED_VALUE"""),"1")</f>
        <v>1</v>
      </c>
      <c r="L50" s="72">
        <f>IFERROR(__xludf.DUMMYFUNCTION("""COMPUTED_VALUE"""),2394915.4669000003)</f>
        <v>2394915.467</v>
      </c>
      <c r="M50" s="39">
        <f>IFERROR(__xludf.DUMMYFUNCTION("""COMPUTED_VALUE"""),0.0)</f>
        <v>0</v>
      </c>
      <c r="N50" s="39">
        <f>IFERROR(__xludf.DUMMYFUNCTION("""COMPUTED_VALUE"""),0.0959)</f>
        <v>0.0959</v>
      </c>
      <c r="O50" s="91">
        <f>IFERROR(__xludf.DUMMYFUNCTION("""COMPUTED_VALUE"""),2394915.4669000003)</f>
        <v>2394915.467</v>
      </c>
      <c r="P50" s="66">
        <f>IFERROR(__xludf.DUMMYFUNCTION("""COMPUTED_VALUE"""),229672.39327571003)</f>
        <v>229672.3933</v>
      </c>
      <c r="Q50" s="81">
        <f>IFERROR(__xludf.DUMMYFUNCTION("""COMPUTED_VALUE"""),0.0)</f>
        <v>0</v>
      </c>
      <c r="R50" s="81"/>
      <c r="S50" s="66"/>
      <c r="T50" s="66"/>
      <c r="U50" s="66"/>
      <c r="V50" s="66"/>
    </row>
    <row r="51">
      <c r="A51" s="66" t="str">
        <f>IFERROR(__xludf.DUMMYFUNCTION("""COMPUTED_VALUE"""),"AVAX")</f>
        <v>AVAX</v>
      </c>
      <c r="B51" s="85">
        <f t="shared" si="1"/>
        <v>3181.560402</v>
      </c>
      <c r="C51" s="32">
        <f t="shared" si="2"/>
        <v>331424.7108</v>
      </c>
      <c r="D51" s="33">
        <f t="shared" si="3"/>
        <v>0.0001314209088</v>
      </c>
      <c r="E51" s="86">
        <f t="shared" si="5"/>
        <v>0</v>
      </c>
      <c r="H51" s="66" t="str">
        <f>IFERROR(__xludf.DUMMYFUNCTION("""COMPUTED_VALUE"""),"THKD")</f>
        <v>THKD</v>
      </c>
      <c r="I51" s="66" t="str">
        <f>IFERROR(__xludf.DUMMYFUNCTION("""COMPUTED_VALUE"""),"undeployed")</f>
        <v>undeployed</v>
      </c>
      <c r="J51" s="66" t="str">
        <f>IFERROR(__xludf.DUMMYFUNCTION("""COMPUTED_VALUE"""),"Celsius Network System")</f>
        <v>Celsius Network System</v>
      </c>
      <c r="K51" s="66" t="str">
        <f>IFERROR(__xludf.DUMMYFUNCTION("""COMPUTED_VALUE"""),"1")</f>
        <v>1</v>
      </c>
      <c r="L51" s="72">
        <f>IFERROR(__xludf.DUMMYFUNCTION("""COMPUTED_VALUE"""),1.731940548E7)</f>
        <v>17319405.48</v>
      </c>
      <c r="M51" s="39">
        <f>IFERROR(__xludf.DUMMYFUNCTION("""COMPUTED_VALUE"""),0.0)</f>
        <v>0</v>
      </c>
      <c r="N51" s="39" t="str">
        <f>IFERROR(__xludf.DUMMYFUNCTION("""COMPUTED_VALUE"""),"N/A")</f>
        <v>N/A</v>
      </c>
      <c r="O51" s="91">
        <f>IFERROR(__xludf.DUMMYFUNCTION("""COMPUTED_VALUE"""),2220347.782536)</f>
        <v>2220347.783</v>
      </c>
      <c r="P51" s="66" t="str">
        <f>IFERROR(__xludf.DUMMYFUNCTION("""COMPUTED_VALUE"""),"N/A")</f>
        <v>N/A</v>
      </c>
      <c r="Q51" s="81">
        <f>IFERROR(__xludf.DUMMYFUNCTION("""COMPUTED_VALUE"""),0.0)</f>
        <v>0</v>
      </c>
      <c r="R51" s="81"/>
      <c r="S51" s="66"/>
      <c r="T51" s="66"/>
      <c r="U51" s="66"/>
      <c r="V51" s="66"/>
    </row>
    <row r="52">
      <c r="A52" s="66" t="str">
        <f>IFERROR(__xludf.DUMMYFUNCTION("""COMPUTED_VALUE"""),"WDGLD")</f>
        <v>WDGLD</v>
      </c>
      <c r="B52" s="85">
        <f t="shared" si="1"/>
        <v>1666.471496</v>
      </c>
      <c r="C52" s="32">
        <f t="shared" si="2"/>
        <v>293232.3244</v>
      </c>
      <c r="D52" s="33">
        <f t="shared" si="3"/>
        <v>0.0001162763587</v>
      </c>
      <c r="E52" s="86">
        <f t="shared" si="5"/>
        <v>0</v>
      </c>
      <c r="H52" s="66" t="str">
        <f>IFERROR(__xludf.DUMMYFUNCTION("""COMPUTED_VALUE"""),"SNX")</f>
        <v>SNX</v>
      </c>
      <c r="I52" s="66" t="str">
        <f>IFERROR(__xludf.DUMMYFUNCTION("""COMPUTED_VALUE"""),"undeployed")</f>
        <v>undeployed</v>
      </c>
      <c r="J52" s="66" t="str">
        <f>IFERROR(__xludf.DUMMYFUNCTION("""COMPUTED_VALUE"""),"Celsius Network System")</f>
        <v>Celsius Network System</v>
      </c>
      <c r="K52" s="66" t="str">
        <f>IFERROR(__xludf.DUMMYFUNCTION("""COMPUTED_VALUE"""),"1")</f>
        <v>1</v>
      </c>
      <c r="L52" s="72">
        <f>IFERROR(__xludf.DUMMYFUNCTION("""COMPUTED_VALUE"""),441526.5654)</f>
        <v>441526.5654</v>
      </c>
      <c r="M52" s="39">
        <f>IFERROR(__xludf.DUMMYFUNCTION("""COMPUTED_VALUE"""),0.0)</f>
        <v>0</v>
      </c>
      <c r="N52" s="39">
        <f>IFERROR(__xludf.DUMMYFUNCTION("""COMPUTED_VALUE"""),0.1339)</f>
        <v>0.1339</v>
      </c>
      <c r="O52" s="91">
        <f>IFERROR(__xludf.DUMMYFUNCTION("""COMPUTED_VALUE"""),2190049.8183332845)</f>
        <v>2190049.818</v>
      </c>
      <c r="P52" s="66">
        <f>IFERROR(__xludf.DUMMYFUNCTION("""COMPUTED_VALUE"""),293247.6706748268)</f>
        <v>293247.6707</v>
      </c>
      <c r="Q52" s="81">
        <f>IFERROR(__xludf.DUMMYFUNCTION("""COMPUTED_VALUE"""),0.0)</f>
        <v>0</v>
      </c>
      <c r="R52" s="81"/>
      <c r="S52" s="66"/>
      <c r="T52" s="66"/>
      <c r="U52" s="66"/>
      <c r="V52" s="66"/>
    </row>
    <row r="53">
      <c r="A53" s="66" t="str">
        <f>IFERROR(__xludf.DUMMYFUNCTION("""COMPUTED_VALUE"""),"UMA")</f>
        <v>UMA</v>
      </c>
      <c r="B53" s="85">
        <f t="shared" si="1"/>
        <v>31920.7215</v>
      </c>
      <c r="C53" s="32">
        <f t="shared" si="2"/>
        <v>273543.05</v>
      </c>
      <c r="D53" s="33">
        <f t="shared" si="3"/>
        <v>0.0001084689073</v>
      </c>
      <c r="E53" s="86">
        <f t="shared" si="5"/>
        <v>0</v>
      </c>
      <c r="H53" s="66" t="str">
        <f>IFERROR(__xludf.DUMMYFUNCTION("""COMPUTED_VALUE"""),"MANA")</f>
        <v>MANA</v>
      </c>
      <c r="I53" s="66" t="str">
        <f>IFERROR(__xludf.DUMMYFUNCTION("""COMPUTED_VALUE"""),"undeployed")</f>
        <v>undeployed</v>
      </c>
      <c r="J53" s="66" t="str">
        <f>IFERROR(__xludf.DUMMYFUNCTION("""COMPUTED_VALUE"""),"Celsius Network System")</f>
        <v>Celsius Network System</v>
      </c>
      <c r="K53" s="66" t="str">
        <f>IFERROR(__xludf.DUMMYFUNCTION("""COMPUTED_VALUE"""),"1")</f>
        <v>1</v>
      </c>
      <c r="L53" s="72">
        <f>IFERROR(__xludf.DUMMYFUNCTION("""COMPUTED_VALUE"""),584694.2197)</f>
        <v>584694.2197</v>
      </c>
      <c r="M53" s="39">
        <f>IFERROR(__xludf.DUMMYFUNCTION("""COMPUTED_VALUE"""),0.0)</f>
        <v>0</v>
      </c>
      <c r="N53" s="39">
        <f>IFERROR(__xludf.DUMMYFUNCTION("""COMPUTED_VALUE"""),0.0042)</f>
        <v>0.0042</v>
      </c>
      <c r="O53" s="91">
        <f>IFERROR(__xludf.DUMMYFUNCTION("""COMPUTED_VALUE"""),1849240.4839075375)</f>
        <v>1849240.484</v>
      </c>
      <c r="P53" s="66">
        <f>IFERROR(__xludf.DUMMYFUNCTION("""COMPUTED_VALUE"""),7766.810032411657)</f>
        <v>7766.810032</v>
      </c>
      <c r="Q53" s="81">
        <f>IFERROR(__xludf.DUMMYFUNCTION("""COMPUTED_VALUE"""),0.0)</f>
        <v>0</v>
      </c>
      <c r="R53" s="81"/>
      <c r="S53" s="66"/>
      <c r="T53" s="66"/>
      <c r="U53" s="66"/>
      <c r="V53" s="66"/>
    </row>
    <row r="54">
      <c r="A54" s="66" t="str">
        <f>IFERROR(__xludf.DUMMYFUNCTION("""COMPUTED_VALUE"""),"SRM_LOCKED")</f>
        <v>SRM_LOCKED</v>
      </c>
      <c r="B54" s="85">
        <f t="shared" si="1"/>
        <v>78391.83219</v>
      </c>
      <c r="C54" s="32">
        <f t="shared" si="2"/>
        <v>260677.9033</v>
      </c>
      <c r="D54" s="33">
        <f t="shared" si="3"/>
        <v>0.0001033674492</v>
      </c>
      <c r="E54" s="86">
        <f t="shared" si="5"/>
        <v>0</v>
      </c>
      <c r="H54" s="66" t="str">
        <f>IFERROR(__xludf.DUMMYFUNCTION("""COMPUTED_VALUE"""),"WBTC")</f>
        <v>WBTC</v>
      </c>
      <c r="I54" s="66" t="str">
        <f>IFERROR(__xludf.DUMMYFUNCTION("""COMPUTED_VALUE"""),"undeployed")</f>
        <v>undeployed</v>
      </c>
      <c r="J54" s="66" t="str">
        <f>IFERROR(__xludf.DUMMYFUNCTION("""COMPUTED_VALUE"""),"Celsius Network System")</f>
        <v>Celsius Network System</v>
      </c>
      <c r="K54" s="66" t="str">
        <f>IFERROR(__xludf.DUMMYFUNCTION("""COMPUTED_VALUE"""),"1")</f>
        <v>1</v>
      </c>
      <c r="L54" s="72">
        <f>IFERROR(__xludf.DUMMYFUNCTION("""COMPUTED_VALUE"""),37.83624189)</f>
        <v>37.83624189</v>
      </c>
      <c r="M54" s="39">
        <f>IFERROR(__xludf.DUMMYFUNCTION("""COMPUTED_VALUE"""),0.0)</f>
        <v>0</v>
      </c>
      <c r="N54" s="39">
        <f>IFERROR(__xludf.DUMMYFUNCTION("""COMPUTED_VALUE"""),0.0298)</f>
        <v>0.0298</v>
      </c>
      <c r="O54" s="91">
        <f>IFERROR(__xludf.DUMMYFUNCTION("""COMPUTED_VALUE"""),1752000.8730365646)</f>
        <v>1752000.873</v>
      </c>
      <c r="P54" s="66">
        <f>IFERROR(__xludf.DUMMYFUNCTION("""COMPUTED_VALUE"""),52209.62601648962)</f>
        <v>52209.62602</v>
      </c>
      <c r="Q54" s="81">
        <f>IFERROR(__xludf.DUMMYFUNCTION("""COMPUTED_VALUE"""),0.0)</f>
        <v>0</v>
      </c>
      <c r="R54" s="81"/>
      <c r="S54" s="66"/>
      <c r="T54" s="66"/>
      <c r="U54" s="66"/>
      <c r="V54" s="66"/>
    </row>
    <row r="55">
      <c r="A55" s="66" t="str">
        <f>IFERROR(__xludf.DUMMYFUNCTION("""COMPUTED_VALUE"""),"YFL")</f>
        <v>YFL</v>
      </c>
      <c r="B55" s="85">
        <f t="shared" si="1"/>
        <v>1044.03038</v>
      </c>
      <c r="C55" s="32">
        <f t="shared" si="2"/>
        <v>217304.4833</v>
      </c>
      <c r="D55" s="33">
        <f t="shared" si="3"/>
        <v>0.00008616844716</v>
      </c>
      <c r="E55" s="86">
        <f t="shared" si="5"/>
        <v>0</v>
      </c>
      <c r="H55" s="66" t="str">
        <f>IFERROR(__xludf.DUMMYFUNCTION("""COMPUTED_VALUE"""),"AAVE")</f>
        <v>AAVE</v>
      </c>
      <c r="I55" s="66" t="str">
        <f>IFERROR(__xludf.DUMMYFUNCTION("""COMPUTED_VALUE"""),"undeployed")</f>
        <v>undeployed</v>
      </c>
      <c r="J55" s="66" t="str">
        <f>IFERROR(__xludf.DUMMYFUNCTION("""COMPUTED_VALUE"""),"Celsius Network System")</f>
        <v>Celsius Network System</v>
      </c>
      <c r="K55" s="66" t="str">
        <f>IFERROR(__xludf.DUMMYFUNCTION("""COMPUTED_VALUE"""),"1")</f>
        <v>1</v>
      </c>
      <c r="L55" s="72">
        <f>IFERROR(__xludf.DUMMYFUNCTION("""COMPUTED_VALUE"""),9992.236972)</f>
        <v>9992.236972</v>
      </c>
      <c r="M55" s="39">
        <f>IFERROR(__xludf.DUMMYFUNCTION("""COMPUTED_VALUE"""),0.0)</f>
        <v>0</v>
      </c>
      <c r="N55" s="39">
        <f>IFERROR(__xludf.DUMMYFUNCTION("""COMPUTED_VALUE"""),0.0385)</f>
        <v>0.0385</v>
      </c>
      <c r="O55" s="91">
        <f>IFERROR(__xludf.DUMMYFUNCTION("""COMPUTED_VALUE"""),1730294.0802956498)</f>
        <v>1730294.08</v>
      </c>
      <c r="P55" s="66">
        <f>IFERROR(__xludf.DUMMYFUNCTION("""COMPUTED_VALUE"""),66616.32209138252)</f>
        <v>66616.32209</v>
      </c>
      <c r="Q55" s="81">
        <f>IFERROR(__xludf.DUMMYFUNCTION("""COMPUTED_VALUE"""),0.0)</f>
        <v>0</v>
      </c>
      <c r="R55" s="81"/>
      <c r="S55" s="66"/>
      <c r="T55" s="66"/>
      <c r="U55" s="66"/>
      <c r="V55" s="66"/>
    </row>
    <row r="56">
      <c r="A56" s="66" t="str">
        <f>IFERROR(__xludf.DUMMYFUNCTION("""COMPUTED_VALUE"""),"REN")</f>
        <v>REN</v>
      </c>
      <c r="B56" s="85">
        <f t="shared" si="1"/>
        <v>129526.1711</v>
      </c>
      <c r="C56" s="32">
        <f t="shared" si="2"/>
        <v>62248.20215</v>
      </c>
      <c r="D56" s="33">
        <f t="shared" si="3"/>
        <v>0.00002468348023</v>
      </c>
      <c r="E56" s="86">
        <f t="shared" si="5"/>
        <v>0</v>
      </c>
      <c r="H56" s="66" t="str">
        <f>IFERROR(__xludf.DUMMYFUNCTION("""COMPUTED_VALUE"""),"UNI")</f>
        <v>UNI</v>
      </c>
      <c r="I56" s="66" t="str">
        <f>IFERROR(__xludf.DUMMYFUNCTION("""COMPUTED_VALUE"""),"undeployed")</f>
        <v>undeployed</v>
      </c>
      <c r="J56" s="66" t="str">
        <f>IFERROR(__xludf.DUMMYFUNCTION("""COMPUTED_VALUE"""),"Celsius Network System")</f>
        <v>Celsius Network System</v>
      </c>
      <c r="K56" s="66" t="str">
        <f>IFERROR(__xludf.DUMMYFUNCTION("""COMPUTED_VALUE"""),"1")</f>
        <v>1</v>
      </c>
      <c r="L56" s="72">
        <f>IFERROR(__xludf.DUMMYFUNCTION("""COMPUTED_VALUE"""),108711.456)</f>
        <v>108711.456</v>
      </c>
      <c r="M56" s="39">
        <f>IFERROR(__xludf.DUMMYFUNCTION("""COMPUTED_VALUE"""),0.0)</f>
        <v>0</v>
      </c>
      <c r="N56" s="39">
        <f>IFERROR(__xludf.DUMMYFUNCTION("""COMPUTED_VALUE"""),0.0228)</f>
        <v>0.0228</v>
      </c>
      <c r="O56" s="91">
        <f>IFERROR(__xludf.DUMMYFUNCTION("""COMPUTED_VALUE"""),1569817.7346957908)</f>
        <v>1569817.735</v>
      </c>
      <c r="P56" s="66">
        <f>IFERROR(__xludf.DUMMYFUNCTION("""COMPUTED_VALUE"""),35791.84435106403)</f>
        <v>35791.84435</v>
      </c>
      <c r="Q56" s="81">
        <f>IFERROR(__xludf.DUMMYFUNCTION("""COMPUTED_VALUE"""),0.0)</f>
        <v>0</v>
      </c>
      <c r="R56" s="81"/>
      <c r="S56" s="66"/>
      <c r="T56" s="66"/>
      <c r="U56" s="66"/>
      <c r="V56" s="66"/>
    </row>
    <row r="57">
      <c r="A57" s="66" t="str">
        <f>IFERROR(__xludf.DUMMYFUNCTION("""COMPUTED_VALUE"""),"MKR")</f>
        <v>MKR</v>
      </c>
      <c r="B57" s="85">
        <f t="shared" si="1"/>
        <v>11.87371194</v>
      </c>
      <c r="C57" s="32">
        <f t="shared" si="2"/>
        <v>27243.99593</v>
      </c>
      <c r="D57" s="33">
        <f t="shared" si="3"/>
        <v>0.00001080314952</v>
      </c>
      <c r="E57" s="86">
        <f t="shared" si="5"/>
        <v>0</v>
      </c>
      <c r="H57" s="66" t="str">
        <f>IFERROR(__xludf.DUMMYFUNCTION("""COMPUTED_VALUE"""),"LTC")</f>
        <v>LTC</v>
      </c>
      <c r="I57" s="66" t="str">
        <f>IFERROR(__xludf.DUMMYFUNCTION("""COMPUTED_VALUE"""),"undeployed")</f>
        <v>undeployed</v>
      </c>
      <c r="J57" s="66" t="str">
        <f>IFERROR(__xludf.DUMMYFUNCTION("""COMPUTED_VALUE"""),"Celsius Network")</f>
        <v>Celsius Network</v>
      </c>
      <c r="K57" s="66" t="str">
        <f>IFERROR(__xludf.DUMMYFUNCTION("""COMPUTED_VALUE"""),"1")</f>
        <v>1</v>
      </c>
      <c r="L57" s="72">
        <f>IFERROR(__xludf.DUMMYFUNCTION("""COMPUTED_VALUE"""),10404.58272)</f>
        <v>10404.58272</v>
      </c>
      <c r="M57" s="39">
        <f>IFERROR(__xludf.DUMMYFUNCTION("""COMPUTED_VALUE"""),0.0)</f>
        <v>0</v>
      </c>
      <c r="N57" s="39">
        <f>IFERROR(__xludf.DUMMYFUNCTION("""COMPUTED_VALUE"""),0.0285)</f>
        <v>0.0285</v>
      </c>
      <c r="O57" s="91">
        <f>IFERROR(__xludf.DUMMYFUNCTION("""COMPUTED_VALUE"""),1562960.0945294872)</f>
        <v>1562960.095</v>
      </c>
      <c r="P57" s="66">
        <f>IFERROR(__xludf.DUMMYFUNCTION("""COMPUTED_VALUE"""),44544.362694090385)</f>
        <v>44544.36269</v>
      </c>
      <c r="Q57" s="81">
        <f>IFERROR(__xludf.DUMMYFUNCTION("""COMPUTED_VALUE"""),0.0)</f>
        <v>0</v>
      </c>
      <c r="R57" s="81"/>
      <c r="S57" s="66"/>
      <c r="T57" s="66"/>
      <c r="U57" s="66"/>
      <c r="V57" s="66"/>
    </row>
    <row r="58">
      <c r="A58" s="66" t="str">
        <f>IFERROR(__xludf.DUMMYFUNCTION("""COMPUTED_VALUE"""),"ORBS")</f>
        <v>ORBS</v>
      </c>
      <c r="B58" s="85">
        <f t="shared" si="1"/>
        <v>186214.4927</v>
      </c>
      <c r="C58" s="32">
        <f t="shared" si="2"/>
        <v>15917.73237</v>
      </c>
      <c r="D58" s="33">
        <f t="shared" si="3"/>
        <v>0.000006311909722</v>
      </c>
      <c r="E58" s="86">
        <f t="shared" si="5"/>
        <v>0</v>
      </c>
      <c r="H58" s="66" t="str">
        <f>IFERROR(__xludf.DUMMYFUNCTION("""COMPUTED_VALUE"""),"WBTC")</f>
        <v>WBTC</v>
      </c>
      <c r="I58" s="66" t="str">
        <f>IFERROR(__xludf.DUMMYFUNCTION("""COMPUTED_VALUE"""),"undeployed")</f>
        <v>undeployed</v>
      </c>
      <c r="J58" s="66" t="str">
        <f>IFERROR(__xludf.DUMMYFUNCTION("""COMPUTED_VALUE"""),"Celsius Network")</f>
        <v>Celsius Network</v>
      </c>
      <c r="K58" s="66" t="str">
        <f>IFERROR(__xludf.DUMMYFUNCTION("""COMPUTED_VALUE"""),"1")</f>
        <v>1</v>
      </c>
      <c r="L58" s="72">
        <f>IFERROR(__xludf.DUMMYFUNCTION("""COMPUTED_VALUE"""),31.8346)</f>
        <v>31.8346</v>
      </c>
      <c r="M58" s="39">
        <f>IFERROR(__xludf.DUMMYFUNCTION("""COMPUTED_VALUE"""),0.0)</f>
        <v>0</v>
      </c>
      <c r="N58" s="39">
        <f>IFERROR(__xludf.DUMMYFUNCTION("""COMPUTED_VALUE"""),0.0298)</f>
        <v>0.0298</v>
      </c>
      <c r="O58" s="91">
        <f>IFERROR(__xludf.DUMMYFUNCTION("""COMPUTED_VALUE"""),1474095.845853834)</f>
        <v>1474095.846</v>
      </c>
      <c r="P58" s="66">
        <f>IFERROR(__xludf.DUMMYFUNCTION("""COMPUTED_VALUE"""),43928.05620644425)</f>
        <v>43928.05621</v>
      </c>
      <c r="Q58" s="81">
        <f>IFERROR(__xludf.DUMMYFUNCTION("""COMPUTED_VALUE"""),0.0)</f>
        <v>0</v>
      </c>
      <c r="R58" s="81"/>
      <c r="S58" s="66"/>
      <c r="T58" s="66"/>
      <c r="U58" s="66"/>
      <c r="V58" s="66"/>
    </row>
    <row r="59">
      <c r="A59" s="66" t="str">
        <f>IFERROR(__xludf.DUMMYFUNCTION("""COMPUTED_VALUE"""),"BADGER")</f>
        <v>BADGER</v>
      </c>
      <c r="B59" s="85">
        <f t="shared" si="1"/>
        <v>961.3360518</v>
      </c>
      <c r="C59" s="32">
        <f t="shared" si="2"/>
        <v>13883.52717</v>
      </c>
      <c r="D59" s="33">
        <f t="shared" si="3"/>
        <v>0.000005505279778</v>
      </c>
      <c r="E59" s="86">
        <f t="shared" si="5"/>
        <v>0</v>
      </c>
      <c r="H59" s="66" t="str">
        <f>IFERROR(__xludf.DUMMYFUNCTION("""COMPUTED_VALUE"""),"FTT")</f>
        <v>FTT</v>
      </c>
      <c r="I59" s="66" t="str">
        <f>IFERROR(__xludf.DUMMYFUNCTION("""COMPUTED_VALUE"""),"undeployed")</f>
        <v>undeployed</v>
      </c>
      <c r="J59" s="66" t="str">
        <f>IFERROR(__xludf.DUMMYFUNCTION("""COMPUTED_VALUE"""),"FTX - Management")</f>
        <v>FTX - Management</v>
      </c>
      <c r="K59" s="66" t="str">
        <f>IFERROR(__xludf.DUMMYFUNCTION("""COMPUTED_VALUE"""),"4")</f>
        <v>4</v>
      </c>
      <c r="L59" s="72">
        <f>IFERROR(__xludf.DUMMYFUNCTION("""COMPUTED_VALUE"""),35627.39559)</f>
        <v>35627.39559</v>
      </c>
      <c r="M59" s="39">
        <f>IFERROR(__xludf.DUMMYFUNCTION("""COMPUTED_VALUE"""),0.0)</f>
        <v>0</v>
      </c>
      <c r="N59" s="39" t="str">
        <f>IFERROR(__xludf.DUMMYFUNCTION("""COMPUTED_VALUE"""),"N/A")</f>
        <v>N/A</v>
      </c>
      <c r="O59" s="91">
        <f>IFERROR(__xludf.DUMMYFUNCTION("""COMPUTED_VALUE"""),1407945.3750207003)</f>
        <v>1407945.375</v>
      </c>
      <c r="P59" s="66" t="str">
        <f>IFERROR(__xludf.DUMMYFUNCTION("""COMPUTED_VALUE"""),"N/A")</f>
        <v>N/A</v>
      </c>
      <c r="Q59" s="81">
        <f>IFERROR(__xludf.DUMMYFUNCTION("""COMPUTED_VALUE"""),0.0)</f>
        <v>0</v>
      </c>
      <c r="R59" s="81"/>
      <c r="S59" s="66"/>
      <c r="T59" s="66"/>
      <c r="U59" s="66"/>
      <c r="V59" s="66"/>
    </row>
    <row r="60">
      <c r="A60" s="66" t="str">
        <f>IFERROR(__xludf.DUMMYFUNCTION("""COMPUTED_VALUE"""),"YFI")</f>
        <v>YFI</v>
      </c>
      <c r="B60" s="85">
        <f t="shared" si="1"/>
        <v>0.30885492</v>
      </c>
      <c r="C60" s="32">
        <f t="shared" si="2"/>
        <v>10920.29651</v>
      </c>
      <c r="D60" s="33">
        <f t="shared" si="3"/>
        <v>0.000004330260371</v>
      </c>
      <c r="E60" s="86">
        <f t="shared" si="5"/>
        <v>0</v>
      </c>
      <c r="H60" s="66" t="str">
        <f>IFERROR(__xludf.DUMMYFUNCTION("""COMPUTED_VALUE"""),"CEL")</f>
        <v>CEL</v>
      </c>
      <c r="I60" s="66" t="str">
        <f>IFERROR(__xludf.DUMMYFUNCTION("""COMPUTED_VALUE"""),"undeployed")</f>
        <v>undeployed</v>
      </c>
      <c r="J60" s="66" t="str">
        <f>IFERROR(__xludf.DUMMYFUNCTION("""COMPUTED_VALUE"""),"FTX - Kairon")</f>
        <v>FTX - Kairon</v>
      </c>
      <c r="K60" s="66" t="str">
        <f>IFERROR(__xludf.DUMMYFUNCTION("""COMPUTED_VALUE"""),"4")</f>
        <v>4</v>
      </c>
      <c r="L60" s="72">
        <f>IFERROR(__xludf.DUMMYFUNCTION("""COMPUTED_VALUE"""),325211.9191)</f>
        <v>325211.9191</v>
      </c>
      <c r="M60" s="39" t="str">
        <f>IFERROR(__xludf.DUMMYFUNCTION("""COMPUTED_VALUE"""),"N/A")</f>
        <v>N/A</v>
      </c>
      <c r="N60" s="39">
        <f>IFERROR(__xludf.DUMMYFUNCTION("""COMPUTED_VALUE"""),0.0415)</f>
        <v>0.0415</v>
      </c>
      <c r="O60" s="91">
        <f>IFERROR(__xludf.DUMMYFUNCTION("""COMPUTED_VALUE"""),1273732.266280485)</f>
        <v>1273732.266</v>
      </c>
      <c r="P60" s="66">
        <f>IFERROR(__xludf.DUMMYFUNCTION("""COMPUTED_VALUE"""),52859.88905064014)</f>
        <v>52859.88905</v>
      </c>
      <c r="Q60" s="81" t="str">
        <f>IFERROR(__xludf.DUMMYFUNCTION("""COMPUTED_VALUE"""),"N/A")</f>
        <v>N/A</v>
      </c>
      <c r="R60" s="81"/>
      <c r="S60" s="66"/>
      <c r="T60" s="66"/>
      <c r="U60" s="66"/>
      <c r="V60" s="66"/>
    </row>
    <row r="61">
      <c r="A61" s="66" t="str">
        <f>IFERROR(__xludf.DUMMYFUNCTION("""COMPUTED_VALUE"""),"BAL")</f>
        <v>BAL</v>
      </c>
      <c r="B61" s="85">
        <f t="shared" si="1"/>
        <v>697.0794665</v>
      </c>
      <c r="C61" s="32">
        <f t="shared" si="2"/>
        <v>12309.80506</v>
      </c>
      <c r="D61" s="33">
        <f t="shared" si="3"/>
        <v>0.000004881246677</v>
      </c>
      <c r="E61" s="86">
        <f t="shared" si="5"/>
        <v>0</v>
      </c>
      <c r="H61" s="66" t="str">
        <f>IFERROR(__xludf.DUMMYFUNCTION("""COMPUTED_VALUE"""),"OMG")</f>
        <v>OMG</v>
      </c>
      <c r="I61" s="66" t="str">
        <f>IFERROR(__xludf.DUMMYFUNCTION("""COMPUTED_VALUE"""),"undeployed")</f>
        <v>undeployed</v>
      </c>
      <c r="J61" s="66" t="str">
        <f>IFERROR(__xludf.DUMMYFUNCTION("""COMPUTED_VALUE"""),"Celsius Network System")</f>
        <v>Celsius Network System</v>
      </c>
      <c r="K61" s="66" t="str">
        <f>IFERROR(__xludf.DUMMYFUNCTION("""COMPUTED_VALUE"""),"1")</f>
        <v>1</v>
      </c>
      <c r="L61" s="72">
        <f>IFERROR(__xludf.DUMMYFUNCTION("""COMPUTED_VALUE"""),196023.5085)</f>
        <v>196023.5085</v>
      </c>
      <c r="M61" s="39">
        <f>IFERROR(__xludf.DUMMYFUNCTION("""COMPUTED_VALUE"""),0.0)</f>
        <v>0</v>
      </c>
      <c r="N61" s="39">
        <f>IFERROR(__xludf.DUMMYFUNCTION("""COMPUTED_VALUE"""),0.0042)</f>
        <v>0.0042</v>
      </c>
      <c r="O61" s="91">
        <f>IFERROR(__xludf.DUMMYFUNCTION("""COMPUTED_VALUE"""),1129522.7664756803)</f>
        <v>1129522.766</v>
      </c>
      <c r="P61" s="66">
        <f>IFERROR(__xludf.DUMMYFUNCTION("""COMPUTED_VALUE"""),4743.995619197857)</f>
        <v>4743.995619</v>
      </c>
      <c r="Q61" s="81">
        <f>IFERROR(__xludf.DUMMYFUNCTION("""COMPUTED_VALUE"""),0.0)</f>
        <v>0</v>
      </c>
      <c r="R61" s="81"/>
      <c r="S61" s="66"/>
      <c r="T61" s="66"/>
      <c r="U61" s="66"/>
      <c r="V61" s="66"/>
    </row>
    <row r="62">
      <c r="A62" s="66" t="str">
        <f>IFERROR(__xludf.DUMMYFUNCTION("""COMPUTED_VALUE"""),"FTM")</f>
        <v>FTM</v>
      </c>
      <c r="B62" s="85">
        <f t="shared" si="1"/>
        <v>4604.600531</v>
      </c>
      <c r="C62" s="32">
        <f t="shared" si="2"/>
        <v>6274.054344</v>
      </c>
      <c r="D62" s="33">
        <f t="shared" si="3"/>
        <v>0.000002487870991</v>
      </c>
      <c r="E62" s="86">
        <f t="shared" si="5"/>
        <v>0</v>
      </c>
      <c r="H62" s="66" t="str">
        <f>IFERROR(__xludf.DUMMYFUNCTION("""COMPUTED_VALUE"""),"ETC")</f>
        <v>ETC</v>
      </c>
      <c r="I62" s="66" t="str">
        <f>IFERROR(__xludf.DUMMYFUNCTION("""COMPUTED_VALUE"""),"undeployed")</f>
        <v>undeployed</v>
      </c>
      <c r="J62" s="66" t="str">
        <f>IFERROR(__xludf.DUMMYFUNCTION("""COMPUTED_VALUE"""),"Celsius Network System")</f>
        <v>Celsius Network System</v>
      </c>
      <c r="K62" s="66" t="str">
        <f>IFERROR(__xludf.DUMMYFUNCTION("""COMPUTED_VALUE"""),"1")</f>
        <v>1</v>
      </c>
      <c r="L62" s="72">
        <f>IFERROR(__xludf.DUMMYFUNCTION("""COMPUTED_VALUE"""),31977.32347)</f>
        <v>31977.32347</v>
      </c>
      <c r="M62" s="39">
        <f>IFERROR(__xludf.DUMMYFUNCTION("""COMPUTED_VALUE"""),0.0)</f>
        <v>0</v>
      </c>
      <c r="N62" s="39">
        <f>IFERROR(__xludf.DUMMYFUNCTION("""COMPUTED_VALUE"""),0.0298)</f>
        <v>0.0298</v>
      </c>
      <c r="O62" s="91">
        <f>IFERROR(__xludf.DUMMYFUNCTION("""COMPUTED_VALUE"""),1096649.419623652)</f>
        <v>1096649.42</v>
      </c>
      <c r="P62" s="66">
        <f>IFERROR(__xludf.DUMMYFUNCTION("""COMPUTED_VALUE"""),32680.15270478483)</f>
        <v>32680.1527</v>
      </c>
      <c r="Q62" s="81">
        <f>IFERROR(__xludf.DUMMYFUNCTION("""COMPUTED_VALUE"""),0.0)</f>
        <v>0</v>
      </c>
      <c r="R62" s="81"/>
      <c r="S62" s="66"/>
      <c r="T62" s="66"/>
      <c r="U62" s="66"/>
      <c r="V62" s="66"/>
    </row>
    <row r="63">
      <c r="A63" s="66" t="str">
        <f>IFERROR(__xludf.DUMMYFUNCTION("""COMPUTED_VALUE"""),"TRU")</f>
        <v>TRU</v>
      </c>
      <c r="B63" s="85">
        <f t="shared" si="1"/>
        <v>14759.54926</v>
      </c>
      <c r="C63" s="32">
        <f t="shared" si="2"/>
        <v>5039.308625</v>
      </c>
      <c r="D63" s="33">
        <f t="shared" si="3"/>
        <v>0.000001998253292</v>
      </c>
      <c r="E63" s="86">
        <f t="shared" si="5"/>
        <v>0</v>
      </c>
      <c r="H63" s="66" t="str">
        <f>IFERROR(__xludf.DUMMYFUNCTION("""COMPUTED_VALUE"""),"ETH")</f>
        <v>ETH</v>
      </c>
      <c r="I63" s="66" t="str">
        <f>IFERROR(__xludf.DUMMYFUNCTION("""COMPUTED_VALUE"""),"undeployed")</f>
        <v>undeployed</v>
      </c>
      <c r="J63" s="66" t="str">
        <f>IFERROR(__xludf.DUMMYFUNCTION("""COMPUTED_VALUE"""),"Celsius Network Finance")</f>
        <v>Celsius Network Finance</v>
      </c>
      <c r="K63" s="66" t="str">
        <f>IFERROR(__xludf.DUMMYFUNCTION("""COMPUTED_VALUE"""),"1")</f>
        <v>1</v>
      </c>
      <c r="L63" s="72">
        <f>IFERROR(__xludf.DUMMYFUNCTION("""COMPUTED_VALUE"""),261.6740739)</f>
        <v>261.6740739</v>
      </c>
      <c r="M63" s="39">
        <f>IFERROR(__xludf.DUMMYFUNCTION("""COMPUTED_VALUE"""),0.0)</f>
        <v>0</v>
      </c>
      <c r="N63" s="39">
        <f>IFERROR(__xludf.DUMMYFUNCTION("""COMPUTED_VALUE"""),0.0384)</f>
        <v>0.0384</v>
      </c>
      <c r="O63" s="91">
        <f>IFERROR(__xludf.DUMMYFUNCTION("""COMPUTED_VALUE"""),999510.0574345898)</f>
        <v>999510.0574</v>
      </c>
      <c r="P63" s="66">
        <f>IFERROR(__xludf.DUMMYFUNCTION("""COMPUTED_VALUE"""),38381.186205488244)</f>
        <v>38381.18621</v>
      </c>
      <c r="Q63" s="81">
        <f>IFERROR(__xludf.DUMMYFUNCTION("""COMPUTED_VALUE"""),0.0)</f>
        <v>0</v>
      </c>
      <c r="R63" s="81"/>
      <c r="S63" s="66"/>
      <c r="T63" s="66"/>
      <c r="U63" s="66"/>
      <c r="V63" s="66"/>
    </row>
    <row r="64">
      <c r="A64" s="66" t="str">
        <f>IFERROR(__xludf.DUMMYFUNCTION("""COMPUTED_VALUE"""),"AMPL")</f>
        <v>AMPL</v>
      </c>
      <c r="B64" s="85">
        <f t="shared" si="1"/>
        <v>4659.03711</v>
      </c>
      <c r="C64" s="32">
        <f t="shared" si="2"/>
        <v>4233.557268</v>
      </c>
      <c r="D64" s="33">
        <f t="shared" si="3"/>
        <v>0.000001678746109</v>
      </c>
      <c r="E64" s="86">
        <f t="shared" si="5"/>
        <v>0</v>
      </c>
      <c r="H64" s="66" t="str">
        <f>IFERROR(__xludf.DUMMYFUNCTION("""COMPUTED_VALUE"""),"BCH")</f>
        <v>BCH</v>
      </c>
      <c r="I64" s="66" t="str">
        <f>IFERROR(__xludf.DUMMYFUNCTION("""COMPUTED_VALUE"""),"undeployed")</f>
        <v>undeployed</v>
      </c>
      <c r="J64" s="66" t="str">
        <f>IFERROR(__xludf.DUMMYFUNCTION("""COMPUTED_VALUE"""),"Celsius Network System")</f>
        <v>Celsius Network System</v>
      </c>
      <c r="K64" s="66" t="str">
        <f>IFERROR(__xludf.DUMMYFUNCTION("""COMPUTED_VALUE"""),"1")</f>
        <v>1</v>
      </c>
      <c r="L64" s="72">
        <f>IFERROR(__xludf.DUMMYFUNCTION("""COMPUTED_VALUE"""),2282.600945)</f>
        <v>2282.600945</v>
      </c>
      <c r="M64" s="39">
        <f>IFERROR(__xludf.DUMMYFUNCTION("""COMPUTED_VALUE"""),0.0)</f>
        <v>0</v>
      </c>
      <c r="N64" s="39">
        <f>IFERROR(__xludf.DUMMYFUNCTION("""COMPUTED_VALUE"""),0.0225)</f>
        <v>0.0225</v>
      </c>
      <c r="O64" s="91">
        <f>IFERROR(__xludf.DUMMYFUNCTION("""COMPUTED_VALUE"""),976671.7558830599)</f>
        <v>976671.7559</v>
      </c>
      <c r="P64" s="66">
        <f>IFERROR(__xludf.DUMMYFUNCTION("""COMPUTED_VALUE"""),21975.114507368846)</f>
        <v>21975.11451</v>
      </c>
      <c r="Q64" s="81">
        <f>IFERROR(__xludf.DUMMYFUNCTION("""COMPUTED_VALUE"""),0.0)</f>
        <v>0</v>
      </c>
      <c r="R64" s="81"/>
      <c r="S64" s="66"/>
      <c r="T64" s="66"/>
      <c r="U64" s="66"/>
      <c r="V64" s="66"/>
    </row>
    <row r="65">
      <c r="A65" s="66" t="str">
        <f>IFERROR(__xludf.DUMMYFUNCTION("""COMPUTED_VALUE"""),"ANKR")</f>
        <v>ANKR</v>
      </c>
      <c r="B65" s="75"/>
      <c r="C65" s="38"/>
      <c r="H65" s="66" t="str">
        <f>IFERROR(__xludf.DUMMYFUNCTION("""COMPUTED_VALUE"""),"DOT")</f>
        <v>DOT</v>
      </c>
      <c r="I65" s="66" t="str">
        <f>IFERROR(__xludf.DUMMYFUNCTION("""COMPUTED_VALUE"""),"undeployed")</f>
        <v>undeployed</v>
      </c>
      <c r="J65" s="66" t="str">
        <f>IFERROR(__xludf.DUMMYFUNCTION("""COMPUTED_VALUE"""),"Celsius Network")</f>
        <v>Celsius Network</v>
      </c>
      <c r="K65" s="66" t="str">
        <f>IFERROR(__xludf.DUMMYFUNCTION("""COMPUTED_VALUE"""),"1")</f>
        <v>1</v>
      </c>
      <c r="L65" s="72">
        <f>IFERROR(__xludf.DUMMYFUNCTION("""COMPUTED_VALUE"""),38903.76195)</f>
        <v>38903.76195</v>
      </c>
      <c r="M65" s="39">
        <f>IFERROR(__xludf.DUMMYFUNCTION("""COMPUTED_VALUE"""),0.0)</f>
        <v>0</v>
      </c>
      <c r="N65" s="39">
        <f>IFERROR(__xludf.DUMMYFUNCTION("""COMPUTED_VALUE"""),0.0668)</f>
        <v>0.0668</v>
      </c>
      <c r="O65" s="91">
        <f>IFERROR(__xludf.DUMMYFUNCTION("""COMPUTED_VALUE"""),943510.4926588553)</f>
        <v>943510.4927</v>
      </c>
      <c r="P65" s="66">
        <f>IFERROR(__xludf.DUMMYFUNCTION("""COMPUTED_VALUE"""),63026.50090961153)</f>
        <v>63026.50091</v>
      </c>
      <c r="Q65" s="81">
        <f>IFERROR(__xludf.DUMMYFUNCTION("""COMPUTED_VALUE"""),0.0)</f>
        <v>0</v>
      </c>
      <c r="R65" s="81"/>
      <c r="S65" s="66"/>
      <c r="T65" s="66"/>
      <c r="U65" s="66"/>
      <c r="V65" s="66"/>
    </row>
    <row r="66">
      <c r="A66" s="9" t="str">
        <f>IFERROR(__xludf.DUMMYFUNCTION("""COMPUTED_VALUE"""),"SGR")</f>
        <v>SGR</v>
      </c>
      <c r="B66" s="75"/>
      <c r="C66" s="38">
        <f>SUM(C7:C64)</f>
        <v>2521856787</v>
      </c>
      <c r="H66" s="66" t="str">
        <f>IFERROR(__xludf.DUMMYFUNCTION("""COMPUTED_VALUE"""),"WBTC")</f>
        <v>WBTC</v>
      </c>
      <c r="I66" s="66" t="str">
        <f>IFERROR(__xludf.DUMMYFUNCTION("""COMPUTED_VALUE"""),"Undeployed")</f>
        <v>Undeployed</v>
      </c>
      <c r="J66" s="66" t="str">
        <f>IFERROR(__xludf.DUMMYFUNCTION("""COMPUTED_VALUE"""),"Network Deposits")</f>
        <v>Network Deposits</v>
      </c>
      <c r="K66" s="66" t="str">
        <f>IFERROR(__xludf.DUMMYFUNCTION("""COMPUTED_VALUE"""),"1")</f>
        <v>1</v>
      </c>
      <c r="L66" s="72">
        <f>IFERROR(__xludf.DUMMYFUNCTION("""COMPUTED_VALUE"""),19.75768634)</f>
        <v>19.75768634</v>
      </c>
      <c r="M66" s="39">
        <f>IFERROR(__xludf.DUMMYFUNCTION("""COMPUTED_VALUE"""),0.0)</f>
        <v>0</v>
      </c>
      <c r="N66" s="39">
        <f>IFERROR(__xludf.DUMMYFUNCTION("""COMPUTED_VALUE"""),0.0298)</f>
        <v>0.0298</v>
      </c>
      <c r="O66" s="91">
        <f>IFERROR(__xludf.DUMMYFUNCTION("""COMPUTED_VALUE"""),914876.3721698102)</f>
        <v>914876.3722</v>
      </c>
      <c r="P66" s="66">
        <f>IFERROR(__xludf.DUMMYFUNCTION("""COMPUTED_VALUE"""),27263.315890660346)</f>
        <v>27263.31589</v>
      </c>
      <c r="Q66" s="81">
        <f>IFERROR(__xludf.DUMMYFUNCTION("""COMPUTED_VALUE"""),0.0)</f>
        <v>0</v>
      </c>
      <c r="R66" s="81"/>
      <c r="S66" s="66"/>
      <c r="T66" s="66"/>
      <c r="U66" s="66"/>
      <c r="V66" s="66"/>
    </row>
    <row r="67">
      <c r="A67" s="66" t="str">
        <f>IFERROR(__xludf.DUMMYFUNCTION("""COMPUTED_VALUE"""),"ROOK")</f>
        <v>ROOK</v>
      </c>
      <c r="B67" s="75"/>
      <c r="C67" s="38"/>
      <c r="H67" s="66" t="str">
        <f>IFERROR(__xludf.DUMMYFUNCTION("""COMPUTED_VALUE"""),"ZRX")</f>
        <v>ZRX</v>
      </c>
      <c r="I67" s="66" t="str">
        <f>IFERROR(__xludf.DUMMYFUNCTION("""COMPUTED_VALUE"""),"undeployed")</f>
        <v>undeployed</v>
      </c>
      <c r="J67" s="66" t="str">
        <f>IFERROR(__xludf.DUMMYFUNCTION("""COMPUTED_VALUE"""),"Celsius Network System")</f>
        <v>Celsius Network System</v>
      </c>
      <c r="K67" s="66" t="str">
        <f>IFERROR(__xludf.DUMMYFUNCTION("""COMPUTED_VALUE"""),"1")</f>
        <v>1</v>
      </c>
      <c r="L67" s="72">
        <f>IFERROR(__xludf.DUMMYFUNCTION("""COMPUTED_VALUE"""),1217864.662)</f>
        <v>1217864.662</v>
      </c>
      <c r="M67" s="39">
        <f>IFERROR(__xludf.DUMMYFUNCTION("""COMPUTED_VALUE"""),0.0)</f>
        <v>0</v>
      </c>
      <c r="N67" s="39">
        <f>IFERROR(__xludf.DUMMYFUNCTION("""COMPUTED_VALUE"""),0.0169)</f>
        <v>0.0169</v>
      </c>
      <c r="O67" s="91">
        <f>IFERROR(__xludf.DUMMYFUNCTION("""COMPUTED_VALUE"""),911291.3639901264)</f>
        <v>911291.364</v>
      </c>
      <c r="P67" s="66">
        <f>IFERROR(__xludf.DUMMYFUNCTION("""COMPUTED_VALUE"""),15400.824051433136)</f>
        <v>15400.82405</v>
      </c>
      <c r="Q67" s="81">
        <f>IFERROR(__xludf.DUMMYFUNCTION("""COMPUTED_VALUE"""),0.0)</f>
        <v>0</v>
      </c>
      <c r="R67" s="81"/>
      <c r="S67" s="66"/>
      <c r="T67" s="66"/>
      <c r="U67" s="66"/>
      <c r="V67" s="66"/>
    </row>
    <row r="68">
      <c r="A68" s="66" t="str">
        <f>IFERROR(__xludf.DUMMYFUNCTION("""COMPUTED_VALUE"""),"CREAM")</f>
        <v>CREAM</v>
      </c>
      <c r="B68" s="75"/>
      <c r="C68" s="38"/>
      <c r="H68" s="66" t="str">
        <f>IFERROR(__xludf.DUMMYFUNCTION("""COMPUTED_VALUE"""),"BNT")</f>
        <v>BNT</v>
      </c>
      <c r="I68" s="66" t="str">
        <f>IFERROR(__xludf.DUMMYFUNCTION("""COMPUTED_VALUE"""),"undeployed")</f>
        <v>undeployed</v>
      </c>
      <c r="J68" s="66" t="str">
        <f>IFERROR(__xludf.DUMMYFUNCTION("""COMPUTED_VALUE"""),"Celsius Network System")</f>
        <v>Celsius Network System</v>
      </c>
      <c r="K68" s="66" t="str">
        <f>IFERROR(__xludf.DUMMYFUNCTION("""COMPUTED_VALUE"""),"1")</f>
        <v>1</v>
      </c>
      <c r="L68" s="72">
        <f>IFERROR(__xludf.DUMMYFUNCTION("""COMPUTED_VALUE"""),277742.3096)</f>
        <v>277742.3096</v>
      </c>
      <c r="M68" s="39">
        <f>IFERROR(__xludf.DUMMYFUNCTION("""COMPUTED_VALUE"""),0.0)</f>
        <v>0</v>
      </c>
      <c r="N68" s="39">
        <f>IFERROR(__xludf.DUMMYFUNCTION("""COMPUTED_VALUE"""),0.0595)</f>
        <v>0.0595</v>
      </c>
      <c r="O68" s="91">
        <f>IFERROR(__xludf.DUMMYFUNCTION("""COMPUTED_VALUE"""),879323.6824418687)</f>
        <v>879323.6824</v>
      </c>
      <c r="P68" s="66">
        <f>IFERROR(__xludf.DUMMYFUNCTION("""COMPUTED_VALUE"""),52319.75910529119)</f>
        <v>52319.75911</v>
      </c>
      <c r="Q68" s="81">
        <f>IFERROR(__xludf.DUMMYFUNCTION("""COMPUTED_VALUE"""),0.0)</f>
        <v>0</v>
      </c>
      <c r="R68" s="81"/>
      <c r="S68" s="66"/>
      <c r="T68" s="66"/>
      <c r="U68" s="66"/>
      <c r="V68" s="66"/>
    </row>
    <row r="69">
      <c r="A69" s="66" t="str">
        <f>IFERROR(__xludf.DUMMYFUNCTION("""COMPUTED_VALUE"""),"BOND")</f>
        <v>BOND</v>
      </c>
      <c r="B69" s="75"/>
      <c r="C69" s="38"/>
      <c r="H69" s="66" t="str">
        <f>IFERROR(__xludf.DUMMYFUNCTION("""COMPUTED_VALUE"""),"BAT")</f>
        <v>BAT</v>
      </c>
      <c r="I69" s="66" t="str">
        <f>IFERROR(__xludf.DUMMYFUNCTION("""COMPUTED_VALUE"""),"undeployed")</f>
        <v>undeployed</v>
      </c>
      <c r="J69" s="66" t="str">
        <f>IFERROR(__xludf.DUMMYFUNCTION("""COMPUTED_VALUE"""),"FTX - Management")</f>
        <v>FTX - Management</v>
      </c>
      <c r="K69" s="66" t="str">
        <f>IFERROR(__xludf.DUMMYFUNCTION("""COMPUTED_VALUE"""),"4")</f>
        <v>4</v>
      </c>
      <c r="L69" s="72">
        <f>IFERROR(__xludf.DUMMYFUNCTION("""COMPUTED_VALUE"""),760017.5646)</f>
        <v>760017.5646</v>
      </c>
      <c r="M69" s="39">
        <f>IFERROR(__xludf.DUMMYFUNCTION("""COMPUTED_VALUE"""),0.0)</f>
        <v>0</v>
      </c>
      <c r="N69" s="39">
        <f>IFERROR(__xludf.DUMMYFUNCTION("""COMPUTED_VALUE"""),0.0097)</f>
        <v>0.0097</v>
      </c>
      <c r="O69" s="91">
        <f>IFERROR(__xludf.DUMMYFUNCTION("""COMPUTED_VALUE"""),819757.1484684799)</f>
        <v>819757.1485</v>
      </c>
      <c r="P69" s="66">
        <f>IFERROR(__xludf.DUMMYFUNCTION("""COMPUTED_VALUE"""),7951.644340144255)</f>
        <v>7951.64434</v>
      </c>
      <c r="Q69" s="81">
        <f>IFERROR(__xludf.DUMMYFUNCTION("""COMPUTED_VALUE"""),0.0)</f>
        <v>0</v>
      </c>
      <c r="R69" s="81"/>
      <c r="S69" s="66"/>
      <c r="T69" s="66"/>
      <c r="U69" s="66"/>
      <c r="V69" s="66"/>
    </row>
    <row r="70">
      <c r="A70" s="66" t="str">
        <f>IFERROR(__xludf.DUMMYFUNCTION("""COMPUTED_VALUE"""),"ALPHA")</f>
        <v>ALPHA</v>
      </c>
      <c r="B70" s="75"/>
      <c r="C70" s="38"/>
      <c r="H70" s="66" t="str">
        <f>IFERROR(__xludf.DUMMYFUNCTION("""COMPUTED_VALUE"""),"CEL")</f>
        <v>CEL</v>
      </c>
      <c r="I70" s="66" t="str">
        <f>IFERROR(__xludf.DUMMYFUNCTION("""COMPUTED_VALUE"""),"undeployed")</f>
        <v>undeployed</v>
      </c>
      <c r="J70" s="66" t="str">
        <f>IFERROR(__xludf.DUMMYFUNCTION("""COMPUTED_VALUE"""),"PrimeTrust")</f>
        <v>PrimeTrust</v>
      </c>
      <c r="K70" s="66" t="str">
        <f>IFERROR(__xludf.DUMMYFUNCTION("""COMPUTED_VALUE"""),"5")</f>
        <v>5</v>
      </c>
      <c r="L70" s="72">
        <f>IFERROR(__xludf.DUMMYFUNCTION("""COMPUTED_VALUE"""),197143.0716)</f>
        <v>197143.0716</v>
      </c>
      <c r="M70" s="39">
        <f>IFERROR(__xludf.DUMMYFUNCTION("""COMPUTED_VALUE"""),0.0)</f>
        <v>0</v>
      </c>
      <c r="N70" s="39">
        <f>IFERROR(__xludf.DUMMYFUNCTION("""COMPUTED_VALUE"""),0.0415)</f>
        <v>0.0415</v>
      </c>
      <c r="O70" s="91">
        <f>IFERROR(__xludf.DUMMYFUNCTION("""COMPUTED_VALUE"""),772134.9576162073)</f>
        <v>772134.9576</v>
      </c>
      <c r="P70" s="66">
        <f>IFERROR(__xludf.DUMMYFUNCTION("""COMPUTED_VALUE"""),32043.600741072605)</f>
        <v>32043.60074</v>
      </c>
      <c r="Q70" s="81">
        <f>IFERROR(__xludf.DUMMYFUNCTION("""COMPUTED_VALUE"""),0.0)</f>
        <v>0</v>
      </c>
      <c r="R70" s="81"/>
      <c r="S70" s="66"/>
      <c r="T70" s="66"/>
      <c r="U70" s="66"/>
      <c r="V70" s="66"/>
    </row>
    <row r="71">
      <c r="A71" s="66" t="str">
        <f>IFERROR(__xludf.DUMMYFUNCTION("""COMPUTED_VALUE"""),"BOBA")</f>
        <v>BOBA</v>
      </c>
      <c r="B71" s="75"/>
      <c r="C71" s="38"/>
      <c r="H71" s="66" t="str">
        <f>IFERROR(__xludf.DUMMYFUNCTION("""COMPUTED_VALUE"""),"Stable Coins")</f>
        <v>Stable Coins</v>
      </c>
      <c r="I71" s="66" t="str">
        <f>IFERROR(__xludf.DUMMYFUNCTION("""COMPUTED_VALUE"""),"undeployed")</f>
        <v>undeployed</v>
      </c>
      <c r="J71" s="66" t="str">
        <f>IFERROR(__xludf.DUMMYFUNCTION("""COMPUTED_VALUE"""),"Celsius Network Finance")</f>
        <v>Celsius Network Finance</v>
      </c>
      <c r="K71" s="66" t="str">
        <f>IFERROR(__xludf.DUMMYFUNCTION("""COMPUTED_VALUE"""),"1")</f>
        <v>1</v>
      </c>
      <c r="L71" s="72">
        <f>IFERROR(__xludf.DUMMYFUNCTION("""COMPUTED_VALUE"""),646020.42283)</f>
        <v>646020.4228</v>
      </c>
      <c r="M71" s="39">
        <f>IFERROR(__xludf.DUMMYFUNCTION("""COMPUTED_VALUE"""),0.0)</f>
        <v>0</v>
      </c>
      <c r="N71" s="39">
        <f>IFERROR(__xludf.DUMMYFUNCTION("""COMPUTED_VALUE"""),0.0959)</f>
        <v>0.0959</v>
      </c>
      <c r="O71" s="91">
        <f>IFERROR(__xludf.DUMMYFUNCTION("""COMPUTED_VALUE"""),646020.42283)</f>
        <v>646020.4228</v>
      </c>
      <c r="P71" s="66">
        <f>IFERROR(__xludf.DUMMYFUNCTION("""COMPUTED_VALUE"""),61953.358549397)</f>
        <v>61953.35855</v>
      </c>
      <c r="Q71" s="81">
        <f>IFERROR(__xludf.DUMMYFUNCTION("""COMPUTED_VALUE"""),0.0)</f>
        <v>0</v>
      </c>
      <c r="R71" s="81"/>
      <c r="S71" s="66"/>
      <c r="T71" s="66"/>
      <c r="U71" s="66"/>
      <c r="V71" s="66"/>
    </row>
    <row r="72">
      <c r="A72" s="66"/>
      <c r="B72" s="75"/>
      <c r="C72" s="38"/>
      <c r="H72" s="66" t="str">
        <f>IFERROR(__xludf.DUMMYFUNCTION("""COMPUTED_VALUE"""),"UNI")</f>
        <v>UNI</v>
      </c>
      <c r="I72" s="66" t="str">
        <f>IFERROR(__xludf.DUMMYFUNCTION("""COMPUTED_VALUE"""),"undeployed")</f>
        <v>undeployed</v>
      </c>
      <c r="J72" s="66" t="str">
        <f>IFERROR(__xludf.DUMMYFUNCTION("""COMPUTED_VALUE"""),"Celsius Network")</f>
        <v>Celsius Network</v>
      </c>
      <c r="K72" s="66" t="str">
        <f>IFERROR(__xludf.DUMMYFUNCTION("""COMPUTED_VALUE"""),"1")</f>
        <v>1</v>
      </c>
      <c r="L72" s="72">
        <f>IFERROR(__xludf.DUMMYFUNCTION("""COMPUTED_VALUE"""),43552.5023)</f>
        <v>43552.5023</v>
      </c>
      <c r="M72" s="39">
        <f>IFERROR(__xludf.DUMMYFUNCTION("""COMPUTED_VALUE"""),0.0)</f>
        <v>0</v>
      </c>
      <c r="N72" s="39">
        <f>IFERROR(__xludf.DUMMYFUNCTION("""COMPUTED_VALUE"""),0.0228)</f>
        <v>0.0228</v>
      </c>
      <c r="O72" s="91">
        <f>IFERROR(__xludf.DUMMYFUNCTION("""COMPUTED_VALUE"""),628907.8724225643)</f>
        <v>628907.8724</v>
      </c>
      <c r="P72" s="66">
        <f>IFERROR(__xludf.DUMMYFUNCTION("""COMPUTED_VALUE"""),14339.099491234467)</f>
        <v>14339.09949</v>
      </c>
      <c r="Q72" s="81">
        <f>IFERROR(__xludf.DUMMYFUNCTION("""COMPUTED_VALUE"""),0.0)</f>
        <v>0</v>
      </c>
      <c r="R72" s="81"/>
      <c r="S72" s="66"/>
      <c r="T72" s="66"/>
      <c r="U72" s="66"/>
      <c r="V72" s="66"/>
    </row>
    <row r="73">
      <c r="B73" s="75"/>
      <c r="C73" s="38"/>
      <c r="H73" s="66" t="str">
        <f>IFERROR(__xludf.DUMMYFUNCTION("""COMPUTED_VALUE"""),"QI")</f>
        <v>QI</v>
      </c>
      <c r="I73" s="66" t="str">
        <f>IFERROR(__xludf.DUMMYFUNCTION("""COMPUTED_VALUE"""),"Undeployed")</f>
        <v>Undeployed</v>
      </c>
      <c r="J73" s="66" t="str">
        <f>IFERROR(__xludf.DUMMYFUNCTION("""COMPUTED_VALUE"""),"Network Deposits")</f>
        <v>Network Deposits</v>
      </c>
      <c r="K73" s="66" t="str">
        <f>IFERROR(__xludf.DUMMYFUNCTION("""COMPUTED_VALUE"""),"1")</f>
        <v>1</v>
      </c>
      <c r="L73" s="72">
        <f>IFERROR(__xludf.DUMMYFUNCTION("""COMPUTED_VALUE"""),4271973.7)</f>
        <v>4271973.7</v>
      </c>
      <c r="M73" s="39">
        <f>IFERROR(__xludf.DUMMYFUNCTION("""COMPUTED_VALUE"""),0.0)</f>
        <v>0</v>
      </c>
      <c r="N73" s="39" t="str">
        <f>IFERROR(__xludf.DUMMYFUNCTION("""COMPUTED_VALUE"""),"N/A")</f>
        <v>N/A</v>
      </c>
      <c r="O73" s="91">
        <f>IFERROR(__xludf.DUMMYFUNCTION("""COMPUTED_VALUE"""),623943.1187534999)</f>
        <v>623943.1188</v>
      </c>
      <c r="P73" s="66" t="str">
        <f>IFERROR(__xludf.DUMMYFUNCTION("""COMPUTED_VALUE"""),"N/A")</f>
        <v>N/A</v>
      </c>
      <c r="Q73" s="81">
        <f>IFERROR(__xludf.DUMMYFUNCTION("""COMPUTED_VALUE"""),0.0)</f>
        <v>0</v>
      </c>
      <c r="R73" s="81"/>
      <c r="S73" s="66"/>
      <c r="T73" s="66"/>
      <c r="U73" s="66"/>
      <c r="V73" s="66"/>
    </row>
    <row r="74">
      <c r="B74" s="75"/>
      <c r="C74" s="38"/>
      <c r="H74" s="66" t="str">
        <f>IFERROR(__xludf.DUMMYFUNCTION("""COMPUTED_VALUE"""),"ETH")</f>
        <v>ETH</v>
      </c>
      <c r="I74" s="66" t="str">
        <f>IFERROR(__xludf.DUMMYFUNCTION("""COMPUTED_VALUE"""),"undeployed")</f>
        <v>undeployed</v>
      </c>
      <c r="J74" s="66" t="str">
        <f>IFERROR(__xludf.DUMMYFUNCTION("""COMPUTED_VALUE"""),"Celsius OTC")</f>
        <v>Celsius OTC</v>
      </c>
      <c r="K74" s="66" t="str">
        <f>IFERROR(__xludf.DUMMYFUNCTION("""COMPUTED_VALUE"""),"1")</f>
        <v>1</v>
      </c>
      <c r="L74" s="72">
        <f>IFERROR(__xludf.DUMMYFUNCTION("""COMPUTED_VALUE"""),160.3086691)</f>
        <v>160.3086691</v>
      </c>
      <c r="M74" s="39">
        <f>IFERROR(__xludf.DUMMYFUNCTION("""COMPUTED_VALUE"""),0.0)</f>
        <v>0</v>
      </c>
      <c r="N74" s="39">
        <f>IFERROR(__xludf.DUMMYFUNCTION("""COMPUTED_VALUE"""),0.0384)</f>
        <v>0.0384</v>
      </c>
      <c r="O74" s="91">
        <f>IFERROR(__xludf.DUMMYFUNCTION("""COMPUTED_VALUE"""),612327.1009287545)</f>
        <v>612327.1009</v>
      </c>
      <c r="P74" s="66">
        <f>IFERROR(__xludf.DUMMYFUNCTION("""COMPUTED_VALUE"""),23513.36067566417)</f>
        <v>23513.36068</v>
      </c>
      <c r="Q74" s="81">
        <f>IFERROR(__xludf.DUMMYFUNCTION("""COMPUTED_VALUE"""),0.0)</f>
        <v>0</v>
      </c>
      <c r="R74" s="81"/>
      <c r="S74" s="66"/>
      <c r="T74" s="66"/>
      <c r="U74" s="66"/>
      <c r="V74" s="66"/>
    </row>
    <row r="75">
      <c r="B75" s="75"/>
      <c r="C75" s="38"/>
      <c r="H75" s="66" t="str">
        <f>IFERROR(__xludf.DUMMYFUNCTION("""COMPUTED_VALUE"""),"1INCH")</f>
        <v>1INCH</v>
      </c>
      <c r="I75" s="66" t="str">
        <f>IFERROR(__xludf.DUMMYFUNCTION("""COMPUTED_VALUE"""),"undeployed")</f>
        <v>undeployed</v>
      </c>
      <c r="J75" s="66" t="str">
        <f>IFERROR(__xludf.DUMMYFUNCTION("""COMPUTED_VALUE"""),"Celsius Network System")</f>
        <v>Celsius Network System</v>
      </c>
      <c r="K75" s="66" t="str">
        <f>IFERROR(__xludf.DUMMYFUNCTION("""COMPUTED_VALUE"""),"1")</f>
        <v>1</v>
      </c>
      <c r="L75" s="72">
        <f>IFERROR(__xludf.DUMMYFUNCTION("""COMPUTED_VALUE"""),218413.4035)</f>
        <v>218413.4035</v>
      </c>
      <c r="M75" s="39">
        <f>IFERROR(__xludf.DUMMYFUNCTION("""COMPUTED_VALUE"""),0.0)</f>
        <v>0</v>
      </c>
      <c r="N75" s="39">
        <f>IFERROR(__xludf.DUMMYFUNCTION("""COMPUTED_VALUE"""),0.04)</f>
        <v>0.04</v>
      </c>
      <c r="O75" s="91">
        <f>IFERROR(__xludf.DUMMYFUNCTION("""COMPUTED_VALUE"""),515153.1539400403)</f>
        <v>515153.1539</v>
      </c>
      <c r="P75" s="66">
        <f>IFERROR(__xludf.DUMMYFUNCTION("""COMPUTED_VALUE"""),20606.126157601615)</f>
        <v>20606.12616</v>
      </c>
      <c r="Q75" s="81">
        <f>IFERROR(__xludf.DUMMYFUNCTION("""COMPUTED_VALUE"""),0.0)</f>
        <v>0</v>
      </c>
      <c r="R75" s="81"/>
      <c r="S75" s="66"/>
      <c r="T75" s="66"/>
      <c r="U75" s="66"/>
      <c r="V75" s="66"/>
    </row>
    <row r="76">
      <c r="B76" s="75"/>
      <c r="C76" s="38"/>
      <c r="H76" s="66" t="str">
        <f>IFERROR(__xludf.DUMMYFUNCTION("""COMPUTED_VALUE"""),"Stable Coins")</f>
        <v>Stable Coins</v>
      </c>
      <c r="I76" s="66" t="str">
        <f>IFERROR(__xludf.DUMMYFUNCTION("""COMPUTED_VALUE"""),"undeployed")</f>
        <v>undeployed</v>
      </c>
      <c r="J76" s="66" t="str">
        <f>IFERROR(__xludf.DUMMYFUNCTION("""COMPUTED_VALUE"""),"FTX - DeFi")</f>
        <v>FTX - DeFi</v>
      </c>
      <c r="K76" s="66" t="str">
        <f>IFERROR(__xludf.DUMMYFUNCTION("""COMPUTED_VALUE"""),"4")</f>
        <v>4</v>
      </c>
      <c r="L76" s="72">
        <f>IFERROR(__xludf.DUMMYFUNCTION("""COMPUTED_VALUE"""),498287.9962)</f>
        <v>498287.9962</v>
      </c>
      <c r="M76" s="39">
        <f>IFERROR(__xludf.DUMMYFUNCTION("""COMPUTED_VALUE"""),0.0)</f>
        <v>0</v>
      </c>
      <c r="N76" s="39">
        <f>IFERROR(__xludf.DUMMYFUNCTION("""COMPUTED_VALUE"""),0.0959)</f>
        <v>0.0959</v>
      </c>
      <c r="O76" s="91">
        <f>IFERROR(__xludf.DUMMYFUNCTION("""COMPUTED_VALUE"""),498287.9962)</f>
        <v>498287.9962</v>
      </c>
      <c r="P76" s="66">
        <f>IFERROR(__xludf.DUMMYFUNCTION("""COMPUTED_VALUE"""),47785.81883558)</f>
        <v>47785.81884</v>
      </c>
      <c r="Q76" s="81">
        <f>IFERROR(__xludf.DUMMYFUNCTION("""COMPUTED_VALUE"""),0.0)</f>
        <v>0</v>
      </c>
      <c r="R76" s="81"/>
      <c r="S76" s="66"/>
      <c r="T76" s="66"/>
      <c r="U76" s="66"/>
      <c r="V76" s="66"/>
    </row>
    <row r="77">
      <c r="B77" s="75"/>
      <c r="C77" s="38"/>
      <c r="H77" s="66" t="str">
        <f>IFERROR(__xludf.DUMMYFUNCTION("""COMPUTED_VALUE"""),"CRV")</f>
        <v>CRV</v>
      </c>
      <c r="I77" s="66" t="str">
        <f>IFERROR(__xludf.DUMMYFUNCTION("""COMPUTED_VALUE"""),"undeployed")</f>
        <v>undeployed</v>
      </c>
      <c r="J77" s="66" t="str">
        <f>IFERROR(__xludf.DUMMYFUNCTION("""COMPUTED_VALUE"""),"Celsius Network System")</f>
        <v>Celsius Network System</v>
      </c>
      <c r="K77" s="66" t="str">
        <f>IFERROR(__xludf.DUMMYFUNCTION("""COMPUTED_VALUE"""),"1")</f>
        <v>1</v>
      </c>
      <c r="L77" s="72">
        <f>IFERROR(__xludf.DUMMYFUNCTION("""COMPUTED_VALUE"""),112516.8468)</f>
        <v>112516.8468</v>
      </c>
      <c r="M77" s="39">
        <f>IFERROR(__xludf.DUMMYFUNCTION("""COMPUTED_VALUE"""),0.0)</f>
        <v>0</v>
      </c>
      <c r="N77" s="39" t="str">
        <f>IFERROR(__xludf.DUMMYFUNCTION("""COMPUTED_VALUE"""),"N/A")</f>
        <v>N/A</v>
      </c>
      <c r="O77" s="91">
        <f>IFERROR(__xludf.DUMMYFUNCTION("""COMPUTED_VALUE"""),449137.3703139437)</f>
        <v>449137.3703</v>
      </c>
      <c r="P77" s="66" t="str">
        <f>IFERROR(__xludf.DUMMYFUNCTION("""COMPUTED_VALUE"""),"N/A")</f>
        <v>N/A</v>
      </c>
      <c r="Q77" s="81">
        <f>IFERROR(__xludf.DUMMYFUNCTION("""COMPUTED_VALUE"""),0.0)</f>
        <v>0</v>
      </c>
      <c r="R77" s="81"/>
      <c r="S77" s="66"/>
      <c r="T77" s="66"/>
      <c r="U77" s="66"/>
      <c r="V77" s="66"/>
    </row>
    <row r="78">
      <c r="B78" s="75"/>
      <c r="C78" s="38"/>
      <c r="H78" s="66" t="str">
        <f>IFERROR(__xludf.DUMMYFUNCTION("""COMPUTED_VALUE"""),"XAUT")</f>
        <v>XAUT</v>
      </c>
      <c r="I78" s="66" t="str">
        <f>IFERROR(__xludf.DUMMYFUNCTION("""COMPUTED_VALUE"""),"undeployed")</f>
        <v>undeployed</v>
      </c>
      <c r="J78" s="66" t="str">
        <f>IFERROR(__xludf.DUMMYFUNCTION("""COMPUTED_VALUE"""),"Celsius Network System")</f>
        <v>Celsius Network System</v>
      </c>
      <c r="K78" s="66" t="str">
        <f>IFERROR(__xludf.DUMMYFUNCTION("""COMPUTED_VALUE"""),"1")</f>
        <v>1</v>
      </c>
      <c r="L78" s="72">
        <f>IFERROR(__xludf.DUMMYFUNCTION("""COMPUTED_VALUE"""),236.396921)</f>
        <v>236.396921</v>
      </c>
      <c r="M78" s="39">
        <f>IFERROR(__xludf.DUMMYFUNCTION("""COMPUTED_VALUE"""),0.0)</f>
        <v>0</v>
      </c>
      <c r="N78" s="39">
        <f>IFERROR(__xludf.DUMMYFUNCTION("""COMPUTED_VALUE"""),0.0554)</f>
        <v>0.0554</v>
      </c>
      <c r="O78" s="91">
        <f>IFERROR(__xludf.DUMMYFUNCTION("""COMPUTED_VALUE"""),425839.32815985964)</f>
        <v>425839.3282</v>
      </c>
      <c r="P78" s="66">
        <f>IFERROR(__xludf.DUMMYFUNCTION("""COMPUTED_VALUE"""),23591.498780056223)</f>
        <v>23591.49878</v>
      </c>
      <c r="Q78" s="81">
        <f>IFERROR(__xludf.DUMMYFUNCTION("""COMPUTED_VALUE"""),0.0)</f>
        <v>0</v>
      </c>
      <c r="R78" s="81"/>
      <c r="S78" s="66"/>
      <c r="T78" s="66"/>
      <c r="U78" s="66"/>
      <c r="V78" s="66"/>
    </row>
    <row r="79">
      <c r="B79" s="75"/>
      <c r="C79" s="38"/>
      <c r="H79" s="66" t="str">
        <f>IFERROR(__xludf.DUMMYFUNCTION("""COMPUTED_VALUE"""),"SUSHI")</f>
        <v>SUSHI</v>
      </c>
      <c r="I79" s="66" t="str">
        <f>IFERROR(__xludf.DUMMYFUNCTION("""COMPUTED_VALUE"""),"undeployed")</f>
        <v>undeployed</v>
      </c>
      <c r="J79" s="66" t="str">
        <f>IFERROR(__xludf.DUMMYFUNCTION("""COMPUTED_VALUE"""),"Celsius Network System")</f>
        <v>Celsius Network System</v>
      </c>
      <c r="K79" s="66" t="str">
        <f>IFERROR(__xludf.DUMMYFUNCTION("""COMPUTED_VALUE"""),"1")</f>
        <v>1</v>
      </c>
      <c r="L79" s="72">
        <f>IFERROR(__xludf.DUMMYFUNCTION("""COMPUTED_VALUE"""),79489.33921)</f>
        <v>79489.33921</v>
      </c>
      <c r="M79" s="39">
        <f>IFERROR(__xludf.DUMMYFUNCTION("""COMPUTED_VALUE"""),0.0)</f>
        <v>0</v>
      </c>
      <c r="N79" s="39">
        <f>IFERROR(__xludf.DUMMYFUNCTION("""COMPUTED_VALUE"""),0.0396)</f>
        <v>0.0396</v>
      </c>
      <c r="O79" s="91">
        <f>IFERROR(__xludf.DUMMYFUNCTION("""COMPUTED_VALUE"""),416238.10381708015)</f>
        <v>416238.1038</v>
      </c>
      <c r="P79" s="66">
        <f>IFERROR(__xludf.DUMMYFUNCTION("""COMPUTED_VALUE"""),16483.028911156376)</f>
        <v>16483.02891</v>
      </c>
      <c r="Q79" s="81">
        <f>IFERROR(__xludf.DUMMYFUNCTION("""COMPUTED_VALUE"""),0.0)</f>
        <v>0</v>
      </c>
      <c r="R79" s="81"/>
      <c r="S79" s="66"/>
      <c r="T79" s="66"/>
      <c r="U79" s="66"/>
      <c r="V79" s="66"/>
    </row>
    <row r="80">
      <c r="B80" s="75"/>
      <c r="C80" s="38"/>
      <c r="H80" s="66" t="str">
        <f>IFERROR(__xludf.DUMMYFUNCTION("""COMPUTED_VALUE"""),"XLM")</f>
        <v>XLM</v>
      </c>
      <c r="I80" s="66" t="str">
        <f>IFERROR(__xludf.DUMMYFUNCTION("""COMPUTED_VALUE"""),"undeployed")</f>
        <v>undeployed</v>
      </c>
      <c r="J80" s="66" t="str">
        <f>IFERROR(__xludf.DUMMYFUNCTION("""COMPUTED_VALUE"""),"Celsius Network")</f>
        <v>Celsius Network</v>
      </c>
      <c r="K80" s="66" t="str">
        <f>IFERROR(__xludf.DUMMYFUNCTION("""COMPUTED_VALUE"""),"1")</f>
        <v>1</v>
      </c>
      <c r="L80" s="72">
        <f>IFERROR(__xludf.DUMMYFUNCTION("""COMPUTED_VALUE"""),1525758.443)</f>
        <v>1525758.443</v>
      </c>
      <c r="M80" s="39">
        <f>IFERROR(__xludf.DUMMYFUNCTION("""COMPUTED_VALUE"""),0.0)</f>
        <v>0</v>
      </c>
      <c r="N80" s="39">
        <f>IFERROR(__xludf.DUMMYFUNCTION("""COMPUTED_VALUE"""),0.0091)</f>
        <v>0.0091</v>
      </c>
      <c r="O80" s="91">
        <f>IFERROR(__xludf.DUMMYFUNCTION("""COMPUTED_VALUE"""),412148.550932261)</f>
        <v>412148.5509</v>
      </c>
      <c r="P80" s="66">
        <f>IFERROR(__xludf.DUMMYFUNCTION("""COMPUTED_VALUE"""),3750.551813483575)</f>
        <v>3750.551813</v>
      </c>
      <c r="Q80" s="81">
        <f>IFERROR(__xludf.DUMMYFUNCTION("""COMPUTED_VALUE"""),0.0)</f>
        <v>0</v>
      </c>
      <c r="R80" s="81"/>
      <c r="S80" s="66"/>
      <c r="T80" s="66"/>
      <c r="U80" s="66"/>
      <c r="V80" s="66"/>
    </row>
    <row r="81">
      <c r="B81" s="75"/>
      <c r="C81" s="38"/>
      <c r="H81" s="66" t="str">
        <f>IFERROR(__xludf.DUMMYFUNCTION("""COMPUTED_VALUE"""),"BSV")</f>
        <v>BSV</v>
      </c>
      <c r="I81" s="66" t="str">
        <f>IFERROR(__xludf.DUMMYFUNCTION("""COMPUTED_VALUE"""),"undeployed")</f>
        <v>undeployed</v>
      </c>
      <c r="J81" s="66" t="str">
        <f>IFERROR(__xludf.DUMMYFUNCTION("""COMPUTED_VALUE"""),"Celsius Network System")</f>
        <v>Celsius Network System</v>
      </c>
      <c r="K81" s="66" t="str">
        <f>IFERROR(__xludf.DUMMYFUNCTION("""COMPUTED_VALUE"""),"1")</f>
        <v>1</v>
      </c>
      <c r="L81" s="72">
        <f>IFERROR(__xludf.DUMMYFUNCTION("""COMPUTED_VALUE"""),3375.707205)</f>
        <v>3375.707205</v>
      </c>
      <c r="M81" s="39">
        <f>IFERROR(__xludf.DUMMYFUNCTION("""COMPUTED_VALUE"""),0.0)</f>
        <v>0</v>
      </c>
      <c r="N81" s="39">
        <f>IFERROR(__xludf.DUMMYFUNCTION("""COMPUTED_VALUE"""),0.0183)</f>
        <v>0.0183</v>
      </c>
      <c r="O81" s="91">
        <f>IFERROR(__xludf.DUMMYFUNCTION("""COMPUTED_VALUE"""),410756.05270440003)</f>
        <v>410756.0527</v>
      </c>
      <c r="P81" s="66">
        <f>IFERROR(__xludf.DUMMYFUNCTION("""COMPUTED_VALUE"""),7516.835764490521)</f>
        <v>7516.835764</v>
      </c>
      <c r="Q81" s="81">
        <f>IFERROR(__xludf.DUMMYFUNCTION("""COMPUTED_VALUE"""),0.0)</f>
        <v>0</v>
      </c>
      <c r="R81" s="81"/>
      <c r="S81" s="66"/>
      <c r="T81" s="66"/>
      <c r="U81" s="66"/>
      <c r="V81" s="66"/>
    </row>
    <row r="82">
      <c r="B82" s="75"/>
      <c r="C82" s="38"/>
      <c r="H82" s="66" t="str">
        <f>IFERROR(__xludf.DUMMYFUNCTION("""COMPUTED_VALUE"""),"LPT")</f>
        <v>LPT</v>
      </c>
      <c r="I82" s="66" t="str">
        <f>IFERROR(__xludf.DUMMYFUNCTION("""COMPUTED_VALUE"""),"undeployed")</f>
        <v>undeployed</v>
      </c>
      <c r="J82" s="66" t="str">
        <f>IFERROR(__xludf.DUMMYFUNCTION("""COMPUTED_VALUE"""),"Celsius Network System")</f>
        <v>Celsius Network System</v>
      </c>
      <c r="K82" s="66" t="str">
        <f>IFERROR(__xludf.DUMMYFUNCTION("""COMPUTED_VALUE"""),"1")</f>
        <v>1</v>
      </c>
      <c r="L82" s="72">
        <f>IFERROR(__xludf.DUMMYFUNCTION("""COMPUTED_VALUE"""),12253.99809)</f>
        <v>12253.99809</v>
      </c>
      <c r="M82" s="39">
        <f>IFERROR(__xludf.DUMMYFUNCTION("""COMPUTED_VALUE"""),0.0)</f>
        <v>0</v>
      </c>
      <c r="N82" s="39">
        <f>IFERROR(__xludf.DUMMYFUNCTION("""COMPUTED_VALUE"""),0.0)</f>
        <v>0</v>
      </c>
      <c r="O82" s="91">
        <f>IFERROR(__xludf.DUMMYFUNCTION("""COMPUTED_VALUE"""),410137.74256137694)</f>
        <v>410137.7426</v>
      </c>
      <c r="P82" s="66">
        <f>IFERROR(__xludf.DUMMYFUNCTION("""COMPUTED_VALUE"""),0.0)</f>
        <v>0</v>
      </c>
      <c r="Q82" s="81">
        <f>IFERROR(__xludf.DUMMYFUNCTION("""COMPUTED_VALUE"""),0.0)</f>
        <v>0</v>
      </c>
      <c r="R82" s="81"/>
      <c r="S82" s="66"/>
      <c r="T82" s="66"/>
      <c r="U82" s="66"/>
      <c r="V82" s="66"/>
    </row>
    <row r="83">
      <c r="B83" s="75"/>
      <c r="C83" s="38"/>
      <c r="H83" s="66" t="str">
        <f>IFERROR(__xludf.DUMMYFUNCTION("""COMPUTED_VALUE"""),"OMG")</f>
        <v>OMG</v>
      </c>
      <c r="I83" s="66" t="str">
        <f>IFERROR(__xludf.DUMMYFUNCTION("""COMPUTED_VALUE"""),"undeployed")</f>
        <v>undeployed</v>
      </c>
      <c r="J83" s="66" t="str">
        <f>IFERROR(__xludf.DUMMYFUNCTION("""COMPUTED_VALUE"""),"Celsius Network")</f>
        <v>Celsius Network</v>
      </c>
      <c r="K83" s="66" t="str">
        <f>IFERROR(__xludf.DUMMYFUNCTION("""COMPUTED_VALUE"""),"1")</f>
        <v>1</v>
      </c>
      <c r="L83" s="72">
        <f>IFERROR(__xludf.DUMMYFUNCTION("""COMPUTED_VALUE"""),66728.2399)</f>
        <v>66728.2399</v>
      </c>
      <c r="M83" s="39">
        <f>IFERROR(__xludf.DUMMYFUNCTION("""COMPUTED_VALUE"""),0.0)</f>
        <v>0</v>
      </c>
      <c r="N83" s="39">
        <f>IFERROR(__xludf.DUMMYFUNCTION("""COMPUTED_VALUE"""),0.0042)</f>
        <v>0.0042</v>
      </c>
      <c r="O83" s="91">
        <f>IFERROR(__xludf.DUMMYFUNCTION("""COMPUTED_VALUE"""),384500.13832856616)</f>
        <v>384500.1383</v>
      </c>
      <c r="P83" s="66">
        <f>IFERROR(__xludf.DUMMYFUNCTION("""COMPUTED_VALUE"""),1614.9005809799778)</f>
        <v>1614.900581</v>
      </c>
      <c r="Q83" s="81">
        <f>IFERROR(__xludf.DUMMYFUNCTION("""COMPUTED_VALUE"""),0.0)</f>
        <v>0</v>
      </c>
      <c r="R83" s="81"/>
      <c r="S83" s="66"/>
      <c r="T83" s="66"/>
      <c r="U83" s="66"/>
      <c r="V83" s="66"/>
    </row>
    <row r="84">
      <c r="B84" s="75"/>
      <c r="C84" s="38"/>
      <c r="H84" s="66" t="str">
        <f>IFERROR(__xludf.DUMMYFUNCTION("""COMPUTED_VALUE"""),"XTZ")</f>
        <v>XTZ</v>
      </c>
      <c r="I84" s="66" t="str">
        <f>IFERROR(__xludf.DUMMYFUNCTION("""COMPUTED_VALUE"""),"undeployed")</f>
        <v>undeployed</v>
      </c>
      <c r="J84" s="66" t="str">
        <f>IFERROR(__xludf.DUMMYFUNCTION("""COMPUTED_VALUE"""),"Celsius Network System")</f>
        <v>Celsius Network System</v>
      </c>
      <c r="K84" s="66" t="str">
        <f>IFERROR(__xludf.DUMMYFUNCTION("""COMPUTED_VALUE"""),"1")</f>
        <v>1</v>
      </c>
      <c r="L84" s="72">
        <f>IFERROR(__xludf.DUMMYFUNCTION("""COMPUTED_VALUE"""),94105.93058)</f>
        <v>94105.93058</v>
      </c>
      <c r="M84" s="39">
        <f>IFERROR(__xludf.DUMMYFUNCTION("""COMPUTED_VALUE"""),0.0)</f>
        <v>0</v>
      </c>
      <c r="N84" s="39" t="str">
        <f>IFERROR(__xludf.DUMMYFUNCTION("""COMPUTED_VALUE"""),"N/A")</f>
        <v>N/A</v>
      </c>
      <c r="O84" s="91">
        <f>IFERROR(__xludf.DUMMYFUNCTION("""COMPUTED_VALUE"""),379572.4460588815)</f>
        <v>379572.4461</v>
      </c>
      <c r="P84" s="66" t="str">
        <f>IFERROR(__xludf.DUMMYFUNCTION("""COMPUTED_VALUE"""),"N/A")</f>
        <v>N/A</v>
      </c>
      <c r="Q84" s="81">
        <f>IFERROR(__xludf.DUMMYFUNCTION("""COMPUTED_VALUE"""),0.0)</f>
        <v>0</v>
      </c>
      <c r="R84" s="81"/>
      <c r="S84" s="66"/>
      <c r="T84" s="66"/>
      <c r="U84" s="66"/>
      <c r="V84" s="66"/>
    </row>
    <row r="85">
      <c r="B85" s="75"/>
      <c r="C85" s="38"/>
      <c r="H85" s="66" t="str">
        <f>IFERROR(__xludf.DUMMYFUNCTION("""COMPUTED_VALUE"""),"KNC")</f>
        <v>KNC</v>
      </c>
      <c r="I85" s="66" t="str">
        <f>IFERROR(__xludf.DUMMYFUNCTION("""COMPUTED_VALUE"""),"undeployed")</f>
        <v>undeployed</v>
      </c>
      <c r="J85" s="66" t="str">
        <f>IFERROR(__xludf.DUMMYFUNCTION("""COMPUTED_VALUE"""),"Celsius Network System")</f>
        <v>Celsius Network System</v>
      </c>
      <c r="K85" s="66" t="str">
        <f>IFERROR(__xludf.DUMMYFUNCTION("""COMPUTED_VALUE"""),"1")</f>
        <v>1</v>
      </c>
      <c r="L85" s="72">
        <f>IFERROR(__xludf.DUMMYFUNCTION("""COMPUTED_VALUE"""),275687.8975)</f>
        <v>275687.8975</v>
      </c>
      <c r="M85" s="39">
        <f>IFERROR(__xludf.DUMMYFUNCTION("""COMPUTED_VALUE"""),0.0)</f>
        <v>0</v>
      </c>
      <c r="N85" s="39">
        <f>IFERROR(__xludf.DUMMYFUNCTION("""COMPUTED_VALUE"""),0.0048)</f>
        <v>0.0048</v>
      </c>
      <c r="O85" s="91">
        <f>IFERROR(__xludf.DUMMYFUNCTION("""COMPUTED_VALUE"""),340635.83993023814)</f>
        <v>340635.8399</v>
      </c>
      <c r="P85" s="66">
        <f>IFERROR(__xludf.DUMMYFUNCTION("""COMPUTED_VALUE"""),1635.052031665143)</f>
        <v>1635.052032</v>
      </c>
      <c r="Q85" s="81">
        <f>IFERROR(__xludf.DUMMYFUNCTION("""COMPUTED_VALUE"""),0.0)</f>
        <v>0</v>
      </c>
      <c r="R85" s="81"/>
      <c r="S85" s="66"/>
      <c r="T85" s="66"/>
      <c r="U85" s="66"/>
      <c r="V85" s="66"/>
    </row>
    <row r="86">
      <c r="B86" s="75"/>
      <c r="C86" s="38"/>
      <c r="H86" s="66" t="str">
        <f>IFERROR(__xludf.DUMMYFUNCTION("""COMPUTED_VALUE"""),"AVAX")</f>
        <v>AVAX</v>
      </c>
      <c r="I86" s="66" t="str">
        <f>IFERROR(__xludf.DUMMYFUNCTION("""COMPUTED_VALUE"""),"Undeployed")</f>
        <v>Undeployed</v>
      </c>
      <c r="J86" s="66" t="str">
        <f>IFERROR(__xludf.DUMMYFUNCTION("""COMPUTED_VALUE"""),"Network Deposits")</f>
        <v>Network Deposits</v>
      </c>
      <c r="K86" s="66" t="str">
        <f>IFERROR(__xludf.DUMMYFUNCTION("""COMPUTED_VALUE"""),"1")</f>
        <v>1</v>
      </c>
      <c r="L86" s="72">
        <f>IFERROR(__xludf.DUMMYFUNCTION("""COMPUTED_VALUE"""),3180.564097)</f>
        <v>3180.564097</v>
      </c>
      <c r="M86" s="39">
        <f>IFERROR(__xludf.DUMMYFUNCTION("""COMPUTED_VALUE"""),0.0)</f>
        <v>0</v>
      </c>
      <c r="N86" s="39" t="str">
        <f>IFERROR(__xludf.DUMMYFUNCTION("""COMPUTED_VALUE"""),"N/A")</f>
        <v>N/A</v>
      </c>
      <c r="O86" s="91">
        <f>IFERROR(__xludf.DUMMYFUNCTION("""COMPUTED_VALUE"""),331320.92523174366)</f>
        <v>331320.9252</v>
      </c>
      <c r="P86" s="66" t="str">
        <f>IFERROR(__xludf.DUMMYFUNCTION("""COMPUTED_VALUE"""),"N/A")</f>
        <v>N/A</v>
      </c>
      <c r="Q86" s="81">
        <f>IFERROR(__xludf.DUMMYFUNCTION("""COMPUTED_VALUE"""),0.0)</f>
        <v>0</v>
      </c>
      <c r="R86" s="81"/>
      <c r="S86" s="66"/>
      <c r="T86" s="66"/>
      <c r="U86" s="66"/>
      <c r="V86" s="66"/>
    </row>
    <row r="87">
      <c r="B87" s="75"/>
      <c r="C87" s="38"/>
      <c r="H87" s="66" t="str">
        <f>IFERROR(__xludf.DUMMYFUNCTION("""COMPUTED_VALUE"""),"WDGLD")</f>
        <v>WDGLD</v>
      </c>
      <c r="I87" s="66" t="str">
        <f>IFERROR(__xludf.DUMMYFUNCTION("""COMPUTED_VALUE"""),"undeployed")</f>
        <v>undeployed</v>
      </c>
      <c r="J87" s="66" t="str">
        <f>IFERROR(__xludf.DUMMYFUNCTION("""COMPUTED_VALUE"""),"Celsius Network System")</f>
        <v>Celsius Network System</v>
      </c>
      <c r="K87" s="66" t="str">
        <f>IFERROR(__xludf.DUMMYFUNCTION("""COMPUTED_VALUE"""),"1")</f>
        <v>1</v>
      </c>
      <c r="L87" s="72">
        <f>IFERROR(__xludf.DUMMYFUNCTION("""COMPUTED_VALUE"""),1666.471496)</f>
        <v>1666.471496</v>
      </c>
      <c r="M87" s="39">
        <f>IFERROR(__xludf.DUMMYFUNCTION("""COMPUTED_VALUE"""),0.0)</f>
        <v>0</v>
      </c>
      <c r="N87" s="39" t="str">
        <f>IFERROR(__xludf.DUMMYFUNCTION("""COMPUTED_VALUE"""),"N/A")</f>
        <v>N/A</v>
      </c>
      <c r="O87" s="91">
        <f>IFERROR(__xludf.DUMMYFUNCTION("""COMPUTED_VALUE"""),293232.32443616)</f>
        <v>293232.3244</v>
      </c>
      <c r="P87" s="66" t="str">
        <f>IFERROR(__xludf.DUMMYFUNCTION("""COMPUTED_VALUE"""),"N/A")</f>
        <v>N/A</v>
      </c>
      <c r="Q87" s="81">
        <f>IFERROR(__xludf.DUMMYFUNCTION("""COMPUTED_VALUE"""),0.0)</f>
        <v>0</v>
      </c>
      <c r="R87" s="81"/>
      <c r="S87" s="66"/>
      <c r="T87" s="66"/>
      <c r="U87" s="66"/>
      <c r="V87" s="66"/>
    </row>
    <row r="88">
      <c r="B88" s="75"/>
      <c r="C88" s="38"/>
      <c r="H88" s="66" t="str">
        <f>IFERROR(__xludf.DUMMYFUNCTION("""COMPUTED_VALUE"""),"UMA")</f>
        <v>UMA</v>
      </c>
      <c r="I88" s="66" t="str">
        <f>IFERROR(__xludf.DUMMYFUNCTION("""COMPUTED_VALUE"""),"undeployed")</f>
        <v>undeployed</v>
      </c>
      <c r="J88" s="66" t="str">
        <f>IFERROR(__xludf.DUMMYFUNCTION("""COMPUTED_VALUE"""),"Celsius Network System")</f>
        <v>Celsius Network System</v>
      </c>
      <c r="K88" s="66" t="str">
        <f>IFERROR(__xludf.DUMMYFUNCTION("""COMPUTED_VALUE"""),"1")</f>
        <v>1</v>
      </c>
      <c r="L88" s="72">
        <f>IFERROR(__xludf.DUMMYFUNCTION("""COMPUTED_VALUE"""),31727.1705)</f>
        <v>31727.1705</v>
      </c>
      <c r="M88" s="39">
        <f>IFERROR(__xludf.DUMMYFUNCTION("""COMPUTED_VALUE"""),0.0)</f>
        <v>0</v>
      </c>
      <c r="N88" s="39">
        <f>IFERROR(__xludf.DUMMYFUNCTION("""COMPUTED_VALUE"""),0.0093)</f>
        <v>0.0093</v>
      </c>
      <c r="O88" s="91">
        <f>IFERROR(__xludf.DUMMYFUNCTION("""COMPUTED_VALUE"""),271884.42421169643)</f>
        <v>271884.4242</v>
      </c>
      <c r="P88" s="66">
        <f>IFERROR(__xludf.DUMMYFUNCTION("""COMPUTED_VALUE"""),2528.525145168777)</f>
        <v>2528.525145</v>
      </c>
      <c r="Q88" s="81">
        <f>IFERROR(__xludf.DUMMYFUNCTION("""COMPUTED_VALUE"""),0.0)</f>
        <v>0</v>
      </c>
      <c r="R88" s="81"/>
      <c r="S88" s="66"/>
      <c r="T88" s="66"/>
      <c r="U88" s="66"/>
      <c r="V88" s="66"/>
    </row>
    <row r="89">
      <c r="B89" s="75"/>
      <c r="C89" s="38"/>
      <c r="H89" s="66" t="str">
        <f>IFERROR(__xludf.DUMMYFUNCTION("""COMPUTED_VALUE"""),"BTC")</f>
        <v>BTC</v>
      </c>
      <c r="I89" s="66" t="str">
        <f>IFERROR(__xludf.DUMMYFUNCTION("""COMPUTED_VALUE"""),"undeployed")</f>
        <v>undeployed</v>
      </c>
      <c r="J89" s="66" t="str">
        <f>IFERROR(__xludf.DUMMYFUNCTION("""COMPUTED_VALUE"""),"Celsius OTC")</f>
        <v>Celsius OTC</v>
      </c>
      <c r="K89" s="66" t="str">
        <f>IFERROR(__xludf.DUMMYFUNCTION("""COMPUTED_VALUE"""),"1")</f>
        <v>1</v>
      </c>
      <c r="L89" s="72">
        <f>IFERROR(__xludf.DUMMYFUNCTION("""COMPUTED_VALUE"""),5.75675909)</f>
        <v>5.75675909</v>
      </c>
      <c r="M89" s="39">
        <f>IFERROR(__xludf.DUMMYFUNCTION("""COMPUTED_VALUE"""),0.0)</f>
        <v>0</v>
      </c>
      <c r="N89" s="39">
        <f>IFERROR(__xludf.DUMMYFUNCTION("""COMPUTED_VALUE"""),0.0298)</f>
        <v>0.0298</v>
      </c>
      <c r="O89" s="91">
        <f>IFERROR(__xludf.DUMMYFUNCTION("""COMPUTED_VALUE"""),266622.16886437923)</f>
        <v>266622.1689</v>
      </c>
      <c r="P89" s="66">
        <f>IFERROR(__xludf.DUMMYFUNCTION("""COMPUTED_VALUE"""),7945.340632158501)</f>
        <v>7945.340632</v>
      </c>
      <c r="Q89" s="81">
        <f>IFERROR(__xludf.DUMMYFUNCTION("""COMPUTED_VALUE"""),0.0)</f>
        <v>0</v>
      </c>
      <c r="R89" s="81"/>
      <c r="S89" s="66"/>
      <c r="T89" s="66"/>
      <c r="U89" s="66"/>
      <c r="V89" s="66"/>
    </row>
    <row r="90">
      <c r="B90" s="75"/>
      <c r="C90" s="38"/>
      <c r="H90" s="66" t="str">
        <f>IFERROR(__xludf.DUMMYFUNCTION("""COMPUTED_VALUE"""),"Stable Coins")</f>
        <v>Stable Coins</v>
      </c>
      <c r="I90" s="66" t="str">
        <f>IFERROR(__xludf.DUMMYFUNCTION("""COMPUTED_VALUE"""),"undeployed")</f>
        <v>undeployed</v>
      </c>
      <c r="J90" s="66" t="str">
        <f>IFERROR(__xludf.DUMMYFUNCTION("""COMPUTED_VALUE"""),"FTX - Kairon")</f>
        <v>FTX - Kairon</v>
      </c>
      <c r="K90" s="66" t="str">
        <f>IFERROR(__xludf.DUMMYFUNCTION("""COMPUTED_VALUE"""),"4")</f>
        <v>4</v>
      </c>
      <c r="L90" s="72">
        <f>IFERROR(__xludf.DUMMYFUNCTION("""COMPUTED_VALUE"""),241063.1367)</f>
        <v>241063.1367</v>
      </c>
      <c r="M90" s="39">
        <f>IFERROR(__xludf.DUMMYFUNCTION("""COMPUTED_VALUE"""),0.0)</f>
        <v>0</v>
      </c>
      <c r="N90" s="39">
        <f>IFERROR(__xludf.DUMMYFUNCTION("""COMPUTED_VALUE"""),0.0959)</f>
        <v>0.0959</v>
      </c>
      <c r="O90" s="91">
        <f>IFERROR(__xludf.DUMMYFUNCTION("""COMPUTED_VALUE"""),241063.1367)</f>
        <v>241063.1367</v>
      </c>
      <c r="P90" s="66">
        <f>IFERROR(__xludf.DUMMYFUNCTION("""COMPUTED_VALUE"""),23117.95480953)</f>
        <v>23117.95481</v>
      </c>
      <c r="Q90" s="81">
        <f>IFERROR(__xludf.DUMMYFUNCTION("""COMPUTED_VALUE"""),0.0)</f>
        <v>0</v>
      </c>
      <c r="R90" s="81"/>
      <c r="S90" s="66"/>
      <c r="T90" s="66"/>
      <c r="U90" s="66"/>
      <c r="V90" s="66"/>
    </row>
    <row r="91">
      <c r="B91" s="75"/>
      <c r="C91" s="38"/>
      <c r="H91" s="66" t="str">
        <f>IFERROR(__xludf.DUMMYFUNCTION("""COMPUTED_VALUE"""),"SRM_LOCKED")</f>
        <v>SRM_LOCKED</v>
      </c>
      <c r="I91" s="66" t="str">
        <f>IFERROR(__xludf.DUMMYFUNCTION("""COMPUTED_VALUE"""),"undeployed")</f>
        <v>undeployed</v>
      </c>
      <c r="J91" s="66" t="str">
        <f>IFERROR(__xludf.DUMMYFUNCTION("""COMPUTED_VALUE"""),"FTX - Main Account")</f>
        <v>FTX - Main Account</v>
      </c>
      <c r="K91" s="66" t="str">
        <f>IFERROR(__xludf.DUMMYFUNCTION("""COMPUTED_VALUE"""),"2")</f>
        <v>2</v>
      </c>
      <c r="L91" s="72">
        <f>IFERROR(__xludf.DUMMYFUNCTION("""COMPUTED_VALUE"""),70489.49316)</f>
        <v>70489.49316</v>
      </c>
      <c r="M91" s="39">
        <f>IFERROR(__xludf.DUMMYFUNCTION("""COMPUTED_VALUE"""),0.0)</f>
        <v>0</v>
      </c>
      <c r="N91" s="39" t="str">
        <f>IFERROR(__xludf.DUMMYFUNCTION("""COMPUTED_VALUE"""),"N/A")</f>
        <v>N/A</v>
      </c>
      <c r="O91" s="91">
        <f>IFERROR(__xludf.DUMMYFUNCTION("""COMPUTED_VALUE"""),234400.09968404728)</f>
        <v>234400.0997</v>
      </c>
      <c r="P91" s="66" t="str">
        <f>IFERROR(__xludf.DUMMYFUNCTION("""COMPUTED_VALUE"""),"N/A")</f>
        <v>N/A</v>
      </c>
      <c r="Q91" s="81">
        <f>IFERROR(__xludf.DUMMYFUNCTION("""COMPUTED_VALUE"""),0.0)</f>
        <v>0</v>
      </c>
      <c r="R91" s="81"/>
      <c r="S91" s="66"/>
      <c r="T91" s="66"/>
      <c r="U91" s="66"/>
      <c r="V91" s="66"/>
    </row>
    <row r="92">
      <c r="B92" s="75"/>
      <c r="C92" s="38"/>
      <c r="H92" s="66" t="str">
        <f>IFERROR(__xludf.DUMMYFUNCTION("""COMPUTED_VALUE"""),"BSV")</f>
        <v>BSV</v>
      </c>
      <c r="I92" s="66" t="str">
        <f>IFERROR(__xludf.DUMMYFUNCTION("""COMPUTED_VALUE"""),"undeployed")</f>
        <v>undeployed</v>
      </c>
      <c r="J92" s="66" t="str">
        <f>IFERROR(__xludf.DUMMYFUNCTION("""COMPUTED_VALUE"""),"Celsius Network")</f>
        <v>Celsius Network</v>
      </c>
      <c r="K92" s="66" t="str">
        <f>IFERROR(__xludf.DUMMYFUNCTION("""COMPUTED_VALUE"""),"1")</f>
        <v>1</v>
      </c>
      <c r="L92" s="72">
        <f>IFERROR(__xludf.DUMMYFUNCTION("""COMPUTED_VALUE"""),1904.472388)</f>
        <v>1904.472388</v>
      </c>
      <c r="M92" s="39">
        <f>IFERROR(__xludf.DUMMYFUNCTION("""COMPUTED_VALUE"""),0.0)</f>
        <v>0</v>
      </c>
      <c r="N92" s="39">
        <f>IFERROR(__xludf.DUMMYFUNCTION("""COMPUTED_VALUE"""),0.0183)</f>
        <v>0.0183</v>
      </c>
      <c r="O92" s="91">
        <f>IFERROR(__xludf.DUMMYFUNCTION("""COMPUTED_VALUE"""),231736.20017184)</f>
        <v>231736.2002</v>
      </c>
      <c r="P92" s="66">
        <f>IFERROR(__xludf.DUMMYFUNCTION("""COMPUTED_VALUE"""),4240.772463144672)</f>
        <v>4240.772463</v>
      </c>
      <c r="Q92" s="81">
        <f>IFERROR(__xludf.DUMMYFUNCTION("""COMPUTED_VALUE"""),0.0)</f>
        <v>0</v>
      </c>
      <c r="R92" s="81"/>
      <c r="S92" s="66"/>
      <c r="T92" s="66"/>
      <c r="U92" s="66"/>
      <c r="V92" s="66"/>
    </row>
    <row r="93">
      <c r="B93" s="75"/>
      <c r="C93" s="38"/>
      <c r="H93" s="66" t="str">
        <f>IFERROR(__xludf.DUMMYFUNCTION("""COMPUTED_VALUE"""),"BTC")</f>
        <v>BTC</v>
      </c>
      <c r="I93" s="66" t="str">
        <f>IFERROR(__xludf.DUMMYFUNCTION("""COMPUTED_VALUE"""),"undeployed")</f>
        <v>undeployed</v>
      </c>
      <c r="J93" s="66" t="str">
        <f>IFERROR(__xludf.DUMMYFUNCTION("""COMPUTED_VALUE"""),"FTX - Kairon")</f>
        <v>FTX - Kairon</v>
      </c>
      <c r="K93" s="66" t="str">
        <f>IFERROR(__xludf.DUMMYFUNCTION("""COMPUTED_VALUE"""),"4")</f>
        <v>4</v>
      </c>
      <c r="L93" s="72">
        <f>IFERROR(__xludf.DUMMYFUNCTION("""COMPUTED_VALUE"""),4.94909041)</f>
        <v>4.94909041</v>
      </c>
      <c r="M93" s="39" t="str">
        <f>IFERROR(__xludf.DUMMYFUNCTION("""COMPUTED_VALUE"""),"N/A")</f>
        <v>N/A</v>
      </c>
      <c r="N93" s="39">
        <f>IFERROR(__xludf.DUMMYFUNCTION("""COMPUTED_VALUE"""),0.0298)</f>
        <v>0.0298</v>
      </c>
      <c r="O93" s="91">
        <f>IFERROR(__xludf.DUMMYFUNCTION("""COMPUTED_VALUE"""),229215.2925614436)</f>
        <v>229215.2926</v>
      </c>
      <c r="P93" s="66">
        <f>IFERROR(__xludf.DUMMYFUNCTION("""COMPUTED_VALUE"""),6830.61571833102)</f>
        <v>6830.615718</v>
      </c>
      <c r="Q93" s="81" t="str">
        <f>IFERROR(__xludf.DUMMYFUNCTION("""COMPUTED_VALUE"""),"N/A")</f>
        <v>N/A</v>
      </c>
      <c r="R93" s="81"/>
      <c r="S93" s="66"/>
      <c r="T93" s="66"/>
      <c r="U93" s="66"/>
      <c r="V93" s="66"/>
    </row>
    <row r="94">
      <c r="B94" s="75"/>
      <c r="C94" s="38"/>
      <c r="H94" s="66" t="str">
        <f>IFERROR(__xludf.DUMMYFUNCTION("""COMPUTED_VALUE"""),"YFL")</f>
        <v>YFL</v>
      </c>
      <c r="I94" s="66" t="str">
        <f>IFERROR(__xludf.DUMMYFUNCTION("""COMPUTED_VALUE"""),"Undeployed")</f>
        <v>Undeployed</v>
      </c>
      <c r="J94" s="66" t="str">
        <f>IFERROR(__xludf.DUMMYFUNCTION("""COMPUTED_VALUE"""),"Network Deposits")</f>
        <v>Network Deposits</v>
      </c>
      <c r="K94" s="66" t="str">
        <f>IFERROR(__xludf.DUMMYFUNCTION("""COMPUTED_VALUE"""),"1")</f>
        <v>1</v>
      </c>
      <c r="L94" s="72">
        <f>IFERROR(__xludf.DUMMYFUNCTION("""COMPUTED_VALUE"""),1044.03038)</f>
        <v>1044.03038</v>
      </c>
      <c r="M94" s="39">
        <f>IFERROR(__xludf.DUMMYFUNCTION("""COMPUTED_VALUE"""),0.0)</f>
        <v>0</v>
      </c>
      <c r="N94" s="39" t="str">
        <f>IFERROR(__xludf.DUMMYFUNCTION("""COMPUTED_VALUE"""),"N/A")</f>
        <v>N/A</v>
      </c>
      <c r="O94" s="91">
        <f>IFERROR(__xludf.DUMMYFUNCTION("""COMPUTED_VALUE"""),217304.48329319997)</f>
        <v>217304.4833</v>
      </c>
      <c r="P94" s="66" t="str">
        <f>IFERROR(__xludf.DUMMYFUNCTION("""COMPUTED_VALUE"""),"N/A")</f>
        <v>N/A</v>
      </c>
      <c r="Q94" s="81">
        <f>IFERROR(__xludf.DUMMYFUNCTION("""COMPUTED_VALUE"""),0.0)</f>
        <v>0</v>
      </c>
      <c r="R94" s="81"/>
      <c r="S94" s="66"/>
      <c r="T94" s="66"/>
      <c r="U94" s="66"/>
      <c r="V94" s="66"/>
    </row>
    <row r="95">
      <c r="B95" s="75"/>
      <c r="C95" s="38"/>
      <c r="H95" s="66" t="str">
        <f>IFERROR(__xludf.DUMMYFUNCTION("""COMPUTED_VALUE"""),"MATIC")</f>
        <v>MATIC</v>
      </c>
      <c r="I95" s="66" t="str">
        <f>IFERROR(__xludf.DUMMYFUNCTION("""COMPUTED_VALUE"""),"undeployed")</f>
        <v>undeployed</v>
      </c>
      <c r="J95" s="66" t="str">
        <f>IFERROR(__xludf.DUMMYFUNCTION("""COMPUTED_VALUE"""),"Celsius Network Finance")</f>
        <v>Celsius Network Finance</v>
      </c>
      <c r="K95" s="66" t="str">
        <f>IFERROR(__xludf.DUMMYFUNCTION("""COMPUTED_VALUE"""),"1")</f>
        <v>1</v>
      </c>
      <c r="L95" s="72">
        <f>IFERROR(__xludf.DUMMYFUNCTION("""COMPUTED_VALUE"""),77166.652)</f>
        <v>77166.652</v>
      </c>
      <c r="M95" s="39">
        <f>IFERROR(__xludf.DUMMYFUNCTION("""COMPUTED_VALUE"""),0.0)</f>
        <v>0</v>
      </c>
      <c r="N95" s="39">
        <f>IFERROR(__xludf.DUMMYFUNCTION("""COMPUTED_VALUE"""),0.0818)</f>
        <v>0.0818</v>
      </c>
      <c r="O95" s="91">
        <f>IFERROR(__xludf.DUMMYFUNCTION("""COMPUTED_VALUE"""),161865.3552387553)</f>
        <v>161865.3552</v>
      </c>
      <c r="P95" s="66">
        <f>IFERROR(__xludf.DUMMYFUNCTION("""COMPUTED_VALUE"""),13240.586058530182)</f>
        <v>13240.58606</v>
      </c>
      <c r="Q95" s="81">
        <f>IFERROR(__xludf.DUMMYFUNCTION("""COMPUTED_VALUE"""),0.0)</f>
        <v>0</v>
      </c>
      <c r="R95" s="81"/>
      <c r="S95" s="66"/>
      <c r="T95" s="66"/>
      <c r="U95" s="66"/>
      <c r="V95" s="66"/>
    </row>
    <row r="96">
      <c r="B96" s="75"/>
      <c r="C96" s="38"/>
      <c r="H96" s="66" t="str">
        <f>IFERROR(__xludf.DUMMYFUNCTION("""COMPUTED_VALUE"""),"BNB")</f>
        <v>BNB</v>
      </c>
      <c r="I96" s="66" t="str">
        <f>IFERROR(__xludf.DUMMYFUNCTION("""COMPUTED_VALUE"""),"undeployed")</f>
        <v>undeployed</v>
      </c>
      <c r="J96" s="66" t="str">
        <f>IFERROR(__xludf.DUMMYFUNCTION("""COMPUTED_VALUE"""),"Celsius Network")</f>
        <v>Celsius Network</v>
      </c>
      <c r="K96" s="66" t="str">
        <f>IFERROR(__xludf.DUMMYFUNCTION("""COMPUTED_VALUE"""),"1")</f>
        <v>1</v>
      </c>
      <c r="L96" s="72">
        <f>IFERROR(__xludf.DUMMYFUNCTION("""COMPUTED_VALUE"""),307.8015911)</f>
        <v>307.8015911</v>
      </c>
      <c r="M96" s="39">
        <f>IFERROR(__xludf.DUMMYFUNCTION("""COMPUTED_VALUE"""),0.0)</f>
        <v>0</v>
      </c>
      <c r="N96" s="39">
        <f>IFERROR(__xludf.DUMMYFUNCTION("""COMPUTED_VALUE"""),0.0581)</f>
        <v>0.0581</v>
      </c>
      <c r="O96" s="91">
        <f>IFERROR(__xludf.DUMMYFUNCTION("""COMPUTED_VALUE"""),160088.32335449025)</f>
        <v>160088.3234</v>
      </c>
      <c r="P96" s="66">
        <f>IFERROR(__xludf.DUMMYFUNCTION("""COMPUTED_VALUE"""),9301.131586895883)</f>
        <v>9301.131587</v>
      </c>
      <c r="Q96" s="81">
        <f>IFERROR(__xludf.DUMMYFUNCTION("""COMPUTED_VALUE"""),0.0)</f>
        <v>0</v>
      </c>
      <c r="R96" s="81"/>
      <c r="S96" s="66"/>
      <c r="T96" s="66"/>
      <c r="U96" s="66"/>
      <c r="V96" s="66"/>
    </row>
    <row r="97">
      <c r="B97" s="75"/>
      <c r="C97" s="38"/>
      <c r="H97" s="66" t="str">
        <f>IFERROR(__xludf.DUMMYFUNCTION("""COMPUTED_VALUE"""),"ZRX")</f>
        <v>ZRX</v>
      </c>
      <c r="I97" s="66" t="str">
        <f>IFERROR(__xludf.DUMMYFUNCTION("""COMPUTED_VALUE"""),"undeployed")</f>
        <v>undeployed</v>
      </c>
      <c r="J97" s="66" t="str">
        <f>IFERROR(__xludf.DUMMYFUNCTION("""COMPUTED_VALUE"""),"Celsius Network")</f>
        <v>Celsius Network</v>
      </c>
      <c r="K97" s="66" t="str">
        <f>IFERROR(__xludf.DUMMYFUNCTION("""COMPUTED_VALUE"""),"1")</f>
        <v>1</v>
      </c>
      <c r="L97" s="72">
        <f>IFERROR(__xludf.DUMMYFUNCTION("""COMPUTED_VALUE"""),212857.5452)</f>
        <v>212857.5452</v>
      </c>
      <c r="M97" s="39">
        <f>IFERROR(__xludf.DUMMYFUNCTION("""COMPUTED_VALUE"""),0.0)</f>
        <v>0</v>
      </c>
      <c r="N97" s="39">
        <f>IFERROR(__xludf.DUMMYFUNCTION("""COMPUTED_VALUE"""),0.0169)</f>
        <v>0.0169</v>
      </c>
      <c r="O97" s="91">
        <f>IFERROR(__xludf.DUMMYFUNCTION("""COMPUTED_VALUE"""),159274.87573401484)</f>
        <v>159274.8757</v>
      </c>
      <c r="P97" s="66">
        <f>IFERROR(__xludf.DUMMYFUNCTION("""COMPUTED_VALUE"""),2691.7453999048507)</f>
        <v>2691.7454</v>
      </c>
      <c r="Q97" s="81">
        <f>IFERROR(__xludf.DUMMYFUNCTION("""COMPUTED_VALUE"""),0.0)</f>
        <v>0</v>
      </c>
      <c r="R97" s="81"/>
      <c r="S97" s="66"/>
      <c r="T97" s="66"/>
      <c r="U97" s="66"/>
      <c r="V97" s="66"/>
    </row>
    <row r="98">
      <c r="B98" s="75"/>
      <c r="C98" s="38"/>
      <c r="H98" s="66" t="str">
        <f>IFERROR(__xludf.DUMMYFUNCTION("""COMPUTED_VALUE"""),"ADA")</f>
        <v>ADA</v>
      </c>
      <c r="I98" s="66" t="str">
        <f>IFERROR(__xludf.DUMMYFUNCTION("""COMPUTED_VALUE"""),"undeployed")</f>
        <v>undeployed</v>
      </c>
      <c r="J98" s="66" t="str">
        <f>IFERROR(__xludf.DUMMYFUNCTION("""COMPUTED_VALUE"""),"Celsius Network Finance")</f>
        <v>Celsius Network Finance</v>
      </c>
      <c r="K98" s="66" t="str">
        <f>IFERROR(__xludf.DUMMYFUNCTION("""COMPUTED_VALUE"""),"1")</f>
        <v>1</v>
      </c>
      <c r="L98" s="72">
        <f>IFERROR(__xludf.DUMMYFUNCTION("""COMPUTED_VALUE"""),120099.4916)</f>
        <v>120099.4916</v>
      </c>
      <c r="M98" s="39">
        <f>IFERROR(__xludf.DUMMYFUNCTION("""COMPUTED_VALUE"""),0.0)</f>
        <v>0</v>
      </c>
      <c r="N98" s="39">
        <f>IFERROR(__xludf.DUMMYFUNCTION("""COMPUTED_VALUE"""),0.0205)</f>
        <v>0.0205</v>
      </c>
      <c r="O98" s="91">
        <f>IFERROR(__xludf.DUMMYFUNCTION("""COMPUTED_VALUE"""),147113.1155917893)</f>
        <v>147113.1156</v>
      </c>
      <c r="P98" s="66">
        <f>IFERROR(__xludf.DUMMYFUNCTION("""COMPUTED_VALUE"""),3015.818869631681)</f>
        <v>3015.81887</v>
      </c>
      <c r="Q98" s="81">
        <f>IFERROR(__xludf.DUMMYFUNCTION("""COMPUTED_VALUE"""),0.0)</f>
        <v>0</v>
      </c>
      <c r="R98" s="81"/>
      <c r="S98" s="66"/>
      <c r="T98" s="66"/>
      <c r="U98" s="66"/>
      <c r="V98" s="66"/>
    </row>
    <row r="99">
      <c r="B99" s="75"/>
      <c r="C99" s="38"/>
      <c r="H99" s="66" t="str">
        <f>IFERROR(__xludf.DUMMYFUNCTION("""COMPUTED_VALUE"""),"THKD")</f>
        <v>THKD</v>
      </c>
      <c r="I99" s="66" t="str">
        <f>IFERROR(__xludf.DUMMYFUNCTION("""COMPUTED_VALUE"""),"undeployed")</f>
        <v>undeployed</v>
      </c>
      <c r="J99" s="66" t="str">
        <f>IFERROR(__xludf.DUMMYFUNCTION("""COMPUTED_VALUE"""),"Celsius Network")</f>
        <v>Celsius Network</v>
      </c>
      <c r="K99" s="66" t="str">
        <f>IFERROR(__xludf.DUMMYFUNCTION("""COMPUTED_VALUE"""),"1")</f>
        <v>1</v>
      </c>
      <c r="L99" s="72">
        <f>IFERROR(__xludf.DUMMYFUNCTION("""COMPUTED_VALUE"""),902267.0)</f>
        <v>902267</v>
      </c>
      <c r="M99" s="39">
        <f>IFERROR(__xludf.DUMMYFUNCTION("""COMPUTED_VALUE"""),0.0)</f>
        <v>0</v>
      </c>
      <c r="N99" s="39" t="str">
        <f>IFERROR(__xludf.DUMMYFUNCTION("""COMPUTED_VALUE"""),"N/A")</f>
        <v>N/A</v>
      </c>
      <c r="O99" s="91">
        <f>IFERROR(__xludf.DUMMYFUNCTION("""COMPUTED_VALUE"""),115670.6294)</f>
        <v>115670.6294</v>
      </c>
      <c r="P99" s="66" t="str">
        <f>IFERROR(__xludf.DUMMYFUNCTION("""COMPUTED_VALUE"""),"N/A")</f>
        <v>N/A</v>
      </c>
      <c r="Q99" s="81">
        <f>IFERROR(__xludf.DUMMYFUNCTION("""COMPUTED_VALUE"""),0.0)</f>
        <v>0</v>
      </c>
      <c r="R99" s="81"/>
      <c r="S99" s="66"/>
      <c r="T99" s="66"/>
      <c r="U99" s="66"/>
      <c r="V99" s="66"/>
    </row>
    <row r="100">
      <c r="B100" s="75"/>
      <c r="C100" s="38"/>
      <c r="H100" s="66" t="str">
        <f>IFERROR(__xludf.DUMMYFUNCTION("""COMPUTED_VALUE"""),"COMP")</f>
        <v>COMP</v>
      </c>
      <c r="I100" s="66" t="str">
        <f>IFERROR(__xludf.DUMMYFUNCTION("""COMPUTED_VALUE"""),"undeployed")</f>
        <v>undeployed</v>
      </c>
      <c r="J100" s="66" t="str">
        <f>IFERROR(__xludf.DUMMYFUNCTION("""COMPUTED_VALUE"""),"FTX - DeFi")</f>
        <v>FTX - DeFi</v>
      </c>
      <c r="K100" s="66" t="str">
        <f>IFERROR(__xludf.DUMMYFUNCTION("""COMPUTED_VALUE"""),"4")</f>
        <v>4</v>
      </c>
      <c r="L100" s="72">
        <f>IFERROR(__xludf.DUMMYFUNCTION("""COMPUTED_VALUE"""),523.2679416)</f>
        <v>523.2679416</v>
      </c>
      <c r="M100" s="39">
        <f>IFERROR(__xludf.DUMMYFUNCTION("""COMPUTED_VALUE"""),0.0)</f>
        <v>0</v>
      </c>
      <c r="N100" s="39">
        <f>IFERROR(__xludf.DUMMYFUNCTION("""COMPUTED_VALUE"""),0.0453)</f>
        <v>0.0453</v>
      </c>
      <c r="O100" s="91">
        <f>IFERROR(__xludf.DUMMYFUNCTION("""COMPUTED_VALUE"""),98154.600485328)</f>
        <v>98154.60049</v>
      </c>
      <c r="P100" s="66">
        <f>IFERROR(__xludf.DUMMYFUNCTION("""COMPUTED_VALUE"""),4446.403401985359)</f>
        <v>4446.403402</v>
      </c>
      <c r="Q100" s="81">
        <f>IFERROR(__xludf.DUMMYFUNCTION("""COMPUTED_VALUE"""),0.0)</f>
        <v>0</v>
      </c>
      <c r="R100" s="81"/>
      <c r="S100" s="66"/>
      <c r="T100" s="66"/>
      <c r="U100" s="66"/>
      <c r="V100" s="66"/>
    </row>
    <row r="101">
      <c r="B101" s="75"/>
      <c r="C101" s="38"/>
      <c r="H101" s="66" t="str">
        <f>IFERROR(__xludf.DUMMYFUNCTION("""COMPUTED_VALUE"""),"THKD")</f>
        <v>THKD</v>
      </c>
      <c r="I101" s="66" t="str">
        <f>IFERROR(__xludf.DUMMYFUNCTION("""COMPUTED_VALUE"""),"undeployed")</f>
        <v>undeployed</v>
      </c>
      <c r="J101" s="66" t="str">
        <f>IFERROR(__xludf.DUMMYFUNCTION("""COMPUTED_VALUE"""),"Celsius OTC")</f>
        <v>Celsius OTC</v>
      </c>
      <c r="K101" s="66" t="str">
        <f>IFERROR(__xludf.DUMMYFUNCTION("""COMPUTED_VALUE"""),"1")</f>
        <v>1</v>
      </c>
      <c r="L101" s="72">
        <f>IFERROR(__xludf.DUMMYFUNCTION("""COMPUTED_VALUE"""),747629.7589)</f>
        <v>747629.7589</v>
      </c>
      <c r="M101" s="39">
        <f>IFERROR(__xludf.DUMMYFUNCTION("""COMPUTED_VALUE"""),0.0)</f>
        <v>0</v>
      </c>
      <c r="N101" s="39" t="str">
        <f>IFERROR(__xludf.DUMMYFUNCTION("""COMPUTED_VALUE"""),"N/A")</f>
        <v>N/A</v>
      </c>
      <c r="O101" s="91">
        <f>IFERROR(__xludf.DUMMYFUNCTION("""COMPUTED_VALUE"""),95846.13509098001)</f>
        <v>95846.13509</v>
      </c>
      <c r="P101" s="66" t="str">
        <f>IFERROR(__xludf.DUMMYFUNCTION("""COMPUTED_VALUE"""),"N/A")</f>
        <v>N/A</v>
      </c>
      <c r="Q101" s="81">
        <f>IFERROR(__xludf.DUMMYFUNCTION("""COMPUTED_VALUE"""),0.0)</f>
        <v>0</v>
      </c>
      <c r="R101" s="81"/>
      <c r="S101" s="66"/>
      <c r="T101" s="66"/>
      <c r="U101" s="66"/>
      <c r="V101" s="66"/>
    </row>
    <row r="102">
      <c r="B102" s="75"/>
      <c r="C102" s="38"/>
      <c r="H102" s="66" t="str">
        <f>IFERROR(__xludf.DUMMYFUNCTION("""COMPUTED_VALUE"""),"LINK")</f>
        <v>LINK</v>
      </c>
      <c r="I102" s="66" t="str">
        <f>IFERROR(__xludf.DUMMYFUNCTION("""COMPUTED_VALUE"""),"undeployed")</f>
        <v>undeployed</v>
      </c>
      <c r="J102" s="66" t="str">
        <f>IFERROR(__xludf.DUMMYFUNCTION("""COMPUTED_VALUE"""),"FTX - Main Account")</f>
        <v>FTX - Main Account</v>
      </c>
      <c r="K102" s="66" t="str">
        <f>IFERROR(__xludf.DUMMYFUNCTION("""COMPUTED_VALUE"""),"2")</f>
        <v>2</v>
      </c>
      <c r="L102" s="72">
        <f>IFERROR(__xludf.DUMMYFUNCTION("""COMPUTED_VALUE"""),4506.57832)</f>
        <v>4506.57832</v>
      </c>
      <c r="M102" s="39">
        <f>IFERROR(__xludf.DUMMYFUNCTION("""COMPUTED_VALUE"""),0.0)</f>
        <v>0</v>
      </c>
      <c r="N102" s="39">
        <f>IFERROR(__xludf.DUMMYFUNCTION("""COMPUTED_VALUE"""),0.0251)</f>
        <v>0.0251</v>
      </c>
      <c r="O102" s="91">
        <f>IFERROR(__xludf.DUMMYFUNCTION("""COMPUTED_VALUE"""),83430.67614994757)</f>
        <v>83430.67615</v>
      </c>
      <c r="P102" s="66">
        <f>IFERROR(__xludf.DUMMYFUNCTION("""COMPUTED_VALUE"""),2094.109971363684)</f>
        <v>2094.109971</v>
      </c>
      <c r="Q102" s="81">
        <f>IFERROR(__xludf.DUMMYFUNCTION("""COMPUTED_VALUE"""),0.0)</f>
        <v>0</v>
      </c>
      <c r="R102" s="81"/>
      <c r="S102" s="66"/>
      <c r="T102" s="66"/>
      <c r="U102" s="66"/>
      <c r="V102" s="66"/>
    </row>
    <row r="103">
      <c r="B103" s="75"/>
      <c r="C103" s="38"/>
      <c r="H103" s="66" t="str">
        <f>IFERROR(__xludf.DUMMYFUNCTION("""COMPUTED_VALUE"""),"SNX")</f>
        <v>SNX</v>
      </c>
      <c r="I103" s="66" t="str">
        <f>IFERROR(__xludf.DUMMYFUNCTION("""COMPUTED_VALUE"""),"undeployed")</f>
        <v>undeployed</v>
      </c>
      <c r="J103" s="66" t="str">
        <f>IFERROR(__xludf.DUMMYFUNCTION("""COMPUTED_VALUE"""),"Celsius OTC")</f>
        <v>Celsius OTC</v>
      </c>
      <c r="K103" s="66" t="str">
        <f>IFERROR(__xludf.DUMMYFUNCTION("""COMPUTED_VALUE"""),"1")</f>
        <v>1</v>
      </c>
      <c r="L103" s="72">
        <f>IFERROR(__xludf.DUMMYFUNCTION("""COMPUTED_VALUE"""),13445.08308)</f>
        <v>13445.08308</v>
      </c>
      <c r="M103" s="39">
        <f>IFERROR(__xludf.DUMMYFUNCTION("""COMPUTED_VALUE"""),0.0)</f>
        <v>0</v>
      </c>
      <c r="N103" s="39">
        <f>IFERROR(__xludf.DUMMYFUNCTION("""COMPUTED_VALUE"""),0.1339)</f>
        <v>0.1339</v>
      </c>
      <c r="O103" s="91">
        <f>IFERROR(__xludf.DUMMYFUNCTION("""COMPUTED_VALUE"""),66689.98892547704)</f>
        <v>66689.98893</v>
      </c>
      <c r="P103" s="66">
        <f>IFERROR(__xludf.DUMMYFUNCTION("""COMPUTED_VALUE"""),8929.789517121375)</f>
        <v>8929.789517</v>
      </c>
      <c r="Q103" s="81">
        <f>IFERROR(__xludf.DUMMYFUNCTION("""COMPUTED_VALUE"""),0.0)</f>
        <v>0</v>
      </c>
      <c r="R103" s="81"/>
      <c r="S103" s="66"/>
      <c r="T103" s="66"/>
      <c r="U103" s="66"/>
      <c r="V103" s="66"/>
    </row>
    <row r="104">
      <c r="B104" s="75"/>
      <c r="C104" s="38"/>
      <c r="H104" s="66" t="str">
        <f>IFERROR(__xludf.DUMMYFUNCTION("""COMPUTED_VALUE"""),"PAXG")</f>
        <v>PAXG</v>
      </c>
      <c r="I104" s="66" t="str">
        <f>IFERROR(__xludf.DUMMYFUNCTION("""COMPUTED_VALUE"""),"undeployed")</f>
        <v>undeployed</v>
      </c>
      <c r="J104" s="66" t="str">
        <f>IFERROR(__xludf.DUMMYFUNCTION("""COMPUTED_VALUE"""),"Celsius OTC")</f>
        <v>Celsius OTC</v>
      </c>
      <c r="K104" s="66" t="str">
        <f>IFERROR(__xludf.DUMMYFUNCTION("""COMPUTED_VALUE"""),"1")</f>
        <v>1</v>
      </c>
      <c r="L104" s="72">
        <f>IFERROR(__xludf.DUMMYFUNCTION("""COMPUTED_VALUE"""),33.55388962)</f>
        <v>33.55388962</v>
      </c>
      <c r="M104" s="39">
        <f>IFERROR(__xludf.DUMMYFUNCTION("""COMPUTED_VALUE"""),0.0)</f>
        <v>0</v>
      </c>
      <c r="N104" s="39">
        <f>IFERROR(__xludf.DUMMYFUNCTION("""COMPUTED_VALUE"""),0.0526)</f>
        <v>0.0526</v>
      </c>
      <c r="O104" s="91">
        <f>IFERROR(__xludf.DUMMYFUNCTION("""COMPUTED_VALUE"""),60602.99709995736)</f>
        <v>60602.9971</v>
      </c>
      <c r="P104" s="66">
        <f>IFERROR(__xludf.DUMMYFUNCTION("""COMPUTED_VALUE"""),3187.7176474577573)</f>
        <v>3187.717647</v>
      </c>
      <c r="Q104" s="81">
        <f>IFERROR(__xludf.DUMMYFUNCTION("""COMPUTED_VALUE"""),0.0)</f>
        <v>0</v>
      </c>
      <c r="R104" s="81"/>
      <c r="S104" s="66"/>
      <c r="T104" s="66"/>
      <c r="U104" s="66"/>
      <c r="V104" s="66"/>
    </row>
    <row r="105">
      <c r="B105" s="75"/>
      <c r="C105" s="38"/>
      <c r="H105" s="66" t="str">
        <f>IFERROR(__xludf.DUMMYFUNCTION("""COMPUTED_VALUE"""),"LUNA")</f>
        <v>LUNA</v>
      </c>
      <c r="I105" s="66" t="str">
        <f>IFERROR(__xludf.DUMMYFUNCTION("""COMPUTED_VALUE"""),"undeployed")</f>
        <v>undeployed</v>
      </c>
      <c r="J105" s="66" t="str">
        <f>IFERROR(__xludf.DUMMYFUNCTION("""COMPUTED_VALUE"""),"Celsius OTC")</f>
        <v>Celsius OTC</v>
      </c>
      <c r="K105" s="66" t="str">
        <f>IFERROR(__xludf.DUMMYFUNCTION("""COMPUTED_VALUE"""),"1")</f>
        <v>1</v>
      </c>
      <c r="L105" s="72">
        <f>IFERROR(__xludf.DUMMYFUNCTION("""COMPUTED_VALUE"""),788.868969)</f>
        <v>788.868969</v>
      </c>
      <c r="M105" s="39">
        <f>IFERROR(__xludf.DUMMYFUNCTION("""COMPUTED_VALUE"""),0.0)</f>
        <v>0</v>
      </c>
      <c r="N105" s="39">
        <f>IFERROR(__xludf.DUMMYFUNCTION("""COMPUTED_VALUE"""),0.0488)</f>
        <v>0.0488</v>
      </c>
      <c r="O105" s="91">
        <f>IFERROR(__xludf.DUMMYFUNCTION("""COMPUTED_VALUE"""),59587.13894684486)</f>
        <v>59587.13895</v>
      </c>
      <c r="P105" s="66">
        <f>IFERROR(__xludf.DUMMYFUNCTION("""COMPUTED_VALUE"""),2907.8523806060293)</f>
        <v>2907.852381</v>
      </c>
      <c r="Q105" s="81">
        <f>IFERROR(__xludf.DUMMYFUNCTION("""COMPUTED_VALUE"""),0.0)</f>
        <v>0</v>
      </c>
      <c r="R105" s="81"/>
      <c r="S105" s="66"/>
      <c r="T105" s="66"/>
      <c r="U105" s="66"/>
      <c r="V105" s="66"/>
    </row>
    <row r="106">
      <c r="B106" s="75"/>
      <c r="C106" s="38"/>
      <c r="H106" s="66" t="str">
        <f>IFERROR(__xludf.DUMMYFUNCTION("""COMPUTED_VALUE"""),"REN")</f>
        <v>REN</v>
      </c>
      <c r="I106" s="66" t="str">
        <f>IFERROR(__xludf.DUMMYFUNCTION("""COMPUTED_VALUE"""),"undeployed")</f>
        <v>undeployed</v>
      </c>
      <c r="J106" s="66" t="str">
        <f>IFERROR(__xludf.DUMMYFUNCTION("""COMPUTED_VALUE"""),"Celsius Network System")</f>
        <v>Celsius Network System</v>
      </c>
      <c r="K106" s="66" t="str">
        <f>IFERROR(__xludf.DUMMYFUNCTION("""COMPUTED_VALUE"""),"1")</f>
        <v>1</v>
      </c>
      <c r="L106" s="72">
        <f>IFERROR(__xludf.DUMMYFUNCTION("""COMPUTED_VALUE"""),105118.1913)</f>
        <v>105118.1913</v>
      </c>
      <c r="M106" s="39">
        <f>IFERROR(__xludf.DUMMYFUNCTION("""COMPUTED_VALUE"""),0.0)</f>
        <v>0</v>
      </c>
      <c r="N106" s="39" t="str">
        <f>IFERROR(__xludf.DUMMYFUNCTION("""COMPUTED_VALUE"""),"N/A")</f>
        <v>N/A</v>
      </c>
      <c r="O106" s="91">
        <f>IFERROR(__xludf.DUMMYFUNCTION("""COMPUTED_VALUE"""),50518.11819874078)</f>
        <v>50518.1182</v>
      </c>
      <c r="P106" s="66" t="str">
        <f>IFERROR(__xludf.DUMMYFUNCTION("""COMPUTED_VALUE"""),"N/A")</f>
        <v>N/A</v>
      </c>
      <c r="Q106" s="81">
        <f>IFERROR(__xludf.DUMMYFUNCTION("""COMPUTED_VALUE"""),0.0)</f>
        <v>0</v>
      </c>
      <c r="R106" s="81"/>
      <c r="S106" s="66"/>
      <c r="T106" s="66"/>
      <c r="U106" s="66"/>
      <c r="V106" s="66"/>
    </row>
    <row r="107">
      <c r="B107" s="75"/>
      <c r="C107" s="38"/>
      <c r="H107" s="66" t="str">
        <f>IFERROR(__xludf.DUMMYFUNCTION("""COMPUTED_VALUE"""),"MATIC")</f>
        <v>MATIC</v>
      </c>
      <c r="I107" s="66" t="str">
        <f>IFERROR(__xludf.DUMMYFUNCTION("""COMPUTED_VALUE"""),"undeployed")</f>
        <v>undeployed</v>
      </c>
      <c r="J107" s="66" t="str">
        <f>IFERROR(__xludf.DUMMYFUNCTION("""COMPUTED_VALUE"""),"Celsius Network")</f>
        <v>Celsius Network</v>
      </c>
      <c r="K107" s="66" t="str">
        <f>IFERROR(__xludf.DUMMYFUNCTION("""COMPUTED_VALUE"""),"1")</f>
        <v>1</v>
      </c>
      <c r="L107" s="72">
        <f>IFERROR(__xludf.DUMMYFUNCTION("""COMPUTED_VALUE"""),23533.1666)</f>
        <v>23533.1666</v>
      </c>
      <c r="M107" s="39">
        <f>IFERROR(__xludf.DUMMYFUNCTION("""COMPUTED_VALUE"""),0.0)</f>
        <v>0</v>
      </c>
      <c r="N107" s="39">
        <f>IFERROR(__xludf.DUMMYFUNCTION("""COMPUTED_VALUE"""),0.0818)</f>
        <v>0.0818</v>
      </c>
      <c r="O107" s="91">
        <f>IFERROR(__xludf.DUMMYFUNCTION("""COMPUTED_VALUE"""),49363.34897102716)</f>
        <v>49363.34897</v>
      </c>
      <c r="P107" s="66">
        <f>IFERROR(__xludf.DUMMYFUNCTION("""COMPUTED_VALUE"""),4037.9219458300217)</f>
        <v>4037.921946</v>
      </c>
      <c r="Q107" s="81">
        <f>IFERROR(__xludf.DUMMYFUNCTION("""COMPUTED_VALUE"""),0.0)</f>
        <v>0</v>
      </c>
      <c r="R107" s="81"/>
      <c r="S107" s="66"/>
      <c r="T107" s="66"/>
      <c r="U107" s="66"/>
      <c r="V107" s="66"/>
    </row>
    <row r="108">
      <c r="B108" s="75"/>
      <c r="C108" s="38"/>
      <c r="H108" s="66" t="str">
        <f>IFERROR(__xludf.DUMMYFUNCTION("""COMPUTED_VALUE"""),"DOT")</f>
        <v>DOT</v>
      </c>
      <c r="I108" s="66" t="str">
        <f>IFERROR(__xludf.DUMMYFUNCTION("""COMPUTED_VALUE"""),"undeployed")</f>
        <v>undeployed</v>
      </c>
      <c r="J108" s="66" t="str">
        <f>IFERROR(__xludf.DUMMYFUNCTION("""COMPUTED_VALUE"""),"Celsius Network Finance")</f>
        <v>Celsius Network Finance</v>
      </c>
      <c r="K108" s="66" t="str">
        <f>IFERROR(__xludf.DUMMYFUNCTION("""COMPUTED_VALUE"""),"1")</f>
        <v>1</v>
      </c>
      <c r="L108" s="72">
        <f>IFERROR(__xludf.DUMMYFUNCTION("""COMPUTED_VALUE"""),1973.9611)</f>
        <v>1973.9611</v>
      </c>
      <c r="M108" s="39">
        <f>IFERROR(__xludf.DUMMYFUNCTION("""COMPUTED_VALUE"""),0.0)</f>
        <v>0</v>
      </c>
      <c r="N108" s="39">
        <f>IFERROR(__xludf.DUMMYFUNCTION("""COMPUTED_VALUE"""),0.0668)</f>
        <v>0.0668</v>
      </c>
      <c r="O108" s="91">
        <f>IFERROR(__xludf.DUMMYFUNCTION("""COMPUTED_VALUE"""),47873.33966170374)</f>
        <v>47873.33966</v>
      </c>
      <c r="P108" s="66">
        <f>IFERROR(__xludf.DUMMYFUNCTION("""COMPUTED_VALUE"""),3197.93908940181)</f>
        <v>3197.939089</v>
      </c>
      <c r="Q108" s="81">
        <f>IFERROR(__xludf.DUMMYFUNCTION("""COMPUTED_VALUE"""),0.0)</f>
        <v>0</v>
      </c>
      <c r="R108" s="81"/>
      <c r="S108" s="66"/>
      <c r="T108" s="66"/>
      <c r="U108" s="66"/>
      <c r="V108" s="66"/>
    </row>
    <row r="109">
      <c r="B109" s="75"/>
      <c r="C109" s="38"/>
      <c r="H109" s="66" t="str">
        <f>IFERROR(__xludf.DUMMYFUNCTION("""COMPUTED_VALUE"""),"BNT")</f>
        <v>BNT</v>
      </c>
      <c r="I109" s="66" t="str">
        <f>IFERROR(__xludf.DUMMYFUNCTION("""COMPUTED_VALUE"""),"undeployed")</f>
        <v>undeployed</v>
      </c>
      <c r="J109" s="66" t="str">
        <f>IFERROR(__xludf.DUMMYFUNCTION("""COMPUTED_VALUE"""),"Celsius Network")</f>
        <v>Celsius Network</v>
      </c>
      <c r="K109" s="66" t="str">
        <f>IFERROR(__xludf.DUMMYFUNCTION("""COMPUTED_VALUE"""),"1")</f>
        <v>1</v>
      </c>
      <c r="L109" s="72">
        <f>IFERROR(__xludf.DUMMYFUNCTION("""COMPUTED_VALUE"""),15096.58574)</f>
        <v>15096.58574</v>
      </c>
      <c r="M109" s="39">
        <f>IFERROR(__xludf.DUMMYFUNCTION("""COMPUTED_VALUE"""),0.0)</f>
        <v>0</v>
      </c>
      <c r="N109" s="39">
        <f>IFERROR(__xludf.DUMMYFUNCTION("""COMPUTED_VALUE"""),0.0595)</f>
        <v>0.0595</v>
      </c>
      <c r="O109" s="91">
        <f>IFERROR(__xludf.DUMMYFUNCTION("""COMPUTED_VALUE"""),47795.33008245786)</f>
        <v>47795.33008</v>
      </c>
      <c r="P109" s="66">
        <f>IFERROR(__xludf.DUMMYFUNCTION("""COMPUTED_VALUE"""),2843.8221399062427)</f>
        <v>2843.82214</v>
      </c>
      <c r="Q109" s="81">
        <f>IFERROR(__xludf.DUMMYFUNCTION("""COMPUTED_VALUE"""),0.0)</f>
        <v>0</v>
      </c>
      <c r="R109" s="81"/>
      <c r="S109" s="66"/>
      <c r="T109" s="66"/>
      <c r="U109" s="66"/>
      <c r="V109" s="66"/>
    </row>
    <row r="110">
      <c r="B110" s="75"/>
      <c r="C110" s="38"/>
      <c r="H110" s="66" t="str">
        <f>IFERROR(__xludf.DUMMYFUNCTION("""COMPUTED_VALUE"""),"CRV")</f>
        <v>CRV</v>
      </c>
      <c r="I110" s="66" t="str">
        <f>IFERROR(__xludf.DUMMYFUNCTION("""COMPUTED_VALUE"""),"undeployed")</f>
        <v>undeployed</v>
      </c>
      <c r="J110" s="66" t="str">
        <f>IFERROR(__xludf.DUMMYFUNCTION("""COMPUTED_VALUE"""),"Celsius Network")</f>
        <v>Celsius Network</v>
      </c>
      <c r="K110" s="66" t="str">
        <f>IFERROR(__xludf.DUMMYFUNCTION("""COMPUTED_VALUE"""),"1")</f>
        <v>1</v>
      </c>
      <c r="L110" s="72">
        <f>IFERROR(__xludf.DUMMYFUNCTION("""COMPUTED_VALUE"""),9829.6791)</f>
        <v>9829.6791</v>
      </c>
      <c r="M110" s="39">
        <f>IFERROR(__xludf.DUMMYFUNCTION("""COMPUTED_VALUE"""),0.0)</f>
        <v>0</v>
      </c>
      <c r="N110" s="39" t="str">
        <f>IFERROR(__xludf.DUMMYFUNCTION("""COMPUTED_VALUE"""),"N/A")</f>
        <v>N/A</v>
      </c>
      <c r="O110" s="91">
        <f>IFERROR(__xludf.DUMMYFUNCTION("""COMPUTED_VALUE"""),39237.4684108543)</f>
        <v>39237.46841</v>
      </c>
      <c r="P110" s="66" t="str">
        <f>IFERROR(__xludf.DUMMYFUNCTION("""COMPUTED_VALUE"""),"N/A")</f>
        <v>N/A</v>
      </c>
      <c r="Q110" s="81">
        <f>IFERROR(__xludf.DUMMYFUNCTION("""COMPUTED_VALUE"""),0.0)</f>
        <v>0</v>
      </c>
      <c r="R110" s="81"/>
      <c r="S110" s="66"/>
      <c r="T110" s="66"/>
      <c r="U110" s="66"/>
      <c r="V110" s="66"/>
    </row>
    <row r="111">
      <c r="B111" s="75"/>
      <c r="C111" s="38"/>
      <c r="H111" s="66" t="str">
        <f>IFERROR(__xludf.DUMMYFUNCTION("""COMPUTED_VALUE"""),"TGBP")</f>
        <v>TGBP</v>
      </c>
      <c r="I111" s="66" t="str">
        <f>IFERROR(__xludf.DUMMYFUNCTION("""COMPUTED_VALUE"""),"undeployed")</f>
        <v>undeployed</v>
      </c>
      <c r="J111" s="66" t="str">
        <f>IFERROR(__xludf.DUMMYFUNCTION("""COMPUTED_VALUE"""),"Celsius OTC")</f>
        <v>Celsius OTC</v>
      </c>
      <c r="K111" s="66" t="str">
        <f>IFERROR(__xludf.DUMMYFUNCTION("""COMPUTED_VALUE"""),"1")</f>
        <v>1</v>
      </c>
      <c r="L111" s="72">
        <f>IFERROR(__xludf.DUMMYFUNCTION("""COMPUTED_VALUE"""),29004.0)</f>
        <v>29004</v>
      </c>
      <c r="M111" s="39">
        <f>IFERROR(__xludf.DUMMYFUNCTION("""COMPUTED_VALUE"""),0.0)</f>
        <v>0</v>
      </c>
      <c r="N111" s="39" t="str">
        <f>IFERROR(__xludf.DUMMYFUNCTION("""COMPUTED_VALUE"""),"N/A")</f>
        <v>N/A</v>
      </c>
      <c r="O111" s="91">
        <f>IFERROR(__xludf.DUMMYFUNCTION("""COMPUTED_VALUE"""),38305.5828)</f>
        <v>38305.5828</v>
      </c>
      <c r="P111" s="66" t="str">
        <f>IFERROR(__xludf.DUMMYFUNCTION("""COMPUTED_VALUE"""),"N/A")</f>
        <v>N/A</v>
      </c>
      <c r="Q111" s="81">
        <f>IFERROR(__xludf.DUMMYFUNCTION("""COMPUTED_VALUE"""),0.0)</f>
        <v>0</v>
      </c>
      <c r="R111" s="81"/>
      <c r="S111" s="66"/>
      <c r="T111" s="66"/>
      <c r="U111" s="66"/>
      <c r="V111" s="66"/>
    </row>
    <row r="112">
      <c r="B112" s="75"/>
      <c r="C112" s="38"/>
      <c r="H112" s="66" t="str">
        <f>IFERROR(__xludf.DUMMYFUNCTION("""COMPUTED_VALUE"""),"BTC")</f>
        <v>BTC</v>
      </c>
      <c r="I112" s="66" t="str">
        <f>IFERROR(__xludf.DUMMYFUNCTION("""COMPUTED_VALUE"""),"undeployed")</f>
        <v>undeployed</v>
      </c>
      <c r="J112" s="66" t="str">
        <f>IFERROR(__xludf.DUMMYFUNCTION("""COMPUTED_VALUE"""),"Celsius Network Finance")</f>
        <v>Celsius Network Finance</v>
      </c>
      <c r="K112" s="66" t="str">
        <f>IFERROR(__xludf.DUMMYFUNCTION("""COMPUTED_VALUE"""),"1")</f>
        <v>1</v>
      </c>
      <c r="L112" s="72">
        <f>IFERROR(__xludf.DUMMYFUNCTION("""COMPUTED_VALUE"""),0.77342024)</f>
        <v>0.77342024</v>
      </c>
      <c r="M112" s="39">
        <f>IFERROR(__xludf.DUMMYFUNCTION("""COMPUTED_VALUE"""),0.0)</f>
        <v>0</v>
      </c>
      <c r="N112" s="39">
        <f>IFERROR(__xludf.DUMMYFUNCTION("""COMPUTED_VALUE"""),0.0298)</f>
        <v>0.0298</v>
      </c>
      <c r="O112" s="91">
        <f>IFERROR(__xludf.DUMMYFUNCTION("""COMPUTED_VALUE"""),35820.67246666887)</f>
        <v>35820.67247</v>
      </c>
      <c r="P112" s="66">
        <f>IFERROR(__xludf.DUMMYFUNCTION("""COMPUTED_VALUE"""),1067.4560395067322)</f>
        <v>1067.45604</v>
      </c>
      <c r="Q112" s="81">
        <f>IFERROR(__xludf.DUMMYFUNCTION("""COMPUTED_VALUE"""),0.0)</f>
        <v>0</v>
      </c>
      <c r="R112" s="81"/>
      <c r="S112" s="66"/>
      <c r="T112" s="66"/>
      <c r="U112" s="66"/>
      <c r="V112" s="66"/>
    </row>
    <row r="113">
      <c r="B113" s="75"/>
      <c r="C113" s="38"/>
      <c r="H113" s="66" t="str">
        <f>IFERROR(__xludf.DUMMYFUNCTION("""COMPUTED_VALUE"""),"ZEC")</f>
        <v>ZEC</v>
      </c>
      <c r="I113" s="66" t="str">
        <f>IFERROR(__xludf.DUMMYFUNCTION("""COMPUTED_VALUE"""),"undeployed")</f>
        <v>undeployed</v>
      </c>
      <c r="J113" s="66" t="str">
        <f>IFERROR(__xludf.DUMMYFUNCTION("""COMPUTED_VALUE"""),"Celsius Network")</f>
        <v>Celsius Network</v>
      </c>
      <c r="K113" s="66" t="str">
        <f>IFERROR(__xludf.DUMMYFUNCTION("""COMPUTED_VALUE"""),"1")</f>
        <v>1</v>
      </c>
      <c r="L113" s="72">
        <f>IFERROR(__xludf.DUMMYFUNCTION("""COMPUTED_VALUE"""),214.6215)</f>
        <v>214.6215</v>
      </c>
      <c r="M113" s="39">
        <f>IFERROR(__xludf.DUMMYFUNCTION("""COMPUTED_VALUE"""),0.0)</f>
        <v>0</v>
      </c>
      <c r="N113" s="39">
        <f>IFERROR(__xludf.DUMMYFUNCTION("""COMPUTED_VALUE"""),0.0155)</f>
        <v>0.0155</v>
      </c>
      <c r="O113" s="91">
        <f>IFERROR(__xludf.DUMMYFUNCTION("""COMPUTED_VALUE"""),34233.2123588619)</f>
        <v>34233.21236</v>
      </c>
      <c r="P113" s="66">
        <f>IFERROR(__xludf.DUMMYFUNCTION("""COMPUTED_VALUE"""),530.6147915623594)</f>
        <v>530.6147916</v>
      </c>
      <c r="Q113" s="81">
        <f>IFERROR(__xludf.DUMMYFUNCTION("""COMPUTED_VALUE"""),0.0)</f>
        <v>0</v>
      </c>
      <c r="R113" s="81"/>
      <c r="S113" s="66"/>
      <c r="T113" s="66"/>
      <c r="U113" s="66"/>
      <c r="V113" s="66"/>
    </row>
    <row r="114">
      <c r="B114" s="75"/>
      <c r="C114" s="38"/>
      <c r="H114" s="66" t="str">
        <f>IFERROR(__xludf.DUMMYFUNCTION("""COMPUTED_VALUE"""),"LTC")</f>
        <v>LTC</v>
      </c>
      <c r="I114" s="66" t="str">
        <f>IFERROR(__xludf.DUMMYFUNCTION("""COMPUTED_VALUE"""),"undeployed")</f>
        <v>undeployed</v>
      </c>
      <c r="J114" s="66" t="str">
        <f>IFERROR(__xludf.DUMMYFUNCTION("""COMPUTED_VALUE"""),"Celsius OTC")</f>
        <v>Celsius OTC</v>
      </c>
      <c r="K114" s="66" t="str">
        <f>IFERROR(__xludf.DUMMYFUNCTION("""COMPUTED_VALUE"""),"1")</f>
        <v>1</v>
      </c>
      <c r="L114" s="72">
        <f>IFERROR(__xludf.DUMMYFUNCTION("""COMPUTED_VALUE"""),222.2742133)</f>
        <v>222.2742133</v>
      </c>
      <c r="M114" s="39">
        <f>IFERROR(__xludf.DUMMYFUNCTION("""COMPUTED_VALUE"""),0.0)</f>
        <v>0</v>
      </c>
      <c r="N114" s="39">
        <f>IFERROR(__xludf.DUMMYFUNCTION("""COMPUTED_VALUE"""),0.0285)</f>
        <v>0.0285</v>
      </c>
      <c r="O114" s="91">
        <f>IFERROR(__xludf.DUMMYFUNCTION("""COMPUTED_VALUE"""),33389.6836403676)</f>
        <v>33389.68364</v>
      </c>
      <c r="P114" s="66">
        <f>IFERROR(__xludf.DUMMYFUNCTION("""COMPUTED_VALUE"""),951.6059837504766)</f>
        <v>951.6059838</v>
      </c>
      <c r="Q114" s="81">
        <f>IFERROR(__xludf.DUMMYFUNCTION("""COMPUTED_VALUE"""),0.0)</f>
        <v>0</v>
      </c>
      <c r="R114" s="81"/>
      <c r="S114" s="66"/>
      <c r="T114" s="66"/>
      <c r="U114" s="66"/>
      <c r="V114" s="66"/>
    </row>
    <row r="115">
      <c r="B115" s="75"/>
      <c r="C115" s="38"/>
      <c r="H115" s="66" t="str">
        <f>IFERROR(__xludf.DUMMYFUNCTION("""COMPUTED_VALUE"""),"AAVE")</f>
        <v>AAVE</v>
      </c>
      <c r="I115" s="66" t="str">
        <f>IFERROR(__xludf.DUMMYFUNCTION("""COMPUTED_VALUE"""),"undeployed")</f>
        <v>undeployed</v>
      </c>
      <c r="J115" s="66" t="str">
        <f>IFERROR(__xludf.DUMMYFUNCTION("""COMPUTED_VALUE"""),"FTX - DeFi")</f>
        <v>FTX - DeFi</v>
      </c>
      <c r="K115" s="66" t="str">
        <f>IFERROR(__xludf.DUMMYFUNCTION("""COMPUTED_VALUE"""),"4")</f>
        <v>4</v>
      </c>
      <c r="L115" s="72">
        <f>IFERROR(__xludf.DUMMYFUNCTION("""COMPUTED_VALUE"""),168.0616328)</f>
        <v>168.0616328</v>
      </c>
      <c r="M115" s="39">
        <f>IFERROR(__xludf.DUMMYFUNCTION("""COMPUTED_VALUE"""),0.0)</f>
        <v>0</v>
      </c>
      <c r="N115" s="39">
        <f>IFERROR(__xludf.DUMMYFUNCTION("""COMPUTED_VALUE"""),0.0385)</f>
        <v>0.0385</v>
      </c>
      <c r="O115" s="91">
        <f>IFERROR(__xludf.DUMMYFUNCTION("""COMPUTED_VALUE"""),29102.19695284677)</f>
        <v>29102.19695</v>
      </c>
      <c r="P115" s="66">
        <f>IFERROR(__xludf.DUMMYFUNCTION("""COMPUTED_VALUE"""),1120.4345826846006)</f>
        <v>1120.434583</v>
      </c>
      <c r="Q115" s="81">
        <f>IFERROR(__xludf.DUMMYFUNCTION("""COMPUTED_VALUE"""),0.0)</f>
        <v>0</v>
      </c>
      <c r="R115" s="81"/>
      <c r="S115" s="66"/>
      <c r="T115" s="66"/>
      <c r="U115" s="66"/>
      <c r="V115" s="66"/>
    </row>
    <row r="116">
      <c r="B116" s="75"/>
      <c r="C116" s="38"/>
      <c r="H116" s="66" t="str">
        <f>IFERROR(__xludf.DUMMYFUNCTION("""COMPUTED_VALUE"""),"TAUD")</f>
        <v>TAUD</v>
      </c>
      <c r="I116" s="66" t="str">
        <f>IFERROR(__xludf.DUMMYFUNCTION("""COMPUTED_VALUE"""),"undeployed")</f>
        <v>undeployed</v>
      </c>
      <c r="J116" s="66" t="str">
        <f>IFERROR(__xludf.DUMMYFUNCTION("""COMPUTED_VALUE"""),"Celsius OTC")</f>
        <v>Celsius OTC</v>
      </c>
      <c r="K116" s="66" t="str">
        <f>IFERROR(__xludf.DUMMYFUNCTION("""COMPUTED_VALUE"""),"1")</f>
        <v>1</v>
      </c>
      <c r="L116" s="72">
        <f>IFERROR(__xludf.DUMMYFUNCTION("""COMPUTED_VALUE"""),37638.0)</f>
        <v>37638</v>
      </c>
      <c r="M116" s="39">
        <f>IFERROR(__xludf.DUMMYFUNCTION("""COMPUTED_VALUE"""),0.0)</f>
        <v>0</v>
      </c>
      <c r="N116" s="39" t="str">
        <f>IFERROR(__xludf.DUMMYFUNCTION("""COMPUTED_VALUE"""),"N/A")</f>
        <v>N/A</v>
      </c>
      <c r="O116" s="91">
        <f>IFERROR(__xludf.DUMMYFUNCTION("""COMPUTED_VALUE"""),26715.4524)</f>
        <v>26715.4524</v>
      </c>
      <c r="P116" s="66" t="str">
        <f>IFERROR(__xludf.DUMMYFUNCTION("""COMPUTED_VALUE"""),"N/A")</f>
        <v>N/A</v>
      </c>
      <c r="Q116" s="81">
        <f>IFERROR(__xludf.DUMMYFUNCTION("""COMPUTED_VALUE"""),0.0)</f>
        <v>0</v>
      </c>
      <c r="R116" s="81"/>
      <c r="S116" s="66"/>
      <c r="T116" s="66"/>
      <c r="U116" s="66"/>
      <c r="V116" s="66"/>
    </row>
    <row r="117">
      <c r="B117" s="75"/>
      <c r="C117" s="38"/>
      <c r="H117" s="66" t="str">
        <f>IFERROR(__xludf.DUMMYFUNCTION("""COMPUTED_VALUE"""),"TCAD")</f>
        <v>TCAD</v>
      </c>
      <c r="I117" s="66" t="str">
        <f>IFERROR(__xludf.DUMMYFUNCTION("""COMPUTED_VALUE"""),"undeployed")</f>
        <v>undeployed</v>
      </c>
      <c r="J117" s="66" t="str">
        <f>IFERROR(__xludf.DUMMYFUNCTION("""COMPUTED_VALUE"""),"Celsius OTC")</f>
        <v>Celsius OTC</v>
      </c>
      <c r="K117" s="66" t="str">
        <f>IFERROR(__xludf.DUMMYFUNCTION("""COMPUTED_VALUE"""),"1")</f>
        <v>1</v>
      </c>
      <c r="L117" s="72">
        <f>IFERROR(__xludf.DUMMYFUNCTION("""COMPUTED_VALUE"""),30800.0)</f>
        <v>30800</v>
      </c>
      <c r="M117" s="39">
        <f>IFERROR(__xludf.DUMMYFUNCTION("""COMPUTED_VALUE"""),0.0)</f>
        <v>0</v>
      </c>
      <c r="N117" s="39" t="str">
        <f>IFERROR(__xludf.DUMMYFUNCTION("""COMPUTED_VALUE"""),"N/A")</f>
        <v>N/A</v>
      </c>
      <c r="O117" s="91">
        <f>IFERROR(__xludf.DUMMYFUNCTION("""COMPUTED_VALUE"""),23833.04)</f>
        <v>23833.04</v>
      </c>
      <c r="P117" s="66" t="str">
        <f>IFERROR(__xludf.DUMMYFUNCTION("""COMPUTED_VALUE"""),"N/A")</f>
        <v>N/A</v>
      </c>
      <c r="Q117" s="81">
        <f>IFERROR(__xludf.DUMMYFUNCTION("""COMPUTED_VALUE"""),0.0)</f>
        <v>0</v>
      </c>
      <c r="R117" s="81"/>
      <c r="S117" s="66"/>
      <c r="T117" s="66"/>
      <c r="U117" s="66"/>
      <c r="V117" s="66"/>
    </row>
    <row r="118">
      <c r="B118" s="75"/>
      <c r="C118" s="38"/>
      <c r="H118" s="66" t="str">
        <f>IFERROR(__xludf.DUMMYFUNCTION("""COMPUTED_VALUE"""),"SRM_LOCKED")</f>
        <v>SRM_LOCKED</v>
      </c>
      <c r="I118" s="66" t="str">
        <f>IFERROR(__xludf.DUMMYFUNCTION("""COMPUTED_VALUE"""),"undeployed")</f>
        <v>undeployed</v>
      </c>
      <c r="J118" s="66" t="str">
        <f>IFERROR(__xludf.DUMMYFUNCTION("""COMPUTED_VALUE"""),"FTX - Management")</f>
        <v>FTX - Management</v>
      </c>
      <c r="K118" s="66" t="str">
        <f>IFERROR(__xludf.DUMMYFUNCTION("""COMPUTED_VALUE"""),"4")</f>
        <v>4</v>
      </c>
      <c r="L118" s="72">
        <f>IFERROR(__xludf.DUMMYFUNCTION("""COMPUTED_VALUE"""),7049.410255)</f>
        <v>7049.410255</v>
      </c>
      <c r="M118" s="39">
        <f>IFERROR(__xludf.DUMMYFUNCTION("""COMPUTED_VALUE"""),0.0)</f>
        <v>0</v>
      </c>
      <c r="N118" s="39" t="str">
        <f>IFERROR(__xludf.DUMMYFUNCTION("""COMPUTED_VALUE"""),"N/A")</f>
        <v>N/A</v>
      </c>
      <c r="O118" s="91">
        <f>IFERROR(__xludf.DUMMYFUNCTION("""COMPUTED_VALUE"""),23441.542737938238)</f>
        <v>23441.54274</v>
      </c>
      <c r="P118" s="66" t="str">
        <f>IFERROR(__xludf.DUMMYFUNCTION("""COMPUTED_VALUE"""),"N/A")</f>
        <v>N/A</v>
      </c>
      <c r="Q118" s="81">
        <f>IFERROR(__xludf.DUMMYFUNCTION("""COMPUTED_VALUE"""),0.0)</f>
        <v>0</v>
      </c>
      <c r="R118" s="81"/>
      <c r="S118" s="66"/>
      <c r="T118" s="66"/>
      <c r="U118" s="66"/>
      <c r="V118" s="38"/>
    </row>
    <row r="119">
      <c r="B119" s="75"/>
      <c r="C119" s="38"/>
      <c r="H119" s="66" t="str">
        <f>IFERROR(__xludf.DUMMYFUNCTION("""COMPUTED_VALUE"""),"BAT")</f>
        <v>BAT</v>
      </c>
      <c r="I119" s="66" t="str">
        <f>IFERROR(__xludf.DUMMYFUNCTION("""COMPUTED_VALUE"""),"undeployed")</f>
        <v>undeployed</v>
      </c>
      <c r="J119" s="66" t="str">
        <f>IFERROR(__xludf.DUMMYFUNCTION("""COMPUTED_VALUE"""),"Celsius Network")</f>
        <v>Celsius Network</v>
      </c>
      <c r="K119" s="66" t="str">
        <f>IFERROR(__xludf.DUMMYFUNCTION("""COMPUTED_VALUE"""),"1")</f>
        <v>1</v>
      </c>
      <c r="L119" s="72">
        <f>IFERROR(__xludf.DUMMYFUNCTION("""COMPUTED_VALUE"""),20926.0273)</f>
        <v>20926.0273</v>
      </c>
      <c r="M119" s="39">
        <f>IFERROR(__xludf.DUMMYFUNCTION("""COMPUTED_VALUE"""),0.0)</f>
        <v>0</v>
      </c>
      <c r="N119" s="39">
        <f>IFERROR(__xludf.DUMMYFUNCTION("""COMPUTED_VALUE"""),0.0097)</f>
        <v>0.0097</v>
      </c>
      <c r="O119" s="91">
        <f>IFERROR(__xludf.DUMMYFUNCTION("""COMPUTED_VALUE"""),22570.873710333144)</f>
        <v>22570.87371</v>
      </c>
      <c r="P119" s="66">
        <f>IFERROR(__xludf.DUMMYFUNCTION("""COMPUTED_VALUE"""),218.9374749902315)</f>
        <v>218.937475</v>
      </c>
      <c r="Q119" s="81">
        <f>IFERROR(__xludf.DUMMYFUNCTION("""COMPUTED_VALUE"""),0.0)</f>
        <v>0</v>
      </c>
      <c r="R119" s="81"/>
      <c r="S119" s="66"/>
      <c r="T119" s="66"/>
      <c r="U119" s="66"/>
      <c r="V119" s="66"/>
    </row>
    <row r="120">
      <c r="B120" s="75"/>
      <c r="C120" s="38"/>
      <c r="H120" s="66" t="str">
        <f>IFERROR(__xludf.DUMMYFUNCTION("""COMPUTED_VALUE"""),"MKR")</f>
        <v>MKR</v>
      </c>
      <c r="I120" s="66" t="str">
        <f>IFERROR(__xludf.DUMMYFUNCTION("""COMPUTED_VALUE"""),"undeployed")</f>
        <v>undeployed</v>
      </c>
      <c r="J120" s="66" t="str">
        <f>IFERROR(__xludf.DUMMYFUNCTION("""COMPUTED_VALUE"""),"Celsius Network System")</f>
        <v>Celsius Network System</v>
      </c>
      <c r="K120" s="66" t="str">
        <f>IFERROR(__xludf.DUMMYFUNCTION("""COMPUTED_VALUE"""),"1")</f>
        <v>1</v>
      </c>
      <c r="L120" s="72">
        <f>IFERROR(__xludf.DUMMYFUNCTION("""COMPUTED_VALUE"""),8.501148038)</f>
        <v>8.501148038</v>
      </c>
      <c r="M120" s="39">
        <f>IFERROR(__xludf.DUMMYFUNCTION("""COMPUTED_VALUE"""),0.0)</f>
        <v>0</v>
      </c>
      <c r="N120" s="39" t="str">
        <f>IFERROR(__xludf.DUMMYFUNCTION("""COMPUTED_VALUE"""),"N/A")</f>
        <v>N/A</v>
      </c>
      <c r="O120" s="91">
        <f>IFERROR(__xludf.DUMMYFUNCTION("""COMPUTED_VALUE"""),19505.715127862262)</f>
        <v>19505.71513</v>
      </c>
      <c r="P120" s="66" t="str">
        <f>IFERROR(__xludf.DUMMYFUNCTION("""COMPUTED_VALUE"""),"N/A")</f>
        <v>N/A</v>
      </c>
      <c r="Q120" s="81">
        <f>IFERROR(__xludf.DUMMYFUNCTION("""COMPUTED_VALUE"""),0.0)</f>
        <v>0</v>
      </c>
      <c r="R120" s="81"/>
      <c r="S120" s="66"/>
      <c r="T120" s="66"/>
      <c r="U120" s="66"/>
      <c r="V120" s="66"/>
    </row>
    <row r="121">
      <c r="B121" s="75"/>
      <c r="C121" s="38"/>
      <c r="H121" s="66" t="str">
        <f>IFERROR(__xludf.DUMMYFUNCTION("""COMPUTED_VALUE"""),"AAVE")</f>
        <v>AAVE</v>
      </c>
      <c r="I121" s="66" t="str">
        <f>IFERROR(__xludf.DUMMYFUNCTION("""COMPUTED_VALUE"""),"undeployed")</f>
        <v>undeployed</v>
      </c>
      <c r="J121" s="66" t="str">
        <f>IFERROR(__xludf.DUMMYFUNCTION("""COMPUTED_VALUE"""),"Celsius OTC")</f>
        <v>Celsius OTC</v>
      </c>
      <c r="K121" s="66" t="str">
        <f>IFERROR(__xludf.DUMMYFUNCTION("""COMPUTED_VALUE"""),"1")</f>
        <v>1</v>
      </c>
      <c r="L121" s="72">
        <f>IFERROR(__xludf.DUMMYFUNCTION("""COMPUTED_VALUE"""),106.934225)</f>
        <v>106.934225</v>
      </c>
      <c r="M121" s="39">
        <f>IFERROR(__xludf.DUMMYFUNCTION("""COMPUTED_VALUE"""),0.0)</f>
        <v>0</v>
      </c>
      <c r="N121" s="39">
        <f>IFERROR(__xludf.DUMMYFUNCTION("""COMPUTED_VALUE"""),0.0385)</f>
        <v>0.0385</v>
      </c>
      <c r="O121" s="91">
        <f>IFERROR(__xludf.DUMMYFUNCTION("""COMPUTED_VALUE"""),18517.140557913408)</f>
        <v>18517.14056</v>
      </c>
      <c r="P121" s="66">
        <f>IFERROR(__xludf.DUMMYFUNCTION("""COMPUTED_VALUE"""),712.9099114796662)</f>
        <v>712.9099115</v>
      </c>
      <c r="Q121" s="81">
        <f>IFERROR(__xludf.DUMMYFUNCTION("""COMPUTED_VALUE"""),0.0)</f>
        <v>0</v>
      </c>
      <c r="R121" s="81"/>
      <c r="S121" s="66"/>
      <c r="T121" s="66"/>
      <c r="U121" s="66"/>
      <c r="V121" s="66"/>
    </row>
    <row r="122">
      <c r="B122" s="75"/>
      <c r="C122" s="38"/>
      <c r="H122" s="66" t="str">
        <f>IFERROR(__xludf.DUMMYFUNCTION("""COMPUTED_VALUE"""),"ADA")</f>
        <v>ADA</v>
      </c>
      <c r="I122" s="66" t="str">
        <f>IFERROR(__xludf.DUMMYFUNCTION("""COMPUTED_VALUE"""),"undeployed")</f>
        <v>undeployed</v>
      </c>
      <c r="J122" s="66" t="str">
        <f>IFERROR(__xludf.DUMMYFUNCTION("""COMPUTED_VALUE"""),"Celsius OTC")</f>
        <v>Celsius OTC</v>
      </c>
      <c r="K122" s="66" t="str">
        <f>IFERROR(__xludf.DUMMYFUNCTION("""COMPUTED_VALUE"""),"1")</f>
        <v>1</v>
      </c>
      <c r="L122" s="72">
        <f>IFERROR(__xludf.DUMMYFUNCTION("""COMPUTED_VALUE"""),14728.44519)</f>
        <v>14728.44519</v>
      </c>
      <c r="M122" s="39">
        <f>IFERROR(__xludf.DUMMYFUNCTION("""COMPUTED_VALUE"""),0.0)</f>
        <v>0</v>
      </c>
      <c r="N122" s="39">
        <f>IFERROR(__xludf.DUMMYFUNCTION("""COMPUTED_VALUE"""),0.0205)</f>
        <v>0.0205</v>
      </c>
      <c r="O122" s="91">
        <f>IFERROR(__xludf.DUMMYFUNCTION("""COMPUTED_VALUE"""),18041.270873488054)</f>
        <v>18041.27087</v>
      </c>
      <c r="P122" s="66">
        <f>IFERROR(__xludf.DUMMYFUNCTION("""COMPUTED_VALUE"""),369.8460529065051)</f>
        <v>369.8460529</v>
      </c>
      <c r="Q122" s="81">
        <f>IFERROR(__xludf.DUMMYFUNCTION("""COMPUTED_VALUE"""),0.0)</f>
        <v>0</v>
      </c>
      <c r="R122" s="81"/>
      <c r="S122" s="66"/>
      <c r="T122" s="66"/>
      <c r="U122" s="66"/>
      <c r="V122" s="66"/>
    </row>
    <row r="123">
      <c r="B123" s="75"/>
      <c r="C123" s="38"/>
      <c r="H123" s="66" t="str">
        <f>IFERROR(__xludf.DUMMYFUNCTION("""COMPUTED_VALUE"""),"SNX")</f>
        <v>SNX</v>
      </c>
      <c r="I123" s="66" t="str">
        <f>IFERROR(__xludf.DUMMYFUNCTION("""COMPUTED_VALUE"""),"undeployed")</f>
        <v>undeployed</v>
      </c>
      <c r="J123" s="66" t="str">
        <f>IFERROR(__xludf.DUMMYFUNCTION("""COMPUTED_VALUE"""),"Celsius Network")</f>
        <v>Celsius Network</v>
      </c>
      <c r="K123" s="66" t="str">
        <f>IFERROR(__xludf.DUMMYFUNCTION("""COMPUTED_VALUE"""),"1")</f>
        <v>1</v>
      </c>
      <c r="L123" s="72">
        <f>IFERROR(__xludf.DUMMYFUNCTION("""COMPUTED_VALUE"""),3603.656203)</f>
        <v>3603.656203</v>
      </c>
      <c r="M123" s="39">
        <f>IFERROR(__xludf.DUMMYFUNCTION("""COMPUTED_VALUE"""),0.0)</f>
        <v>0</v>
      </c>
      <c r="N123" s="39">
        <f>IFERROR(__xludf.DUMMYFUNCTION("""COMPUTED_VALUE"""),0.1339)</f>
        <v>0.1339</v>
      </c>
      <c r="O123" s="91">
        <f>IFERROR(__xludf.DUMMYFUNCTION("""COMPUTED_VALUE"""),17874.771828430876)</f>
        <v>17874.77183</v>
      </c>
      <c r="P123" s="66">
        <f>IFERROR(__xludf.DUMMYFUNCTION("""COMPUTED_VALUE"""),2393.431947826894)</f>
        <v>2393.431948</v>
      </c>
      <c r="Q123" s="81">
        <f>IFERROR(__xludf.DUMMYFUNCTION("""COMPUTED_VALUE"""),0.0)</f>
        <v>0</v>
      </c>
      <c r="R123" s="81"/>
      <c r="S123" s="66"/>
      <c r="T123" s="66"/>
      <c r="U123" s="66"/>
      <c r="V123" s="66"/>
    </row>
    <row r="124">
      <c r="B124" s="75"/>
      <c r="C124" s="38"/>
      <c r="H124" s="66" t="str">
        <f>IFERROR(__xludf.DUMMYFUNCTION("""COMPUTED_VALUE"""),"ORBS")</f>
        <v>ORBS</v>
      </c>
      <c r="I124" s="66" t="str">
        <f>IFERROR(__xludf.DUMMYFUNCTION("""COMPUTED_VALUE"""),"undeployed")</f>
        <v>undeployed</v>
      </c>
      <c r="J124" s="66" t="str">
        <f>IFERROR(__xludf.DUMMYFUNCTION("""COMPUTED_VALUE"""),"Celsius Network System")</f>
        <v>Celsius Network System</v>
      </c>
      <c r="K124" s="66" t="str">
        <f>IFERROR(__xludf.DUMMYFUNCTION("""COMPUTED_VALUE"""),"1")</f>
        <v>1</v>
      </c>
      <c r="L124" s="72">
        <f>IFERROR(__xludf.DUMMYFUNCTION("""COMPUTED_VALUE"""),186214.4927)</f>
        <v>186214.4927</v>
      </c>
      <c r="M124" s="39">
        <f>IFERROR(__xludf.DUMMYFUNCTION("""COMPUTED_VALUE"""),0.0)</f>
        <v>0</v>
      </c>
      <c r="N124" s="39">
        <f>IFERROR(__xludf.DUMMYFUNCTION("""COMPUTED_VALUE"""),0.0)</f>
        <v>0</v>
      </c>
      <c r="O124" s="91">
        <f>IFERROR(__xludf.DUMMYFUNCTION("""COMPUTED_VALUE"""),15917.732370859503)</f>
        <v>15917.73237</v>
      </c>
      <c r="P124" s="66">
        <f>IFERROR(__xludf.DUMMYFUNCTION("""COMPUTED_VALUE"""),0.0)</f>
        <v>0</v>
      </c>
      <c r="Q124" s="81">
        <f>IFERROR(__xludf.DUMMYFUNCTION("""COMPUTED_VALUE"""),0.0)</f>
        <v>0</v>
      </c>
      <c r="R124" s="81"/>
      <c r="S124" s="66"/>
      <c r="T124" s="66"/>
      <c r="U124" s="66"/>
      <c r="V124" s="66"/>
    </row>
    <row r="125">
      <c r="B125" s="75"/>
      <c r="C125" s="38"/>
      <c r="H125" s="66" t="str">
        <f>IFERROR(__xludf.DUMMYFUNCTION("""COMPUTED_VALUE"""),"MATIC")</f>
        <v>MATIC</v>
      </c>
      <c r="I125" s="66" t="str">
        <f>IFERROR(__xludf.DUMMYFUNCTION("""COMPUTED_VALUE"""),"undeployed")</f>
        <v>undeployed</v>
      </c>
      <c r="J125" s="66" t="str">
        <f>IFERROR(__xludf.DUMMYFUNCTION("""COMPUTED_VALUE"""),"Celsius OTC")</f>
        <v>Celsius OTC</v>
      </c>
      <c r="K125" s="66" t="str">
        <f>IFERROR(__xludf.DUMMYFUNCTION("""COMPUTED_VALUE"""),"1")</f>
        <v>1</v>
      </c>
      <c r="L125" s="72">
        <f>IFERROR(__xludf.DUMMYFUNCTION("""COMPUTED_VALUE"""),7341.0)</f>
        <v>7341</v>
      </c>
      <c r="M125" s="39">
        <f>IFERROR(__xludf.DUMMYFUNCTION("""COMPUTED_VALUE"""),0.0)</f>
        <v>0</v>
      </c>
      <c r="N125" s="39">
        <f>IFERROR(__xludf.DUMMYFUNCTION("""COMPUTED_VALUE"""),0.0818)</f>
        <v>0.0818</v>
      </c>
      <c r="O125" s="91">
        <f>IFERROR(__xludf.DUMMYFUNCTION("""COMPUTED_VALUE"""),15398.537347553998)</f>
        <v>15398.53735</v>
      </c>
      <c r="P125" s="66">
        <f>IFERROR(__xludf.DUMMYFUNCTION("""COMPUTED_VALUE"""),1259.600355029917)</f>
        <v>1259.600355</v>
      </c>
      <c r="Q125" s="81">
        <f>IFERROR(__xludf.DUMMYFUNCTION("""COMPUTED_VALUE"""),0.0)</f>
        <v>0</v>
      </c>
      <c r="R125" s="81"/>
      <c r="S125" s="66"/>
      <c r="T125" s="66"/>
      <c r="U125" s="66"/>
      <c r="V125" s="66"/>
    </row>
    <row r="126">
      <c r="B126" s="75"/>
      <c r="C126" s="38"/>
      <c r="H126" s="66" t="str">
        <f>IFERROR(__xludf.DUMMYFUNCTION("""COMPUTED_VALUE"""),"XLM")</f>
        <v>XLM</v>
      </c>
      <c r="I126" s="66" t="str">
        <f>IFERROR(__xludf.DUMMYFUNCTION("""COMPUTED_VALUE"""),"undeployed")</f>
        <v>undeployed</v>
      </c>
      <c r="J126" s="66" t="str">
        <f>IFERROR(__xludf.DUMMYFUNCTION("""COMPUTED_VALUE"""),"Celsius OTC")</f>
        <v>Celsius OTC</v>
      </c>
      <c r="K126" s="66" t="str">
        <f>IFERROR(__xludf.DUMMYFUNCTION("""COMPUTED_VALUE"""),"1")</f>
        <v>1</v>
      </c>
      <c r="L126" s="72">
        <f>IFERROR(__xludf.DUMMYFUNCTION("""COMPUTED_VALUE"""),55012.3375)</f>
        <v>55012.3375</v>
      </c>
      <c r="M126" s="39">
        <f>IFERROR(__xludf.DUMMYFUNCTION("""COMPUTED_VALUE"""),0.0)</f>
        <v>0</v>
      </c>
      <c r="N126" s="39">
        <f>IFERROR(__xludf.DUMMYFUNCTION("""COMPUTED_VALUE"""),0.0091)</f>
        <v>0.0091</v>
      </c>
      <c r="O126" s="91">
        <f>IFERROR(__xludf.DUMMYFUNCTION("""COMPUTED_VALUE"""),14860.317691862501)</f>
        <v>14860.31769</v>
      </c>
      <c r="P126" s="66">
        <f>IFERROR(__xludf.DUMMYFUNCTION("""COMPUTED_VALUE"""),135.22889099594877)</f>
        <v>135.228891</v>
      </c>
      <c r="Q126" s="81">
        <f>IFERROR(__xludf.DUMMYFUNCTION("""COMPUTED_VALUE"""),0.0)</f>
        <v>0</v>
      </c>
      <c r="R126" s="81"/>
      <c r="S126" s="66"/>
      <c r="T126" s="66"/>
      <c r="U126" s="66"/>
      <c r="V126" s="66"/>
    </row>
    <row r="127">
      <c r="B127" s="75"/>
      <c r="C127" s="38"/>
      <c r="H127" s="66" t="str">
        <f>IFERROR(__xludf.DUMMYFUNCTION("""COMPUTED_VALUE"""),"EOS")</f>
        <v>EOS</v>
      </c>
      <c r="I127" s="66" t="str">
        <f>IFERROR(__xludf.DUMMYFUNCTION("""COMPUTED_VALUE"""),"undeployed")</f>
        <v>undeployed</v>
      </c>
      <c r="J127" s="66" t="str">
        <f>IFERROR(__xludf.DUMMYFUNCTION("""COMPUTED_VALUE"""),"Celsius Network")</f>
        <v>Celsius Network</v>
      </c>
      <c r="K127" s="66" t="str">
        <f>IFERROR(__xludf.DUMMYFUNCTION("""COMPUTED_VALUE"""),"1")</f>
        <v>1</v>
      </c>
      <c r="L127" s="72">
        <f>IFERROR(__xludf.DUMMYFUNCTION("""COMPUTED_VALUE"""),4208.9712)</f>
        <v>4208.9712</v>
      </c>
      <c r="M127" s="39">
        <f>IFERROR(__xludf.DUMMYFUNCTION("""COMPUTED_VALUE"""),0.0)</f>
        <v>0</v>
      </c>
      <c r="N127" s="39">
        <f>IFERROR(__xludf.DUMMYFUNCTION("""COMPUTED_VALUE"""),0.0288)</f>
        <v>0.0288</v>
      </c>
      <c r="O127" s="91">
        <f>IFERROR(__xludf.DUMMYFUNCTION("""COMPUTED_VALUE"""),13573.066662923913)</f>
        <v>13573.06666</v>
      </c>
      <c r="P127" s="66">
        <f>IFERROR(__xludf.DUMMYFUNCTION("""COMPUTED_VALUE"""),390.90431989220866)</f>
        <v>390.9043199</v>
      </c>
      <c r="Q127" s="81">
        <f>IFERROR(__xludf.DUMMYFUNCTION("""COMPUTED_VALUE"""),0.0)</f>
        <v>0</v>
      </c>
      <c r="R127" s="81"/>
      <c r="S127" s="66"/>
      <c r="T127" s="66"/>
      <c r="U127" s="66"/>
      <c r="V127" s="66"/>
    </row>
    <row r="128">
      <c r="B128" s="75"/>
      <c r="C128" s="38"/>
      <c r="H128" s="66" t="str">
        <f>IFERROR(__xludf.DUMMYFUNCTION("""COMPUTED_VALUE"""),"BADGER")</f>
        <v>BADGER</v>
      </c>
      <c r="I128" s="66" t="str">
        <f>IFERROR(__xludf.DUMMYFUNCTION("""COMPUTED_VALUE"""),"undeployed")</f>
        <v>undeployed</v>
      </c>
      <c r="J128" s="66" t="str">
        <f>IFERROR(__xludf.DUMMYFUNCTION("""COMPUTED_VALUE"""),"Celsius Network")</f>
        <v>Celsius Network</v>
      </c>
      <c r="K128" s="66" t="str">
        <f>IFERROR(__xludf.DUMMYFUNCTION("""COMPUTED_VALUE"""),"1")</f>
        <v>1</v>
      </c>
      <c r="L128" s="72">
        <f>IFERROR(__xludf.DUMMYFUNCTION("""COMPUTED_VALUE"""),932.5534)</f>
        <v>932.5534</v>
      </c>
      <c r="M128" s="39">
        <f>IFERROR(__xludf.DUMMYFUNCTION("""COMPUTED_VALUE"""),0.0)</f>
        <v>0</v>
      </c>
      <c r="N128" s="39" t="str">
        <f>IFERROR(__xludf.DUMMYFUNCTION("""COMPUTED_VALUE"""),"N/A")</f>
        <v>N/A</v>
      </c>
      <c r="O128" s="91">
        <f>IFERROR(__xludf.DUMMYFUNCTION("""COMPUTED_VALUE"""),13467.850752931958)</f>
        <v>13467.85075</v>
      </c>
      <c r="P128" s="66" t="str">
        <f>IFERROR(__xludf.DUMMYFUNCTION("""COMPUTED_VALUE"""),"N/A")</f>
        <v>N/A</v>
      </c>
      <c r="Q128" s="81">
        <f>IFERROR(__xludf.DUMMYFUNCTION("""COMPUTED_VALUE"""),0.0)</f>
        <v>0</v>
      </c>
      <c r="R128" s="81"/>
      <c r="S128" s="66"/>
      <c r="T128" s="66"/>
      <c r="U128" s="66"/>
      <c r="V128" s="66"/>
    </row>
    <row r="129">
      <c r="B129" s="75"/>
      <c r="C129" s="38"/>
      <c r="H129" s="66" t="str">
        <f>IFERROR(__xludf.DUMMYFUNCTION("""COMPUTED_VALUE"""),"AAVE")</f>
        <v>AAVE</v>
      </c>
      <c r="I129" s="66" t="str">
        <f>IFERROR(__xludf.DUMMYFUNCTION("""COMPUTED_VALUE"""),"undeployed")</f>
        <v>undeployed</v>
      </c>
      <c r="J129" s="66" t="str">
        <f>IFERROR(__xludf.DUMMYFUNCTION("""COMPUTED_VALUE"""),"Celsius Network")</f>
        <v>Celsius Network</v>
      </c>
      <c r="K129" s="66" t="str">
        <f>IFERROR(__xludf.DUMMYFUNCTION("""COMPUTED_VALUE"""),"1")</f>
        <v>1</v>
      </c>
      <c r="L129" s="72">
        <f>IFERROR(__xludf.DUMMYFUNCTION("""COMPUTED_VALUE"""),73.0479)</f>
        <v>73.0479</v>
      </c>
      <c r="M129" s="39">
        <f>IFERROR(__xludf.DUMMYFUNCTION("""COMPUTED_VALUE"""),0.0)</f>
        <v>0</v>
      </c>
      <c r="N129" s="39">
        <f>IFERROR(__xludf.DUMMYFUNCTION("""COMPUTED_VALUE"""),0.0385)</f>
        <v>0.0385</v>
      </c>
      <c r="O129" s="91">
        <f>IFERROR(__xludf.DUMMYFUNCTION("""COMPUTED_VALUE"""),12649.254546525239)</f>
        <v>12649.25455</v>
      </c>
      <c r="P129" s="66">
        <f>IFERROR(__xludf.DUMMYFUNCTION("""COMPUTED_VALUE"""),486.9963000412217)</f>
        <v>486.9963</v>
      </c>
      <c r="Q129" s="81">
        <f>IFERROR(__xludf.DUMMYFUNCTION("""COMPUTED_VALUE"""),0.0)</f>
        <v>0</v>
      </c>
      <c r="R129" s="81"/>
      <c r="S129" s="66"/>
      <c r="T129" s="66"/>
      <c r="U129" s="66"/>
      <c r="V129" s="66"/>
    </row>
    <row r="130">
      <c r="B130" s="75"/>
      <c r="C130" s="38"/>
      <c r="H130" s="66" t="str">
        <f>IFERROR(__xludf.DUMMYFUNCTION("""COMPUTED_VALUE"""),"REN")</f>
        <v>REN</v>
      </c>
      <c r="I130" s="66" t="str">
        <f>IFERROR(__xludf.DUMMYFUNCTION("""COMPUTED_VALUE"""),"undeployed")</f>
        <v>undeployed</v>
      </c>
      <c r="J130" s="66" t="str">
        <f>IFERROR(__xludf.DUMMYFUNCTION("""COMPUTED_VALUE"""),"Celsius Network")</f>
        <v>Celsius Network</v>
      </c>
      <c r="K130" s="66" t="str">
        <f>IFERROR(__xludf.DUMMYFUNCTION("""COMPUTED_VALUE"""),"1")</f>
        <v>1</v>
      </c>
      <c r="L130" s="72">
        <f>IFERROR(__xludf.DUMMYFUNCTION("""COMPUTED_VALUE"""),24407.9798)</f>
        <v>24407.9798</v>
      </c>
      <c r="M130" s="39">
        <f>IFERROR(__xludf.DUMMYFUNCTION("""COMPUTED_VALUE"""),0.0)</f>
        <v>0</v>
      </c>
      <c r="N130" s="39" t="str">
        <f>IFERROR(__xludf.DUMMYFUNCTION("""COMPUTED_VALUE"""),"N/A")</f>
        <v>N/A</v>
      </c>
      <c r="O130" s="91">
        <f>IFERROR(__xludf.DUMMYFUNCTION("""COMPUTED_VALUE"""),11730.083949122109)</f>
        <v>11730.08395</v>
      </c>
      <c r="P130" s="66" t="str">
        <f>IFERROR(__xludf.DUMMYFUNCTION("""COMPUTED_VALUE"""),"N/A")</f>
        <v>N/A</v>
      </c>
      <c r="Q130" s="81">
        <f>IFERROR(__xludf.DUMMYFUNCTION("""COMPUTED_VALUE"""),0.0)</f>
        <v>0</v>
      </c>
      <c r="R130" s="81"/>
      <c r="S130" s="66"/>
      <c r="T130" s="66"/>
      <c r="U130" s="66"/>
      <c r="V130" s="66"/>
    </row>
    <row r="131">
      <c r="B131" s="75"/>
      <c r="C131" s="38"/>
      <c r="H131" s="66" t="str">
        <f>IFERROR(__xludf.DUMMYFUNCTION("""COMPUTED_VALUE"""),"YFI")</f>
        <v>YFI</v>
      </c>
      <c r="I131" s="66" t="str">
        <f>IFERROR(__xludf.DUMMYFUNCTION("""COMPUTED_VALUE"""),"undeployed")</f>
        <v>undeployed</v>
      </c>
      <c r="J131" s="66" t="str">
        <f>IFERROR(__xludf.DUMMYFUNCTION("""COMPUTED_VALUE"""),"Celsius Network System")</f>
        <v>Celsius Network System</v>
      </c>
      <c r="K131" s="66" t="str">
        <f>IFERROR(__xludf.DUMMYFUNCTION("""COMPUTED_VALUE"""),"1")</f>
        <v>1</v>
      </c>
      <c r="L131" s="72">
        <f>IFERROR(__xludf.DUMMYFUNCTION("""COMPUTED_VALUE"""),0.30885492)</f>
        <v>0.30885492</v>
      </c>
      <c r="M131" s="39">
        <f>IFERROR(__xludf.DUMMYFUNCTION("""COMPUTED_VALUE"""),0.0)</f>
        <v>0</v>
      </c>
      <c r="N131" s="39" t="str">
        <f>IFERROR(__xludf.DUMMYFUNCTION("""COMPUTED_VALUE"""),"N/A")</f>
        <v>N/A</v>
      </c>
      <c r="O131" s="91">
        <f>IFERROR(__xludf.DUMMYFUNCTION("""COMPUTED_VALUE"""),10920.296506023155)</f>
        <v>10920.29651</v>
      </c>
      <c r="P131" s="66" t="str">
        <f>IFERROR(__xludf.DUMMYFUNCTION("""COMPUTED_VALUE"""),"N/A")</f>
        <v>N/A</v>
      </c>
      <c r="Q131" s="81">
        <f>IFERROR(__xludf.DUMMYFUNCTION("""COMPUTED_VALUE"""),0.0)</f>
        <v>0</v>
      </c>
      <c r="R131" s="81"/>
      <c r="S131" s="66"/>
      <c r="T131" s="66"/>
      <c r="U131" s="66"/>
      <c r="V131" s="66"/>
    </row>
    <row r="132">
      <c r="B132" s="75"/>
      <c r="C132" s="38"/>
      <c r="H132" s="66" t="str">
        <f>IFERROR(__xludf.DUMMYFUNCTION("""COMPUTED_VALUE"""),"BAL")</f>
        <v>BAL</v>
      </c>
      <c r="I132" s="66" t="str">
        <f>IFERROR(__xludf.DUMMYFUNCTION("""COMPUTED_VALUE"""),"undeployed")</f>
        <v>undeployed</v>
      </c>
      <c r="J132" s="66" t="str">
        <f>IFERROR(__xludf.DUMMYFUNCTION("""COMPUTED_VALUE"""),"Celsius Network System")</f>
        <v>Celsius Network System</v>
      </c>
      <c r="K132" s="66" t="str">
        <f>IFERROR(__xludf.DUMMYFUNCTION("""COMPUTED_VALUE"""),"1")</f>
        <v>1</v>
      </c>
      <c r="L132" s="72">
        <f>IFERROR(__xludf.DUMMYFUNCTION("""COMPUTED_VALUE"""),617.4475636)</f>
        <v>617.4475636</v>
      </c>
      <c r="M132" s="39">
        <f>IFERROR(__xludf.DUMMYFUNCTION("""COMPUTED_VALUE"""),0.0)</f>
        <v>0</v>
      </c>
      <c r="N132" s="39" t="str">
        <f>IFERROR(__xludf.DUMMYFUNCTION("""COMPUTED_VALUE"""),"N/A")</f>
        <v>N/A</v>
      </c>
      <c r="O132" s="91">
        <f>IFERROR(__xludf.DUMMYFUNCTION("""COMPUTED_VALUE"""),10903.57629101261)</f>
        <v>10903.57629</v>
      </c>
      <c r="P132" s="66" t="str">
        <f>IFERROR(__xludf.DUMMYFUNCTION("""COMPUTED_VALUE"""),"N/A")</f>
        <v>N/A</v>
      </c>
      <c r="Q132" s="81">
        <f>IFERROR(__xludf.DUMMYFUNCTION("""COMPUTED_VALUE"""),0.0)</f>
        <v>0</v>
      </c>
      <c r="R132" s="81"/>
      <c r="S132" s="66"/>
      <c r="T132" s="66"/>
      <c r="U132" s="66"/>
      <c r="V132" s="66"/>
    </row>
    <row r="133">
      <c r="B133" s="75"/>
      <c r="C133" s="38"/>
      <c r="H133" s="66" t="str">
        <f>IFERROR(__xludf.DUMMYFUNCTION("""COMPUTED_VALUE"""),"XRP")</f>
        <v>XRP</v>
      </c>
      <c r="I133" s="66" t="str">
        <f>IFERROR(__xludf.DUMMYFUNCTION("""COMPUTED_VALUE"""),"undeployed")</f>
        <v>undeployed</v>
      </c>
      <c r="J133" s="66" t="str">
        <f>IFERROR(__xludf.DUMMYFUNCTION("""COMPUTED_VALUE"""),"Celsius Network Finance")</f>
        <v>Celsius Network Finance</v>
      </c>
      <c r="K133" s="66" t="str">
        <f>IFERROR(__xludf.DUMMYFUNCTION("""COMPUTED_VALUE"""),"1")</f>
        <v>1</v>
      </c>
      <c r="L133" s="72">
        <f>IFERROR(__xludf.DUMMYFUNCTION("""COMPUTED_VALUE"""),12010.51)</f>
        <v>12010.51</v>
      </c>
      <c r="M133" s="39">
        <f>IFERROR(__xludf.DUMMYFUNCTION("""COMPUTED_VALUE"""),0.0)</f>
        <v>0</v>
      </c>
      <c r="N133" s="39">
        <f>IFERROR(__xludf.DUMMYFUNCTION("""COMPUTED_VALUE"""),0.0127)</f>
        <v>0.0127</v>
      </c>
      <c r="O133" s="91">
        <f>IFERROR(__xludf.DUMMYFUNCTION("""COMPUTED_VALUE"""),10407.508515227075)</f>
        <v>10407.50852</v>
      </c>
      <c r="P133" s="66">
        <f>IFERROR(__xludf.DUMMYFUNCTION("""COMPUTED_VALUE"""),132.17535814338385)</f>
        <v>132.1753581</v>
      </c>
      <c r="Q133" s="81">
        <f>IFERROR(__xludf.DUMMYFUNCTION("""COMPUTED_VALUE"""),0.0)</f>
        <v>0</v>
      </c>
      <c r="R133" s="81"/>
      <c r="S133" s="66"/>
      <c r="T133" s="66"/>
      <c r="U133" s="66"/>
      <c r="V133" s="66"/>
    </row>
    <row r="134">
      <c r="B134" s="75"/>
      <c r="C134" s="38"/>
      <c r="H134" s="66" t="str">
        <f>IFERROR(__xludf.DUMMYFUNCTION("""COMPUTED_VALUE"""),"MKR")</f>
        <v>MKR</v>
      </c>
      <c r="I134" s="66" t="str">
        <f>IFERROR(__xludf.DUMMYFUNCTION("""COMPUTED_VALUE"""),"Undeployed")</f>
        <v>Undeployed</v>
      </c>
      <c r="J134" s="66" t="str">
        <f>IFERROR(__xludf.DUMMYFUNCTION("""COMPUTED_VALUE"""),"Network Deposits")</f>
        <v>Network Deposits</v>
      </c>
      <c r="K134" s="66" t="str">
        <f>IFERROR(__xludf.DUMMYFUNCTION("""COMPUTED_VALUE"""),"1")</f>
        <v>1</v>
      </c>
      <c r="L134" s="72">
        <f>IFERROR(__xludf.DUMMYFUNCTION("""COMPUTED_VALUE"""),3.3725639)</f>
        <v>3.3725639</v>
      </c>
      <c r="M134" s="39">
        <f>IFERROR(__xludf.DUMMYFUNCTION("""COMPUTED_VALUE"""),0.0)</f>
        <v>0</v>
      </c>
      <c r="N134" s="39" t="str">
        <f>IFERROR(__xludf.DUMMYFUNCTION("""COMPUTED_VALUE"""),"N/A")</f>
        <v>N/A</v>
      </c>
      <c r="O134" s="91">
        <f>IFERROR(__xludf.DUMMYFUNCTION("""COMPUTED_VALUE"""),7738.280805116848)</f>
        <v>7738.280805</v>
      </c>
      <c r="P134" s="66" t="str">
        <f>IFERROR(__xludf.DUMMYFUNCTION("""COMPUTED_VALUE"""),"N/A")</f>
        <v>N/A</v>
      </c>
      <c r="Q134" s="81">
        <f>IFERROR(__xludf.DUMMYFUNCTION("""COMPUTED_VALUE"""),0.0)</f>
        <v>0</v>
      </c>
      <c r="R134" s="81"/>
      <c r="S134" s="66"/>
      <c r="T134" s="66"/>
      <c r="U134" s="66"/>
      <c r="V134" s="66"/>
    </row>
    <row r="135">
      <c r="B135" s="75"/>
      <c r="C135" s="38"/>
      <c r="H135" s="66" t="str">
        <f>IFERROR(__xludf.DUMMYFUNCTION("""COMPUTED_VALUE"""),"ETC")</f>
        <v>ETC</v>
      </c>
      <c r="I135" s="66" t="str">
        <f>IFERROR(__xludf.DUMMYFUNCTION("""COMPUTED_VALUE"""),"undeployed")</f>
        <v>undeployed</v>
      </c>
      <c r="J135" s="66" t="str">
        <f>IFERROR(__xludf.DUMMYFUNCTION("""COMPUTED_VALUE"""),"Celsius Network")</f>
        <v>Celsius Network</v>
      </c>
      <c r="K135" s="66" t="str">
        <f>IFERROR(__xludf.DUMMYFUNCTION("""COMPUTED_VALUE"""),"1")</f>
        <v>1</v>
      </c>
      <c r="L135" s="72">
        <f>IFERROR(__xludf.DUMMYFUNCTION("""COMPUTED_VALUE"""),220.4994377)</f>
        <v>220.4994377</v>
      </c>
      <c r="M135" s="39">
        <f>IFERROR(__xludf.DUMMYFUNCTION("""COMPUTED_VALUE"""),0.0)</f>
        <v>0</v>
      </c>
      <c r="N135" s="39">
        <f>IFERROR(__xludf.DUMMYFUNCTION("""COMPUTED_VALUE"""),0.0298)</f>
        <v>0.0298</v>
      </c>
      <c r="O135" s="91">
        <f>IFERROR(__xludf.DUMMYFUNCTION("""COMPUTED_VALUE"""),7561.9393414181395)</f>
        <v>7561.939341</v>
      </c>
      <c r="P135" s="66">
        <f>IFERROR(__xludf.DUMMYFUNCTION("""COMPUTED_VALUE"""),225.34579237426055)</f>
        <v>225.3457924</v>
      </c>
      <c r="Q135" s="81">
        <f>IFERROR(__xludf.DUMMYFUNCTION("""COMPUTED_VALUE"""),0.0)</f>
        <v>0</v>
      </c>
      <c r="R135" s="81"/>
      <c r="S135" s="66"/>
      <c r="T135" s="66"/>
      <c r="U135" s="66"/>
      <c r="V135" s="66"/>
    </row>
    <row r="136">
      <c r="B136" s="75"/>
      <c r="C136" s="38"/>
      <c r="H136" s="66" t="str">
        <f>IFERROR(__xludf.DUMMYFUNCTION("""COMPUTED_VALUE"""),"XRP")</f>
        <v>XRP</v>
      </c>
      <c r="I136" s="66" t="str">
        <f>IFERROR(__xludf.DUMMYFUNCTION("""COMPUTED_VALUE"""),"undeployed")</f>
        <v>undeployed</v>
      </c>
      <c r="J136" s="66" t="str">
        <f>IFERROR(__xludf.DUMMYFUNCTION("""COMPUTED_VALUE"""),"Celsius OTC")</f>
        <v>Celsius OTC</v>
      </c>
      <c r="K136" s="66" t="str">
        <f>IFERROR(__xludf.DUMMYFUNCTION("""COMPUTED_VALUE"""),"1")</f>
        <v>1</v>
      </c>
      <c r="L136" s="72">
        <f>IFERROR(__xludf.DUMMYFUNCTION("""COMPUTED_VALUE"""),7536.163032)</f>
        <v>7536.163032</v>
      </c>
      <c r="M136" s="39">
        <f>IFERROR(__xludf.DUMMYFUNCTION("""COMPUTED_VALUE"""),0.0)</f>
        <v>0</v>
      </c>
      <c r="N136" s="39">
        <f>IFERROR(__xludf.DUMMYFUNCTION("""COMPUTED_VALUE"""),0.0127)</f>
        <v>0.0127</v>
      </c>
      <c r="O136" s="91">
        <f>IFERROR(__xludf.DUMMYFUNCTION("""COMPUTED_VALUE"""),6530.337256925766)</f>
        <v>6530.337257</v>
      </c>
      <c r="P136" s="66">
        <f>IFERROR(__xludf.DUMMYFUNCTION("""COMPUTED_VALUE"""),82.93528316295723)</f>
        <v>82.93528316</v>
      </c>
      <c r="Q136" s="81">
        <f>IFERROR(__xludf.DUMMYFUNCTION("""COMPUTED_VALUE"""),0.0)</f>
        <v>0</v>
      </c>
      <c r="R136" s="81"/>
      <c r="S136" s="66"/>
      <c r="T136" s="66"/>
      <c r="U136" s="66"/>
      <c r="V136" s="66"/>
    </row>
    <row r="137">
      <c r="B137" s="75"/>
      <c r="C137" s="38"/>
      <c r="H137" s="66" t="str">
        <f>IFERROR(__xludf.DUMMYFUNCTION("""COMPUTED_VALUE"""),"SUSHI")</f>
        <v>SUSHI</v>
      </c>
      <c r="I137" s="66" t="str">
        <f>IFERROR(__xludf.DUMMYFUNCTION("""COMPUTED_VALUE"""),"undeployed")</f>
        <v>undeployed</v>
      </c>
      <c r="J137" s="66" t="str">
        <f>IFERROR(__xludf.DUMMYFUNCTION("""COMPUTED_VALUE"""),"Celsius Network")</f>
        <v>Celsius Network</v>
      </c>
      <c r="K137" s="66" t="str">
        <f>IFERROR(__xludf.DUMMYFUNCTION("""COMPUTED_VALUE"""),"1")</f>
        <v>1</v>
      </c>
      <c r="L137" s="72">
        <f>IFERROR(__xludf.DUMMYFUNCTION("""COMPUTED_VALUE"""),1208.343)</f>
        <v>1208.343</v>
      </c>
      <c r="M137" s="39">
        <f>IFERROR(__xludf.DUMMYFUNCTION("""COMPUTED_VALUE"""),0.0)</f>
        <v>0</v>
      </c>
      <c r="N137" s="39">
        <f>IFERROR(__xludf.DUMMYFUNCTION("""COMPUTED_VALUE"""),0.0396)</f>
        <v>0.0396</v>
      </c>
      <c r="O137" s="91">
        <f>IFERROR(__xludf.DUMMYFUNCTION("""COMPUTED_VALUE"""),6327.36923063223)</f>
        <v>6327.369231</v>
      </c>
      <c r="P137" s="66">
        <f>IFERROR(__xludf.DUMMYFUNCTION("""COMPUTED_VALUE"""),250.56382153303633)</f>
        <v>250.5638215</v>
      </c>
      <c r="Q137" s="81">
        <f>IFERROR(__xludf.DUMMYFUNCTION("""COMPUTED_VALUE"""),0.0)</f>
        <v>0</v>
      </c>
      <c r="R137" s="81"/>
      <c r="S137" s="66"/>
      <c r="T137" s="66"/>
      <c r="U137" s="66"/>
      <c r="V137" s="66"/>
    </row>
    <row r="138">
      <c r="B138" s="75"/>
      <c r="C138" s="38"/>
      <c r="H138" s="66" t="str">
        <f>IFERROR(__xludf.DUMMYFUNCTION("""COMPUTED_VALUE"""),"FTM")</f>
        <v>FTM</v>
      </c>
      <c r="I138" s="66" t="str">
        <f>IFERROR(__xludf.DUMMYFUNCTION("""COMPUTED_VALUE"""),"undeployed")</f>
        <v>undeployed</v>
      </c>
      <c r="J138" s="66" t="str">
        <f>IFERROR(__xludf.DUMMYFUNCTION("""COMPUTED_VALUE"""),"Celsius Network System")</f>
        <v>Celsius Network System</v>
      </c>
      <c r="K138" s="66" t="str">
        <f>IFERROR(__xludf.DUMMYFUNCTION("""COMPUTED_VALUE"""),"1")</f>
        <v>1</v>
      </c>
      <c r="L138" s="72">
        <f>IFERROR(__xludf.DUMMYFUNCTION("""COMPUTED_VALUE"""),4604.600531)</f>
        <v>4604.600531</v>
      </c>
      <c r="M138" s="39">
        <f>IFERROR(__xludf.DUMMYFUNCTION("""COMPUTED_VALUE"""),0.0)</f>
        <v>0</v>
      </c>
      <c r="N138" s="39" t="str">
        <f>IFERROR(__xludf.DUMMYFUNCTION("""COMPUTED_VALUE"""),"N/A")</f>
        <v>N/A</v>
      </c>
      <c r="O138" s="91">
        <f>IFERROR(__xludf.DUMMYFUNCTION("""COMPUTED_VALUE"""),6274.054344155295)</f>
        <v>6274.054344</v>
      </c>
      <c r="P138" s="66" t="str">
        <f>IFERROR(__xludf.DUMMYFUNCTION("""COMPUTED_VALUE"""),"N/A")</f>
        <v>N/A</v>
      </c>
      <c r="Q138" s="81">
        <f>IFERROR(__xludf.DUMMYFUNCTION("""COMPUTED_VALUE"""),0.0)</f>
        <v>0</v>
      </c>
      <c r="R138" s="81"/>
      <c r="S138" s="66"/>
      <c r="T138" s="66"/>
      <c r="U138" s="66"/>
      <c r="V138" s="66"/>
    </row>
    <row r="139">
      <c r="B139" s="75"/>
      <c r="C139" s="38"/>
      <c r="H139" s="66" t="str">
        <f>IFERROR(__xludf.DUMMYFUNCTION("""COMPUTED_VALUE"""),"Stable Coins")</f>
        <v>Stable Coins</v>
      </c>
      <c r="I139" s="66" t="str">
        <f>IFERROR(__xludf.DUMMYFUNCTION("""COMPUTED_VALUE"""),"undeployed")</f>
        <v>undeployed</v>
      </c>
      <c r="J139" s="66" t="str">
        <f>IFERROR(__xludf.DUMMYFUNCTION("""COMPUTED_VALUE"""),"FTX - Main Account")</f>
        <v>FTX - Main Account</v>
      </c>
      <c r="K139" s="66" t="str">
        <f>IFERROR(__xludf.DUMMYFUNCTION("""COMPUTED_VALUE"""),"2")</f>
        <v>2</v>
      </c>
      <c r="L139" s="72">
        <f>IFERROR(__xludf.DUMMYFUNCTION("""COMPUTED_VALUE"""),5882.986855)</f>
        <v>5882.986855</v>
      </c>
      <c r="M139" s="39">
        <f>IFERROR(__xludf.DUMMYFUNCTION("""COMPUTED_VALUE"""),0.0)</f>
        <v>0</v>
      </c>
      <c r="N139" s="39">
        <f>IFERROR(__xludf.DUMMYFUNCTION("""COMPUTED_VALUE"""),0.0959)</f>
        <v>0.0959</v>
      </c>
      <c r="O139" s="91">
        <f>IFERROR(__xludf.DUMMYFUNCTION("""COMPUTED_VALUE"""),5882.986855)</f>
        <v>5882.986855</v>
      </c>
      <c r="P139" s="66">
        <f>IFERROR(__xludf.DUMMYFUNCTION("""COMPUTED_VALUE"""),564.1784393945001)</f>
        <v>564.1784394</v>
      </c>
      <c r="Q139" s="81">
        <f>IFERROR(__xludf.DUMMYFUNCTION("""COMPUTED_VALUE"""),0.0)</f>
        <v>0</v>
      </c>
      <c r="R139" s="81"/>
      <c r="S139" s="66"/>
      <c r="T139" s="66"/>
      <c r="U139" s="66"/>
      <c r="V139" s="66"/>
    </row>
    <row r="140">
      <c r="B140" s="75"/>
      <c r="C140" s="38"/>
      <c r="H140" s="66" t="str">
        <f>IFERROR(__xludf.DUMMYFUNCTION("""COMPUTED_VALUE"""),"DASH")</f>
        <v>DASH</v>
      </c>
      <c r="I140" s="66" t="str">
        <f>IFERROR(__xludf.DUMMYFUNCTION("""COMPUTED_VALUE"""),"undeployed")</f>
        <v>undeployed</v>
      </c>
      <c r="J140" s="66" t="str">
        <f>IFERROR(__xludf.DUMMYFUNCTION("""COMPUTED_VALUE"""),"Celsius Network")</f>
        <v>Celsius Network</v>
      </c>
      <c r="K140" s="66" t="str">
        <f>IFERROR(__xludf.DUMMYFUNCTION("""COMPUTED_VALUE"""),"1")</f>
        <v>1</v>
      </c>
      <c r="L140" s="72">
        <f>IFERROR(__xludf.DUMMYFUNCTION("""COMPUTED_VALUE"""),42.01181)</f>
        <v>42.01181</v>
      </c>
      <c r="M140" s="39">
        <f>IFERROR(__xludf.DUMMYFUNCTION("""COMPUTED_VALUE"""),0.0)</f>
        <v>0</v>
      </c>
      <c r="N140" s="39">
        <f>IFERROR(__xludf.DUMMYFUNCTION("""COMPUTED_VALUE"""),0.041)</f>
        <v>0.041</v>
      </c>
      <c r="O140" s="91">
        <f>IFERROR(__xludf.DUMMYFUNCTION("""COMPUTED_VALUE"""),5352.243559242432)</f>
        <v>5352.243559</v>
      </c>
      <c r="P140" s="66">
        <f>IFERROR(__xludf.DUMMYFUNCTION("""COMPUTED_VALUE"""),219.44198592893972)</f>
        <v>219.4419859</v>
      </c>
      <c r="Q140" s="81">
        <f>IFERROR(__xludf.DUMMYFUNCTION("""COMPUTED_VALUE"""),0.0)</f>
        <v>0</v>
      </c>
      <c r="R140" s="81"/>
      <c r="S140" s="66"/>
      <c r="T140" s="66"/>
      <c r="U140" s="66"/>
      <c r="V140" s="66"/>
    </row>
    <row r="141">
      <c r="B141" s="75"/>
      <c r="C141" s="38"/>
      <c r="H141" s="66" t="str">
        <f>IFERROR(__xludf.DUMMYFUNCTION("""COMPUTED_VALUE"""),"LINK")</f>
        <v>LINK</v>
      </c>
      <c r="I141" s="66" t="str">
        <f>IFERROR(__xludf.DUMMYFUNCTION("""COMPUTED_VALUE"""),"undeployed")</f>
        <v>undeployed</v>
      </c>
      <c r="J141" s="66" t="str">
        <f>IFERROR(__xludf.DUMMYFUNCTION("""COMPUTED_VALUE"""),"Celsius Network Finance")</f>
        <v>Celsius Network Finance</v>
      </c>
      <c r="K141" s="66" t="str">
        <f>IFERROR(__xludf.DUMMYFUNCTION("""COMPUTED_VALUE"""),"1")</f>
        <v>1</v>
      </c>
      <c r="L141" s="72">
        <f>IFERROR(__xludf.DUMMYFUNCTION("""COMPUTED_VALUE"""),279.3309)</f>
        <v>279.3309</v>
      </c>
      <c r="M141" s="39">
        <f>IFERROR(__xludf.DUMMYFUNCTION("""COMPUTED_VALUE"""),0.0)</f>
        <v>0</v>
      </c>
      <c r="N141" s="39">
        <f>IFERROR(__xludf.DUMMYFUNCTION("""COMPUTED_VALUE"""),0.0251)</f>
        <v>0.0251</v>
      </c>
      <c r="O141" s="91">
        <f>IFERROR(__xludf.DUMMYFUNCTION("""COMPUTED_VALUE"""),5171.2772311418275)</f>
        <v>5171.277231</v>
      </c>
      <c r="P141" s="66">
        <f>IFERROR(__xludf.DUMMYFUNCTION("""COMPUTED_VALUE"""),129.79905850165989)</f>
        <v>129.7990585</v>
      </c>
      <c r="Q141" s="81">
        <f>IFERROR(__xludf.DUMMYFUNCTION("""COMPUTED_VALUE"""),0.0)</f>
        <v>0</v>
      </c>
      <c r="R141" s="81"/>
      <c r="S141" s="66"/>
      <c r="T141" s="66"/>
      <c r="U141" s="66"/>
      <c r="V141" s="66"/>
    </row>
    <row r="142">
      <c r="B142" s="75"/>
      <c r="C142" s="38"/>
      <c r="H142" s="66" t="str">
        <f>IFERROR(__xludf.DUMMYFUNCTION("""COMPUTED_VALUE"""),"TRU")</f>
        <v>TRU</v>
      </c>
      <c r="I142" s="66" t="str">
        <f>IFERROR(__xludf.DUMMYFUNCTION("""COMPUTED_VALUE"""),"undeployed")</f>
        <v>undeployed</v>
      </c>
      <c r="J142" s="66" t="str">
        <f>IFERROR(__xludf.DUMMYFUNCTION("""COMPUTED_VALUE"""),"Celsius Network System")</f>
        <v>Celsius Network System</v>
      </c>
      <c r="K142" s="66" t="str">
        <f>IFERROR(__xludf.DUMMYFUNCTION("""COMPUTED_VALUE"""),"1")</f>
        <v>1</v>
      </c>
      <c r="L142" s="72">
        <f>IFERROR(__xludf.DUMMYFUNCTION("""COMPUTED_VALUE"""),14759.54926)</f>
        <v>14759.54926</v>
      </c>
      <c r="M142" s="39">
        <f>IFERROR(__xludf.DUMMYFUNCTION("""COMPUTED_VALUE"""),0.0)</f>
        <v>0</v>
      </c>
      <c r="N142" s="39" t="str">
        <f>IFERROR(__xludf.DUMMYFUNCTION("""COMPUTED_VALUE"""),"N/A")</f>
        <v>N/A</v>
      </c>
      <c r="O142" s="91">
        <f>IFERROR(__xludf.DUMMYFUNCTION("""COMPUTED_VALUE"""),5039.308625194019)</f>
        <v>5039.308625</v>
      </c>
      <c r="P142" s="66" t="str">
        <f>IFERROR(__xludf.DUMMYFUNCTION("""COMPUTED_VALUE"""),"N/A")</f>
        <v>N/A</v>
      </c>
      <c r="Q142" s="81">
        <f>IFERROR(__xludf.DUMMYFUNCTION("""COMPUTED_VALUE"""),0.0)</f>
        <v>0</v>
      </c>
      <c r="R142" s="81"/>
      <c r="S142" s="66"/>
      <c r="T142" s="66"/>
      <c r="U142" s="66"/>
      <c r="V142" s="66"/>
    </row>
    <row r="143">
      <c r="B143" s="75"/>
      <c r="C143" s="38"/>
      <c r="H143" s="66" t="str">
        <f>IFERROR(__xludf.DUMMYFUNCTION("""COMPUTED_VALUE"""),"LINK")</f>
        <v>LINK</v>
      </c>
      <c r="I143" s="66" t="str">
        <f>IFERROR(__xludf.DUMMYFUNCTION("""COMPUTED_VALUE"""),"undeployed")</f>
        <v>undeployed</v>
      </c>
      <c r="J143" s="66" t="str">
        <f>IFERROR(__xludf.DUMMYFUNCTION("""COMPUTED_VALUE"""),"Celsius OTC")</f>
        <v>Celsius OTC</v>
      </c>
      <c r="K143" s="66" t="str">
        <f>IFERROR(__xludf.DUMMYFUNCTION("""COMPUTED_VALUE"""),"1")</f>
        <v>1</v>
      </c>
      <c r="L143" s="72">
        <f>IFERROR(__xludf.DUMMYFUNCTION("""COMPUTED_VALUE"""),248.1804742)</f>
        <v>248.1804742</v>
      </c>
      <c r="M143" s="39">
        <f>IFERROR(__xludf.DUMMYFUNCTION("""COMPUTED_VALUE"""),0.0)</f>
        <v>0</v>
      </c>
      <c r="N143" s="39">
        <f>IFERROR(__xludf.DUMMYFUNCTION("""COMPUTED_VALUE"""),0.0251)</f>
        <v>0.0251</v>
      </c>
      <c r="O143" s="91">
        <f>IFERROR(__xludf.DUMMYFUNCTION("""COMPUTED_VALUE"""),4594.586690711417)</f>
        <v>4594.586691</v>
      </c>
      <c r="P143" s="66">
        <f>IFERROR(__xludf.DUMMYFUNCTION("""COMPUTED_VALUE"""),115.32412593685656)</f>
        <v>115.3241259</v>
      </c>
      <c r="Q143" s="81">
        <f>IFERROR(__xludf.DUMMYFUNCTION("""COMPUTED_VALUE"""),0.0)</f>
        <v>0</v>
      </c>
      <c r="R143" s="81"/>
      <c r="S143" s="66"/>
      <c r="T143" s="66"/>
      <c r="U143" s="66"/>
      <c r="V143" s="66"/>
    </row>
    <row r="144">
      <c r="B144" s="75"/>
      <c r="C144" s="38"/>
      <c r="H144" s="66" t="str">
        <f>IFERROR(__xludf.DUMMYFUNCTION("""COMPUTED_VALUE"""),"UNI")</f>
        <v>UNI</v>
      </c>
      <c r="I144" s="66" t="str">
        <f>IFERROR(__xludf.DUMMYFUNCTION("""COMPUTED_VALUE"""),"undeployed")</f>
        <v>undeployed</v>
      </c>
      <c r="J144" s="66" t="str">
        <f>IFERROR(__xludf.DUMMYFUNCTION("""COMPUTED_VALUE"""),"Celsius OTC")</f>
        <v>Celsius OTC</v>
      </c>
      <c r="K144" s="66" t="str">
        <f>IFERROR(__xludf.DUMMYFUNCTION("""COMPUTED_VALUE"""),"1")</f>
        <v>1</v>
      </c>
      <c r="L144" s="72">
        <f>IFERROR(__xludf.DUMMYFUNCTION("""COMPUTED_VALUE"""),284.7042971)</f>
        <v>284.7042971</v>
      </c>
      <c r="M144" s="39">
        <f>IFERROR(__xludf.DUMMYFUNCTION("""COMPUTED_VALUE"""),0.0)</f>
        <v>0</v>
      </c>
      <c r="N144" s="39">
        <f>IFERROR(__xludf.DUMMYFUNCTION("""COMPUTED_VALUE"""),0.0228)</f>
        <v>0.0228</v>
      </c>
      <c r="O144" s="91">
        <f>IFERROR(__xludf.DUMMYFUNCTION("""COMPUTED_VALUE"""),4111.193715698918)</f>
        <v>4111.193716</v>
      </c>
      <c r="P144" s="66">
        <f>IFERROR(__xludf.DUMMYFUNCTION("""COMPUTED_VALUE"""),93.73521671793533)</f>
        <v>93.73521672</v>
      </c>
      <c r="Q144" s="81">
        <f>IFERROR(__xludf.DUMMYFUNCTION("""COMPUTED_VALUE"""),0.0)</f>
        <v>0</v>
      </c>
      <c r="R144" s="81"/>
      <c r="S144" s="66"/>
      <c r="T144" s="66"/>
      <c r="U144" s="66"/>
      <c r="V144" s="66"/>
    </row>
    <row r="145">
      <c r="B145" s="75"/>
      <c r="C145" s="38"/>
      <c r="H145" s="66" t="str">
        <f>IFERROR(__xludf.DUMMYFUNCTION("""COMPUTED_VALUE"""),"AMPL")</f>
        <v>AMPL</v>
      </c>
      <c r="I145" s="66" t="str">
        <f>IFERROR(__xludf.DUMMYFUNCTION("""COMPUTED_VALUE"""),"Undeployed")</f>
        <v>Undeployed</v>
      </c>
      <c r="J145" s="66" t="str">
        <f>IFERROR(__xludf.DUMMYFUNCTION("""COMPUTED_VALUE"""),"Network Deposits")</f>
        <v>Network Deposits</v>
      </c>
      <c r="K145" s="66" t="str">
        <f>IFERROR(__xludf.DUMMYFUNCTION("""COMPUTED_VALUE"""),"1")</f>
        <v>1</v>
      </c>
      <c r="L145" s="72">
        <f>IFERROR(__xludf.DUMMYFUNCTION("""COMPUTED_VALUE"""),4454.85878)</f>
        <v>4454.85878</v>
      </c>
      <c r="M145" s="39">
        <f>IFERROR(__xludf.DUMMYFUNCTION("""COMPUTED_VALUE"""),0.0)</f>
        <v>0</v>
      </c>
      <c r="N145" s="39" t="str">
        <f>IFERROR(__xludf.DUMMYFUNCTION("""COMPUTED_VALUE"""),"N/A")</f>
        <v>N/A</v>
      </c>
      <c r="O145" s="91">
        <f>IFERROR(__xludf.DUMMYFUNCTION("""COMPUTED_VALUE"""),4048.0252293867475)</f>
        <v>4048.025229</v>
      </c>
      <c r="P145" s="66" t="str">
        <f>IFERROR(__xludf.DUMMYFUNCTION("""COMPUTED_VALUE"""),"N/A")</f>
        <v>N/A</v>
      </c>
      <c r="Q145" s="81">
        <f>IFERROR(__xludf.DUMMYFUNCTION("""COMPUTED_VALUE"""),0.0)</f>
        <v>0</v>
      </c>
      <c r="R145" s="81"/>
      <c r="S145" s="66"/>
      <c r="T145" s="66"/>
      <c r="U145" s="66"/>
      <c r="V145" s="66"/>
    </row>
    <row r="146">
      <c r="B146" s="75"/>
      <c r="C146" s="38"/>
      <c r="H146" s="66" t="str">
        <f>IFERROR(__xludf.DUMMYFUNCTION("""COMPUTED_VALUE"""),"SRM_LOCKED")</f>
        <v>SRM_LOCKED</v>
      </c>
      <c r="I146" s="66" t="str">
        <f>IFERROR(__xludf.DUMMYFUNCTION("""COMPUTED_VALUE"""),"undeployed")</f>
        <v>undeployed</v>
      </c>
      <c r="J146" s="66" t="str">
        <f>IFERROR(__xludf.DUMMYFUNCTION("""COMPUTED_VALUE"""),"FTX - CEL")</f>
        <v>FTX - CEL</v>
      </c>
      <c r="K146" s="66" t="str">
        <f>IFERROR(__xludf.DUMMYFUNCTION("""COMPUTED_VALUE"""),"2")</f>
        <v>2</v>
      </c>
      <c r="L146" s="72">
        <f>IFERROR(__xludf.DUMMYFUNCTION("""COMPUTED_VALUE"""),852.9287791)</f>
        <v>852.9287791</v>
      </c>
      <c r="M146" s="39">
        <f>IFERROR(__xludf.DUMMYFUNCTION("""COMPUTED_VALUE"""),0.0)</f>
        <v>0</v>
      </c>
      <c r="N146" s="39" t="str">
        <f>IFERROR(__xludf.DUMMYFUNCTION("""COMPUTED_VALUE"""),"N/A")</f>
        <v>N/A</v>
      </c>
      <c r="O146" s="91">
        <f>IFERROR(__xludf.DUMMYFUNCTION("""COMPUTED_VALUE"""),2836.260865014748)</f>
        <v>2836.260865</v>
      </c>
      <c r="P146" s="66" t="str">
        <f>IFERROR(__xludf.DUMMYFUNCTION("""COMPUTED_VALUE"""),"N/A")</f>
        <v>N/A</v>
      </c>
      <c r="Q146" s="81">
        <f>IFERROR(__xludf.DUMMYFUNCTION("""COMPUTED_VALUE"""),0.0)</f>
        <v>0</v>
      </c>
      <c r="R146" s="81"/>
      <c r="S146" s="66"/>
      <c r="T146" s="66"/>
      <c r="U146" s="66"/>
      <c r="V146" s="66"/>
    </row>
    <row r="147">
      <c r="B147" s="75"/>
      <c r="C147" s="38"/>
      <c r="H147" s="66" t="str">
        <f>IFERROR(__xludf.DUMMYFUNCTION("""COMPUTED_VALUE"""),"UNI")</f>
        <v>UNI</v>
      </c>
      <c r="I147" s="66" t="str">
        <f>IFERROR(__xludf.DUMMYFUNCTION("""COMPUTED_VALUE"""),"undeployed")</f>
        <v>undeployed</v>
      </c>
      <c r="J147" s="66" t="str">
        <f>IFERROR(__xludf.DUMMYFUNCTION("""COMPUTED_VALUE"""),"Celsius Network Finance")</f>
        <v>Celsius Network Finance</v>
      </c>
      <c r="K147" s="66" t="str">
        <f>IFERROR(__xludf.DUMMYFUNCTION("""COMPUTED_VALUE"""),"1")</f>
        <v>1</v>
      </c>
      <c r="L147" s="72">
        <f>IFERROR(__xludf.DUMMYFUNCTION("""COMPUTED_VALUE"""),173.4913528)</f>
        <v>173.4913528</v>
      </c>
      <c r="M147" s="39">
        <f>IFERROR(__xludf.DUMMYFUNCTION("""COMPUTED_VALUE"""),0.0)</f>
        <v>0</v>
      </c>
      <c r="N147" s="39">
        <f>IFERROR(__xludf.DUMMYFUNCTION("""COMPUTED_VALUE"""),0.0228)</f>
        <v>0.0228</v>
      </c>
      <c r="O147" s="91">
        <f>IFERROR(__xludf.DUMMYFUNCTION("""COMPUTED_VALUE"""),2505.2539305683126)</f>
        <v>2505.253931</v>
      </c>
      <c r="P147" s="66">
        <f>IFERROR(__xludf.DUMMYFUNCTION("""COMPUTED_VALUE"""),57.11978961695753)</f>
        <v>57.11978962</v>
      </c>
      <c r="Q147" s="81">
        <f>IFERROR(__xludf.DUMMYFUNCTION("""COMPUTED_VALUE"""),0.0)</f>
        <v>0</v>
      </c>
      <c r="R147" s="81"/>
      <c r="S147" s="66"/>
      <c r="T147" s="66"/>
      <c r="U147" s="66"/>
      <c r="V147" s="66"/>
    </row>
    <row r="148">
      <c r="B148" s="75"/>
      <c r="C148" s="38"/>
      <c r="H148" s="66" t="str">
        <f>IFERROR(__xludf.DUMMYFUNCTION("""COMPUTED_VALUE"""),"KNC")</f>
        <v>KNC</v>
      </c>
      <c r="I148" s="66" t="str">
        <f>IFERROR(__xludf.DUMMYFUNCTION("""COMPUTED_VALUE"""),"undeployed")</f>
        <v>undeployed</v>
      </c>
      <c r="J148" s="66" t="str">
        <f>IFERROR(__xludf.DUMMYFUNCTION("""COMPUTED_VALUE"""),"Celsius Network")</f>
        <v>Celsius Network</v>
      </c>
      <c r="K148" s="66" t="str">
        <f>IFERROR(__xludf.DUMMYFUNCTION("""COMPUTED_VALUE"""),"1")</f>
        <v>1</v>
      </c>
      <c r="L148" s="72">
        <f>IFERROR(__xludf.DUMMYFUNCTION("""COMPUTED_VALUE"""),1999.6439)</f>
        <v>1999.6439</v>
      </c>
      <c r="M148" s="39">
        <f>IFERROR(__xludf.DUMMYFUNCTION("""COMPUTED_VALUE"""),0.0)</f>
        <v>0</v>
      </c>
      <c r="N148" s="39">
        <f>IFERROR(__xludf.DUMMYFUNCTION("""COMPUTED_VALUE"""),0.0048)</f>
        <v>0.0048</v>
      </c>
      <c r="O148" s="91">
        <f>IFERROR(__xludf.DUMMYFUNCTION("""COMPUTED_VALUE"""),2470.7300741697486)</f>
        <v>2470.730074</v>
      </c>
      <c r="P148" s="66">
        <f>IFERROR(__xludf.DUMMYFUNCTION("""COMPUTED_VALUE"""),11.859504356014792)</f>
        <v>11.85950436</v>
      </c>
      <c r="Q148" s="81">
        <f>IFERROR(__xludf.DUMMYFUNCTION("""COMPUTED_VALUE"""),0.0)</f>
        <v>0</v>
      </c>
      <c r="R148" s="81"/>
      <c r="S148" s="66"/>
      <c r="T148" s="66"/>
      <c r="U148" s="66"/>
      <c r="V148" s="66"/>
    </row>
    <row r="149">
      <c r="B149" s="75"/>
      <c r="C149" s="38"/>
      <c r="H149" s="66" t="str">
        <f>IFERROR(__xludf.DUMMYFUNCTION("""COMPUTED_VALUE"""),"ANKR")</f>
        <v>ANKR</v>
      </c>
      <c r="I149" s="66" t="str">
        <f>IFERROR(__xludf.DUMMYFUNCTION("""COMPUTED_VALUE"""),"undeployed")</f>
        <v>undeployed</v>
      </c>
      <c r="J149" s="66" t="str">
        <f>IFERROR(__xludf.DUMMYFUNCTION("""COMPUTED_VALUE"""),"Celsius Network System")</f>
        <v>Celsius Network System</v>
      </c>
      <c r="K149" s="66" t="str">
        <f>IFERROR(__xludf.DUMMYFUNCTION("""COMPUTED_VALUE"""),"1")</f>
        <v>1</v>
      </c>
      <c r="L149" s="72">
        <f>IFERROR(__xludf.DUMMYFUNCTION("""COMPUTED_VALUE"""),24004.58859)</f>
        <v>24004.58859</v>
      </c>
      <c r="M149" s="39">
        <f>IFERROR(__xludf.DUMMYFUNCTION("""COMPUTED_VALUE"""),0.0)</f>
        <v>0</v>
      </c>
      <c r="N149" s="39" t="str">
        <f>IFERROR(__xludf.DUMMYFUNCTION("""COMPUTED_VALUE"""),"N/A")</f>
        <v>N/A</v>
      </c>
      <c r="O149" s="91">
        <f>IFERROR(__xludf.DUMMYFUNCTION("""COMPUTED_VALUE"""),2324.8615802246363)</f>
        <v>2324.86158</v>
      </c>
      <c r="P149" s="66" t="str">
        <f>IFERROR(__xludf.DUMMYFUNCTION("""COMPUTED_VALUE"""),"N/A")</f>
        <v>N/A</v>
      </c>
      <c r="Q149" s="81">
        <f>IFERROR(__xludf.DUMMYFUNCTION("""COMPUTED_VALUE"""),0.0)</f>
        <v>0</v>
      </c>
      <c r="R149" s="81"/>
      <c r="S149" s="66"/>
      <c r="T149" s="66"/>
      <c r="U149" s="66"/>
      <c r="V149" s="66"/>
    </row>
    <row r="150">
      <c r="B150" s="75"/>
      <c r="C150" s="38"/>
      <c r="H150" s="66" t="str">
        <f>IFERROR(__xludf.DUMMYFUNCTION("""COMPUTED_VALUE"""),"XAUT")</f>
        <v>XAUT</v>
      </c>
      <c r="I150" s="66" t="str">
        <f>IFERROR(__xludf.DUMMYFUNCTION("""COMPUTED_VALUE"""),"undeployed")</f>
        <v>undeployed</v>
      </c>
      <c r="J150" s="66" t="str">
        <f>IFERROR(__xludf.DUMMYFUNCTION("""COMPUTED_VALUE"""),"Celsius Network")</f>
        <v>Celsius Network</v>
      </c>
      <c r="K150" s="66" t="str">
        <f>IFERROR(__xludf.DUMMYFUNCTION("""COMPUTED_VALUE"""),"1")</f>
        <v>1</v>
      </c>
      <c r="L150" s="72">
        <f>IFERROR(__xludf.DUMMYFUNCTION("""COMPUTED_VALUE"""),1.0)</f>
        <v>1</v>
      </c>
      <c r="M150" s="39">
        <f>IFERROR(__xludf.DUMMYFUNCTION("""COMPUTED_VALUE"""),0.0)</f>
        <v>0</v>
      </c>
      <c r="N150" s="39">
        <f>IFERROR(__xludf.DUMMYFUNCTION("""COMPUTED_VALUE"""),0.0554)</f>
        <v>0.0554</v>
      </c>
      <c r="O150" s="91">
        <f>IFERROR(__xludf.DUMMYFUNCTION("""COMPUTED_VALUE"""),1801.374258)</f>
        <v>1801.374258</v>
      </c>
      <c r="P150" s="66">
        <f>IFERROR(__xludf.DUMMYFUNCTION("""COMPUTED_VALUE"""),99.7961338932)</f>
        <v>99.79613389</v>
      </c>
      <c r="Q150" s="81">
        <f>IFERROR(__xludf.DUMMYFUNCTION("""COMPUTED_VALUE"""),0.0)</f>
        <v>0</v>
      </c>
      <c r="R150" s="81"/>
      <c r="S150" s="66"/>
      <c r="T150" s="66"/>
      <c r="U150" s="66"/>
      <c r="V150" s="66"/>
    </row>
    <row r="151">
      <c r="B151" s="75"/>
      <c r="C151" s="38"/>
      <c r="H151" s="66" t="str">
        <f>IFERROR(__xludf.DUMMYFUNCTION("""COMPUTED_VALUE"""),"MANA")</f>
        <v>MANA</v>
      </c>
      <c r="I151" s="66" t="str">
        <f>IFERROR(__xludf.DUMMYFUNCTION("""COMPUTED_VALUE"""),"undeployed")</f>
        <v>undeployed</v>
      </c>
      <c r="J151" s="66" t="str">
        <f>IFERROR(__xludf.DUMMYFUNCTION("""COMPUTED_VALUE"""),"Celsius Network Finance")</f>
        <v>Celsius Network Finance</v>
      </c>
      <c r="K151" s="66" t="str">
        <f>IFERROR(__xludf.DUMMYFUNCTION("""COMPUTED_VALUE"""),"1")</f>
        <v>1</v>
      </c>
      <c r="L151" s="72">
        <f>IFERROR(__xludf.DUMMYFUNCTION("""COMPUTED_VALUE"""),519.25)</f>
        <v>519.25</v>
      </c>
      <c r="M151" s="39">
        <f>IFERROR(__xludf.DUMMYFUNCTION("""COMPUTED_VALUE"""),0.0)</f>
        <v>0</v>
      </c>
      <c r="N151" s="39">
        <f>IFERROR(__xludf.DUMMYFUNCTION("""COMPUTED_VALUE"""),0.0042)</f>
        <v>0.0042</v>
      </c>
      <c r="O151" s="91">
        <f>IFERROR(__xludf.DUMMYFUNCTION("""COMPUTED_VALUE"""),1642.2569078272502)</f>
        <v>1642.256908</v>
      </c>
      <c r="P151" s="66">
        <f>IFERROR(__xludf.DUMMYFUNCTION("""COMPUTED_VALUE"""),6.8974790128744505)</f>
        <v>6.897479013</v>
      </c>
      <c r="Q151" s="81">
        <f>IFERROR(__xludf.DUMMYFUNCTION("""COMPUTED_VALUE"""),0.0)</f>
        <v>0</v>
      </c>
      <c r="R151" s="81"/>
      <c r="S151" s="66"/>
      <c r="T151" s="66"/>
      <c r="U151" s="66"/>
      <c r="V151" s="66"/>
    </row>
    <row r="152">
      <c r="B152" s="75"/>
      <c r="C152" s="38"/>
      <c r="H152" s="66" t="str">
        <f>IFERROR(__xludf.DUMMYFUNCTION("""COMPUTED_VALUE"""),"BAL")</f>
        <v>BAL</v>
      </c>
      <c r="I152" s="66" t="str">
        <f>IFERROR(__xludf.DUMMYFUNCTION("""COMPUTED_VALUE"""),"undeployed")</f>
        <v>undeployed</v>
      </c>
      <c r="J152" s="66" t="str">
        <f>IFERROR(__xludf.DUMMYFUNCTION("""COMPUTED_VALUE"""),"Celsius Network")</f>
        <v>Celsius Network</v>
      </c>
      <c r="K152" s="66" t="str">
        <f>IFERROR(__xludf.DUMMYFUNCTION("""COMPUTED_VALUE"""),"1")</f>
        <v>1</v>
      </c>
      <c r="L152" s="72">
        <f>IFERROR(__xludf.DUMMYFUNCTION("""COMPUTED_VALUE"""),79.62533354)</f>
        <v>79.62533354</v>
      </c>
      <c r="M152" s="39">
        <f>IFERROR(__xludf.DUMMYFUNCTION("""COMPUTED_VALUE"""),0.0)</f>
        <v>0</v>
      </c>
      <c r="N152" s="39" t="str">
        <f>IFERROR(__xludf.DUMMYFUNCTION("""COMPUTED_VALUE"""),"N/A")</f>
        <v>N/A</v>
      </c>
      <c r="O152" s="91">
        <f>IFERROR(__xludf.DUMMYFUNCTION("""COMPUTED_VALUE"""),1406.1127618492967)</f>
        <v>1406.112762</v>
      </c>
      <c r="P152" s="66" t="str">
        <f>IFERROR(__xludf.DUMMYFUNCTION("""COMPUTED_VALUE"""),"N/A")</f>
        <v>N/A</v>
      </c>
      <c r="Q152" s="81">
        <f>IFERROR(__xludf.DUMMYFUNCTION("""COMPUTED_VALUE"""),0.0)</f>
        <v>0</v>
      </c>
      <c r="R152" s="81"/>
      <c r="S152" s="66"/>
      <c r="T152" s="66"/>
      <c r="U152" s="66"/>
      <c r="V152" s="66"/>
    </row>
    <row r="153">
      <c r="B153" s="75"/>
      <c r="C153" s="38"/>
      <c r="H153" s="66" t="str">
        <f>IFERROR(__xludf.DUMMYFUNCTION("""COMPUTED_VALUE"""),"SNX")</f>
        <v>SNX</v>
      </c>
      <c r="I153" s="66" t="str">
        <f>IFERROR(__xludf.DUMMYFUNCTION("""COMPUTED_VALUE"""),"undeployed")</f>
        <v>undeployed</v>
      </c>
      <c r="J153" s="66" t="str">
        <f>IFERROR(__xludf.DUMMYFUNCTION("""COMPUTED_VALUE"""),"Celsius Network Finance")</f>
        <v>Celsius Network Finance</v>
      </c>
      <c r="K153" s="66" t="str">
        <f>IFERROR(__xludf.DUMMYFUNCTION("""COMPUTED_VALUE"""),"1")</f>
        <v>1</v>
      </c>
      <c r="L153" s="72">
        <f>IFERROR(__xludf.DUMMYFUNCTION("""COMPUTED_VALUE"""),238.284)</f>
        <v>238.284</v>
      </c>
      <c r="M153" s="39">
        <f>IFERROR(__xludf.DUMMYFUNCTION("""COMPUTED_VALUE"""),0.0)</f>
        <v>0</v>
      </c>
      <c r="N153" s="39">
        <f>IFERROR(__xludf.DUMMYFUNCTION("""COMPUTED_VALUE"""),0.1339)</f>
        <v>0.1339</v>
      </c>
      <c r="O153" s="91">
        <f>IFERROR(__xludf.DUMMYFUNCTION("""COMPUTED_VALUE"""),1181.930764322088)</f>
        <v>1181.930764</v>
      </c>
      <c r="P153" s="66">
        <f>IFERROR(__xludf.DUMMYFUNCTION("""COMPUTED_VALUE"""),158.26052934272758)</f>
        <v>158.2605293</v>
      </c>
      <c r="Q153" s="81">
        <f>IFERROR(__xludf.DUMMYFUNCTION("""COMPUTED_VALUE"""),0.0)</f>
        <v>0</v>
      </c>
      <c r="R153" s="81"/>
      <c r="S153" s="66"/>
      <c r="T153" s="66"/>
      <c r="U153" s="66"/>
      <c r="V153" s="66"/>
    </row>
    <row r="154">
      <c r="B154" s="75"/>
      <c r="C154" s="38"/>
      <c r="H154" s="66" t="str">
        <f>IFERROR(__xludf.DUMMYFUNCTION("""COMPUTED_VALUE"""),"COMP")</f>
        <v>COMP</v>
      </c>
      <c r="I154" s="66" t="str">
        <f>IFERROR(__xludf.DUMMYFUNCTION("""COMPUTED_VALUE"""),"undeployed")</f>
        <v>undeployed</v>
      </c>
      <c r="J154" s="66" t="str">
        <f>IFERROR(__xludf.DUMMYFUNCTION("""COMPUTED_VALUE"""),"Celsius Network Finance")</f>
        <v>Celsius Network Finance</v>
      </c>
      <c r="K154" s="66" t="str">
        <f>IFERROR(__xludf.DUMMYFUNCTION("""COMPUTED_VALUE"""),"1")</f>
        <v>1</v>
      </c>
      <c r="L154" s="72">
        <f>IFERROR(__xludf.DUMMYFUNCTION("""COMPUTED_VALUE"""),5.841)</f>
        <v>5.841</v>
      </c>
      <c r="M154" s="39">
        <f>IFERROR(__xludf.DUMMYFUNCTION("""COMPUTED_VALUE"""),0.0)</f>
        <v>0</v>
      </c>
      <c r="N154" s="39">
        <f>IFERROR(__xludf.DUMMYFUNCTION("""COMPUTED_VALUE"""),0.0453)</f>
        <v>0.0453</v>
      </c>
      <c r="O154" s="91">
        <f>IFERROR(__xludf.DUMMYFUNCTION("""COMPUTED_VALUE"""),1095.65478)</f>
        <v>1095.65478</v>
      </c>
      <c r="P154" s="66">
        <f>IFERROR(__xludf.DUMMYFUNCTION("""COMPUTED_VALUE"""),49.633161534)</f>
        <v>49.63316153</v>
      </c>
      <c r="Q154" s="81">
        <f>IFERROR(__xludf.DUMMYFUNCTION("""COMPUTED_VALUE"""),0.0)</f>
        <v>0</v>
      </c>
      <c r="R154" s="81"/>
      <c r="S154" s="66"/>
      <c r="T154" s="66"/>
      <c r="U154" s="66"/>
      <c r="V154" s="66"/>
    </row>
    <row r="155">
      <c r="B155" s="75"/>
      <c r="C155" s="38"/>
      <c r="H155" s="66" t="str">
        <f>IFERROR(__xludf.DUMMYFUNCTION("""COMPUTED_VALUE"""),"BAT")</f>
        <v>BAT</v>
      </c>
      <c r="I155" s="66" t="str">
        <f>IFERROR(__xludf.DUMMYFUNCTION("""COMPUTED_VALUE"""),"undeployed")</f>
        <v>undeployed</v>
      </c>
      <c r="J155" s="66" t="str">
        <f>IFERROR(__xludf.DUMMYFUNCTION("""COMPUTED_VALUE"""),"Celsius OTC")</f>
        <v>Celsius OTC</v>
      </c>
      <c r="K155" s="66" t="str">
        <f>IFERROR(__xludf.DUMMYFUNCTION("""COMPUTED_VALUE"""),"1")</f>
        <v>1</v>
      </c>
      <c r="L155" s="72">
        <f>IFERROR(__xludf.DUMMYFUNCTION("""COMPUTED_VALUE"""),1001.0)</f>
        <v>1001</v>
      </c>
      <c r="M155" s="39">
        <f>IFERROR(__xludf.DUMMYFUNCTION("""COMPUTED_VALUE"""),0.0)</f>
        <v>0</v>
      </c>
      <c r="N155" s="39">
        <f>IFERROR(__xludf.DUMMYFUNCTION("""COMPUTED_VALUE"""),0.0097)</f>
        <v>0.0097</v>
      </c>
      <c r="O155" s="91">
        <f>IFERROR(__xludf.DUMMYFUNCTION("""COMPUTED_VALUE"""),1079.681501899)</f>
        <v>1079.681502</v>
      </c>
      <c r="P155" s="66">
        <f>IFERROR(__xludf.DUMMYFUNCTION("""COMPUTED_VALUE"""),10.472910568420302)</f>
        <v>10.47291057</v>
      </c>
      <c r="Q155" s="81">
        <f>IFERROR(__xludf.DUMMYFUNCTION("""COMPUTED_VALUE"""),0.0)</f>
        <v>0</v>
      </c>
      <c r="R155" s="81"/>
      <c r="S155" s="66"/>
      <c r="T155" s="66"/>
      <c r="U155" s="66"/>
      <c r="V155" s="66"/>
    </row>
    <row r="156">
      <c r="B156" s="75"/>
      <c r="C156" s="38"/>
      <c r="H156" s="66" t="str">
        <f>IFERROR(__xludf.DUMMYFUNCTION("""COMPUTED_VALUE"""),"UMA")</f>
        <v>UMA</v>
      </c>
      <c r="I156" s="66" t="str">
        <f>IFERROR(__xludf.DUMMYFUNCTION("""COMPUTED_VALUE"""),"undeployed")</f>
        <v>undeployed</v>
      </c>
      <c r="J156" s="66" t="str">
        <f>IFERROR(__xludf.DUMMYFUNCTION("""COMPUTED_VALUE"""),"Celsius Network")</f>
        <v>Celsius Network</v>
      </c>
      <c r="K156" s="66" t="str">
        <f>IFERROR(__xludf.DUMMYFUNCTION("""COMPUTED_VALUE"""),"1")</f>
        <v>1</v>
      </c>
      <c r="L156" s="72">
        <f>IFERROR(__xludf.DUMMYFUNCTION("""COMPUTED_VALUE"""),100.64)</f>
        <v>100.64</v>
      </c>
      <c r="M156" s="39">
        <f>IFERROR(__xludf.DUMMYFUNCTION("""COMPUTED_VALUE"""),0.0)</f>
        <v>0</v>
      </c>
      <c r="N156" s="39">
        <f>IFERROR(__xludf.DUMMYFUNCTION("""COMPUTED_VALUE"""),0.0093)</f>
        <v>0.0093</v>
      </c>
      <c r="O156" s="91">
        <f>IFERROR(__xludf.DUMMYFUNCTION("""COMPUTED_VALUE"""),862.4295208633599)</f>
        <v>862.4295209</v>
      </c>
      <c r="P156" s="66">
        <f>IFERROR(__xludf.DUMMYFUNCTION("""COMPUTED_VALUE"""),8.020594544029247)</f>
        <v>8.020594544</v>
      </c>
      <c r="Q156" s="81">
        <f>IFERROR(__xludf.DUMMYFUNCTION("""COMPUTED_VALUE"""),0.0)</f>
        <v>0</v>
      </c>
      <c r="R156" s="81"/>
      <c r="S156" s="66"/>
      <c r="T156" s="66"/>
      <c r="U156" s="66"/>
      <c r="V156" s="66"/>
    </row>
    <row r="157">
      <c r="B157" s="75"/>
      <c r="C157" s="38"/>
      <c r="H157" s="66" t="str">
        <f>IFERROR(__xludf.DUMMYFUNCTION("""COMPUTED_VALUE"""),"BCH")</f>
        <v>BCH</v>
      </c>
      <c r="I157" s="66" t="str">
        <f>IFERROR(__xludf.DUMMYFUNCTION("""COMPUTED_VALUE"""),"undeployed")</f>
        <v>undeployed</v>
      </c>
      <c r="J157" s="66" t="str">
        <f>IFERROR(__xludf.DUMMYFUNCTION("""COMPUTED_VALUE"""),"Celsius OTC")</f>
        <v>Celsius OTC</v>
      </c>
      <c r="K157" s="66" t="str">
        <f>IFERROR(__xludf.DUMMYFUNCTION("""COMPUTED_VALUE"""),"1")</f>
        <v>1</v>
      </c>
      <c r="L157" s="72">
        <f>IFERROR(__xludf.DUMMYFUNCTION("""COMPUTED_VALUE"""),2.006492)</f>
        <v>2.006492</v>
      </c>
      <c r="M157" s="39">
        <f>IFERROR(__xludf.DUMMYFUNCTION("""COMPUTED_VALUE"""),0.0)</f>
        <v>0</v>
      </c>
      <c r="N157" s="39">
        <f>IFERROR(__xludf.DUMMYFUNCTION("""COMPUTED_VALUE"""),0.0225)</f>
        <v>0.0225</v>
      </c>
      <c r="O157" s="91">
        <f>IFERROR(__xludf.DUMMYFUNCTION("""COMPUTED_VALUE"""),858.5311721253637)</f>
        <v>858.5311721</v>
      </c>
      <c r="P157" s="66">
        <f>IFERROR(__xludf.DUMMYFUNCTION("""COMPUTED_VALUE"""),19.316951372820682)</f>
        <v>19.31695137</v>
      </c>
      <c r="Q157" s="81">
        <f>IFERROR(__xludf.DUMMYFUNCTION("""COMPUTED_VALUE"""),0.0)</f>
        <v>0</v>
      </c>
      <c r="R157" s="81"/>
      <c r="S157" s="66"/>
      <c r="T157" s="66"/>
      <c r="U157" s="66"/>
      <c r="V157" s="66"/>
    </row>
    <row r="158">
      <c r="B158" s="75"/>
      <c r="C158" s="38"/>
      <c r="H158" s="66" t="str">
        <f>IFERROR(__xludf.DUMMYFUNCTION("""COMPUTED_VALUE"""),"CEL")</f>
        <v>CEL</v>
      </c>
      <c r="I158" s="66" t="str">
        <f>IFERROR(__xludf.DUMMYFUNCTION("""COMPUTED_VALUE"""),"undeployed")</f>
        <v>undeployed</v>
      </c>
      <c r="J158" s="66" t="str">
        <f>IFERROR(__xludf.DUMMYFUNCTION("""COMPUTED_VALUE"""),"Celsius Network Finance")</f>
        <v>Celsius Network Finance</v>
      </c>
      <c r="K158" s="66" t="str">
        <f>IFERROR(__xludf.DUMMYFUNCTION("""COMPUTED_VALUE"""),"1")</f>
        <v>1</v>
      </c>
      <c r="L158" s="72">
        <f>IFERROR(__xludf.DUMMYFUNCTION("""COMPUTED_VALUE"""),207.2071)</f>
        <v>207.2071</v>
      </c>
      <c r="M158" s="39">
        <f>IFERROR(__xludf.DUMMYFUNCTION("""COMPUTED_VALUE"""),0.0)</f>
        <v>0</v>
      </c>
      <c r="N158" s="39">
        <f>IFERROR(__xludf.DUMMYFUNCTION("""COMPUTED_VALUE"""),0.0415)</f>
        <v>0.0415</v>
      </c>
      <c r="O158" s="91">
        <f>IFERROR(__xludf.DUMMYFUNCTION("""COMPUTED_VALUE"""),811.5519560377857)</f>
        <v>811.551956</v>
      </c>
      <c r="P158" s="66">
        <f>IFERROR(__xludf.DUMMYFUNCTION("""COMPUTED_VALUE"""),33.679406175568104)</f>
        <v>33.67940618</v>
      </c>
      <c r="Q158" s="81">
        <f>IFERROR(__xludf.DUMMYFUNCTION("""COMPUTED_VALUE"""),0.0)</f>
        <v>0</v>
      </c>
      <c r="R158" s="81"/>
      <c r="S158" s="66"/>
      <c r="T158" s="66"/>
      <c r="U158" s="66"/>
      <c r="V158" s="66"/>
    </row>
    <row r="159">
      <c r="B159" s="75"/>
      <c r="C159" s="38"/>
      <c r="H159" s="66" t="str">
        <f>IFERROR(__xludf.DUMMYFUNCTION("""COMPUTED_VALUE"""),"UMA")</f>
        <v>UMA</v>
      </c>
      <c r="I159" s="66" t="str">
        <f>IFERROR(__xludf.DUMMYFUNCTION("""COMPUTED_VALUE"""),"undeployed")</f>
        <v>undeployed</v>
      </c>
      <c r="J159" s="66" t="str">
        <f>IFERROR(__xludf.DUMMYFUNCTION("""COMPUTED_VALUE"""),"Celsius Network Finance")</f>
        <v>Celsius Network Finance</v>
      </c>
      <c r="K159" s="66" t="str">
        <f>IFERROR(__xludf.DUMMYFUNCTION("""COMPUTED_VALUE"""),"1")</f>
        <v>1</v>
      </c>
      <c r="L159" s="72">
        <f>IFERROR(__xludf.DUMMYFUNCTION("""COMPUTED_VALUE"""),92.911)</f>
        <v>92.911</v>
      </c>
      <c r="M159" s="39">
        <f>IFERROR(__xludf.DUMMYFUNCTION("""COMPUTED_VALUE"""),0.0)</f>
        <v>0</v>
      </c>
      <c r="N159" s="39">
        <f>IFERROR(__xludf.DUMMYFUNCTION("""COMPUTED_VALUE"""),0.0093)</f>
        <v>0.0093</v>
      </c>
      <c r="O159" s="91">
        <f>IFERROR(__xludf.DUMMYFUNCTION("""COMPUTED_VALUE"""),796.196236217564)</f>
        <v>796.1962362</v>
      </c>
      <c r="P159" s="66">
        <f>IFERROR(__xludf.DUMMYFUNCTION("""COMPUTED_VALUE"""),7.404624996823344)</f>
        <v>7.404624997</v>
      </c>
      <c r="Q159" s="81">
        <f>IFERROR(__xludf.DUMMYFUNCTION("""COMPUTED_VALUE"""),0.0)</f>
        <v>0</v>
      </c>
      <c r="R159" s="81"/>
      <c r="S159" s="66"/>
      <c r="T159" s="66"/>
      <c r="U159" s="66"/>
      <c r="V159" s="66"/>
    </row>
    <row r="160">
      <c r="B160" s="75"/>
      <c r="C160" s="38"/>
      <c r="H160" s="66" t="str">
        <f>IFERROR(__xludf.DUMMYFUNCTION("""COMPUTED_VALUE"""),"AAVE")</f>
        <v>AAVE</v>
      </c>
      <c r="I160" s="66" t="str">
        <f>IFERROR(__xludf.DUMMYFUNCTION("""COMPUTED_VALUE"""),"undeployed")</f>
        <v>undeployed</v>
      </c>
      <c r="J160" s="66" t="str">
        <f>IFERROR(__xludf.DUMMYFUNCTION("""COMPUTED_VALUE"""),"Celsius Network Finance")</f>
        <v>Celsius Network Finance</v>
      </c>
      <c r="K160" s="66" t="str">
        <f>IFERROR(__xludf.DUMMYFUNCTION("""COMPUTED_VALUE"""),"1")</f>
        <v>1</v>
      </c>
      <c r="L160" s="72">
        <f>IFERROR(__xludf.DUMMYFUNCTION("""COMPUTED_VALUE"""),4.32075)</f>
        <v>4.32075</v>
      </c>
      <c r="M160" s="39">
        <f>IFERROR(__xludf.DUMMYFUNCTION("""COMPUTED_VALUE"""),0.0)</f>
        <v>0</v>
      </c>
      <c r="N160" s="39">
        <f>IFERROR(__xludf.DUMMYFUNCTION("""COMPUTED_VALUE"""),0.0385)</f>
        <v>0.0385</v>
      </c>
      <c r="O160" s="91">
        <f>IFERROR(__xludf.DUMMYFUNCTION("""COMPUTED_VALUE"""),748.1976426687)</f>
        <v>748.1976427</v>
      </c>
      <c r="P160" s="66">
        <f>IFERROR(__xludf.DUMMYFUNCTION("""COMPUTED_VALUE"""),28.80560924274495)</f>
        <v>28.80560924</v>
      </c>
      <c r="Q160" s="81">
        <f>IFERROR(__xludf.DUMMYFUNCTION("""COMPUTED_VALUE"""),0.0)</f>
        <v>0</v>
      </c>
      <c r="R160" s="81"/>
      <c r="S160" s="66"/>
      <c r="T160" s="66"/>
      <c r="U160" s="66"/>
      <c r="V160" s="66"/>
    </row>
    <row r="161">
      <c r="B161" s="75"/>
      <c r="C161" s="38"/>
      <c r="H161" s="66" t="str">
        <f>IFERROR(__xludf.DUMMYFUNCTION("""COMPUTED_VALUE"""),"BCH")</f>
        <v>BCH</v>
      </c>
      <c r="I161" s="66" t="str">
        <f>IFERROR(__xludf.DUMMYFUNCTION("""COMPUTED_VALUE"""),"undeployed")</f>
        <v>undeployed</v>
      </c>
      <c r="J161" s="66" t="str">
        <f>IFERROR(__xludf.DUMMYFUNCTION("""COMPUTED_VALUE"""),"Celsius Network")</f>
        <v>Celsius Network</v>
      </c>
      <c r="K161" s="66" t="str">
        <f>IFERROR(__xludf.DUMMYFUNCTION("""COMPUTED_VALUE"""),"1")</f>
        <v>1</v>
      </c>
      <c r="L161" s="72">
        <f>IFERROR(__xludf.DUMMYFUNCTION("""COMPUTED_VALUE"""),1.65245083)</f>
        <v>1.65245083</v>
      </c>
      <c r="M161" s="39">
        <f>IFERROR(__xludf.DUMMYFUNCTION("""COMPUTED_VALUE"""),0.0)</f>
        <v>0</v>
      </c>
      <c r="N161" s="39">
        <f>IFERROR(__xludf.DUMMYFUNCTION("""COMPUTED_VALUE"""),0.0225)</f>
        <v>0.0225</v>
      </c>
      <c r="O161" s="91">
        <f>IFERROR(__xludf.DUMMYFUNCTION("""COMPUTED_VALUE"""),707.0452052434946)</f>
        <v>707.0452052</v>
      </c>
      <c r="P161" s="66">
        <f>IFERROR(__xludf.DUMMYFUNCTION("""COMPUTED_VALUE"""),15.908517117978628)</f>
        <v>15.90851712</v>
      </c>
      <c r="Q161" s="81">
        <f>IFERROR(__xludf.DUMMYFUNCTION("""COMPUTED_VALUE"""),0.0)</f>
        <v>0</v>
      </c>
      <c r="R161" s="81"/>
      <c r="S161" s="66"/>
      <c r="T161" s="66"/>
      <c r="U161" s="66"/>
      <c r="V161" s="66"/>
    </row>
    <row r="162">
      <c r="B162" s="75"/>
      <c r="C162" s="38"/>
      <c r="H162" s="66" t="str">
        <f>IFERROR(__xludf.DUMMYFUNCTION("""COMPUTED_VALUE"""),"BAT")</f>
        <v>BAT</v>
      </c>
      <c r="I162" s="66" t="str">
        <f>IFERROR(__xludf.DUMMYFUNCTION("""COMPUTED_VALUE"""),"undeployed")</f>
        <v>undeployed</v>
      </c>
      <c r="J162" s="66" t="str">
        <f>IFERROR(__xludf.DUMMYFUNCTION("""COMPUTED_VALUE"""),"FTX - DeFi")</f>
        <v>FTX - DeFi</v>
      </c>
      <c r="K162" s="66" t="str">
        <f>IFERROR(__xludf.DUMMYFUNCTION("""COMPUTED_VALUE"""),"4")</f>
        <v>4</v>
      </c>
      <c r="L162" s="72">
        <f>IFERROR(__xludf.DUMMYFUNCTION("""COMPUTED_VALUE"""),549.5233)</f>
        <v>549.5233</v>
      </c>
      <c r="M162" s="39">
        <f>IFERROR(__xludf.DUMMYFUNCTION("""COMPUTED_VALUE"""),0.0)</f>
        <v>0</v>
      </c>
      <c r="N162" s="39">
        <f>IFERROR(__xludf.DUMMYFUNCTION("""COMPUTED_VALUE"""),0.0097)</f>
        <v>0.0097</v>
      </c>
      <c r="O162" s="91">
        <f>IFERROR(__xludf.DUMMYFUNCTION("""COMPUTED_VALUE"""),592.7174244480467)</f>
        <v>592.7174244</v>
      </c>
      <c r="P162" s="66">
        <f>IFERROR(__xludf.DUMMYFUNCTION("""COMPUTED_VALUE"""),5.749359017146054)</f>
        <v>5.749359017</v>
      </c>
      <c r="Q162" s="81">
        <f>IFERROR(__xludf.DUMMYFUNCTION("""COMPUTED_VALUE"""),0.0)</f>
        <v>0</v>
      </c>
      <c r="R162" s="81"/>
      <c r="S162" s="66"/>
      <c r="T162" s="66"/>
      <c r="U162" s="66"/>
      <c r="V162" s="66"/>
    </row>
    <row r="163">
      <c r="B163" s="75"/>
      <c r="C163" s="38"/>
      <c r="H163" s="66" t="str">
        <f>IFERROR(__xludf.DUMMYFUNCTION("""COMPUTED_VALUE"""),"BCH")</f>
        <v>BCH</v>
      </c>
      <c r="I163" s="66" t="str">
        <f>IFERROR(__xludf.DUMMYFUNCTION("""COMPUTED_VALUE"""),"undeployed")</f>
        <v>undeployed</v>
      </c>
      <c r="J163" s="66" t="str">
        <f>IFERROR(__xludf.DUMMYFUNCTION("""COMPUTED_VALUE"""),"Celsius Network Finance")</f>
        <v>Celsius Network Finance</v>
      </c>
      <c r="K163" s="66" t="str">
        <f>IFERROR(__xludf.DUMMYFUNCTION("""COMPUTED_VALUE"""),"1")</f>
        <v>1</v>
      </c>
      <c r="L163" s="72">
        <f>IFERROR(__xludf.DUMMYFUNCTION("""COMPUTED_VALUE"""),0.98022394)</f>
        <v>0.98022394</v>
      </c>
      <c r="M163" s="39">
        <f>IFERROR(__xludf.DUMMYFUNCTION("""COMPUTED_VALUE"""),0.0)</f>
        <v>0</v>
      </c>
      <c r="N163" s="39">
        <f>IFERROR(__xludf.DUMMYFUNCTION("""COMPUTED_VALUE"""),0.0225)</f>
        <v>0.0225</v>
      </c>
      <c r="O163" s="91">
        <f>IFERROR(__xludf.DUMMYFUNCTION("""COMPUTED_VALUE"""),419.4149830418173)</f>
        <v>419.414983</v>
      </c>
      <c r="P163" s="66">
        <f>IFERROR(__xludf.DUMMYFUNCTION("""COMPUTED_VALUE"""),9.43683711844089)</f>
        <v>9.436837118</v>
      </c>
      <c r="Q163" s="81">
        <f>IFERROR(__xludf.DUMMYFUNCTION("""COMPUTED_VALUE"""),0.0)</f>
        <v>0</v>
      </c>
      <c r="R163" s="81"/>
      <c r="S163" s="66"/>
      <c r="T163" s="66"/>
      <c r="U163" s="66"/>
      <c r="V163" s="66"/>
    </row>
    <row r="164">
      <c r="B164" s="75"/>
      <c r="C164" s="38"/>
      <c r="H164" s="66" t="str">
        <f>IFERROR(__xludf.DUMMYFUNCTION("""COMPUTED_VALUE"""),"BADGER")</f>
        <v>BADGER</v>
      </c>
      <c r="I164" s="66" t="str">
        <f>IFERROR(__xludf.DUMMYFUNCTION("""COMPUTED_VALUE"""),"undeployed")</f>
        <v>undeployed</v>
      </c>
      <c r="J164" s="66" t="str">
        <f>IFERROR(__xludf.DUMMYFUNCTION("""COMPUTED_VALUE"""),"Celsius Network System")</f>
        <v>Celsius Network System</v>
      </c>
      <c r="K164" s="66" t="str">
        <f>IFERROR(__xludf.DUMMYFUNCTION("""COMPUTED_VALUE"""),"1")</f>
        <v>1</v>
      </c>
      <c r="L164" s="72">
        <f>IFERROR(__xludf.DUMMYFUNCTION("""COMPUTED_VALUE"""),28.78)</f>
        <v>28.78</v>
      </c>
      <c r="M164" s="39">
        <f>IFERROR(__xludf.DUMMYFUNCTION("""COMPUTED_VALUE"""),0.0)</f>
        <v>0</v>
      </c>
      <c r="N164" s="39" t="str">
        <f>IFERROR(__xludf.DUMMYFUNCTION("""COMPUTED_VALUE"""),"N/A")</f>
        <v>N/A</v>
      </c>
      <c r="O164" s="91">
        <f>IFERROR(__xludf.DUMMYFUNCTION("""COMPUTED_VALUE"""),415.63812288860004)</f>
        <v>415.6381229</v>
      </c>
      <c r="P164" s="66" t="str">
        <f>IFERROR(__xludf.DUMMYFUNCTION("""COMPUTED_VALUE"""),"N/A")</f>
        <v>N/A</v>
      </c>
      <c r="Q164" s="81">
        <f>IFERROR(__xludf.DUMMYFUNCTION("""COMPUTED_VALUE"""),0.0)</f>
        <v>0</v>
      </c>
      <c r="R164" s="81"/>
      <c r="S164" s="66"/>
      <c r="T164" s="66"/>
      <c r="U164" s="66"/>
      <c r="V164" s="66"/>
    </row>
    <row r="165">
      <c r="B165" s="75"/>
      <c r="C165" s="38"/>
      <c r="H165" s="66" t="str">
        <f>IFERROR(__xludf.DUMMYFUNCTION("""COMPUTED_VALUE"""),"FTT")</f>
        <v>FTT</v>
      </c>
      <c r="I165" s="66" t="str">
        <f>IFERROR(__xludf.DUMMYFUNCTION("""COMPUTED_VALUE"""),"undeployed")</f>
        <v>undeployed</v>
      </c>
      <c r="J165" s="66" t="str">
        <f>IFERROR(__xludf.DUMMYFUNCTION("""COMPUTED_VALUE"""),"FTX - Main Account")</f>
        <v>FTX - Main Account</v>
      </c>
      <c r="K165" s="66" t="str">
        <f>IFERROR(__xludf.DUMMYFUNCTION("""COMPUTED_VALUE"""),"2")</f>
        <v>2</v>
      </c>
      <c r="L165" s="72">
        <f>IFERROR(__xludf.DUMMYFUNCTION("""COMPUTED_VALUE"""),10.0)</f>
        <v>10</v>
      </c>
      <c r="M165" s="39">
        <f>IFERROR(__xludf.DUMMYFUNCTION("""COMPUTED_VALUE"""),0.0)</f>
        <v>0</v>
      </c>
      <c r="N165" s="39" t="str">
        <f>IFERROR(__xludf.DUMMYFUNCTION("""COMPUTED_VALUE"""),"N/A")</f>
        <v>N/A</v>
      </c>
      <c r="O165" s="91">
        <f>IFERROR(__xludf.DUMMYFUNCTION("""COMPUTED_VALUE"""),395.1861627)</f>
        <v>395.1861627</v>
      </c>
      <c r="P165" s="66" t="str">
        <f>IFERROR(__xludf.DUMMYFUNCTION("""COMPUTED_VALUE"""),"N/A")</f>
        <v>N/A</v>
      </c>
      <c r="Q165" s="81">
        <f>IFERROR(__xludf.DUMMYFUNCTION("""COMPUTED_VALUE"""),0.0)</f>
        <v>0</v>
      </c>
      <c r="R165" s="81"/>
      <c r="S165" s="66"/>
      <c r="T165" s="66"/>
      <c r="U165" s="66"/>
      <c r="V165" s="66"/>
    </row>
    <row r="166">
      <c r="B166" s="75"/>
      <c r="C166" s="38"/>
      <c r="H166" s="66" t="str">
        <f>IFERROR(__xludf.DUMMYFUNCTION("""COMPUTED_VALUE"""),"ZRX")</f>
        <v>ZRX</v>
      </c>
      <c r="I166" s="66" t="str">
        <f>IFERROR(__xludf.DUMMYFUNCTION("""COMPUTED_VALUE"""),"undeployed")</f>
        <v>undeployed</v>
      </c>
      <c r="J166" s="66" t="str">
        <f>IFERROR(__xludf.DUMMYFUNCTION("""COMPUTED_VALUE"""),"Celsius Network Finance")</f>
        <v>Celsius Network Finance</v>
      </c>
      <c r="K166" s="66" t="str">
        <f>IFERROR(__xludf.DUMMYFUNCTION("""COMPUTED_VALUE"""),"1")</f>
        <v>1</v>
      </c>
      <c r="L166" s="72">
        <f>IFERROR(__xludf.DUMMYFUNCTION("""COMPUTED_VALUE"""),272.88)</f>
        <v>272.88</v>
      </c>
      <c r="M166" s="39">
        <f>IFERROR(__xludf.DUMMYFUNCTION("""COMPUTED_VALUE"""),0.0)</f>
        <v>0</v>
      </c>
      <c r="N166" s="39">
        <f>IFERROR(__xludf.DUMMYFUNCTION("""COMPUTED_VALUE"""),0.0169)</f>
        <v>0.0169</v>
      </c>
      <c r="O166" s="91">
        <f>IFERROR(__xludf.DUMMYFUNCTION("""COMPUTED_VALUE"""),204.18786681703202)</f>
        <v>204.1878668</v>
      </c>
      <c r="P166" s="66">
        <f>IFERROR(__xludf.DUMMYFUNCTION("""COMPUTED_VALUE"""),3.450774949207841)</f>
        <v>3.450774949</v>
      </c>
      <c r="Q166" s="81">
        <f>IFERROR(__xludf.DUMMYFUNCTION("""COMPUTED_VALUE"""),0.0)</f>
        <v>0</v>
      </c>
      <c r="R166" s="81"/>
      <c r="S166" s="66"/>
      <c r="T166" s="66"/>
      <c r="U166" s="66"/>
      <c r="V166" s="66"/>
    </row>
    <row r="167">
      <c r="B167" s="75"/>
      <c r="C167" s="38"/>
      <c r="H167" s="66" t="str">
        <f>IFERROR(__xludf.DUMMYFUNCTION("""COMPUTED_VALUE"""),"DOT")</f>
        <v>DOT</v>
      </c>
      <c r="I167" s="66" t="str">
        <f>IFERROR(__xludf.DUMMYFUNCTION("""COMPUTED_VALUE"""),"undeployed")</f>
        <v>undeployed</v>
      </c>
      <c r="J167" s="66" t="str">
        <f>IFERROR(__xludf.DUMMYFUNCTION("""COMPUTED_VALUE"""),"Celsius OTC")</f>
        <v>Celsius OTC</v>
      </c>
      <c r="K167" s="66" t="str">
        <f>IFERROR(__xludf.DUMMYFUNCTION("""COMPUTED_VALUE"""),"1")</f>
        <v>1</v>
      </c>
      <c r="L167" s="72">
        <f>IFERROR(__xludf.DUMMYFUNCTION("""COMPUTED_VALUE"""),8.194274018)</f>
        <v>8.194274018</v>
      </c>
      <c r="M167" s="39">
        <f>IFERROR(__xludf.DUMMYFUNCTION("""COMPUTED_VALUE"""),0.0)</f>
        <v>0</v>
      </c>
      <c r="N167" s="39">
        <f>IFERROR(__xludf.DUMMYFUNCTION("""COMPUTED_VALUE"""),0.0668)</f>
        <v>0.0668</v>
      </c>
      <c r="O167" s="91">
        <f>IFERROR(__xludf.DUMMYFUNCTION("""COMPUTED_VALUE"""),198.73099999021656)</f>
        <v>198.731</v>
      </c>
      <c r="P167" s="66">
        <f>IFERROR(__xludf.DUMMYFUNCTION("""COMPUTED_VALUE"""),13.275230799346465)</f>
        <v>13.2752308</v>
      </c>
      <c r="Q167" s="81">
        <f>IFERROR(__xludf.DUMMYFUNCTION("""COMPUTED_VALUE"""),0.0)</f>
        <v>0</v>
      </c>
      <c r="R167" s="81"/>
      <c r="S167" s="66"/>
      <c r="T167" s="66"/>
      <c r="U167" s="66"/>
      <c r="V167" s="66"/>
    </row>
    <row r="168">
      <c r="B168" s="75"/>
      <c r="C168" s="38"/>
      <c r="H168" s="66" t="str">
        <f>IFERROR(__xludf.DUMMYFUNCTION("""COMPUTED_VALUE"""),"OMG")</f>
        <v>OMG</v>
      </c>
      <c r="I168" s="66" t="str">
        <f>IFERROR(__xludf.DUMMYFUNCTION("""COMPUTED_VALUE"""),"undeployed")</f>
        <v>undeployed</v>
      </c>
      <c r="J168" s="66" t="str">
        <f>IFERROR(__xludf.DUMMYFUNCTION("""COMPUTED_VALUE"""),"Celsius Network Finance")</f>
        <v>Celsius Network Finance</v>
      </c>
      <c r="K168" s="66" t="str">
        <f>IFERROR(__xludf.DUMMYFUNCTION("""COMPUTED_VALUE"""),"1")</f>
        <v>1</v>
      </c>
      <c r="L168" s="72">
        <f>IFERROR(__xludf.DUMMYFUNCTION("""COMPUTED_VALUE"""),33.702)</f>
        <v>33.702</v>
      </c>
      <c r="M168" s="39">
        <f>IFERROR(__xludf.DUMMYFUNCTION("""COMPUTED_VALUE"""),0.0)</f>
        <v>0</v>
      </c>
      <c r="N168" s="39">
        <f>IFERROR(__xludf.DUMMYFUNCTION("""COMPUTED_VALUE"""),0.0042)</f>
        <v>0.0042</v>
      </c>
      <c r="O168" s="91">
        <f>IFERROR(__xludf.DUMMYFUNCTION("""COMPUTED_VALUE"""),194.196994876068)</f>
        <v>194.1969949</v>
      </c>
      <c r="P168" s="66">
        <f>IFERROR(__xludf.DUMMYFUNCTION("""COMPUTED_VALUE"""),0.8156273784794855)</f>
        <v>0.8156273785</v>
      </c>
      <c r="Q168" s="81">
        <f>IFERROR(__xludf.DUMMYFUNCTION("""COMPUTED_VALUE"""),0.0)</f>
        <v>0</v>
      </c>
      <c r="R168" s="81"/>
      <c r="S168" s="66"/>
      <c r="T168" s="66"/>
      <c r="U168" s="66"/>
      <c r="V168" s="66"/>
    </row>
    <row r="169">
      <c r="B169" s="75"/>
      <c r="C169" s="38"/>
      <c r="H169" s="66" t="str">
        <f>IFERROR(__xludf.DUMMYFUNCTION("""COMPUTED_VALUE"""),"AMPL")</f>
        <v>AMPL</v>
      </c>
      <c r="I169" s="66" t="str">
        <f>IFERROR(__xludf.DUMMYFUNCTION("""COMPUTED_VALUE"""),"undeployed")</f>
        <v>undeployed</v>
      </c>
      <c r="J169" s="66" t="str">
        <f>IFERROR(__xludf.DUMMYFUNCTION("""COMPUTED_VALUE"""),"Celsius Network System")</f>
        <v>Celsius Network System</v>
      </c>
      <c r="K169" s="66" t="str">
        <f>IFERROR(__xludf.DUMMYFUNCTION("""COMPUTED_VALUE"""),"1")</f>
        <v>1</v>
      </c>
      <c r="L169" s="72">
        <f>IFERROR(__xludf.DUMMYFUNCTION("""COMPUTED_VALUE"""),204.1783296)</f>
        <v>204.1783296</v>
      </c>
      <c r="M169" s="39">
        <f>IFERROR(__xludf.DUMMYFUNCTION("""COMPUTED_VALUE"""),0.0)</f>
        <v>0</v>
      </c>
      <c r="N169" s="39" t="str">
        <f>IFERROR(__xludf.DUMMYFUNCTION("""COMPUTED_VALUE"""),"N/A")</f>
        <v>N/A</v>
      </c>
      <c r="O169" s="91">
        <f>IFERROR(__xludf.DUMMYFUNCTION("""COMPUTED_VALUE"""),185.53203823777397)</f>
        <v>185.5320382</v>
      </c>
      <c r="P169" s="66" t="str">
        <f>IFERROR(__xludf.DUMMYFUNCTION("""COMPUTED_VALUE"""),"N/A")</f>
        <v>N/A</v>
      </c>
      <c r="Q169" s="81">
        <f>IFERROR(__xludf.DUMMYFUNCTION("""COMPUTED_VALUE"""),0.0)</f>
        <v>0</v>
      </c>
      <c r="R169" s="81"/>
      <c r="S169" s="66"/>
      <c r="T169" s="66"/>
      <c r="U169" s="66"/>
      <c r="V169" s="66"/>
    </row>
    <row r="170">
      <c r="B170" s="75"/>
      <c r="C170" s="38"/>
      <c r="H170" s="66" t="str">
        <f>IFERROR(__xludf.DUMMYFUNCTION("""COMPUTED_VALUE"""),"LTC")</f>
        <v>LTC</v>
      </c>
      <c r="I170" s="66" t="str">
        <f>IFERROR(__xludf.DUMMYFUNCTION("""COMPUTED_VALUE"""),"undeployed")</f>
        <v>undeployed</v>
      </c>
      <c r="J170" s="66" t="str">
        <f>IFERROR(__xludf.DUMMYFUNCTION("""COMPUTED_VALUE"""),"Celsius Network Finance")</f>
        <v>Celsius Network Finance</v>
      </c>
      <c r="K170" s="66" t="str">
        <f>IFERROR(__xludf.DUMMYFUNCTION("""COMPUTED_VALUE"""),"1")</f>
        <v>1</v>
      </c>
      <c r="L170" s="72">
        <f>IFERROR(__xludf.DUMMYFUNCTION("""COMPUTED_VALUE"""),1.0842951)</f>
        <v>1.0842951</v>
      </c>
      <c r="M170" s="39">
        <f>IFERROR(__xludf.DUMMYFUNCTION("""COMPUTED_VALUE"""),0.0)</f>
        <v>0</v>
      </c>
      <c r="N170" s="39">
        <f>IFERROR(__xludf.DUMMYFUNCTION("""COMPUTED_VALUE"""),0.0285)</f>
        <v>0.0285</v>
      </c>
      <c r="O170" s="91">
        <f>IFERROR(__xludf.DUMMYFUNCTION("""COMPUTED_VALUE"""),162.88110898827662)</f>
        <v>162.881109</v>
      </c>
      <c r="P170" s="66">
        <f>IFERROR(__xludf.DUMMYFUNCTION("""COMPUTED_VALUE"""),4.642111606165884)</f>
        <v>4.642111606</v>
      </c>
      <c r="Q170" s="81">
        <f>IFERROR(__xludf.DUMMYFUNCTION("""COMPUTED_VALUE"""),0.0)</f>
        <v>0</v>
      </c>
      <c r="R170" s="81"/>
      <c r="S170" s="66"/>
      <c r="T170" s="66"/>
      <c r="U170" s="66"/>
      <c r="V170" s="66"/>
    </row>
    <row r="171">
      <c r="B171" s="75"/>
      <c r="C171" s="38"/>
      <c r="H171" s="66" t="str">
        <f>IFERROR(__xludf.DUMMYFUNCTION("""COMPUTED_VALUE"""),"SRM")</f>
        <v>SRM</v>
      </c>
      <c r="I171" s="66" t="str">
        <f>IFERROR(__xludf.DUMMYFUNCTION("""COMPUTED_VALUE"""),"undeployed")</f>
        <v>undeployed</v>
      </c>
      <c r="J171" s="66" t="str">
        <f>IFERROR(__xludf.DUMMYFUNCTION("""COMPUTED_VALUE"""),"FTX - Management")</f>
        <v>FTX - Management</v>
      </c>
      <c r="K171" s="66" t="str">
        <f>IFERROR(__xludf.DUMMYFUNCTION("""COMPUTED_VALUE"""),"4")</f>
        <v>4</v>
      </c>
      <c r="L171" s="72">
        <f>IFERROR(__xludf.DUMMYFUNCTION("""COMPUTED_VALUE"""),40.24974515)</f>
        <v>40.24974515</v>
      </c>
      <c r="M171" s="39">
        <f>IFERROR(__xludf.DUMMYFUNCTION("""COMPUTED_VALUE"""),0.0)</f>
        <v>0</v>
      </c>
      <c r="N171" s="39" t="str">
        <f>IFERROR(__xludf.DUMMYFUNCTION("""COMPUTED_VALUE"""),"N/A")</f>
        <v>N/A</v>
      </c>
      <c r="O171" s="91">
        <f>IFERROR(__xludf.DUMMYFUNCTION("""COMPUTED_VALUE"""),133.8432701452765)</f>
        <v>133.8432701</v>
      </c>
      <c r="P171" s="66" t="str">
        <f>IFERROR(__xludf.DUMMYFUNCTION("""COMPUTED_VALUE"""),"N/A")</f>
        <v>N/A</v>
      </c>
      <c r="Q171" s="81">
        <f>IFERROR(__xludf.DUMMYFUNCTION("""COMPUTED_VALUE"""),0.0)</f>
        <v>0</v>
      </c>
      <c r="R171" s="81"/>
      <c r="S171" s="66"/>
      <c r="T171" s="66"/>
      <c r="U171" s="66"/>
      <c r="V171" s="66"/>
    </row>
    <row r="172">
      <c r="B172" s="75"/>
      <c r="C172" s="38"/>
      <c r="H172" s="66" t="str">
        <f>IFERROR(__xludf.DUMMYFUNCTION("""COMPUTED_VALUE"""),"COMP")</f>
        <v>COMP</v>
      </c>
      <c r="I172" s="66" t="str">
        <f>IFERROR(__xludf.DUMMYFUNCTION("""COMPUTED_VALUE"""),"undeployed")</f>
        <v>undeployed</v>
      </c>
      <c r="J172" s="66" t="str">
        <f>IFERROR(__xludf.DUMMYFUNCTION("""COMPUTED_VALUE"""),"Celsius Network")</f>
        <v>Celsius Network</v>
      </c>
      <c r="K172" s="66" t="str">
        <f>IFERROR(__xludf.DUMMYFUNCTION("""COMPUTED_VALUE"""),"1")</f>
        <v>1</v>
      </c>
      <c r="L172" s="72">
        <f>IFERROR(__xludf.DUMMYFUNCTION("""COMPUTED_VALUE"""),0.67903)</f>
        <v>0.67903</v>
      </c>
      <c r="M172" s="39">
        <f>IFERROR(__xludf.DUMMYFUNCTION("""COMPUTED_VALUE"""),0.0)</f>
        <v>0</v>
      </c>
      <c r="N172" s="39">
        <f>IFERROR(__xludf.DUMMYFUNCTION("""COMPUTED_VALUE"""),0.0453)</f>
        <v>0.0453</v>
      </c>
      <c r="O172" s="91">
        <f>IFERROR(__xludf.DUMMYFUNCTION("""COMPUTED_VALUE"""),127.37244740000001)</f>
        <v>127.3724474</v>
      </c>
      <c r="P172" s="66">
        <f>IFERROR(__xludf.DUMMYFUNCTION("""COMPUTED_VALUE"""),5.769971867220001)</f>
        <v>5.769971867</v>
      </c>
      <c r="Q172" s="81">
        <f>IFERROR(__xludf.DUMMYFUNCTION("""COMPUTED_VALUE"""),0.0)</f>
        <v>0</v>
      </c>
      <c r="R172" s="81"/>
      <c r="S172" s="66"/>
      <c r="T172" s="66"/>
      <c r="U172" s="66"/>
      <c r="V172" s="66"/>
    </row>
    <row r="173">
      <c r="B173" s="75"/>
      <c r="C173" s="38"/>
      <c r="H173" s="66" t="str">
        <f>IFERROR(__xludf.DUMMYFUNCTION("""COMPUTED_VALUE"""),"KNC")</f>
        <v>KNC</v>
      </c>
      <c r="I173" s="66" t="str">
        <f>IFERROR(__xludf.DUMMYFUNCTION("""COMPUTED_VALUE"""),"undeployed")</f>
        <v>undeployed</v>
      </c>
      <c r="J173" s="66" t="str">
        <f>IFERROR(__xludf.DUMMYFUNCTION("""COMPUTED_VALUE"""),"Celsius Network Finance")</f>
        <v>Celsius Network Finance</v>
      </c>
      <c r="K173" s="66" t="str">
        <f>IFERROR(__xludf.DUMMYFUNCTION("""COMPUTED_VALUE"""),"1")</f>
        <v>1</v>
      </c>
      <c r="L173" s="72">
        <f>IFERROR(__xludf.DUMMYFUNCTION("""COMPUTED_VALUE"""),97.067)</f>
        <v>97.067</v>
      </c>
      <c r="M173" s="39">
        <f>IFERROR(__xludf.DUMMYFUNCTION("""COMPUTED_VALUE"""),0.0)</f>
        <v>0</v>
      </c>
      <c r="N173" s="39">
        <f>IFERROR(__xludf.DUMMYFUNCTION("""COMPUTED_VALUE"""),0.0048)</f>
        <v>0.0048</v>
      </c>
      <c r="O173" s="91">
        <f>IFERROR(__xludf.DUMMYFUNCTION("""COMPUTED_VALUE"""),119.93453239821099)</f>
        <v>119.9345324</v>
      </c>
      <c r="P173" s="66">
        <f>IFERROR(__xludf.DUMMYFUNCTION("""COMPUTED_VALUE"""),0.5756857555114127)</f>
        <v>0.5756857555</v>
      </c>
      <c r="Q173" s="81">
        <f>IFERROR(__xludf.DUMMYFUNCTION("""COMPUTED_VALUE"""),0.0)</f>
        <v>0</v>
      </c>
      <c r="R173" s="81"/>
      <c r="S173" s="66"/>
      <c r="T173" s="66"/>
      <c r="U173" s="66"/>
      <c r="V173" s="66"/>
    </row>
    <row r="174">
      <c r="B174" s="75"/>
      <c r="C174" s="38"/>
      <c r="H174" s="66" t="str">
        <f>IFERROR(__xludf.DUMMYFUNCTION("""COMPUTED_VALUE"""),"SGR")</f>
        <v>SGR</v>
      </c>
      <c r="I174" s="66" t="str">
        <f>IFERROR(__xludf.DUMMYFUNCTION("""COMPUTED_VALUE"""),"undeployed")</f>
        <v>undeployed</v>
      </c>
      <c r="J174" s="66" t="str">
        <f>IFERROR(__xludf.DUMMYFUNCTION("""COMPUTED_VALUE"""),"Celsius Network System")</f>
        <v>Celsius Network System</v>
      </c>
      <c r="K174" s="66" t="str">
        <f>IFERROR(__xludf.DUMMYFUNCTION("""COMPUTED_VALUE"""),"1")</f>
        <v>1</v>
      </c>
      <c r="L174" s="72">
        <f>IFERROR(__xludf.DUMMYFUNCTION("""COMPUTED_VALUE"""),92.04084298)</f>
        <v>92.04084298</v>
      </c>
      <c r="M174" s="39">
        <f>IFERROR(__xludf.DUMMYFUNCTION("""COMPUTED_VALUE"""),0.0)</f>
        <v>0</v>
      </c>
      <c r="N174" s="39">
        <f>IFERROR(__xludf.DUMMYFUNCTION("""COMPUTED_VALUE"""),0.0)</f>
        <v>0</v>
      </c>
      <c r="O174" s="91">
        <f>IFERROR(__xludf.DUMMYFUNCTION("""COMPUTED_VALUE"""),111.79682537426324)</f>
        <v>111.7968254</v>
      </c>
      <c r="P174" s="66">
        <f>IFERROR(__xludf.DUMMYFUNCTION("""COMPUTED_VALUE"""),0.0)</f>
        <v>0</v>
      </c>
      <c r="Q174" s="81">
        <f>IFERROR(__xludf.DUMMYFUNCTION("""COMPUTED_VALUE"""),0.0)</f>
        <v>0</v>
      </c>
      <c r="R174" s="81"/>
      <c r="S174" s="66"/>
      <c r="T174" s="66"/>
      <c r="U174" s="66"/>
      <c r="V174" s="66"/>
    </row>
    <row r="175">
      <c r="B175" s="75"/>
      <c r="C175" s="38"/>
      <c r="H175" s="66" t="str">
        <f>IFERROR(__xludf.DUMMYFUNCTION("""COMPUTED_VALUE"""),"AVAX")</f>
        <v>AVAX</v>
      </c>
      <c r="I175" s="66" t="str">
        <f>IFERROR(__xludf.DUMMYFUNCTION("""COMPUTED_VALUE"""),"undeployed")</f>
        <v>undeployed</v>
      </c>
      <c r="J175" s="66" t="str">
        <f>IFERROR(__xludf.DUMMYFUNCTION("""COMPUTED_VALUE"""),"Celsius Network")</f>
        <v>Celsius Network</v>
      </c>
      <c r="K175" s="66" t="str">
        <f>IFERROR(__xludf.DUMMYFUNCTION("""COMPUTED_VALUE"""),"1")</f>
        <v>1</v>
      </c>
      <c r="L175" s="72">
        <f>IFERROR(__xludf.DUMMYFUNCTION("""COMPUTED_VALUE"""),0.9963049322)</f>
        <v>0.9963049322</v>
      </c>
      <c r="M175" s="39">
        <f>IFERROR(__xludf.DUMMYFUNCTION("""COMPUTED_VALUE"""),0.0)</f>
        <v>0</v>
      </c>
      <c r="N175" s="39" t="str">
        <f>IFERROR(__xludf.DUMMYFUNCTION("""COMPUTED_VALUE"""),"N/A")</f>
        <v>N/A</v>
      </c>
      <c r="O175" s="91">
        <f>IFERROR(__xludf.DUMMYFUNCTION("""COMPUTED_VALUE"""),103.78557447114818)</f>
        <v>103.7855745</v>
      </c>
      <c r="P175" s="66" t="str">
        <f>IFERROR(__xludf.DUMMYFUNCTION("""COMPUTED_VALUE"""),"N/A")</f>
        <v>N/A</v>
      </c>
      <c r="Q175" s="81">
        <f>IFERROR(__xludf.DUMMYFUNCTION("""COMPUTED_VALUE"""),0.0)</f>
        <v>0</v>
      </c>
      <c r="R175" s="81"/>
      <c r="S175" s="66"/>
      <c r="T175" s="66"/>
      <c r="U175" s="66"/>
      <c r="V175" s="66"/>
    </row>
    <row r="176">
      <c r="B176" s="75"/>
      <c r="C176" s="38"/>
      <c r="H176" s="66" t="str">
        <f>IFERROR(__xludf.DUMMYFUNCTION("""COMPUTED_VALUE"""),"ROOK")</f>
        <v>ROOK</v>
      </c>
      <c r="I176" s="66" t="str">
        <f>IFERROR(__xludf.DUMMYFUNCTION("""COMPUTED_VALUE"""),"undeployed")</f>
        <v>undeployed</v>
      </c>
      <c r="J176" s="66" t="str">
        <f>IFERROR(__xludf.DUMMYFUNCTION("""COMPUTED_VALUE"""),"FTX - DeFi")</f>
        <v>FTX - DeFi</v>
      </c>
      <c r="K176" s="66" t="str">
        <f>IFERROR(__xludf.DUMMYFUNCTION("""COMPUTED_VALUE"""),"4")</f>
        <v>4</v>
      </c>
      <c r="L176" s="72">
        <f>IFERROR(__xludf.DUMMYFUNCTION("""COMPUTED_VALUE"""),0.70342021)</f>
        <v>0.70342021</v>
      </c>
      <c r="M176" s="39">
        <f>IFERROR(__xludf.DUMMYFUNCTION("""COMPUTED_VALUE"""),0.0)</f>
        <v>0</v>
      </c>
      <c r="N176" s="39" t="str">
        <f>IFERROR(__xludf.DUMMYFUNCTION("""COMPUTED_VALUE"""),"N/A")</f>
        <v>N/A</v>
      </c>
      <c r="O176" s="91">
        <f>IFERROR(__xludf.DUMMYFUNCTION("""COMPUTED_VALUE"""),101.53391477092524)</f>
        <v>101.5339148</v>
      </c>
      <c r="P176" s="66" t="str">
        <f>IFERROR(__xludf.DUMMYFUNCTION("""COMPUTED_VALUE"""),"N/A")</f>
        <v>N/A</v>
      </c>
      <c r="Q176" s="81">
        <f>IFERROR(__xludf.DUMMYFUNCTION("""COMPUTED_VALUE"""),0.0)</f>
        <v>0</v>
      </c>
      <c r="R176" s="81"/>
      <c r="S176" s="66"/>
      <c r="T176" s="66"/>
      <c r="U176" s="66"/>
      <c r="V176" s="66"/>
    </row>
    <row r="177">
      <c r="B177" s="75"/>
      <c r="C177" s="38"/>
      <c r="H177" s="66" t="str">
        <f>IFERROR(__xludf.DUMMYFUNCTION("""COMPUTED_VALUE"""),"BAT")</f>
        <v>BAT</v>
      </c>
      <c r="I177" s="66" t="str">
        <f>IFERROR(__xludf.DUMMYFUNCTION("""COMPUTED_VALUE"""),"undeployed")</f>
        <v>undeployed</v>
      </c>
      <c r="J177" s="66" t="str">
        <f>IFERROR(__xludf.DUMMYFUNCTION("""COMPUTED_VALUE"""),"Celsius Network Finance")</f>
        <v>Celsius Network Finance</v>
      </c>
      <c r="K177" s="66" t="str">
        <f>IFERROR(__xludf.DUMMYFUNCTION("""COMPUTED_VALUE"""),"1")</f>
        <v>1</v>
      </c>
      <c r="L177" s="72">
        <f>IFERROR(__xludf.DUMMYFUNCTION("""COMPUTED_VALUE"""),86.74)</f>
        <v>86.74</v>
      </c>
      <c r="M177" s="39">
        <f>IFERROR(__xludf.DUMMYFUNCTION("""COMPUTED_VALUE"""),0.0)</f>
        <v>0</v>
      </c>
      <c r="N177" s="39">
        <f>IFERROR(__xludf.DUMMYFUNCTION("""COMPUTED_VALUE"""),0.0097)</f>
        <v>0.0097</v>
      </c>
      <c r="O177" s="91">
        <f>IFERROR(__xludf.DUMMYFUNCTION("""COMPUTED_VALUE"""),93.55801545926)</f>
        <v>93.55801546</v>
      </c>
      <c r="P177" s="66">
        <f>IFERROR(__xludf.DUMMYFUNCTION("""COMPUTED_VALUE"""),0.9075127499548221)</f>
        <v>0.90751275</v>
      </c>
      <c r="Q177" s="81">
        <f>IFERROR(__xludf.DUMMYFUNCTION("""COMPUTED_VALUE"""),0.0)</f>
        <v>0</v>
      </c>
      <c r="R177" s="81"/>
      <c r="S177" s="66"/>
      <c r="T177" s="66"/>
      <c r="U177" s="66"/>
      <c r="V177" s="66"/>
    </row>
    <row r="178">
      <c r="B178" s="75"/>
      <c r="C178" s="38"/>
      <c r="H178" s="66" t="str">
        <f>IFERROR(__xludf.DUMMYFUNCTION("""COMPUTED_VALUE"""),"CREAM")</f>
        <v>CREAM</v>
      </c>
      <c r="I178" s="66" t="str">
        <f>IFERROR(__xludf.DUMMYFUNCTION("""COMPUTED_VALUE"""),"undeployed")</f>
        <v>undeployed</v>
      </c>
      <c r="J178" s="66" t="str">
        <f>IFERROR(__xludf.DUMMYFUNCTION("""COMPUTED_VALUE"""),"Celsius Network System")</f>
        <v>Celsius Network System</v>
      </c>
      <c r="K178" s="66" t="str">
        <f>IFERROR(__xludf.DUMMYFUNCTION("""COMPUTED_VALUE"""),"1")</f>
        <v>1</v>
      </c>
      <c r="L178" s="72">
        <f>IFERROR(__xludf.DUMMYFUNCTION("""COMPUTED_VALUE"""),2.592)</f>
        <v>2.592</v>
      </c>
      <c r="M178" s="39">
        <f>IFERROR(__xludf.DUMMYFUNCTION("""COMPUTED_VALUE"""),0.0)</f>
        <v>0</v>
      </c>
      <c r="N178" s="39" t="str">
        <f>IFERROR(__xludf.DUMMYFUNCTION("""COMPUTED_VALUE"""),"N/A")</f>
        <v>N/A</v>
      </c>
      <c r="O178" s="91">
        <f>IFERROR(__xludf.DUMMYFUNCTION("""COMPUTED_VALUE"""),79.93728)</f>
        <v>79.93728</v>
      </c>
      <c r="P178" s="66" t="str">
        <f>IFERROR(__xludf.DUMMYFUNCTION("""COMPUTED_VALUE"""),"N/A")</f>
        <v>N/A</v>
      </c>
      <c r="Q178" s="81">
        <f>IFERROR(__xludf.DUMMYFUNCTION("""COMPUTED_VALUE"""),0.0)</f>
        <v>0</v>
      </c>
      <c r="R178" s="81"/>
      <c r="S178" s="66"/>
      <c r="T178" s="66"/>
      <c r="U178" s="66"/>
      <c r="V178" s="66"/>
    </row>
    <row r="179">
      <c r="B179" s="75"/>
      <c r="C179" s="38"/>
      <c r="H179" s="66" t="str">
        <f>IFERROR(__xludf.DUMMYFUNCTION("""COMPUTED_VALUE"""),"CREAM")</f>
        <v>CREAM</v>
      </c>
      <c r="I179" s="66" t="str">
        <f>IFERROR(__xludf.DUMMYFUNCTION("""COMPUTED_VALUE"""),"undeployed")</f>
        <v>undeployed</v>
      </c>
      <c r="J179" s="66" t="str">
        <f>IFERROR(__xludf.DUMMYFUNCTION("""COMPUTED_VALUE"""),"Celsius Network Finance")</f>
        <v>Celsius Network Finance</v>
      </c>
      <c r="K179" s="66" t="str">
        <f>IFERROR(__xludf.DUMMYFUNCTION("""COMPUTED_VALUE"""),"1")</f>
        <v>1</v>
      </c>
      <c r="L179" s="72">
        <f>IFERROR(__xludf.DUMMYFUNCTION("""COMPUTED_VALUE"""),2.443944039)</f>
        <v>2.443944039</v>
      </c>
      <c r="M179" s="39">
        <f>IFERROR(__xludf.DUMMYFUNCTION("""COMPUTED_VALUE"""),0.0)</f>
        <v>0</v>
      </c>
      <c r="N179" s="39" t="str">
        <f>IFERROR(__xludf.DUMMYFUNCTION("""COMPUTED_VALUE"""),"N/A")</f>
        <v>N/A</v>
      </c>
      <c r="O179" s="91">
        <f>IFERROR(__xludf.DUMMYFUNCTION("""COMPUTED_VALUE"""),75.37123416275999)</f>
        <v>75.37123416</v>
      </c>
      <c r="P179" s="66" t="str">
        <f>IFERROR(__xludf.DUMMYFUNCTION("""COMPUTED_VALUE"""),"N/A")</f>
        <v>N/A</v>
      </c>
      <c r="Q179" s="81">
        <f>IFERROR(__xludf.DUMMYFUNCTION("""COMPUTED_VALUE"""),0.0)</f>
        <v>0</v>
      </c>
      <c r="R179" s="81"/>
      <c r="S179" s="66"/>
      <c r="T179" s="66"/>
      <c r="U179" s="66"/>
      <c r="V179" s="66"/>
    </row>
    <row r="180">
      <c r="B180" s="75"/>
      <c r="C180" s="38"/>
      <c r="H180" s="66" t="str">
        <f>IFERROR(__xludf.DUMMYFUNCTION("""COMPUTED_VALUE"""),"XLM")</f>
        <v>XLM</v>
      </c>
      <c r="I180" s="66" t="str">
        <f>IFERROR(__xludf.DUMMYFUNCTION("""COMPUTED_VALUE"""),"undeployed")</f>
        <v>undeployed</v>
      </c>
      <c r="J180" s="66" t="str">
        <f>IFERROR(__xludf.DUMMYFUNCTION("""COMPUTED_VALUE"""),"Celsius Network Finance")</f>
        <v>Celsius Network Finance</v>
      </c>
      <c r="K180" s="66" t="str">
        <f>IFERROR(__xludf.DUMMYFUNCTION("""COMPUTED_VALUE"""),"1")</f>
        <v>1</v>
      </c>
      <c r="L180" s="72">
        <f>IFERROR(__xludf.DUMMYFUNCTION("""COMPUTED_VALUE"""),251.9499726)</f>
        <v>251.9499726</v>
      </c>
      <c r="M180" s="39">
        <f>IFERROR(__xludf.DUMMYFUNCTION("""COMPUTED_VALUE"""),0.0)</f>
        <v>0</v>
      </c>
      <c r="N180" s="39">
        <f>IFERROR(__xludf.DUMMYFUNCTION("""COMPUTED_VALUE"""),0.0091)</f>
        <v>0.0091</v>
      </c>
      <c r="O180" s="91">
        <f>IFERROR(__xludf.DUMMYFUNCTION("""COMPUTED_VALUE"""),68.0584902485202)</f>
        <v>68.05849025</v>
      </c>
      <c r="P180" s="66">
        <f>IFERROR(__xludf.DUMMYFUNCTION("""COMPUTED_VALUE"""),0.6193322612615338)</f>
        <v>0.6193322613</v>
      </c>
      <c r="Q180" s="81">
        <f>IFERROR(__xludf.DUMMYFUNCTION("""COMPUTED_VALUE"""),0.0)</f>
        <v>0</v>
      </c>
      <c r="R180" s="81"/>
      <c r="S180" s="66"/>
      <c r="T180" s="66"/>
      <c r="U180" s="66"/>
      <c r="V180" s="66"/>
    </row>
    <row r="181">
      <c r="B181" s="75"/>
      <c r="C181" s="38"/>
      <c r="H181" s="66" t="str">
        <f>IFERROR(__xludf.DUMMYFUNCTION("""COMPUTED_VALUE"""),"FTT")</f>
        <v>FTT</v>
      </c>
      <c r="I181" s="66" t="str">
        <f>IFERROR(__xludf.DUMMYFUNCTION("""COMPUTED_VALUE"""),"undeployed")</f>
        <v>undeployed</v>
      </c>
      <c r="J181" s="66" t="str">
        <f>IFERROR(__xludf.DUMMYFUNCTION("""COMPUTED_VALUE"""),"Celsius Network System")</f>
        <v>Celsius Network System</v>
      </c>
      <c r="K181" s="66" t="str">
        <f>IFERROR(__xludf.DUMMYFUNCTION("""COMPUTED_VALUE"""),"1")</f>
        <v>1</v>
      </c>
      <c r="L181" s="72">
        <f>IFERROR(__xludf.DUMMYFUNCTION("""COMPUTED_VALUE"""),0.9993)</f>
        <v>0.9993</v>
      </c>
      <c r="M181" s="39">
        <f>IFERROR(__xludf.DUMMYFUNCTION("""COMPUTED_VALUE"""),0.0)</f>
        <v>0</v>
      </c>
      <c r="N181" s="39" t="str">
        <f>IFERROR(__xludf.DUMMYFUNCTION("""COMPUTED_VALUE"""),"N/A")</f>
        <v>N/A</v>
      </c>
      <c r="O181" s="91">
        <f>IFERROR(__xludf.DUMMYFUNCTION("""COMPUTED_VALUE"""),39.490953238611)</f>
        <v>39.49095324</v>
      </c>
      <c r="P181" s="66" t="str">
        <f>IFERROR(__xludf.DUMMYFUNCTION("""COMPUTED_VALUE"""),"N/A")</f>
        <v>N/A</v>
      </c>
      <c r="Q181" s="81">
        <f>IFERROR(__xludf.DUMMYFUNCTION("""COMPUTED_VALUE"""),0.0)</f>
        <v>0</v>
      </c>
      <c r="R181" s="81"/>
      <c r="S181" s="66"/>
      <c r="T181" s="66"/>
      <c r="U181" s="66"/>
      <c r="V181" s="66"/>
    </row>
    <row r="182">
      <c r="B182" s="75"/>
      <c r="C182" s="38"/>
      <c r="H182" s="66" t="str">
        <f>IFERROR(__xludf.DUMMYFUNCTION("""COMPUTED_VALUE"""),"COMP")</f>
        <v>COMP</v>
      </c>
      <c r="I182" s="66" t="str">
        <f>IFERROR(__xludf.DUMMYFUNCTION("""COMPUTED_VALUE"""),"undeployed")</f>
        <v>undeployed</v>
      </c>
      <c r="J182" s="66" t="str">
        <f>IFERROR(__xludf.DUMMYFUNCTION("""COMPUTED_VALUE"""),"FTX - Main Account")</f>
        <v>FTX - Main Account</v>
      </c>
      <c r="K182" s="66" t="str">
        <f>IFERROR(__xludf.DUMMYFUNCTION("""COMPUTED_VALUE"""),"2")</f>
        <v>2</v>
      </c>
      <c r="L182" s="72">
        <f>IFERROR(__xludf.DUMMYFUNCTION("""COMPUTED_VALUE"""),0.20155175)</f>
        <v>0.20155175</v>
      </c>
      <c r="M182" s="39">
        <f>IFERROR(__xludf.DUMMYFUNCTION("""COMPUTED_VALUE"""),0.0)</f>
        <v>0</v>
      </c>
      <c r="N182" s="39">
        <f>IFERROR(__xludf.DUMMYFUNCTION("""COMPUTED_VALUE"""),0.0453)</f>
        <v>0.0453</v>
      </c>
      <c r="O182" s="91">
        <f>IFERROR(__xludf.DUMMYFUNCTION("""COMPUTED_VALUE"""),37.807077265000004)</f>
        <v>37.80707727</v>
      </c>
      <c r="P182" s="66">
        <f>IFERROR(__xludf.DUMMYFUNCTION("""COMPUTED_VALUE"""),1.7126606001045002)</f>
        <v>1.7126606</v>
      </c>
      <c r="Q182" s="81">
        <f>IFERROR(__xludf.DUMMYFUNCTION("""COMPUTED_VALUE"""),0.0)</f>
        <v>0</v>
      </c>
      <c r="R182" s="81"/>
      <c r="S182" s="66"/>
      <c r="T182" s="66"/>
      <c r="U182" s="66"/>
      <c r="V182" s="66"/>
    </row>
    <row r="183">
      <c r="B183" s="75"/>
      <c r="C183" s="38"/>
      <c r="H183" s="66" t="str">
        <f>IFERROR(__xludf.DUMMYFUNCTION("""COMPUTED_VALUE"""),"XTZ")</f>
        <v>XTZ</v>
      </c>
      <c r="I183" s="66" t="str">
        <f>IFERROR(__xludf.DUMMYFUNCTION("""COMPUTED_VALUE"""),"undeployed")</f>
        <v>undeployed</v>
      </c>
      <c r="J183" s="66" t="str">
        <f>IFERROR(__xludf.DUMMYFUNCTION("""COMPUTED_VALUE"""),"Celsius Network")</f>
        <v>Celsius Network</v>
      </c>
      <c r="K183" s="66" t="str">
        <f>IFERROR(__xludf.DUMMYFUNCTION("""COMPUTED_VALUE"""),"1")</f>
        <v>1</v>
      </c>
      <c r="L183" s="72">
        <f>IFERROR(__xludf.DUMMYFUNCTION("""COMPUTED_VALUE"""),7.90205)</f>
        <v>7.90205</v>
      </c>
      <c r="M183" s="39">
        <f>IFERROR(__xludf.DUMMYFUNCTION("""COMPUTED_VALUE"""),0.0)</f>
        <v>0</v>
      </c>
      <c r="N183" s="39" t="str">
        <f>IFERROR(__xludf.DUMMYFUNCTION("""COMPUTED_VALUE"""),"N/A")</f>
        <v>N/A</v>
      </c>
      <c r="O183" s="91">
        <f>IFERROR(__xludf.DUMMYFUNCTION("""COMPUTED_VALUE"""),31.872597496177747)</f>
        <v>31.8725975</v>
      </c>
      <c r="P183" s="66" t="str">
        <f>IFERROR(__xludf.DUMMYFUNCTION("""COMPUTED_VALUE"""),"N/A")</f>
        <v>N/A</v>
      </c>
      <c r="Q183" s="81">
        <f>IFERROR(__xludf.DUMMYFUNCTION("""COMPUTED_VALUE"""),0.0)</f>
        <v>0</v>
      </c>
      <c r="R183" s="81"/>
      <c r="S183" s="66"/>
      <c r="T183" s="66"/>
      <c r="U183" s="66"/>
      <c r="V183" s="66"/>
    </row>
    <row r="184">
      <c r="B184" s="75"/>
      <c r="C184" s="38"/>
      <c r="H184" s="66" t="str">
        <f>IFERROR(__xludf.DUMMYFUNCTION("""COMPUTED_VALUE"""),"EOS")</f>
        <v>EOS</v>
      </c>
      <c r="I184" s="66" t="str">
        <f>IFERROR(__xludf.DUMMYFUNCTION("""COMPUTED_VALUE"""),"undeployed")</f>
        <v>undeployed</v>
      </c>
      <c r="J184" s="66" t="str">
        <f>IFERROR(__xludf.DUMMYFUNCTION("""COMPUTED_VALUE"""),"Celsius Network Finance")</f>
        <v>Celsius Network Finance</v>
      </c>
      <c r="K184" s="66" t="str">
        <f>IFERROR(__xludf.DUMMYFUNCTION("""COMPUTED_VALUE"""),"1")</f>
        <v>1</v>
      </c>
      <c r="L184" s="72">
        <f>IFERROR(__xludf.DUMMYFUNCTION("""COMPUTED_VALUE"""),4.8796)</f>
        <v>4.8796</v>
      </c>
      <c r="M184" s="39">
        <f>IFERROR(__xludf.DUMMYFUNCTION("""COMPUTED_VALUE"""),0.0)</f>
        <v>0</v>
      </c>
      <c r="N184" s="39">
        <f>IFERROR(__xludf.DUMMYFUNCTION("""COMPUTED_VALUE"""),0.0288)</f>
        <v>0.0288</v>
      </c>
      <c r="O184" s="91">
        <f>IFERROR(__xludf.DUMMYFUNCTION("""COMPUTED_VALUE"""),15.735706646888799)</f>
        <v>15.73570665</v>
      </c>
      <c r="P184" s="66">
        <f>IFERROR(__xludf.DUMMYFUNCTION("""COMPUTED_VALUE"""),0.4531883514303974)</f>
        <v>0.4531883514</v>
      </c>
      <c r="Q184" s="81">
        <f>IFERROR(__xludf.DUMMYFUNCTION("""COMPUTED_VALUE"""),0.0)</f>
        <v>0</v>
      </c>
      <c r="R184" s="81"/>
      <c r="S184" s="66"/>
      <c r="T184" s="66"/>
      <c r="U184" s="66"/>
      <c r="V184" s="66"/>
    </row>
    <row r="185">
      <c r="B185" s="75"/>
      <c r="C185" s="38"/>
      <c r="H185" s="66" t="str">
        <f>IFERROR(__xludf.DUMMYFUNCTION("""COMPUTED_VALUE"""),"SRM")</f>
        <v>SRM</v>
      </c>
      <c r="I185" s="66" t="str">
        <f>IFERROR(__xludf.DUMMYFUNCTION("""COMPUTED_VALUE"""),"undeployed")</f>
        <v>undeployed</v>
      </c>
      <c r="J185" s="66" t="str">
        <f>IFERROR(__xludf.DUMMYFUNCTION("""COMPUTED_VALUE"""),"FTX - CEL")</f>
        <v>FTX - CEL</v>
      </c>
      <c r="K185" s="66" t="str">
        <f>IFERROR(__xludf.DUMMYFUNCTION("""COMPUTED_VALUE"""),"2")</f>
        <v>2</v>
      </c>
      <c r="L185" s="72">
        <f>IFERROR(__xludf.DUMMYFUNCTION("""COMPUTED_VALUE"""),2.0712209)</f>
        <v>2.0712209</v>
      </c>
      <c r="M185" s="39">
        <f>IFERROR(__xludf.DUMMYFUNCTION("""COMPUTED_VALUE"""),0.0)</f>
        <v>0</v>
      </c>
      <c r="N185" s="39" t="str">
        <f>IFERROR(__xludf.DUMMYFUNCTION("""COMPUTED_VALUE"""),"N/A")</f>
        <v>N/A</v>
      </c>
      <c r="O185" s="91">
        <f>IFERROR(__xludf.DUMMYFUNCTION("""COMPUTED_VALUE"""),6.887471645251963)</f>
        <v>6.887471645</v>
      </c>
      <c r="P185" s="66" t="str">
        <f>IFERROR(__xludf.DUMMYFUNCTION("""COMPUTED_VALUE"""),"N/A")</f>
        <v>N/A</v>
      </c>
      <c r="Q185" s="81">
        <f>IFERROR(__xludf.DUMMYFUNCTION("""COMPUTED_VALUE"""),0.0)</f>
        <v>0</v>
      </c>
      <c r="R185" s="81"/>
      <c r="S185" s="66"/>
      <c r="T185" s="66"/>
      <c r="U185" s="66"/>
      <c r="V185" s="66"/>
    </row>
    <row r="186">
      <c r="B186" s="75"/>
      <c r="C186" s="38"/>
      <c r="H186" s="66" t="str">
        <f>IFERROR(__xludf.DUMMYFUNCTION("""COMPUTED_VALUE"""),"CRV")</f>
        <v>CRV</v>
      </c>
      <c r="I186" s="66" t="str">
        <f>IFERROR(__xludf.DUMMYFUNCTION("""COMPUTED_VALUE"""),"undeployed")</f>
        <v>undeployed</v>
      </c>
      <c r="J186" s="66" t="str">
        <f>IFERROR(__xludf.DUMMYFUNCTION("""COMPUTED_VALUE"""),"FTX - Main Account")</f>
        <v>FTX - Main Account</v>
      </c>
      <c r="K186" s="66" t="str">
        <f>IFERROR(__xludf.DUMMYFUNCTION("""COMPUTED_VALUE"""),"2")</f>
        <v>2</v>
      </c>
      <c r="L186" s="72">
        <f>IFERROR(__xludf.DUMMYFUNCTION("""COMPUTED_VALUE"""),1.43572791)</f>
        <v>1.43572791</v>
      </c>
      <c r="M186" s="39">
        <f>IFERROR(__xludf.DUMMYFUNCTION("""COMPUTED_VALUE"""),0.0)</f>
        <v>0</v>
      </c>
      <c r="N186" s="39" t="str">
        <f>IFERROR(__xludf.DUMMYFUNCTION("""COMPUTED_VALUE"""),"N/A")</f>
        <v>N/A</v>
      </c>
      <c r="O186" s="91">
        <f>IFERROR(__xludf.DUMMYFUNCTION("""COMPUTED_VALUE"""),5.73104451753739)</f>
        <v>5.731044518</v>
      </c>
      <c r="P186" s="66" t="str">
        <f>IFERROR(__xludf.DUMMYFUNCTION("""COMPUTED_VALUE"""),"N/A")</f>
        <v>N/A</v>
      </c>
      <c r="Q186" s="81">
        <f>IFERROR(__xludf.DUMMYFUNCTION("""COMPUTED_VALUE"""),0.0)</f>
        <v>0</v>
      </c>
      <c r="R186" s="81"/>
      <c r="S186" s="66"/>
      <c r="T186" s="66"/>
      <c r="U186" s="66"/>
      <c r="V186" s="66"/>
    </row>
    <row r="187">
      <c r="B187" s="75"/>
      <c r="C187" s="38"/>
      <c r="H187" s="66" t="str">
        <f>IFERROR(__xludf.DUMMYFUNCTION("""COMPUTED_VALUE"""),"BNT")</f>
        <v>BNT</v>
      </c>
      <c r="I187" s="66" t="str">
        <f>IFERROR(__xludf.DUMMYFUNCTION("""COMPUTED_VALUE"""),"undeployed")</f>
        <v>undeployed</v>
      </c>
      <c r="J187" s="66" t="str">
        <f>IFERROR(__xludf.DUMMYFUNCTION("""COMPUTED_VALUE"""),"FTX - DeFi")</f>
        <v>FTX - DeFi</v>
      </c>
      <c r="K187" s="66" t="str">
        <f>IFERROR(__xludf.DUMMYFUNCTION("""COMPUTED_VALUE"""),"4")</f>
        <v>4</v>
      </c>
      <c r="L187" s="72">
        <f>IFERROR(__xludf.DUMMYFUNCTION("""COMPUTED_VALUE"""),1.55739019)</f>
        <v>1.55739019</v>
      </c>
      <c r="M187" s="39">
        <f>IFERROR(__xludf.DUMMYFUNCTION("""COMPUTED_VALUE"""),0.0)</f>
        <v>0</v>
      </c>
      <c r="N187" s="39">
        <f>IFERROR(__xludf.DUMMYFUNCTION("""COMPUTED_VALUE"""),0.0595)</f>
        <v>0.0595</v>
      </c>
      <c r="O187" s="91">
        <f>IFERROR(__xludf.DUMMYFUNCTION("""COMPUTED_VALUE"""),4.930649848926156)</f>
        <v>4.930649849</v>
      </c>
      <c r="P187" s="66">
        <f>IFERROR(__xludf.DUMMYFUNCTION("""COMPUTED_VALUE"""),0.29337366601110626)</f>
        <v>0.293373666</v>
      </c>
      <c r="Q187" s="81">
        <f>IFERROR(__xludf.DUMMYFUNCTION("""COMPUTED_VALUE"""),0.0)</f>
        <v>0</v>
      </c>
      <c r="R187" s="81"/>
      <c r="S187" s="66"/>
      <c r="T187" s="66"/>
      <c r="U187" s="66"/>
      <c r="V187" s="66"/>
    </row>
    <row r="188">
      <c r="B188" s="75"/>
      <c r="C188" s="38"/>
      <c r="H188" s="66" t="str">
        <f>IFERROR(__xludf.DUMMYFUNCTION("""COMPUTED_VALUE"""),"BOND")</f>
        <v>BOND</v>
      </c>
      <c r="I188" s="66" t="str">
        <f>IFERROR(__xludf.DUMMYFUNCTION("""COMPUTED_VALUE"""),"undeployed")</f>
        <v>undeployed</v>
      </c>
      <c r="J188" s="66" t="str">
        <f>IFERROR(__xludf.DUMMYFUNCTION("""COMPUTED_VALUE"""),"Celsius Network System")</f>
        <v>Celsius Network System</v>
      </c>
      <c r="K188" s="66" t="str">
        <f>IFERROR(__xludf.DUMMYFUNCTION("""COMPUTED_VALUE"""),"1")</f>
        <v>1</v>
      </c>
      <c r="L188" s="72">
        <f>IFERROR(__xludf.DUMMYFUNCTION("""COMPUTED_VALUE"""),0.24452292)</f>
        <v>0.24452292</v>
      </c>
      <c r="M188" s="39">
        <f>IFERROR(__xludf.DUMMYFUNCTION("""COMPUTED_VALUE"""),0.0)</f>
        <v>0</v>
      </c>
      <c r="N188" s="39" t="str">
        <f>IFERROR(__xludf.DUMMYFUNCTION("""COMPUTED_VALUE"""),"N/A")</f>
        <v>N/A</v>
      </c>
      <c r="O188" s="91">
        <f>IFERROR(__xludf.DUMMYFUNCTION("""COMPUTED_VALUE"""),3.6825151752000003)</f>
        <v>3.682515175</v>
      </c>
      <c r="P188" s="66" t="str">
        <f>IFERROR(__xludf.DUMMYFUNCTION("""COMPUTED_VALUE"""),"N/A")</f>
        <v>N/A</v>
      </c>
      <c r="Q188" s="81">
        <f>IFERROR(__xludf.DUMMYFUNCTION("""COMPUTED_VALUE"""),0.0)</f>
        <v>0</v>
      </c>
      <c r="R188" s="81"/>
      <c r="S188" s="66"/>
      <c r="T188" s="66"/>
      <c r="U188" s="66"/>
      <c r="V188" s="66"/>
    </row>
    <row r="189">
      <c r="B189" s="75"/>
      <c r="C189" s="38"/>
      <c r="H189" s="66" t="str">
        <f>IFERROR(__xludf.DUMMYFUNCTION("""COMPUTED_VALUE"""),"SRM")</f>
        <v>SRM</v>
      </c>
      <c r="I189" s="66" t="str">
        <f>IFERROR(__xludf.DUMMYFUNCTION("""COMPUTED_VALUE"""),"undeployed")</f>
        <v>undeployed</v>
      </c>
      <c r="J189" s="66" t="str">
        <f>IFERROR(__xludf.DUMMYFUNCTION("""COMPUTED_VALUE"""),"Celsius Network")</f>
        <v>Celsius Network</v>
      </c>
      <c r="K189" s="66" t="str">
        <f>IFERROR(__xludf.DUMMYFUNCTION("""COMPUTED_VALUE"""),"1")</f>
        <v>1</v>
      </c>
      <c r="L189" s="72">
        <f>IFERROR(__xludf.DUMMYFUNCTION("""COMPUTED_VALUE"""),1.0)</f>
        <v>1</v>
      </c>
      <c r="M189" s="39">
        <f>IFERROR(__xludf.DUMMYFUNCTION("""COMPUTED_VALUE"""),0.0)</f>
        <v>0</v>
      </c>
      <c r="N189" s="39" t="str">
        <f>IFERROR(__xludf.DUMMYFUNCTION("""COMPUTED_VALUE"""),"N/A")</f>
        <v>N/A</v>
      </c>
      <c r="O189" s="91">
        <f>IFERROR(__xludf.DUMMYFUNCTION("""COMPUTED_VALUE"""),3.325319692)</f>
        <v>3.325319692</v>
      </c>
      <c r="P189" s="66" t="str">
        <f>IFERROR(__xludf.DUMMYFUNCTION("""COMPUTED_VALUE"""),"N/A")</f>
        <v>N/A</v>
      </c>
      <c r="Q189" s="81">
        <f>IFERROR(__xludf.DUMMYFUNCTION("""COMPUTED_VALUE"""),0.0)</f>
        <v>0</v>
      </c>
      <c r="R189" s="81"/>
      <c r="S189" s="66"/>
      <c r="T189" s="66"/>
      <c r="U189" s="66"/>
      <c r="V189" s="66"/>
    </row>
    <row r="190">
      <c r="B190" s="75"/>
      <c r="C190" s="38"/>
      <c r="H190" s="66" t="str">
        <f>IFERROR(__xludf.DUMMYFUNCTION("""COMPUTED_VALUE"""),"CREAM")</f>
        <v>CREAM</v>
      </c>
      <c r="I190" s="66" t="str">
        <f>IFERROR(__xludf.DUMMYFUNCTION("""COMPUTED_VALUE"""),"undeployed")</f>
        <v>undeployed</v>
      </c>
      <c r="J190" s="66" t="str">
        <f>IFERROR(__xludf.DUMMYFUNCTION("""COMPUTED_VALUE"""),"FTX - DeFi")</f>
        <v>FTX - DeFi</v>
      </c>
      <c r="K190" s="66" t="str">
        <f>IFERROR(__xludf.DUMMYFUNCTION("""COMPUTED_VALUE"""),"4")</f>
        <v>4</v>
      </c>
      <c r="L190" s="72">
        <f>IFERROR(__xludf.DUMMYFUNCTION("""COMPUTED_VALUE"""),0.10383514)</f>
        <v>0.10383514</v>
      </c>
      <c r="M190" s="39">
        <f>IFERROR(__xludf.DUMMYFUNCTION("""COMPUTED_VALUE"""),0.0)</f>
        <v>0</v>
      </c>
      <c r="N190" s="39" t="str">
        <f>IFERROR(__xludf.DUMMYFUNCTION("""COMPUTED_VALUE"""),"N/A")</f>
        <v>N/A</v>
      </c>
      <c r="O190" s="91">
        <f>IFERROR(__xludf.DUMMYFUNCTION("""COMPUTED_VALUE"""),3.2022757176)</f>
        <v>3.202275718</v>
      </c>
      <c r="P190" s="66" t="str">
        <f>IFERROR(__xludf.DUMMYFUNCTION("""COMPUTED_VALUE"""),"N/A")</f>
        <v>N/A</v>
      </c>
      <c r="Q190" s="81">
        <f>IFERROR(__xludf.DUMMYFUNCTION("""COMPUTED_VALUE"""),0.0)</f>
        <v>0</v>
      </c>
      <c r="R190" s="81"/>
      <c r="S190" s="66"/>
      <c r="T190" s="66"/>
      <c r="U190" s="66"/>
      <c r="V190" s="66"/>
    </row>
    <row r="191">
      <c r="B191" s="75"/>
      <c r="C191" s="38"/>
      <c r="H191" s="66" t="str">
        <f>IFERROR(__xludf.DUMMYFUNCTION("""COMPUTED_VALUE"""),"AAVE")</f>
        <v>AAVE</v>
      </c>
      <c r="I191" s="66" t="str">
        <f>IFERROR(__xludf.DUMMYFUNCTION("""COMPUTED_VALUE"""),"undeployed")</f>
        <v>undeployed</v>
      </c>
      <c r="J191" s="66" t="str">
        <f>IFERROR(__xludf.DUMMYFUNCTION("""COMPUTED_VALUE"""),"FTX - Main Account")</f>
        <v>FTX - Main Account</v>
      </c>
      <c r="K191" s="66" t="str">
        <f>IFERROR(__xludf.DUMMYFUNCTION("""COMPUTED_VALUE"""),"2")</f>
        <v>2</v>
      </c>
      <c r="L191" s="72">
        <f>IFERROR(__xludf.DUMMYFUNCTION("""COMPUTED_VALUE"""),0.0134)</f>
        <v>0.0134</v>
      </c>
      <c r="M191" s="39">
        <f>IFERROR(__xludf.DUMMYFUNCTION("""COMPUTED_VALUE"""),0.0)</f>
        <v>0</v>
      </c>
      <c r="N191" s="39">
        <f>IFERROR(__xludf.DUMMYFUNCTION("""COMPUTED_VALUE"""),0.0385)</f>
        <v>0.0385</v>
      </c>
      <c r="O191" s="91">
        <f>IFERROR(__xludf.DUMMYFUNCTION("""COMPUTED_VALUE"""),2.32039539704)</f>
        <v>2.320395397</v>
      </c>
      <c r="P191" s="66">
        <f>IFERROR(__xludf.DUMMYFUNCTION("""COMPUTED_VALUE"""),0.08933522278604)</f>
        <v>0.08933522279</v>
      </c>
      <c r="Q191" s="81">
        <f>IFERROR(__xludf.DUMMYFUNCTION("""COMPUTED_VALUE"""),0.0)</f>
        <v>0</v>
      </c>
      <c r="R191" s="81"/>
      <c r="S191" s="66"/>
      <c r="T191" s="66"/>
      <c r="U191" s="66"/>
      <c r="V191" s="66"/>
    </row>
    <row r="192">
      <c r="B192" s="75"/>
      <c r="C192" s="38"/>
      <c r="H192" s="66" t="str">
        <f>IFERROR(__xludf.DUMMYFUNCTION("""COMPUTED_VALUE"""),"MATIC")</f>
        <v>MATIC</v>
      </c>
      <c r="I192" s="66" t="str">
        <f>IFERROR(__xludf.DUMMYFUNCTION("""COMPUTED_VALUE"""),"Undeployed")</f>
        <v>Undeployed</v>
      </c>
      <c r="J192" s="66" t="str">
        <f>IFERROR(__xludf.DUMMYFUNCTION("""COMPUTED_VALUE"""),"Network Deposits")</f>
        <v>Network Deposits</v>
      </c>
      <c r="K192" s="66" t="str">
        <f>IFERROR(__xludf.DUMMYFUNCTION("""COMPUTED_VALUE"""),"1")</f>
        <v>1</v>
      </c>
      <c r="L192" s="72">
        <f>IFERROR(__xludf.DUMMYFUNCTION("""COMPUTED_VALUE"""),1.0)</f>
        <v>1</v>
      </c>
      <c r="M192" s="39">
        <f>IFERROR(__xludf.DUMMYFUNCTION("""COMPUTED_VALUE"""),0.0)</f>
        <v>0</v>
      </c>
      <c r="N192" s="39">
        <f>IFERROR(__xludf.DUMMYFUNCTION("""COMPUTED_VALUE"""),0.0818)</f>
        <v>0.0818</v>
      </c>
      <c r="O192" s="91">
        <f>IFERROR(__xludf.DUMMYFUNCTION("""COMPUTED_VALUE"""),2.097607594)</f>
        <v>2.097607594</v>
      </c>
      <c r="P192" s="66">
        <f>IFERROR(__xludf.DUMMYFUNCTION("""COMPUTED_VALUE"""),0.17158430118919998)</f>
        <v>0.1715843012</v>
      </c>
      <c r="Q192" s="81">
        <f>IFERROR(__xludf.DUMMYFUNCTION("""COMPUTED_VALUE"""),0.0)</f>
        <v>0</v>
      </c>
      <c r="R192" s="81"/>
      <c r="S192" s="66"/>
      <c r="T192" s="66"/>
      <c r="U192" s="66"/>
      <c r="V192" s="66"/>
    </row>
    <row r="193">
      <c r="B193" s="75"/>
      <c r="C193" s="38"/>
      <c r="H193" s="66" t="str">
        <f>IFERROR(__xludf.DUMMYFUNCTION("""COMPUTED_VALUE"""),"EOS")</f>
        <v>EOS</v>
      </c>
      <c r="I193" s="66" t="str">
        <f>IFERROR(__xludf.DUMMYFUNCTION("""COMPUTED_VALUE"""),"undeployed")</f>
        <v>undeployed</v>
      </c>
      <c r="J193" s="66" t="str">
        <f>IFERROR(__xludf.DUMMYFUNCTION("""COMPUTED_VALUE"""),"Celsius OTC")</f>
        <v>Celsius OTC</v>
      </c>
      <c r="K193" s="66" t="str">
        <f>IFERROR(__xludf.DUMMYFUNCTION("""COMPUTED_VALUE"""),"1")</f>
        <v>1</v>
      </c>
      <c r="L193" s="72">
        <f>IFERROR(__xludf.DUMMYFUNCTION("""COMPUTED_VALUE"""),0.2012)</f>
        <v>0.2012</v>
      </c>
      <c r="M193" s="39">
        <f>IFERROR(__xludf.DUMMYFUNCTION("""COMPUTED_VALUE"""),0.0)</f>
        <v>0</v>
      </c>
      <c r="N193" s="39">
        <f>IFERROR(__xludf.DUMMYFUNCTION("""COMPUTED_VALUE"""),0.0288)</f>
        <v>0.0288</v>
      </c>
      <c r="O193" s="91">
        <f>IFERROR(__xludf.DUMMYFUNCTION("""COMPUTED_VALUE"""),0.6488286288535999)</f>
        <v>0.6488286289</v>
      </c>
      <c r="P193" s="66">
        <f>IFERROR(__xludf.DUMMYFUNCTION("""COMPUTED_VALUE"""),0.018686264510983677)</f>
        <v>0.01868626451</v>
      </c>
      <c r="Q193" s="81">
        <f>IFERROR(__xludf.DUMMYFUNCTION("""COMPUTED_VALUE"""),0.0)</f>
        <v>0</v>
      </c>
      <c r="R193" s="81"/>
      <c r="S193" s="66"/>
      <c r="T193" s="66"/>
      <c r="U193" s="66"/>
      <c r="V193" s="66"/>
    </row>
    <row r="194">
      <c r="B194" s="75"/>
      <c r="C194" s="38"/>
      <c r="H194" s="66" t="str">
        <f>IFERROR(__xludf.DUMMYFUNCTION("""COMPUTED_VALUE"""),"CRV")</f>
        <v>CRV</v>
      </c>
      <c r="I194" s="66" t="str">
        <f>IFERROR(__xludf.DUMMYFUNCTION("""COMPUTED_VALUE"""),"undeployed")</f>
        <v>undeployed</v>
      </c>
      <c r="J194" s="66" t="str">
        <f>IFERROR(__xludf.DUMMYFUNCTION("""COMPUTED_VALUE"""),"FTX - DeFi")</f>
        <v>FTX - DeFi</v>
      </c>
      <c r="K194" s="66" t="str">
        <f>IFERROR(__xludf.DUMMYFUNCTION("""COMPUTED_VALUE"""),"4")</f>
        <v>4</v>
      </c>
      <c r="L194" s="72">
        <f>IFERROR(__xludf.DUMMYFUNCTION("""COMPUTED_VALUE"""),0.13262722)</f>
        <v>0.13262722</v>
      </c>
      <c r="M194" s="39">
        <f>IFERROR(__xludf.DUMMYFUNCTION("""COMPUTED_VALUE"""),0.0)</f>
        <v>0</v>
      </c>
      <c r="N194" s="39" t="str">
        <f>IFERROR(__xludf.DUMMYFUNCTION("""COMPUTED_VALUE"""),"N/A")</f>
        <v>N/A</v>
      </c>
      <c r="O194" s="91">
        <f>IFERROR(__xludf.DUMMYFUNCTION("""COMPUTED_VALUE"""),0.5294126392355396)</f>
        <v>0.5294126392</v>
      </c>
      <c r="P194" s="66" t="str">
        <f>IFERROR(__xludf.DUMMYFUNCTION("""COMPUTED_VALUE"""),"N/A")</f>
        <v>N/A</v>
      </c>
      <c r="Q194" s="81">
        <f>IFERROR(__xludf.DUMMYFUNCTION("""COMPUTED_VALUE"""),0.0)</f>
        <v>0</v>
      </c>
      <c r="R194" s="81"/>
      <c r="S194" s="66"/>
      <c r="T194" s="66"/>
      <c r="U194" s="66"/>
      <c r="V194" s="66"/>
    </row>
    <row r="195">
      <c r="B195" s="75"/>
      <c r="C195" s="38"/>
      <c r="H195" s="66" t="str">
        <f>IFERROR(__xludf.DUMMYFUNCTION("""COMPUTED_VALUE"""),"ALPHA")</f>
        <v>ALPHA</v>
      </c>
      <c r="I195" s="66" t="str">
        <f>IFERROR(__xludf.DUMMYFUNCTION("""COMPUTED_VALUE"""),"undeployed")</f>
        <v>undeployed</v>
      </c>
      <c r="J195" s="66" t="str">
        <f>IFERROR(__xludf.DUMMYFUNCTION("""COMPUTED_VALUE"""),"FTX - DeFi")</f>
        <v>FTX - DeFi</v>
      </c>
      <c r="K195" s="66" t="str">
        <f>IFERROR(__xludf.DUMMYFUNCTION("""COMPUTED_VALUE"""),"4")</f>
        <v>4</v>
      </c>
      <c r="L195" s="72">
        <f>IFERROR(__xludf.DUMMYFUNCTION("""COMPUTED_VALUE"""),0.75136751)</f>
        <v>0.75136751</v>
      </c>
      <c r="M195" s="39">
        <f>IFERROR(__xludf.DUMMYFUNCTION("""COMPUTED_VALUE"""),0.0)</f>
        <v>0</v>
      </c>
      <c r="N195" s="39" t="str">
        <f>IFERROR(__xludf.DUMMYFUNCTION("""COMPUTED_VALUE"""),"N/A")</f>
        <v>N/A</v>
      </c>
      <c r="O195" s="91">
        <f>IFERROR(__xludf.DUMMYFUNCTION("""COMPUTED_VALUE"""),0.501793993029996)</f>
        <v>0.501793993</v>
      </c>
      <c r="P195" s="66" t="str">
        <f>IFERROR(__xludf.DUMMYFUNCTION("""COMPUTED_VALUE"""),"N/A")</f>
        <v>N/A</v>
      </c>
      <c r="Q195" s="81">
        <f>IFERROR(__xludf.DUMMYFUNCTION("""COMPUTED_VALUE"""),0.0)</f>
        <v>0</v>
      </c>
      <c r="R195" s="81"/>
      <c r="S195" s="66"/>
      <c r="T195" s="66"/>
      <c r="U195" s="66"/>
      <c r="V195" s="66"/>
    </row>
    <row r="196">
      <c r="B196" s="75"/>
      <c r="C196" s="38"/>
      <c r="H196" s="66" t="str">
        <f>IFERROR(__xludf.DUMMYFUNCTION("""COMPUTED_VALUE"""),"SNX")</f>
        <v>SNX</v>
      </c>
      <c r="I196" s="66" t="str">
        <f>IFERROR(__xludf.DUMMYFUNCTION("""COMPUTED_VALUE"""),"undeployed")</f>
        <v>undeployed</v>
      </c>
      <c r="J196" s="66" t="str">
        <f>IFERROR(__xludf.DUMMYFUNCTION("""COMPUTED_VALUE"""),"FTX - DeFi")</f>
        <v>FTX - DeFi</v>
      </c>
      <c r="K196" s="66" t="str">
        <f>IFERROR(__xludf.DUMMYFUNCTION("""COMPUTED_VALUE"""),"4")</f>
        <v>4</v>
      </c>
      <c r="L196" s="72">
        <f>IFERROR(__xludf.DUMMYFUNCTION("""COMPUTED_VALUE"""),0.04395388)</f>
        <v>0.04395388</v>
      </c>
      <c r="M196" s="39">
        <f>IFERROR(__xludf.DUMMYFUNCTION("""COMPUTED_VALUE"""),0.0)</f>
        <v>0</v>
      </c>
      <c r="N196" s="39">
        <f>IFERROR(__xludf.DUMMYFUNCTION("""COMPUTED_VALUE"""),0.1339)</f>
        <v>0.1339</v>
      </c>
      <c r="O196" s="91">
        <f>IFERROR(__xludf.DUMMYFUNCTION("""COMPUTED_VALUE"""),0.21801901505481414)</f>
        <v>0.2180190151</v>
      </c>
      <c r="P196" s="66">
        <f>IFERROR(__xludf.DUMMYFUNCTION("""COMPUTED_VALUE"""),0.02919274611583961)</f>
        <v>0.02919274612</v>
      </c>
      <c r="Q196" s="81">
        <f>IFERROR(__xludf.DUMMYFUNCTION("""COMPUTED_VALUE"""),0.0)</f>
        <v>0</v>
      </c>
      <c r="R196" s="81"/>
      <c r="S196" s="66"/>
      <c r="T196" s="66"/>
      <c r="U196" s="66"/>
      <c r="V196" s="66"/>
    </row>
    <row r="197">
      <c r="B197" s="75"/>
      <c r="C197" s="38"/>
      <c r="H197" s="66" t="str">
        <f>IFERROR(__xludf.DUMMYFUNCTION("""COMPUTED_VALUE"""),"BOBA")</f>
        <v>BOBA</v>
      </c>
      <c r="I197" s="66" t="str">
        <f>IFERROR(__xludf.DUMMYFUNCTION("""COMPUTED_VALUE"""),"undeployed")</f>
        <v>undeployed</v>
      </c>
      <c r="J197" s="66" t="str">
        <f>IFERROR(__xludf.DUMMYFUNCTION("""COMPUTED_VALUE"""),"FTX - Management")</f>
        <v>FTX - Management</v>
      </c>
      <c r="K197" s="66" t="str">
        <f>IFERROR(__xludf.DUMMYFUNCTION("""COMPUTED_VALUE"""),"4")</f>
        <v>4</v>
      </c>
      <c r="L197" s="72">
        <f>IFERROR(__xludf.DUMMYFUNCTION("""COMPUTED_VALUE"""),0.05511249)</f>
        <v>0.05511249</v>
      </c>
      <c r="M197" s="39">
        <f>IFERROR(__xludf.DUMMYFUNCTION("""COMPUTED_VALUE"""),0.0)</f>
        <v>0</v>
      </c>
      <c r="N197" s="39" t="str">
        <f>IFERROR(__xludf.DUMMYFUNCTION("""COMPUTED_VALUE"""),"N/A")</f>
        <v>N/A</v>
      </c>
      <c r="O197" s="91">
        <f>IFERROR(__xludf.DUMMYFUNCTION("""COMPUTED_VALUE"""),0.1658885949)</f>
        <v>0.1658885949</v>
      </c>
      <c r="P197" s="66" t="str">
        <f>IFERROR(__xludf.DUMMYFUNCTION("""COMPUTED_VALUE"""),"N/A")</f>
        <v>N/A</v>
      </c>
      <c r="Q197" s="81">
        <f>IFERROR(__xludf.DUMMYFUNCTION("""COMPUTED_VALUE"""),0.0)</f>
        <v>0</v>
      </c>
      <c r="R197" s="81"/>
      <c r="S197" s="66"/>
      <c r="T197" s="66"/>
      <c r="U197" s="66"/>
      <c r="V197" s="66"/>
    </row>
    <row r="198">
      <c r="B198" s="75"/>
      <c r="C198" s="38"/>
      <c r="H198" s="66" t="str">
        <f>IFERROR(__xludf.DUMMYFUNCTION("""COMPUTED_VALUE"""),"BAL")</f>
        <v>BAL</v>
      </c>
      <c r="I198" s="66" t="str">
        <f>IFERROR(__xludf.DUMMYFUNCTION("""COMPUTED_VALUE"""),"undeployed")</f>
        <v>undeployed</v>
      </c>
      <c r="J198" s="66" t="str">
        <f>IFERROR(__xludf.DUMMYFUNCTION("""COMPUTED_VALUE"""),"FTX - Main Account")</f>
        <v>FTX - Main Account</v>
      </c>
      <c r="K198" s="66" t="str">
        <f>IFERROR(__xludf.DUMMYFUNCTION("""COMPUTED_VALUE"""),"2")</f>
        <v>2</v>
      </c>
      <c r="L198" s="72">
        <f>IFERROR(__xludf.DUMMYFUNCTION("""COMPUTED_VALUE"""),0.00656934)</f>
        <v>0.00656934</v>
      </c>
      <c r="M198" s="39">
        <f>IFERROR(__xludf.DUMMYFUNCTION("""COMPUTED_VALUE"""),0.0)</f>
        <v>0</v>
      </c>
      <c r="N198" s="39" t="str">
        <f>IFERROR(__xludf.DUMMYFUNCTION("""COMPUTED_VALUE"""),"N/A")</f>
        <v>N/A</v>
      </c>
      <c r="O198" s="91">
        <f>IFERROR(__xludf.DUMMYFUNCTION("""COMPUTED_VALUE"""),0.1160087173297266)</f>
        <v>0.1160087173</v>
      </c>
      <c r="P198" s="66" t="str">
        <f>IFERROR(__xludf.DUMMYFUNCTION("""COMPUTED_VALUE"""),"N/A")</f>
        <v>N/A</v>
      </c>
      <c r="Q198" s="81">
        <f>IFERROR(__xludf.DUMMYFUNCTION("""COMPUTED_VALUE"""),0.0)</f>
        <v>0</v>
      </c>
      <c r="R198" s="81"/>
      <c r="S198" s="66"/>
      <c r="T198" s="66"/>
      <c r="U198" s="66"/>
      <c r="V198" s="66"/>
    </row>
    <row r="199">
      <c r="B199" s="75"/>
      <c r="C199" s="38"/>
      <c r="H199" s="66" t="str">
        <f>IFERROR(__xludf.DUMMYFUNCTION("""COMPUTED_VALUE"""),"BADGER")</f>
        <v>BADGER</v>
      </c>
      <c r="I199" s="66" t="str">
        <f>IFERROR(__xludf.DUMMYFUNCTION("""COMPUTED_VALUE"""),"undeployed")</f>
        <v>undeployed</v>
      </c>
      <c r="J199" s="66" t="str">
        <f>IFERROR(__xludf.DUMMYFUNCTION("""COMPUTED_VALUE"""),"FTX - DeFi")</f>
        <v>FTX - DeFi</v>
      </c>
      <c r="K199" s="66" t="str">
        <f>IFERROR(__xludf.DUMMYFUNCTION("""COMPUTED_VALUE"""),"4")</f>
        <v>4</v>
      </c>
      <c r="L199" s="72">
        <f>IFERROR(__xludf.DUMMYFUNCTION("""COMPUTED_VALUE"""),0.00265175)</f>
        <v>0.00265175</v>
      </c>
      <c r="M199" s="39">
        <f>IFERROR(__xludf.DUMMYFUNCTION("""COMPUTED_VALUE"""),0.0)</f>
        <v>0</v>
      </c>
      <c r="N199" s="39" t="str">
        <f>IFERROR(__xludf.DUMMYFUNCTION("""COMPUTED_VALUE"""),"N/A")</f>
        <v>N/A</v>
      </c>
      <c r="O199" s="91">
        <f>IFERROR(__xludf.DUMMYFUNCTION("""COMPUTED_VALUE"""),0.0382963305201475)</f>
        <v>0.03829633052</v>
      </c>
      <c r="P199" s="66" t="str">
        <f>IFERROR(__xludf.DUMMYFUNCTION("""COMPUTED_VALUE"""),"N/A")</f>
        <v>N/A</v>
      </c>
      <c r="Q199" s="81">
        <f>IFERROR(__xludf.DUMMYFUNCTION("""COMPUTED_VALUE"""),0.0)</f>
        <v>0</v>
      </c>
      <c r="R199" s="81"/>
      <c r="S199" s="66"/>
      <c r="T199" s="66"/>
      <c r="U199" s="66"/>
      <c r="V199" s="66"/>
    </row>
    <row r="200">
      <c r="B200" s="75"/>
      <c r="C200" s="38"/>
      <c r="H200" s="66" t="str">
        <f>IFERROR(__xludf.DUMMYFUNCTION("""COMPUTED_VALUE"""),"XRP")</f>
        <v>XRP</v>
      </c>
      <c r="I200" s="66" t="str">
        <f>IFERROR(__xludf.DUMMYFUNCTION("""COMPUTED_VALUE"""),"undeployed")</f>
        <v>undeployed</v>
      </c>
      <c r="J200" s="66" t="str">
        <f>IFERROR(__xludf.DUMMYFUNCTION("""COMPUTED_VALUE"""),"FTX - Main Account")</f>
        <v>FTX - Main Account</v>
      </c>
      <c r="K200" s="66" t="str">
        <f>IFERROR(__xludf.DUMMYFUNCTION("""COMPUTED_VALUE"""),"2")</f>
        <v>2</v>
      </c>
      <c r="L200" s="72">
        <f>IFERROR(__xludf.DUMMYFUNCTION("""COMPUTED_VALUE"""),0.02250599)</f>
        <v>0.02250599</v>
      </c>
      <c r="M200" s="39">
        <f>IFERROR(__xludf.DUMMYFUNCTION("""COMPUTED_VALUE"""),0.0)</f>
        <v>0</v>
      </c>
      <c r="N200" s="39">
        <f>IFERROR(__xludf.DUMMYFUNCTION("""COMPUTED_VALUE"""),0.0127)</f>
        <v>0.0127</v>
      </c>
      <c r="O200" s="91">
        <f>IFERROR(__xludf.DUMMYFUNCTION("""COMPUTED_VALUE"""),0.019502192876790028)</f>
        <v>0.01950219288</v>
      </c>
      <c r="P200" s="66">
        <f>IFERROR(__xludf.DUMMYFUNCTION("""COMPUTED_VALUE"""),2.4767784953523336E-4)</f>
        <v>0.0002476778495</v>
      </c>
      <c r="Q200" s="81">
        <f>IFERROR(__xludf.DUMMYFUNCTION("""COMPUTED_VALUE"""),0.0)</f>
        <v>0</v>
      </c>
      <c r="R200" s="81"/>
      <c r="S200" s="66"/>
      <c r="T200" s="66"/>
      <c r="U200" s="66"/>
      <c r="V200" s="66"/>
    </row>
    <row r="201">
      <c r="B201" s="75"/>
      <c r="C201" s="38"/>
      <c r="L201" s="72"/>
      <c r="M201" s="39"/>
      <c r="N201" s="39"/>
      <c r="O201" s="91"/>
      <c r="Q201" s="81"/>
    </row>
    <row r="202">
      <c r="B202" s="75"/>
      <c r="C202" s="38"/>
      <c r="L202" s="72"/>
      <c r="M202" s="39"/>
      <c r="N202" s="39"/>
      <c r="O202" s="91"/>
      <c r="Q202" s="81"/>
    </row>
    <row r="203">
      <c r="B203" s="75"/>
      <c r="C203" s="38"/>
      <c r="L203" s="72"/>
      <c r="M203" s="39"/>
      <c r="N203" s="39"/>
      <c r="O203" s="91"/>
      <c r="Q203" s="81"/>
    </row>
    <row r="204">
      <c r="B204" s="75"/>
      <c r="C204" s="38"/>
      <c r="L204" s="72"/>
      <c r="M204" s="39"/>
      <c r="N204" s="39"/>
      <c r="O204" s="91"/>
      <c r="Q204" s="81"/>
    </row>
    <row r="205">
      <c r="B205" s="75"/>
      <c r="C205" s="38"/>
      <c r="L205" s="72"/>
      <c r="M205" s="39"/>
      <c r="N205" s="39"/>
      <c r="O205" s="91"/>
      <c r="Q205" s="81"/>
    </row>
    <row r="206">
      <c r="B206" s="75"/>
      <c r="C206" s="38"/>
      <c r="L206" s="72"/>
      <c r="M206" s="39"/>
      <c r="N206" s="39"/>
      <c r="O206" s="91"/>
      <c r="Q206" s="81"/>
    </row>
    <row r="207">
      <c r="B207" s="75"/>
      <c r="C207" s="38"/>
      <c r="L207" s="72"/>
      <c r="M207" s="39"/>
      <c r="N207" s="39"/>
      <c r="O207" s="91"/>
      <c r="Q207" s="81"/>
    </row>
    <row r="208">
      <c r="B208" s="75"/>
      <c r="C208" s="38"/>
      <c r="L208" s="72"/>
      <c r="M208" s="39"/>
      <c r="N208" s="39"/>
      <c r="O208" s="91"/>
      <c r="Q208" s="81"/>
    </row>
    <row r="209">
      <c r="B209" s="75"/>
      <c r="C209" s="38"/>
      <c r="L209" s="72"/>
      <c r="M209" s="39"/>
      <c r="N209" s="39"/>
      <c r="O209" s="91"/>
      <c r="Q209" s="81"/>
    </row>
    <row r="210">
      <c r="B210" s="75"/>
      <c r="C210" s="38"/>
      <c r="L210" s="72"/>
      <c r="M210" s="39"/>
      <c r="N210" s="39"/>
      <c r="O210" s="91"/>
      <c r="Q210" s="81"/>
    </row>
    <row r="211">
      <c r="B211" s="75"/>
      <c r="C211" s="38"/>
      <c r="L211" s="72"/>
      <c r="M211" s="39"/>
      <c r="N211" s="39"/>
      <c r="O211" s="91"/>
      <c r="Q211" s="81"/>
    </row>
    <row r="212">
      <c r="B212" s="75"/>
      <c r="C212" s="38"/>
      <c r="L212" s="72"/>
      <c r="M212" s="39"/>
      <c r="N212" s="39"/>
      <c r="O212" s="91"/>
      <c r="Q212" s="81"/>
    </row>
    <row r="213">
      <c r="B213" s="75"/>
      <c r="C213" s="38"/>
      <c r="L213" s="72"/>
      <c r="M213" s="39"/>
      <c r="N213" s="39"/>
      <c r="O213" s="91"/>
      <c r="Q213" s="81"/>
    </row>
    <row r="214">
      <c r="B214" s="75"/>
      <c r="C214" s="38"/>
      <c r="L214" s="72"/>
      <c r="M214" s="39"/>
      <c r="N214" s="39"/>
      <c r="O214" s="91"/>
      <c r="Q214" s="81"/>
    </row>
    <row r="215">
      <c r="B215" s="75"/>
      <c r="C215" s="38"/>
      <c r="L215" s="72"/>
      <c r="M215" s="39"/>
      <c r="N215" s="39"/>
      <c r="O215" s="91"/>
      <c r="Q215" s="81"/>
    </row>
    <row r="216">
      <c r="B216" s="75"/>
      <c r="C216" s="38"/>
      <c r="L216" s="72"/>
      <c r="M216" s="39"/>
      <c r="N216" s="39"/>
      <c r="O216" s="91"/>
      <c r="Q216" s="81"/>
    </row>
    <row r="217">
      <c r="B217" s="75"/>
      <c r="C217" s="38"/>
      <c r="L217" s="72"/>
      <c r="M217" s="39"/>
      <c r="N217" s="39"/>
      <c r="O217" s="91"/>
      <c r="Q217" s="81"/>
    </row>
    <row r="218">
      <c r="B218" s="75"/>
      <c r="C218" s="38"/>
      <c r="L218" s="72"/>
      <c r="M218" s="39"/>
      <c r="N218" s="39"/>
      <c r="O218" s="91"/>
      <c r="Q218" s="81"/>
    </row>
    <row r="219">
      <c r="B219" s="75"/>
      <c r="C219" s="38"/>
      <c r="L219" s="72"/>
      <c r="M219" s="39"/>
      <c r="N219" s="39"/>
      <c r="O219" s="91"/>
      <c r="Q219" s="81"/>
    </row>
    <row r="220">
      <c r="B220" s="75"/>
      <c r="C220" s="38"/>
      <c r="L220" s="72"/>
      <c r="M220" s="39"/>
      <c r="N220" s="39"/>
      <c r="O220" s="91"/>
      <c r="Q220" s="81"/>
    </row>
    <row r="221">
      <c r="B221" s="75"/>
      <c r="C221" s="38"/>
      <c r="L221" s="72"/>
      <c r="M221" s="39"/>
      <c r="N221" s="39"/>
      <c r="O221" s="91"/>
      <c r="Q221" s="81"/>
    </row>
    <row r="222">
      <c r="B222" s="75"/>
      <c r="C222" s="38"/>
      <c r="L222" s="72"/>
      <c r="M222" s="39"/>
      <c r="N222" s="39"/>
      <c r="O222" s="91"/>
      <c r="Q222" s="81"/>
    </row>
    <row r="223">
      <c r="B223" s="75"/>
      <c r="C223" s="38"/>
      <c r="L223" s="72"/>
      <c r="M223" s="39"/>
      <c r="N223" s="39"/>
      <c r="O223" s="91"/>
      <c r="Q223" s="81"/>
    </row>
    <row r="224">
      <c r="B224" s="75"/>
      <c r="C224" s="38"/>
      <c r="L224" s="72"/>
      <c r="M224" s="39"/>
      <c r="N224" s="39"/>
      <c r="O224" s="91"/>
      <c r="Q224" s="81"/>
    </row>
    <row r="225">
      <c r="B225" s="75"/>
      <c r="C225" s="38"/>
      <c r="L225" s="72"/>
      <c r="M225" s="39"/>
      <c r="N225" s="39"/>
      <c r="O225" s="91"/>
      <c r="Q225" s="81"/>
    </row>
    <row r="226">
      <c r="B226" s="75"/>
      <c r="C226" s="38"/>
      <c r="L226" s="72"/>
      <c r="M226" s="39"/>
      <c r="N226" s="39"/>
      <c r="O226" s="91"/>
      <c r="Q226" s="81"/>
    </row>
    <row r="227">
      <c r="B227" s="75"/>
      <c r="C227" s="38"/>
      <c r="L227" s="72"/>
      <c r="M227" s="39"/>
      <c r="N227" s="39"/>
      <c r="O227" s="91"/>
      <c r="Q227" s="81"/>
    </row>
    <row r="228">
      <c r="B228" s="75"/>
      <c r="C228" s="38"/>
      <c r="L228" s="72"/>
      <c r="M228" s="39"/>
      <c r="N228" s="39"/>
      <c r="O228" s="91"/>
      <c r="Q228" s="81"/>
    </row>
    <row r="229">
      <c r="B229" s="75"/>
      <c r="C229" s="38"/>
      <c r="L229" s="72"/>
      <c r="M229" s="39"/>
      <c r="N229" s="39"/>
      <c r="O229" s="91"/>
      <c r="Q229" s="81"/>
    </row>
    <row r="230">
      <c r="B230" s="75"/>
      <c r="C230" s="38"/>
      <c r="L230" s="72"/>
      <c r="M230" s="39"/>
      <c r="N230" s="39"/>
      <c r="O230" s="91"/>
      <c r="Q230" s="81"/>
    </row>
    <row r="231">
      <c r="B231" s="75"/>
      <c r="C231" s="38"/>
      <c r="L231" s="72"/>
      <c r="M231" s="39"/>
      <c r="N231" s="39"/>
      <c r="O231" s="91"/>
      <c r="Q231" s="81"/>
    </row>
    <row r="232">
      <c r="B232" s="75"/>
      <c r="C232" s="38"/>
      <c r="L232" s="72"/>
      <c r="M232" s="39"/>
      <c r="N232" s="39"/>
      <c r="O232" s="91"/>
      <c r="Q232" s="81"/>
    </row>
    <row r="233">
      <c r="B233" s="75"/>
      <c r="C233" s="38"/>
      <c r="L233" s="72"/>
      <c r="M233" s="39"/>
      <c r="N233" s="39"/>
      <c r="O233" s="91"/>
      <c r="Q233" s="81"/>
    </row>
    <row r="234">
      <c r="B234" s="75"/>
      <c r="C234" s="38"/>
      <c r="L234" s="72"/>
      <c r="M234" s="39"/>
      <c r="N234" s="39"/>
      <c r="O234" s="91"/>
      <c r="Q234" s="81"/>
    </row>
    <row r="235">
      <c r="B235" s="75"/>
      <c r="C235" s="38"/>
      <c r="L235" s="72"/>
      <c r="M235" s="39"/>
      <c r="N235" s="39"/>
      <c r="O235" s="91"/>
      <c r="Q235" s="81"/>
    </row>
    <row r="236">
      <c r="B236" s="75"/>
      <c r="C236" s="38"/>
      <c r="L236" s="72"/>
      <c r="M236" s="39"/>
      <c r="N236" s="39"/>
      <c r="O236" s="91"/>
      <c r="Q236" s="81"/>
    </row>
    <row r="237">
      <c r="B237" s="75"/>
      <c r="C237" s="38"/>
      <c r="L237" s="72"/>
      <c r="M237" s="39"/>
      <c r="N237" s="39"/>
      <c r="O237" s="91"/>
      <c r="Q237" s="81"/>
    </row>
    <row r="238">
      <c r="B238" s="75"/>
      <c r="C238" s="38"/>
      <c r="L238" s="72"/>
      <c r="M238" s="39"/>
      <c r="N238" s="39"/>
      <c r="O238" s="91"/>
      <c r="Q238" s="81"/>
    </row>
    <row r="239">
      <c r="B239" s="75"/>
      <c r="C239" s="38"/>
      <c r="L239" s="72"/>
      <c r="M239" s="39"/>
      <c r="N239" s="39"/>
      <c r="O239" s="91"/>
      <c r="Q239" s="81"/>
    </row>
    <row r="240">
      <c r="B240" s="75"/>
      <c r="C240" s="38"/>
      <c r="L240" s="72"/>
      <c r="M240" s="39"/>
      <c r="N240" s="39"/>
      <c r="O240" s="91"/>
      <c r="Q240" s="81"/>
    </row>
    <row r="241">
      <c r="B241" s="75"/>
      <c r="C241" s="38"/>
      <c r="L241" s="72"/>
      <c r="M241" s="39"/>
      <c r="N241" s="39"/>
      <c r="O241" s="91"/>
      <c r="Q241" s="81"/>
    </row>
    <row r="242">
      <c r="B242" s="75"/>
      <c r="C242" s="38"/>
      <c r="L242" s="72"/>
      <c r="M242" s="39"/>
      <c r="N242" s="39"/>
      <c r="O242" s="91"/>
      <c r="Q242" s="81"/>
    </row>
    <row r="243">
      <c r="B243" s="75"/>
      <c r="C243" s="38"/>
      <c r="L243" s="72"/>
      <c r="M243" s="39"/>
      <c r="N243" s="39"/>
      <c r="O243" s="91"/>
      <c r="Q243" s="81"/>
    </row>
    <row r="244">
      <c r="B244" s="75"/>
      <c r="C244" s="38"/>
      <c r="L244" s="72"/>
      <c r="M244" s="39"/>
      <c r="N244" s="39"/>
      <c r="O244" s="91"/>
      <c r="Q244" s="81"/>
    </row>
    <row r="245">
      <c r="B245" s="75"/>
      <c r="C245" s="38"/>
      <c r="L245" s="72"/>
      <c r="M245" s="39"/>
      <c r="N245" s="39"/>
      <c r="O245" s="91"/>
      <c r="Q245" s="81"/>
    </row>
    <row r="246">
      <c r="B246" s="75"/>
      <c r="C246" s="38"/>
      <c r="L246" s="72"/>
      <c r="M246" s="39"/>
      <c r="N246" s="39"/>
      <c r="O246" s="91"/>
      <c r="Q246" s="81"/>
    </row>
    <row r="247">
      <c r="B247" s="75"/>
      <c r="C247" s="38"/>
      <c r="L247" s="72"/>
      <c r="M247" s="39"/>
      <c r="N247" s="39"/>
      <c r="O247" s="91"/>
      <c r="Q247" s="81"/>
    </row>
    <row r="248">
      <c r="B248" s="75"/>
      <c r="C248" s="38"/>
      <c r="L248" s="72"/>
      <c r="M248" s="39"/>
      <c r="N248" s="39"/>
      <c r="O248" s="91"/>
      <c r="Q248" s="81"/>
    </row>
    <row r="249">
      <c r="B249" s="75"/>
      <c r="C249" s="38"/>
      <c r="L249" s="72"/>
      <c r="M249" s="39"/>
      <c r="N249" s="39"/>
      <c r="O249" s="91"/>
      <c r="Q249" s="81"/>
    </row>
    <row r="250">
      <c r="B250" s="75"/>
      <c r="C250" s="38"/>
      <c r="L250" s="72"/>
      <c r="M250" s="39"/>
      <c r="N250" s="39"/>
      <c r="O250" s="91"/>
      <c r="Q250" s="81"/>
    </row>
    <row r="251">
      <c r="B251" s="75"/>
      <c r="C251" s="38"/>
      <c r="L251" s="72"/>
      <c r="M251" s="39"/>
      <c r="N251" s="39"/>
      <c r="O251" s="91"/>
      <c r="Q251" s="81"/>
    </row>
    <row r="252">
      <c r="B252" s="75"/>
      <c r="C252" s="38"/>
      <c r="L252" s="72"/>
      <c r="M252" s="39"/>
      <c r="N252" s="39"/>
      <c r="O252" s="91"/>
      <c r="Q252" s="81"/>
    </row>
    <row r="253">
      <c r="B253" s="75"/>
      <c r="C253" s="38"/>
      <c r="L253" s="72"/>
      <c r="M253" s="39"/>
      <c r="N253" s="39"/>
      <c r="O253" s="91"/>
      <c r="Q253" s="81"/>
    </row>
    <row r="254">
      <c r="B254" s="75"/>
      <c r="C254" s="38"/>
      <c r="L254" s="72"/>
      <c r="M254" s="39"/>
      <c r="N254" s="39"/>
      <c r="O254" s="91"/>
      <c r="Q254" s="81"/>
    </row>
    <row r="255">
      <c r="B255" s="75"/>
      <c r="C255" s="38"/>
      <c r="L255" s="72"/>
      <c r="M255" s="39"/>
      <c r="N255" s="39"/>
      <c r="O255" s="91"/>
      <c r="Q255" s="81"/>
    </row>
    <row r="256">
      <c r="B256" s="75"/>
      <c r="C256" s="38"/>
      <c r="L256" s="72"/>
      <c r="M256" s="39"/>
      <c r="N256" s="39"/>
      <c r="O256" s="91"/>
      <c r="Q256" s="81"/>
    </row>
    <row r="257">
      <c r="B257" s="75"/>
      <c r="C257" s="38"/>
      <c r="L257" s="72"/>
      <c r="M257" s="39"/>
      <c r="N257" s="39"/>
      <c r="O257" s="91"/>
      <c r="Q257" s="81"/>
    </row>
    <row r="258">
      <c r="B258" s="75"/>
      <c r="C258" s="38"/>
      <c r="L258" s="72"/>
      <c r="M258" s="39"/>
      <c r="N258" s="39"/>
      <c r="O258" s="91"/>
      <c r="Q258" s="81"/>
    </row>
    <row r="259">
      <c r="B259" s="75"/>
      <c r="C259" s="38"/>
      <c r="L259" s="72"/>
      <c r="M259" s="39"/>
      <c r="N259" s="39"/>
      <c r="O259" s="91"/>
      <c r="Q259" s="81"/>
    </row>
    <row r="260">
      <c r="B260" s="75"/>
      <c r="C260" s="38"/>
      <c r="L260" s="72"/>
      <c r="M260" s="39"/>
      <c r="N260" s="39"/>
      <c r="O260" s="91"/>
      <c r="Q260" s="81"/>
    </row>
    <row r="261">
      <c r="B261" s="75"/>
      <c r="C261" s="38"/>
      <c r="L261" s="72"/>
      <c r="M261" s="39"/>
      <c r="N261" s="39"/>
      <c r="O261" s="91"/>
      <c r="Q261" s="81"/>
    </row>
    <row r="262">
      <c r="B262" s="75"/>
      <c r="C262" s="38"/>
      <c r="L262" s="72"/>
      <c r="M262" s="39"/>
      <c r="N262" s="39"/>
      <c r="O262" s="91"/>
      <c r="Q262" s="81"/>
    </row>
    <row r="263">
      <c r="B263" s="75"/>
      <c r="C263" s="38"/>
      <c r="L263" s="72"/>
      <c r="M263" s="39"/>
      <c r="N263" s="39"/>
      <c r="O263" s="91"/>
      <c r="Q263" s="81"/>
    </row>
    <row r="264">
      <c r="B264" s="75"/>
      <c r="C264" s="38"/>
      <c r="L264" s="72"/>
      <c r="M264" s="39"/>
      <c r="N264" s="39"/>
      <c r="O264" s="91"/>
      <c r="Q264" s="81"/>
    </row>
    <row r="265">
      <c r="B265" s="75"/>
      <c r="C265" s="38"/>
      <c r="L265" s="72"/>
      <c r="M265" s="39"/>
      <c r="N265" s="39"/>
      <c r="O265" s="91"/>
      <c r="Q265" s="81"/>
    </row>
    <row r="266">
      <c r="B266" s="75"/>
      <c r="C266" s="38"/>
      <c r="L266" s="72"/>
      <c r="M266" s="39"/>
      <c r="N266" s="39"/>
      <c r="O266" s="91"/>
      <c r="Q266" s="81"/>
    </row>
    <row r="267">
      <c r="B267" s="75"/>
      <c r="C267" s="38"/>
      <c r="L267" s="72"/>
      <c r="M267" s="39"/>
      <c r="N267" s="39"/>
      <c r="O267" s="91"/>
      <c r="Q267" s="81"/>
    </row>
    <row r="268">
      <c r="B268" s="75"/>
      <c r="C268" s="38"/>
      <c r="L268" s="72"/>
      <c r="M268" s="39"/>
      <c r="N268" s="39"/>
      <c r="O268" s="91"/>
      <c r="Q268" s="81"/>
    </row>
    <row r="269">
      <c r="B269" s="75"/>
      <c r="C269" s="38"/>
      <c r="L269" s="72"/>
      <c r="M269" s="39"/>
      <c r="N269" s="39"/>
      <c r="O269" s="91"/>
      <c r="Q269" s="81"/>
    </row>
    <row r="270">
      <c r="B270" s="75"/>
      <c r="C270" s="38"/>
      <c r="L270" s="72"/>
      <c r="M270" s="39"/>
      <c r="N270" s="39"/>
      <c r="O270" s="91"/>
      <c r="Q270" s="81"/>
    </row>
    <row r="271">
      <c r="B271" s="75"/>
      <c r="C271" s="38"/>
      <c r="L271" s="72"/>
      <c r="M271" s="39"/>
      <c r="N271" s="39"/>
      <c r="O271" s="91"/>
      <c r="Q271" s="81"/>
    </row>
    <row r="272">
      <c r="B272" s="75"/>
      <c r="C272" s="38"/>
      <c r="L272" s="72"/>
      <c r="M272" s="39"/>
      <c r="N272" s="39"/>
      <c r="O272" s="91"/>
      <c r="Q272" s="81"/>
    </row>
    <row r="273">
      <c r="B273" s="75"/>
      <c r="C273" s="38"/>
      <c r="L273" s="72"/>
      <c r="M273" s="39"/>
      <c r="N273" s="39"/>
      <c r="O273" s="91"/>
      <c r="Q273" s="81"/>
    </row>
    <row r="274">
      <c r="B274" s="75"/>
      <c r="C274" s="38"/>
      <c r="L274" s="72"/>
      <c r="M274" s="39"/>
      <c r="N274" s="39"/>
      <c r="O274" s="91"/>
      <c r="Q274" s="81"/>
    </row>
    <row r="275">
      <c r="B275" s="75"/>
      <c r="C275" s="38"/>
      <c r="L275" s="72"/>
      <c r="M275" s="39"/>
      <c r="N275" s="39"/>
      <c r="O275" s="91"/>
      <c r="Q275" s="81"/>
    </row>
    <row r="276">
      <c r="B276" s="75"/>
      <c r="C276" s="38"/>
      <c r="L276" s="72"/>
      <c r="M276" s="39"/>
      <c r="N276" s="39"/>
      <c r="O276" s="91"/>
      <c r="Q276" s="81"/>
    </row>
    <row r="277">
      <c r="B277" s="75"/>
      <c r="C277" s="38"/>
      <c r="L277" s="72"/>
      <c r="M277" s="39"/>
      <c r="N277" s="39"/>
      <c r="O277" s="91"/>
      <c r="Q277" s="81"/>
    </row>
    <row r="278">
      <c r="B278" s="75"/>
      <c r="C278" s="38"/>
      <c r="L278" s="72"/>
      <c r="M278" s="39"/>
      <c r="N278" s="39"/>
      <c r="O278" s="91"/>
      <c r="Q278" s="81"/>
    </row>
    <row r="279">
      <c r="B279" s="75"/>
      <c r="C279" s="38"/>
      <c r="L279" s="72"/>
      <c r="M279" s="39"/>
      <c r="N279" s="39"/>
      <c r="O279" s="91"/>
      <c r="Q279" s="81"/>
    </row>
    <row r="280">
      <c r="B280" s="75"/>
      <c r="C280" s="38"/>
      <c r="L280" s="72"/>
      <c r="M280" s="39"/>
      <c r="N280" s="39"/>
      <c r="O280" s="91"/>
      <c r="Q280" s="81"/>
    </row>
    <row r="281">
      <c r="B281" s="75"/>
      <c r="C281" s="38"/>
      <c r="L281" s="72"/>
      <c r="M281" s="39"/>
      <c r="N281" s="39"/>
      <c r="O281" s="91"/>
      <c r="Q281" s="81"/>
    </row>
    <row r="282">
      <c r="B282" s="75"/>
      <c r="C282" s="38"/>
      <c r="L282" s="72"/>
      <c r="M282" s="39"/>
      <c r="N282" s="39"/>
      <c r="O282" s="91"/>
      <c r="Q282" s="81"/>
    </row>
    <row r="283">
      <c r="B283" s="75"/>
      <c r="C283" s="38"/>
      <c r="L283" s="72"/>
      <c r="M283" s="39"/>
      <c r="N283" s="39"/>
      <c r="O283" s="91"/>
      <c r="Q283" s="81"/>
    </row>
    <row r="284">
      <c r="B284" s="75"/>
      <c r="C284" s="38"/>
      <c r="L284" s="72"/>
      <c r="M284" s="39"/>
      <c r="N284" s="39"/>
      <c r="O284" s="91"/>
      <c r="Q284" s="81"/>
    </row>
    <row r="285">
      <c r="B285" s="75"/>
      <c r="C285" s="38"/>
      <c r="L285" s="72"/>
      <c r="M285" s="39"/>
      <c r="N285" s="39"/>
      <c r="O285" s="91"/>
      <c r="Q285" s="81"/>
    </row>
    <row r="286">
      <c r="B286" s="75"/>
      <c r="C286" s="38"/>
      <c r="L286" s="72"/>
      <c r="M286" s="39"/>
      <c r="N286" s="39"/>
      <c r="O286" s="91"/>
      <c r="Q286" s="81"/>
    </row>
    <row r="287">
      <c r="B287" s="75"/>
      <c r="C287" s="38"/>
      <c r="L287" s="72"/>
      <c r="M287" s="39"/>
      <c r="N287" s="39"/>
      <c r="O287" s="91"/>
      <c r="Q287" s="81"/>
    </row>
    <row r="288">
      <c r="B288" s="75"/>
      <c r="C288" s="38"/>
      <c r="L288" s="72"/>
      <c r="M288" s="39"/>
      <c r="N288" s="39"/>
      <c r="O288" s="91"/>
      <c r="Q288" s="81"/>
    </row>
    <row r="289">
      <c r="B289" s="75"/>
      <c r="C289" s="38"/>
      <c r="L289" s="72"/>
      <c r="M289" s="39"/>
      <c r="N289" s="39"/>
      <c r="O289" s="91"/>
      <c r="Q289" s="81"/>
    </row>
    <row r="290">
      <c r="B290" s="75"/>
      <c r="C290" s="38"/>
      <c r="L290" s="72"/>
      <c r="M290" s="39"/>
      <c r="N290" s="39"/>
      <c r="O290" s="91"/>
      <c r="Q290" s="81"/>
    </row>
    <row r="291">
      <c r="B291" s="75"/>
      <c r="C291" s="38"/>
      <c r="L291" s="72"/>
      <c r="M291" s="39"/>
      <c r="N291" s="39"/>
      <c r="O291" s="91"/>
      <c r="Q291" s="81"/>
    </row>
    <row r="292">
      <c r="B292" s="75"/>
      <c r="C292" s="38"/>
      <c r="L292" s="72"/>
      <c r="M292" s="39"/>
      <c r="N292" s="39"/>
      <c r="O292" s="91"/>
      <c r="Q292" s="81"/>
    </row>
    <row r="293">
      <c r="B293" s="75"/>
      <c r="C293" s="38"/>
      <c r="L293" s="72"/>
      <c r="M293" s="39"/>
      <c r="N293" s="39"/>
      <c r="O293" s="91"/>
      <c r="Q293" s="81"/>
    </row>
    <row r="294">
      <c r="B294" s="75"/>
      <c r="C294" s="38"/>
      <c r="L294" s="72"/>
      <c r="M294" s="39"/>
      <c r="N294" s="39"/>
      <c r="O294" s="91"/>
      <c r="Q294" s="81"/>
    </row>
    <row r="295">
      <c r="B295" s="75"/>
      <c r="C295" s="38"/>
      <c r="L295" s="72"/>
      <c r="M295" s="39"/>
      <c r="N295" s="39"/>
      <c r="O295" s="91"/>
      <c r="Q295" s="81"/>
    </row>
    <row r="296">
      <c r="B296" s="75"/>
      <c r="C296" s="38"/>
      <c r="L296" s="72"/>
      <c r="M296" s="39"/>
      <c r="N296" s="39"/>
      <c r="O296" s="91"/>
      <c r="Q296" s="81"/>
    </row>
    <row r="297">
      <c r="B297" s="75"/>
      <c r="C297" s="38"/>
      <c r="L297" s="72"/>
      <c r="M297" s="39"/>
      <c r="N297" s="39"/>
      <c r="O297" s="91"/>
      <c r="Q297" s="81"/>
    </row>
    <row r="298">
      <c r="B298" s="75"/>
      <c r="C298" s="38"/>
      <c r="L298" s="72"/>
      <c r="M298" s="39"/>
      <c r="N298" s="39"/>
      <c r="O298" s="91"/>
      <c r="Q298" s="81"/>
    </row>
    <row r="299">
      <c r="B299" s="75"/>
      <c r="C299" s="38"/>
      <c r="L299" s="72"/>
      <c r="M299" s="39"/>
      <c r="N299" s="39"/>
      <c r="O299" s="91"/>
      <c r="Q299" s="81"/>
    </row>
    <row r="300">
      <c r="B300" s="75"/>
      <c r="C300" s="38"/>
      <c r="L300" s="72"/>
      <c r="M300" s="39"/>
      <c r="N300" s="39"/>
      <c r="O300" s="91"/>
      <c r="Q300" s="81"/>
    </row>
    <row r="301">
      <c r="B301" s="75"/>
      <c r="C301" s="38"/>
      <c r="L301" s="72"/>
      <c r="M301" s="39"/>
      <c r="N301" s="39"/>
      <c r="O301" s="91"/>
      <c r="Q301" s="81"/>
    </row>
    <row r="302">
      <c r="B302" s="75"/>
      <c r="C302" s="38"/>
      <c r="L302" s="72"/>
      <c r="M302" s="39"/>
      <c r="N302" s="39"/>
      <c r="O302" s="91"/>
      <c r="Q302" s="81"/>
    </row>
    <row r="303">
      <c r="B303" s="75"/>
      <c r="C303" s="38"/>
      <c r="L303" s="72"/>
      <c r="M303" s="39"/>
      <c r="N303" s="39"/>
      <c r="O303" s="91"/>
      <c r="Q303" s="81"/>
    </row>
    <row r="304">
      <c r="B304" s="75"/>
      <c r="C304" s="38"/>
      <c r="L304" s="72"/>
      <c r="M304" s="39"/>
      <c r="N304" s="39"/>
      <c r="O304" s="91"/>
      <c r="Q304" s="81"/>
    </row>
    <row r="305">
      <c r="B305" s="75"/>
      <c r="C305" s="38"/>
      <c r="L305" s="72"/>
      <c r="M305" s="39"/>
      <c r="N305" s="39"/>
      <c r="O305" s="91"/>
      <c r="Q305" s="81"/>
    </row>
    <row r="306">
      <c r="B306" s="75"/>
      <c r="C306" s="38"/>
      <c r="L306" s="72"/>
      <c r="M306" s="39"/>
      <c r="N306" s="39"/>
      <c r="O306" s="91"/>
      <c r="Q306" s="81"/>
    </row>
    <row r="307">
      <c r="B307" s="75"/>
      <c r="C307" s="38"/>
      <c r="L307" s="72"/>
      <c r="M307" s="39"/>
      <c r="N307" s="39"/>
      <c r="O307" s="91"/>
      <c r="Q307" s="81"/>
    </row>
    <row r="308">
      <c r="B308" s="75"/>
      <c r="C308" s="38"/>
      <c r="L308" s="72"/>
      <c r="M308" s="39"/>
      <c r="N308" s="39"/>
      <c r="O308" s="91"/>
      <c r="Q308" s="81"/>
    </row>
    <row r="309">
      <c r="B309" s="75"/>
      <c r="C309" s="38"/>
      <c r="L309" s="72"/>
      <c r="M309" s="39"/>
      <c r="N309" s="39"/>
      <c r="O309" s="91"/>
      <c r="Q309" s="81"/>
    </row>
    <row r="310">
      <c r="B310" s="75"/>
      <c r="C310" s="38"/>
      <c r="L310" s="72"/>
      <c r="M310" s="39"/>
      <c r="N310" s="39"/>
      <c r="O310" s="91"/>
      <c r="Q310" s="81"/>
    </row>
    <row r="311">
      <c r="B311" s="75"/>
      <c r="C311" s="38"/>
      <c r="L311" s="72"/>
      <c r="M311" s="39"/>
      <c r="N311" s="39"/>
      <c r="O311" s="91"/>
      <c r="Q311" s="81"/>
    </row>
    <row r="312">
      <c r="B312" s="75"/>
      <c r="C312" s="38"/>
      <c r="L312" s="72"/>
      <c r="M312" s="39"/>
      <c r="N312" s="39"/>
      <c r="O312" s="91"/>
      <c r="Q312" s="81"/>
    </row>
    <row r="313">
      <c r="B313" s="75"/>
      <c r="C313" s="38"/>
      <c r="L313" s="72"/>
      <c r="M313" s="39"/>
      <c r="N313" s="39"/>
      <c r="O313" s="91"/>
      <c r="Q313" s="81"/>
    </row>
    <row r="314">
      <c r="B314" s="75"/>
      <c r="C314" s="38"/>
      <c r="L314" s="72"/>
      <c r="M314" s="39"/>
      <c r="N314" s="39"/>
      <c r="O314" s="91"/>
      <c r="Q314" s="81"/>
    </row>
    <row r="315">
      <c r="B315" s="75"/>
      <c r="C315" s="38"/>
      <c r="L315" s="72"/>
      <c r="M315" s="39"/>
      <c r="N315" s="39"/>
      <c r="O315" s="91"/>
      <c r="Q315" s="81"/>
    </row>
    <row r="316">
      <c r="B316" s="75"/>
      <c r="C316" s="38"/>
      <c r="L316" s="72"/>
      <c r="M316" s="39"/>
      <c r="N316" s="39"/>
      <c r="O316" s="91"/>
      <c r="Q316" s="81"/>
    </row>
    <row r="317">
      <c r="B317" s="75"/>
      <c r="C317" s="38"/>
      <c r="L317" s="72"/>
      <c r="M317" s="39"/>
      <c r="N317" s="39"/>
      <c r="O317" s="91"/>
      <c r="Q317" s="81"/>
    </row>
    <row r="318">
      <c r="B318" s="75"/>
      <c r="C318" s="38"/>
      <c r="L318" s="72"/>
      <c r="M318" s="39"/>
      <c r="N318" s="39"/>
      <c r="O318" s="91"/>
      <c r="Q318" s="81"/>
    </row>
    <row r="319">
      <c r="B319" s="75"/>
      <c r="C319" s="38"/>
      <c r="L319" s="72"/>
      <c r="M319" s="39"/>
      <c r="N319" s="39"/>
      <c r="O319" s="91"/>
      <c r="Q319" s="81"/>
    </row>
    <row r="320">
      <c r="B320" s="75"/>
      <c r="C320" s="38"/>
      <c r="L320" s="72"/>
      <c r="M320" s="39"/>
      <c r="N320" s="39"/>
      <c r="O320" s="91"/>
      <c r="Q320" s="81"/>
    </row>
    <row r="321">
      <c r="B321" s="75"/>
      <c r="C321" s="38"/>
      <c r="L321" s="72"/>
      <c r="M321" s="39"/>
      <c r="N321" s="39"/>
      <c r="O321" s="91"/>
      <c r="Q321" s="81"/>
    </row>
    <row r="322">
      <c r="B322" s="75"/>
      <c r="C322" s="38"/>
      <c r="L322" s="72"/>
      <c r="M322" s="39"/>
      <c r="N322" s="39"/>
      <c r="O322" s="91"/>
      <c r="Q322" s="81"/>
    </row>
    <row r="323">
      <c r="B323" s="75"/>
      <c r="C323" s="38"/>
      <c r="L323" s="72"/>
      <c r="M323" s="39"/>
      <c r="N323" s="39"/>
      <c r="O323" s="91"/>
      <c r="Q323" s="81"/>
    </row>
    <row r="324">
      <c r="B324" s="75"/>
      <c r="C324" s="38"/>
      <c r="L324" s="72"/>
      <c r="M324" s="39"/>
      <c r="N324" s="39"/>
      <c r="O324" s="91"/>
      <c r="Q324" s="81"/>
    </row>
    <row r="325">
      <c r="B325" s="75"/>
      <c r="C325" s="38"/>
      <c r="L325" s="72"/>
      <c r="M325" s="39"/>
      <c r="N325" s="39"/>
      <c r="O325" s="91"/>
      <c r="Q325" s="81"/>
    </row>
    <row r="326">
      <c r="B326" s="75"/>
      <c r="C326" s="38"/>
      <c r="L326" s="72"/>
      <c r="M326" s="39"/>
      <c r="N326" s="39"/>
      <c r="O326" s="91"/>
      <c r="Q326" s="81"/>
    </row>
    <row r="327">
      <c r="B327" s="75"/>
      <c r="C327" s="38"/>
      <c r="L327" s="72"/>
      <c r="M327" s="39"/>
      <c r="N327" s="39"/>
      <c r="O327" s="91"/>
      <c r="Q327" s="81"/>
    </row>
    <row r="328">
      <c r="B328" s="75"/>
      <c r="C328" s="38"/>
      <c r="L328" s="72"/>
      <c r="M328" s="39"/>
      <c r="N328" s="39"/>
      <c r="O328" s="91"/>
      <c r="Q328" s="81"/>
    </row>
    <row r="329">
      <c r="B329" s="75"/>
      <c r="C329" s="38"/>
      <c r="L329" s="72"/>
      <c r="M329" s="39"/>
      <c r="N329" s="39"/>
      <c r="O329" s="91"/>
      <c r="Q329" s="81"/>
    </row>
    <row r="330">
      <c r="B330" s="75"/>
      <c r="C330" s="38"/>
      <c r="L330" s="72"/>
      <c r="M330" s="39"/>
      <c r="N330" s="39"/>
      <c r="O330" s="91"/>
      <c r="Q330" s="81"/>
    </row>
    <row r="331">
      <c r="B331" s="75"/>
      <c r="C331" s="38"/>
      <c r="L331" s="72"/>
      <c r="M331" s="39"/>
      <c r="N331" s="39"/>
      <c r="O331" s="91"/>
      <c r="Q331" s="81"/>
    </row>
    <row r="332">
      <c r="B332" s="75"/>
      <c r="C332" s="38"/>
      <c r="L332" s="72"/>
      <c r="M332" s="39"/>
      <c r="N332" s="39"/>
      <c r="O332" s="91"/>
      <c r="Q332" s="81"/>
    </row>
    <row r="333">
      <c r="B333" s="75"/>
      <c r="C333" s="38"/>
      <c r="L333" s="72"/>
      <c r="M333" s="39"/>
      <c r="N333" s="39"/>
      <c r="O333" s="91"/>
      <c r="Q333" s="81"/>
    </row>
    <row r="334">
      <c r="B334" s="75"/>
      <c r="C334" s="38"/>
      <c r="L334" s="72"/>
      <c r="M334" s="39"/>
      <c r="N334" s="39"/>
      <c r="O334" s="91"/>
      <c r="Q334" s="81"/>
    </row>
    <row r="335">
      <c r="B335" s="75"/>
      <c r="C335" s="38"/>
      <c r="L335" s="72"/>
      <c r="M335" s="39"/>
      <c r="N335" s="39"/>
      <c r="O335" s="91"/>
      <c r="Q335" s="81"/>
    </row>
    <row r="336">
      <c r="B336" s="75"/>
      <c r="C336" s="38"/>
      <c r="L336" s="72"/>
      <c r="M336" s="39"/>
      <c r="N336" s="39"/>
      <c r="O336" s="91"/>
      <c r="Q336" s="81"/>
    </row>
    <row r="337">
      <c r="B337" s="75"/>
      <c r="C337" s="38"/>
      <c r="L337" s="72"/>
      <c r="M337" s="39"/>
      <c r="N337" s="39"/>
      <c r="O337" s="91"/>
      <c r="Q337" s="81"/>
    </row>
    <row r="338">
      <c r="B338" s="75"/>
      <c r="C338" s="38"/>
      <c r="L338" s="72"/>
      <c r="M338" s="39"/>
      <c r="N338" s="39"/>
      <c r="O338" s="91"/>
      <c r="Q338" s="81"/>
    </row>
    <row r="339">
      <c r="B339" s="75"/>
      <c r="C339" s="38"/>
      <c r="L339" s="72"/>
      <c r="M339" s="39"/>
      <c r="N339" s="39"/>
      <c r="O339" s="91"/>
      <c r="Q339" s="81"/>
    </row>
    <row r="340">
      <c r="B340" s="75"/>
      <c r="C340" s="38"/>
      <c r="L340" s="72"/>
      <c r="M340" s="39"/>
      <c r="N340" s="39"/>
      <c r="O340" s="91"/>
      <c r="Q340" s="81"/>
    </row>
    <row r="341">
      <c r="B341" s="75"/>
      <c r="C341" s="38"/>
      <c r="L341" s="72"/>
      <c r="M341" s="39"/>
      <c r="N341" s="39"/>
      <c r="O341" s="91"/>
      <c r="Q341" s="81"/>
    </row>
    <row r="342">
      <c r="B342" s="75"/>
      <c r="C342" s="38"/>
      <c r="L342" s="72"/>
      <c r="M342" s="39"/>
      <c r="N342" s="39"/>
      <c r="O342" s="91"/>
      <c r="Q342" s="81"/>
    </row>
    <row r="343">
      <c r="B343" s="75"/>
      <c r="C343" s="38"/>
      <c r="L343" s="72"/>
      <c r="M343" s="39"/>
      <c r="N343" s="39"/>
      <c r="O343" s="91"/>
      <c r="Q343" s="81"/>
    </row>
    <row r="344">
      <c r="B344" s="75"/>
      <c r="C344" s="38"/>
      <c r="L344" s="72"/>
      <c r="M344" s="39"/>
      <c r="N344" s="39"/>
      <c r="O344" s="91"/>
      <c r="Q344" s="81"/>
    </row>
    <row r="345">
      <c r="B345" s="75"/>
      <c r="C345" s="38"/>
      <c r="L345" s="72"/>
      <c r="M345" s="39"/>
      <c r="N345" s="39"/>
      <c r="O345" s="91"/>
      <c r="Q345" s="81"/>
    </row>
    <row r="346">
      <c r="B346" s="75"/>
      <c r="C346" s="38"/>
      <c r="L346" s="72"/>
      <c r="M346" s="39"/>
      <c r="N346" s="39"/>
      <c r="O346" s="91"/>
      <c r="Q346" s="81"/>
    </row>
    <row r="347">
      <c r="B347" s="75"/>
      <c r="C347" s="38"/>
      <c r="L347" s="72"/>
      <c r="M347" s="39"/>
      <c r="N347" s="39"/>
      <c r="O347" s="91"/>
      <c r="Q347" s="81"/>
    </row>
    <row r="348">
      <c r="B348" s="75"/>
      <c r="C348" s="38"/>
      <c r="L348" s="72"/>
      <c r="M348" s="39"/>
      <c r="N348" s="39"/>
      <c r="O348" s="91"/>
      <c r="Q348" s="81"/>
    </row>
    <row r="349">
      <c r="B349" s="75"/>
      <c r="C349" s="38"/>
      <c r="L349" s="72"/>
      <c r="M349" s="39"/>
      <c r="N349" s="39"/>
      <c r="O349" s="91"/>
      <c r="Q349" s="81"/>
    </row>
    <row r="350">
      <c r="B350" s="75"/>
      <c r="C350" s="38"/>
      <c r="L350" s="72"/>
      <c r="M350" s="39"/>
      <c r="N350" s="39"/>
      <c r="O350" s="91"/>
      <c r="Q350" s="81"/>
    </row>
    <row r="351">
      <c r="B351" s="75"/>
      <c r="C351" s="38"/>
      <c r="L351" s="72"/>
      <c r="M351" s="39"/>
      <c r="N351" s="39"/>
      <c r="O351" s="91"/>
      <c r="Q351" s="81"/>
    </row>
    <row r="352">
      <c r="B352" s="75"/>
      <c r="C352" s="38"/>
      <c r="L352" s="72"/>
      <c r="M352" s="39"/>
      <c r="N352" s="39"/>
      <c r="O352" s="91"/>
      <c r="Q352" s="81"/>
    </row>
    <row r="353">
      <c r="B353" s="75"/>
      <c r="C353" s="38"/>
      <c r="L353" s="72"/>
      <c r="M353" s="39"/>
      <c r="N353" s="39"/>
      <c r="O353" s="91"/>
      <c r="Q353" s="81"/>
    </row>
    <row r="354">
      <c r="B354" s="75"/>
      <c r="C354" s="38"/>
      <c r="L354" s="72"/>
      <c r="M354" s="39"/>
      <c r="N354" s="39"/>
      <c r="O354" s="91"/>
      <c r="Q354" s="81"/>
    </row>
    <row r="355">
      <c r="B355" s="75"/>
      <c r="C355" s="38"/>
      <c r="L355" s="72"/>
      <c r="M355" s="39"/>
      <c r="N355" s="39"/>
      <c r="O355" s="91"/>
      <c r="Q355" s="81"/>
    </row>
    <row r="356">
      <c r="B356" s="75"/>
      <c r="C356" s="38"/>
      <c r="L356" s="72"/>
      <c r="M356" s="39"/>
      <c r="N356" s="39"/>
      <c r="O356" s="91"/>
      <c r="Q356" s="81"/>
    </row>
    <row r="357">
      <c r="B357" s="75"/>
      <c r="C357" s="38"/>
      <c r="L357" s="72"/>
      <c r="M357" s="39"/>
      <c r="N357" s="39"/>
      <c r="O357" s="91"/>
      <c r="Q357" s="81"/>
    </row>
    <row r="358">
      <c r="B358" s="75"/>
      <c r="C358" s="38"/>
      <c r="L358" s="72"/>
      <c r="M358" s="39"/>
      <c r="N358" s="39"/>
      <c r="O358" s="91"/>
      <c r="Q358" s="81"/>
    </row>
    <row r="359">
      <c r="B359" s="75"/>
      <c r="C359" s="38"/>
      <c r="L359" s="72"/>
      <c r="M359" s="39"/>
      <c r="N359" s="39"/>
      <c r="O359" s="91"/>
      <c r="Q359" s="81"/>
    </row>
    <row r="360">
      <c r="B360" s="75"/>
      <c r="C360" s="38"/>
      <c r="L360" s="72"/>
      <c r="M360" s="39"/>
      <c r="N360" s="39"/>
      <c r="O360" s="91"/>
      <c r="Q360" s="81"/>
    </row>
    <row r="361">
      <c r="B361" s="75"/>
      <c r="C361" s="38"/>
      <c r="L361" s="72"/>
      <c r="M361" s="39"/>
      <c r="N361" s="39"/>
      <c r="O361" s="91"/>
      <c r="Q361" s="81"/>
    </row>
    <row r="362">
      <c r="B362" s="75"/>
      <c r="C362" s="38"/>
      <c r="L362" s="72"/>
      <c r="M362" s="39"/>
      <c r="N362" s="39"/>
      <c r="O362" s="91"/>
      <c r="Q362" s="81"/>
    </row>
    <row r="363">
      <c r="B363" s="75"/>
      <c r="C363" s="38"/>
      <c r="L363" s="72"/>
      <c r="M363" s="39"/>
      <c r="N363" s="39"/>
      <c r="O363" s="91"/>
      <c r="Q363" s="81"/>
    </row>
    <row r="364">
      <c r="B364" s="75"/>
      <c r="C364" s="38"/>
      <c r="L364" s="72"/>
      <c r="M364" s="39"/>
      <c r="N364" s="39"/>
      <c r="O364" s="91"/>
      <c r="Q364" s="81"/>
    </row>
    <row r="365">
      <c r="B365" s="75"/>
      <c r="C365" s="38"/>
      <c r="L365" s="72"/>
      <c r="M365" s="39"/>
      <c r="N365" s="39"/>
      <c r="O365" s="91"/>
      <c r="Q365" s="81"/>
    </row>
    <row r="366">
      <c r="B366" s="75"/>
      <c r="C366" s="38"/>
      <c r="L366" s="72"/>
      <c r="M366" s="39"/>
      <c r="N366" s="39"/>
      <c r="O366" s="91"/>
      <c r="Q366" s="81"/>
    </row>
    <row r="367">
      <c r="B367" s="75"/>
      <c r="C367" s="38"/>
      <c r="L367" s="72"/>
      <c r="M367" s="39"/>
      <c r="N367" s="39"/>
      <c r="O367" s="91"/>
      <c r="Q367" s="81"/>
    </row>
    <row r="368">
      <c r="B368" s="75"/>
      <c r="C368" s="38"/>
      <c r="L368" s="72"/>
      <c r="M368" s="39"/>
      <c r="N368" s="39"/>
      <c r="O368" s="91"/>
      <c r="Q368" s="81"/>
    </row>
    <row r="369">
      <c r="B369" s="75"/>
      <c r="C369" s="38"/>
      <c r="L369" s="72"/>
      <c r="M369" s="39"/>
      <c r="N369" s="39"/>
      <c r="O369" s="91"/>
      <c r="Q369" s="81"/>
    </row>
    <row r="370">
      <c r="B370" s="75"/>
      <c r="C370" s="38"/>
      <c r="L370" s="72"/>
      <c r="M370" s="39"/>
      <c r="N370" s="39"/>
      <c r="O370" s="91"/>
      <c r="Q370" s="81"/>
    </row>
    <row r="371">
      <c r="B371" s="75"/>
      <c r="C371" s="38"/>
      <c r="L371" s="72"/>
      <c r="M371" s="39"/>
      <c r="N371" s="39"/>
      <c r="O371" s="91"/>
      <c r="Q371" s="81"/>
    </row>
    <row r="372">
      <c r="B372" s="75"/>
      <c r="C372" s="38"/>
      <c r="L372" s="72"/>
      <c r="M372" s="39"/>
      <c r="N372" s="39"/>
      <c r="O372" s="91"/>
      <c r="Q372" s="81"/>
    </row>
    <row r="373">
      <c r="B373" s="75"/>
      <c r="C373" s="38"/>
      <c r="L373" s="72"/>
      <c r="M373" s="39"/>
      <c r="N373" s="39"/>
      <c r="O373" s="91"/>
      <c r="Q373" s="81"/>
    </row>
    <row r="374">
      <c r="B374" s="75"/>
      <c r="C374" s="38"/>
      <c r="L374" s="72"/>
      <c r="M374" s="39"/>
      <c r="N374" s="39"/>
      <c r="O374" s="91"/>
      <c r="Q374" s="81"/>
    </row>
    <row r="375">
      <c r="B375" s="75"/>
      <c r="C375" s="38"/>
      <c r="L375" s="72"/>
      <c r="M375" s="39"/>
      <c r="N375" s="39"/>
      <c r="O375" s="91"/>
      <c r="Q375" s="81"/>
    </row>
    <row r="376">
      <c r="B376" s="75"/>
      <c r="C376" s="38"/>
      <c r="L376" s="72"/>
      <c r="M376" s="39"/>
      <c r="N376" s="39"/>
      <c r="O376" s="91"/>
      <c r="Q376" s="81"/>
    </row>
    <row r="377">
      <c r="B377" s="75"/>
      <c r="C377" s="38"/>
      <c r="L377" s="72"/>
      <c r="M377" s="39"/>
      <c r="N377" s="39"/>
      <c r="O377" s="91"/>
      <c r="Q377" s="81"/>
    </row>
    <row r="378">
      <c r="B378" s="75"/>
      <c r="C378" s="38"/>
      <c r="L378" s="72"/>
      <c r="M378" s="39"/>
      <c r="N378" s="39"/>
      <c r="O378" s="91"/>
      <c r="Q378" s="81"/>
    </row>
    <row r="379">
      <c r="B379" s="75"/>
      <c r="C379" s="38"/>
      <c r="L379" s="72"/>
      <c r="M379" s="39"/>
      <c r="N379" s="39"/>
      <c r="O379" s="91"/>
      <c r="Q379" s="81"/>
    </row>
    <row r="380">
      <c r="B380" s="75"/>
      <c r="C380" s="38"/>
      <c r="L380" s="72"/>
      <c r="M380" s="39"/>
      <c r="N380" s="39"/>
      <c r="O380" s="91"/>
      <c r="Q380" s="81"/>
    </row>
    <row r="381">
      <c r="B381" s="75"/>
      <c r="C381" s="38"/>
      <c r="L381" s="72"/>
      <c r="M381" s="39"/>
      <c r="N381" s="39"/>
      <c r="O381" s="91"/>
      <c r="Q381" s="81"/>
    </row>
    <row r="382">
      <c r="B382" s="75"/>
      <c r="C382" s="38"/>
      <c r="L382" s="72"/>
      <c r="M382" s="39"/>
      <c r="N382" s="39"/>
      <c r="O382" s="91"/>
      <c r="Q382" s="81"/>
    </row>
    <row r="383">
      <c r="B383" s="75"/>
      <c r="C383" s="38"/>
      <c r="L383" s="72"/>
      <c r="M383" s="39"/>
      <c r="N383" s="39"/>
      <c r="O383" s="91"/>
      <c r="Q383" s="81"/>
    </row>
    <row r="384">
      <c r="B384" s="75"/>
      <c r="C384" s="38"/>
      <c r="L384" s="72"/>
      <c r="M384" s="39"/>
      <c r="N384" s="39"/>
      <c r="O384" s="91"/>
      <c r="Q384" s="81"/>
    </row>
    <row r="385">
      <c r="B385" s="75"/>
      <c r="C385" s="38"/>
      <c r="L385" s="72"/>
      <c r="M385" s="39"/>
      <c r="N385" s="39"/>
      <c r="O385" s="91"/>
      <c r="Q385" s="81"/>
    </row>
    <row r="386">
      <c r="B386" s="75"/>
      <c r="C386" s="38"/>
      <c r="L386" s="72"/>
      <c r="M386" s="39"/>
      <c r="N386" s="39"/>
      <c r="O386" s="91"/>
      <c r="Q386" s="81"/>
    </row>
    <row r="387">
      <c r="B387" s="75"/>
      <c r="C387" s="38"/>
      <c r="L387" s="72"/>
      <c r="M387" s="39"/>
      <c r="N387" s="39"/>
      <c r="O387" s="91"/>
      <c r="Q387" s="81"/>
    </row>
    <row r="388">
      <c r="B388" s="75"/>
      <c r="C388" s="38"/>
      <c r="L388" s="72"/>
      <c r="M388" s="39"/>
      <c r="N388" s="39"/>
      <c r="O388" s="91"/>
      <c r="Q388" s="81"/>
    </row>
    <row r="389">
      <c r="B389" s="75"/>
      <c r="C389" s="38"/>
      <c r="L389" s="72"/>
      <c r="M389" s="39"/>
      <c r="N389" s="39"/>
      <c r="O389" s="91"/>
      <c r="Q389" s="81"/>
    </row>
    <row r="390">
      <c r="B390" s="75"/>
      <c r="C390" s="38"/>
      <c r="L390" s="72"/>
      <c r="M390" s="39"/>
      <c r="N390" s="39"/>
      <c r="O390" s="91"/>
      <c r="Q390" s="81"/>
    </row>
    <row r="391">
      <c r="B391" s="75"/>
      <c r="C391" s="38"/>
      <c r="L391" s="72"/>
      <c r="M391" s="39"/>
      <c r="N391" s="39"/>
      <c r="O391" s="91"/>
      <c r="Q391" s="81"/>
    </row>
    <row r="392">
      <c r="B392" s="75"/>
      <c r="C392" s="38"/>
      <c r="L392" s="72"/>
      <c r="M392" s="39"/>
      <c r="N392" s="39"/>
      <c r="O392" s="91"/>
      <c r="Q392" s="81"/>
    </row>
    <row r="393">
      <c r="B393" s="75"/>
      <c r="C393" s="38"/>
      <c r="L393" s="72"/>
      <c r="M393" s="39"/>
      <c r="N393" s="39"/>
      <c r="O393" s="91"/>
      <c r="Q393" s="81"/>
    </row>
    <row r="394">
      <c r="B394" s="75"/>
      <c r="C394" s="38"/>
      <c r="L394" s="72"/>
      <c r="M394" s="39"/>
      <c r="N394" s="39"/>
      <c r="O394" s="91"/>
      <c r="Q394" s="81"/>
    </row>
    <row r="395">
      <c r="B395" s="75"/>
      <c r="C395" s="38"/>
      <c r="L395" s="72"/>
      <c r="M395" s="39"/>
      <c r="N395" s="39"/>
      <c r="O395" s="91"/>
      <c r="Q395" s="81"/>
    </row>
    <row r="396">
      <c r="B396" s="75"/>
      <c r="C396" s="38"/>
      <c r="L396" s="72"/>
      <c r="M396" s="39"/>
      <c r="N396" s="39"/>
      <c r="O396" s="91"/>
      <c r="Q396" s="81"/>
    </row>
    <row r="397">
      <c r="B397" s="75"/>
      <c r="C397" s="38"/>
      <c r="L397" s="72"/>
      <c r="M397" s="39"/>
      <c r="N397" s="39"/>
      <c r="O397" s="91"/>
      <c r="Q397" s="81"/>
    </row>
    <row r="398">
      <c r="B398" s="75"/>
      <c r="C398" s="38"/>
      <c r="L398" s="72"/>
      <c r="M398" s="39"/>
      <c r="N398" s="39"/>
      <c r="O398" s="91"/>
      <c r="Q398" s="81"/>
    </row>
    <row r="399">
      <c r="B399" s="75"/>
      <c r="C399" s="38"/>
      <c r="L399" s="72"/>
      <c r="M399" s="39"/>
      <c r="N399" s="39"/>
      <c r="O399" s="91"/>
      <c r="Q399" s="81"/>
    </row>
    <row r="400">
      <c r="B400" s="75"/>
      <c r="C400" s="38"/>
      <c r="L400" s="72"/>
      <c r="M400" s="39"/>
      <c r="N400" s="39"/>
      <c r="O400" s="91"/>
      <c r="Q400" s="81"/>
    </row>
    <row r="401">
      <c r="B401" s="75"/>
      <c r="C401" s="38"/>
      <c r="L401" s="72"/>
      <c r="M401" s="39"/>
      <c r="N401" s="39"/>
      <c r="O401" s="91"/>
      <c r="Q401" s="81"/>
    </row>
    <row r="402">
      <c r="B402" s="75"/>
      <c r="C402" s="38"/>
      <c r="L402" s="72"/>
      <c r="M402" s="39"/>
      <c r="N402" s="39"/>
      <c r="O402" s="91"/>
      <c r="Q402" s="81"/>
    </row>
    <row r="403">
      <c r="B403" s="75"/>
      <c r="C403" s="38"/>
      <c r="L403" s="72"/>
      <c r="M403" s="39"/>
      <c r="N403" s="39"/>
      <c r="O403" s="91"/>
      <c r="Q403" s="81"/>
    </row>
    <row r="404">
      <c r="B404" s="75"/>
      <c r="C404" s="38"/>
      <c r="L404" s="72"/>
      <c r="M404" s="39"/>
      <c r="N404" s="39"/>
      <c r="O404" s="91"/>
      <c r="Q404" s="81"/>
    </row>
    <row r="405">
      <c r="B405" s="75"/>
      <c r="C405" s="38"/>
      <c r="L405" s="72"/>
      <c r="M405" s="39"/>
      <c r="N405" s="39"/>
      <c r="O405" s="91"/>
      <c r="Q405" s="81"/>
    </row>
    <row r="406">
      <c r="B406" s="75"/>
      <c r="C406" s="38"/>
      <c r="L406" s="72"/>
      <c r="M406" s="39"/>
      <c r="N406" s="39"/>
      <c r="O406" s="91"/>
      <c r="Q406" s="81"/>
    </row>
    <row r="407">
      <c r="B407" s="75"/>
      <c r="C407" s="38"/>
      <c r="L407" s="72"/>
      <c r="M407" s="39"/>
      <c r="N407" s="39"/>
      <c r="O407" s="91"/>
      <c r="Q407" s="81"/>
    </row>
    <row r="408">
      <c r="B408" s="75"/>
      <c r="C408" s="38"/>
      <c r="L408" s="72"/>
      <c r="M408" s="39"/>
      <c r="N408" s="39"/>
      <c r="O408" s="91"/>
      <c r="Q408" s="81"/>
    </row>
    <row r="409">
      <c r="B409" s="75"/>
      <c r="C409" s="38"/>
      <c r="L409" s="72"/>
      <c r="M409" s="39"/>
      <c r="N409" s="39"/>
      <c r="O409" s="91"/>
      <c r="Q409" s="81"/>
    </row>
    <row r="410">
      <c r="B410" s="75"/>
      <c r="C410" s="38"/>
      <c r="L410" s="72"/>
      <c r="M410" s="39"/>
      <c r="N410" s="39"/>
      <c r="O410" s="91"/>
      <c r="Q410" s="81"/>
    </row>
    <row r="411">
      <c r="B411" s="75"/>
      <c r="C411" s="38"/>
      <c r="L411" s="72"/>
      <c r="M411" s="39"/>
      <c r="N411" s="39"/>
      <c r="O411" s="91"/>
      <c r="Q411" s="81"/>
    </row>
    <row r="412">
      <c r="B412" s="75"/>
      <c r="C412" s="38"/>
      <c r="L412" s="72"/>
      <c r="M412" s="39"/>
      <c r="N412" s="39"/>
      <c r="O412" s="91"/>
      <c r="Q412" s="81"/>
    </row>
    <row r="413">
      <c r="B413" s="75"/>
      <c r="C413" s="38"/>
      <c r="L413" s="72"/>
      <c r="M413" s="39"/>
      <c r="N413" s="39"/>
      <c r="O413" s="91"/>
      <c r="Q413" s="81"/>
    </row>
    <row r="414">
      <c r="B414" s="75"/>
      <c r="C414" s="38"/>
      <c r="L414" s="72"/>
      <c r="M414" s="39"/>
      <c r="N414" s="39"/>
      <c r="O414" s="91"/>
      <c r="Q414" s="81"/>
    </row>
    <row r="415">
      <c r="B415" s="75"/>
      <c r="C415" s="38"/>
      <c r="L415" s="72"/>
      <c r="M415" s="39"/>
      <c r="N415" s="39"/>
      <c r="O415" s="91"/>
      <c r="Q415" s="81"/>
    </row>
    <row r="416">
      <c r="B416" s="75"/>
      <c r="C416" s="38"/>
      <c r="L416" s="72"/>
      <c r="M416" s="39"/>
      <c r="N416" s="39"/>
      <c r="O416" s="91"/>
      <c r="Q416" s="81"/>
    </row>
    <row r="417">
      <c r="B417" s="75"/>
      <c r="C417" s="38"/>
      <c r="L417" s="72"/>
      <c r="M417" s="39"/>
      <c r="N417" s="39"/>
      <c r="O417" s="91"/>
      <c r="Q417" s="81"/>
    </row>
    <row r="418">
      <c r="B418" s="75"/>
      <c r="C418" s="38"/>
      <c r="L418" s="72"/>
      <c r="M418" s="39"/>
      <c r="N418" s="39"/>
      <c r="O418" s="91"/>
      <c r="Q418" s="81"/>
    </row>
    <row r="419">
      <c r="B419" s="75"/>
      <c r="C419" s="38"/>
      <c r="L419" s="72"/>
      <c r="M419" s="39"/>
      <c r="N419" s="39"/>
      <c r="O419" s="91"/>
      <c r="Q419" s="81"/>
    </row>
    <row r="420">
      <c r="B420" s="75"/>
      <c r="C420" s="38"/>
      <c r="L420" s="72"/>
      <c r="M420" s="39"/>
      <c r="N420" s="39"/>
      <c r="O420" s="91"/>
      <c r="Q420" s="81"/>
    </row>
    <row r="421">
      <c r="B421" s="75"/>
      <c r="C421" s="38"/>
      <c r="L421" s="72"/>
      <c r="M421" s="39"/>
      <c r="N421" s="39"/>
      <c r="O421" s="91"/>
      <c r="Q421" s="81"/>
    </row>
    <row r="422">
      <c r="B422" s="75"/>
      <c r="C422" s="38"/>
      <c r="L422" s="72"/>
      <c r="M422" s="39"/>
      <c r="N422" s="39"/>
      <c r="O422" s="91"/>
      <c r="Q422" s="81"/>
    </row>
    <row r="423">
      <c r="B423" s="75"/>
      <c r="C423" s="38"/>
      <c r="L423" s="72"/>
      <c r="M423" s="39"/>
      <c r="N423" s="39"/>
      <c r="O423" s="91"/>
      <c r="Q423" s="81"/>
    </row>
    <row r="424">
      <c r="B424" s="75"/>
      <c r="C424" s="38"/>
      <c r="L424" s="72"/>
      <c r="M424" s="39"/>
      <c r="N424" s="39"/>
      <c r="O424" s="91"/>
      <c r="Q424" s="81"/>
    </row>
    <row r="425">
      <c r="B425" s="75"/>
      <c r="C425" s="38"/>
      <c r="L425" s="72"/>
      <c r="M425" s="39"/>
      <c r="N425" s="39"/>
      <c r="O425" s="91"/>
      <c r="Q425" s="81"/>
    </row>
    <row r="426">
      <c r="B426" s="75"/>
      <c r="C426" s="38"/>
      <c r="L426" s="72"/>
      <c r="M426" s="39"/>
      <c r="N426" s="39"/>
      <c r="O426" s="91"/>
      <c r="Q426" s="81"/>
    </row>
    <row r="427">
      <c r="B427" s="75"/>
      <c r="C427" s="38"/>
      <c r="L427" s="72"/>
      <c r="M427" s="39"/>
      <c r="N427" s="39"/>
      <c r="O427" s="91"/>
      <c r="Q427" s="81"/>
    </row>
    <row r="428">
      <c r="B428" s="75"/>
      <c r="C428" s="38"/>
      <c r="L428" s="72"/>
      <c r="M428" s="39"/>
      <c r="N428" s="39"/>
      <c r="O428" s="91"/>
      <c r="Q428" s="81"/>
    </row>
    <row r="429">
      <c r="B429" s="75"/>
      <c r="C429" s="38"/>
      <c r="L429" s="72"/>
      <c r="M429" s="39"/>
      <c r="N429" s="39"/>
      <c r="O429" s="91"/>
      <c r="Q429" s="81"/>
    </row>
    <row r="430">
      <c r="B430" s="75"/>
      <c r="C430" s="38"/>
      <c r="L430" s="72"/>
      <c r="M430" s="39"/>
      <c r="N430" s="39"/>
      <c r="O430" s="91"/>
      <c r="Q430" s="81"/>
    </row>
    <row r="431">
      <c r="B431" s="75"/>
      <c r="C431" s="38"/>
      <c r="L431" s="72"/>
      <c r="M431" s="39"/>
      <c r="N431" s="39"/>
      <c r="O431" s="91"/>
      <c r="Q431" s="81"/>
    </row>
    <row r="432">
      <c r="B432" s="75"/>
      <c r="C432" s="38"/>
      <c r="L432" s="72"/>
      <c r="M432" s="39"/>
      <c r="N432" s="39"/>
      <c r="O432" s="91"/>
      <c r="Q432" s="81"/>
    </row>
    <row r="433">
      <c r="B433" s="75"/>
      <c r="C433" s="38"/>
      <c r="L433" s="72"/>
      <c r="M433" s="39"/>
      <c r="N433" s="39"/>
      <c r="O433" s="91"/>
      <c r="Q433" s="81"/>
    </row>
    <row r="434">
      <c r="B434" s="75"/>
      <c r="C434" s="38"/>
      <c r="L434" s="72"/>
      <c r="M434" s="39"/>
      <c r="N434" s="39"/>
      <c r="O434" s="91"/>
      <c r="Q434" s="81"/>
    </row>
    <row r="435">
      <c r="B435" s="75"/>
      <c r="C435" s="38"/>
      <c r="L435" s="72"/>
      <c r="M435" s="39"/>
      <c r="N435" s="39"/>
      <c r="O435" s="91"/>
      <c r="Q435" s="81"/>
    </row>
    <row r="436">
      <c r="B436" s="75"/>
      <c r="C436" s="38"/>
      <c r="L436" s="72"/>
      <c r="M436" s="39"/>
      <c r="N436" s="39"/>
      <c r="O436" s="91"/>
      <c r="Q436" s="81"/>
    </row>
    <row r="437">
      <c r="B437" s="75"/>
      <c r="C437" s="38"/>
      <c r="L437" s="72"/>
      <c r="M437" s="39"/>
      <c r="N437" s="39"/>
      <c r="O437" s="91"/>
      <c r="Q437" s="81"/>
    </row>
    <row r="438">
      <c r="B438" s="75"/>
      <c r="C438" s="38"/>
      <c r="L438" s="72"/>
      <c r="M438" s="39"/>
      <c r="N438" s="39"/>
      <c r="O438" s="91"/>
      <c r="Q438" s="81"/>
    </row>
    <row r="439">
      <c r="B439" s="75"/>
      <c r="C439" s="38"/>
      <c r="L439" s="72"/>
      <c r="M439" s="39"/>
      <c r="N439" s="39"/>
      <c r="O439" s="91"/>
      <c r="Q439" s="81"/>
    </row>
    <row r="440">
      <c r="B440" s="75"/>
      <c r="C440" s="38"/>
      <c r="L440" s="72"/>
      <c r="M440" s="39"/>
      <c r="N440" s="39"/>
      <c r="O440" s="91"/>
      <c r="Q440" s="81"/>
    </row>
    <row r="441">
      <c r="B441" s="75"/>
      <c r="C441" s="38"/>
      <c r="L441" s="72"/>
      <c r="M441" s="39"/>
      <c r="N441" s="39"/>
      <c r="O441" s="91"/>
      <c r="Q441" s="81"/>
    </row>
    <row r="442">
      <c r="B442" s="75"/>
      <c r="C442" s="38"/>
      <c r="L442" s="72"/>
      <c r="M442" s="39"/>
      <c r="N442" s="39"/>
      <c r="O442" s="91"/>
      <c r="Q442" s="81"/>
    </row>
    <row r="443">
      <c r="B443" s="75"/>
      <c r="C443" s="38"/>
      <c r="L443" s="72"/>
      <c r="M443" s="39"/>
      <c r="N443" s="39"/>
      <c r="O443" s="91"/>
      <c r="Q443" s="81"/>
    </row>
    <row r="444">
      <c r="B444" s="75"/>
      <c r="C444" s="38"/>
      <c r="L444" s="72"/>
      <c r="M444" s="39"/>
      <c r="N444" s="39"/>
      <c r="O444" s="91"/>
      <c r="Q444" s="81"/>
    </row>
    <row r="445">
      <c r="B445" s="75"/>
      <c r="C445" s="38"/>
      <c r="L445" s="72"/>
      <c r="M445" s="39"/>
      <c r="N445" s="39"/>
      <c r="O445" s="91"/>
      <c r="Q445" s="81"/>
    </row>
    <row r="446">
      <c r="B446" s="75"/>
      <c r="C446" s="38"/>
      <c r="L446" s="72"/>
      <c r="M446" s="39"/>
      <c r="N446" s="39"/>
      <c r="O446" s="91"/>
      <c r="Q446" s="81"/>
    </row>
    <row r="447">
      <c r="B447" s="75"/>
      <c r="C447" s="38"/>
      <c r="L447" s="72"/>
      <c r="M447" s="39"/>
      <c r="N447" s="39"/>
      <c r="O447" s="91"/>
      <c r="Q447" s="81"/>
    </row>
    <row r="448">
      <c r="B448" s="75"/>
      <c r="C448" s="38"/>
      <c r="L448" s="72"/>
      <c r="M448" s="39"/>
      <c r="N448" s="39"/>
      <c r="O448" s="91"/>
      <c r="Q448" s="81"/>
    </row>
    <row r="449">
      <c r="B449" s="75"/>
      <c r="C449" s="38"/>
      <c r="L449" s="72"/>
      <c r="M449" s="39"/>
      <c r="N449" s="39"/>
      <c r="O449" s="91"/>
      <c r="Q449" s="81"/>
    </row>
    <row r="450">
      <c r="B450" s="75"/>
      <c r="C450" s="38"/>
      <c r="L450" s="72"/>
      <c r="M450" s="39"/>
      <c r="N450" s="39"/>
      <c r="O450" s="91"/>
      <c r="Q450" s="81"/>
    </row>
    <row r="451">
      <c r="B451" s="75"/>
      <c r="C451" s="38"/>
      <c r="L451" s="72"/>
      <c r="M451" s="39"/>
      <c r="N451" s="39"/>
      <c r="O451" s="91"/>
      <c r="Q451" s="81"/>
    </row>
    <row r="452">
      <c r="B452" s="75"/>
      <c r="C452" s="38"/>
      <c r="L452" s="72"/>
      <c r="M452" s="39"/>
      <c r="N452" s="39"/>
      <c r="O452" s="91"/>
      <c r="Q452" s="81"/>
    </row>
    <row r="453">
      <c r="B453" s="75"/>
      <c r="C453" s="38"/>
      <c r="L453" s="72"/>
      <c r="M453" s="39"/>
      <c r="N453" s="39"/>
      <c r="O453" s="91"/>
      <c r="Q453" s="81"/>
    </row>
    <row r="454">
      <c r="B454" s="75"/>
      <c r="C454" s="38"/>
      <c r="L454" s="72"/>
      <c r="M454" s="39"/>
      <c r="N454" s="39"/>
      <c r="O454" s="91"/>
      <c r="Q454" s="81"/>
    </row>
    <row r="455">
      <c r="B455" s="75"/>
      <c r="C455" s="38"/>
      <c r="L455" s="72"/>
      <c r="M455" s="39"/>
      <c r="N455" s="39"/>
      <c r="O455" s="91"/>
      <c r="Q455" s="81"/>
    </row>
    <row r="456">
      <c r="B456" s="75"/>
      <c r="C456" s="38"/>
      <c r="L456" s="72"/>
      <c r="M456" s="39"/>
      <c r="N456" s="39"/>
      <c r="O456" s="91"/>
      <c r="Q456" s="81"/>
    </row>
    <row r="457">
      <c r="B457" s="75"/>
      <c r="C457" s="38"/>
      <c r="L457" s="72"/>
      <c r="M457" s="39"/>
      <c r="N457" s="39"/>
      <c r="O457" s="91"/>
      <c r="Q457" s="81"/>
    </row>
    <row r="458">
      <c r="B458" s="75"/>
      <c r="C458" s="38"/>
      <c r="L458" s="72"/>
      <c r="M458" s="39"/>
      <c r="N458" s="39"/>
      <c r="O458" s="91"/>
      <c r="Q458" s="81"/>
    </row>
    <row r="459">
      <c r="B459" s="75"/>
      <c r="C459" s="38"/>
      <c r="L459" s="72"/>
      <c r="M459" s="39"/>
      <c r="N459" s="39"/>
      <c r="O459" s="91"/>
      <c r="Q459" s="81"/>
    </row>
    <row r="460">
      <c r="B460" s="75"/>
      <c r="C460" s="38"/>
      <c r="L460" s="72"/>
      <c r="M460" s="39"/>
      <c r="N460" s="39"/>
      <c r="O460" s="91"/>
      <c r="Q460" s="81"/>
    </row>
    <row r="461">
      <c r="B461" s="75"/>
      <c r="C461" s="38"/>
      <c r="L461" s="72"/>
      <c r="M461" s="39"/>
      <c r="N461" s="39"/>
      <c r="O461" s="91"/>
      <c r="Q461" s="81"/>
    </row>
    <row r="462">
      <c r="B462" s="75"/>
      <c r="C462" s="38"/>
      <c r="L462" s="72"/>
      <c r="M462" s="39"/>
      <c r="N462" s="39"/>
      <c r="O462" s="91"/>
      <c r="Q462" s="81"/>
    </row>
    <row r="463">
      <c r="B463" s="75"/>
      <c r="C463" s="38"/>
      <c r="L463" s="72"/>
      <c r="M463" s="39"/>
      <c r="N463" s="39"/>
      <c r="O463" s="91"/>
      <c r="Q463" s="81"/>
    </row>
    <row r="464">
      <c r="B464" s="75"/>
      <c r="C464" s="38"/>
      <c r="L464" s="72"/>
      <c r="M464" s="39"/>
      <c r="N464" s="39"/>
      <c r="O464" s="91"/>
      <c r="Q464" s="81"/>
    </row>
    <row r="465">
      <c r="B465" s="75"/>
      <c r="C465" s="38"/>
      <c r="L465" s="72"/>
      <c r="M465" s="39"/>
      <c r="N465" s="39"/>
      <c r="O465" s="91"/>
      <c r="Q465" s="81"/>
    </row>
    <row r="466">
      <c r="B466" s="75"/>
      <c r="C466" s="38"/>
      <c r="L466" s="72"/>
      <c r="M466" s="39"/>
      <c r="N466" s="39"/>
      <c r="O466" s="91"/>
      <c r="Q466" s="81"/>
    </row>
    <row r="467">
      <c r="B467" s="75"/>
      <c r="C467" s="38"/>
      <c r="L467" s="72"/>
      <c r="M467" s="39"/>
      <c r="N467" s="39"/>
      <c r="O467" s="91"/>
      <c r="Q467" s="81"/>
    </row>
    <row r="468">
      <c r="B468" s="75"/>
      <c r="C468" s="38"/>
      <c r="L468" s="72"/>
      <c r="M468" s="39"/>
      <c r="N468" s="39"/>
      <c r="O468" s="91"/>
      <c r="Q468" s="81"/>
    </row>
    <row r="469">
      <c r="B469" s="75"/>
      <c r="C469" s="38"/>
      <c r="L469" s="72"/>
      <c r="M469" s="39"/>
      <c r="N469" s="39"/>
      <c r="O469" s="91"/>
      <c r="Q469" s="81"/>
    </row>
    <row r="470">
      <c r="B470" s="75"/>
      <c r="C470" s="38"/>
      <c r="L470" s="72"/>
      <c r="M470" s="39"/>
      <c r="N470" s="39"/>
      <c r="O470" s="91"/>
      <c r="Q470" s="81"/>
    </row>
    <row r="471">
      <c r="B471" s="75"/>
      <c r="C471" s="38"/>
      <c r="L471" s="72"/>
      <c r="M471" s="39"/>
      <c r="N471" s="39"/>
      <c r="O471" s="91"/>
      <c r="Q471" s="81"/>
    </row>
    <row r="472">
      <c r="B472" s="75"/>
      <c r="C472" s="38"/>
      <c r="L472" s="72"/>
      <c r="M472" s="39"/>
      <c r="N472" s="39"/>
      <c r="O472" s="91"/>
      <c r="Q472" s="81"/>
    </row>
    <row r="473">
      <c r="B473" s="75"/>
      <c r="C473" s="38"/>
      <c r="L473" s="72"/>
      <c r="M473" s="39"/>
      <c r="N473" s="39"/>
      <c r="O473" s="91"/>
      <c r="Q473" s="81"/>
    </row>
    <row r="474">
      <c r="B474" s="75"/>
      <c r="C474" s="38"/>
      <c r="L474" s="72"/>
      <c r="M474" s="39"/>
      <c r="N474" s="39"/>
      <c r="O474" s="91"/>
      <c r="Q474" s="81"/>
    </row>
    <row r="475">
      <c r="B475" s="75"/>
      <c r="C475" s="38"/>
      <c r="L475" s="72"/>
      <c r="M475" s="39"/>
      <c r="N475" s="39"/>
      <c r="O475" s="91"/>
      <c r="Q475" s="81"/>
    </row>
    <row r="476">
      <c r="B476" s="75"/>
      <c r="C476" s="38"/>
      <c r="L476" s="72"/>
      <c r="M476" s="39"/>
      <c r="N476" s="39"/>
      <c r="O476" s="91"/>
      <c r="Q476" s="81"/>
    </row>
    <row r="477">
      <c r="B477" s="75"/>
      <c r="C477" s="38"/>
      <c r="L477" s="72"/>
      <c r="M477" s="39"/>
      <c r="N477" s="39"/>
      <c r="O477" s="91"/>
      <c r="Q477" s="81"/>
    </row>
    <row r="478">
      <c r="B478" s="75"/>
      <c r="C478" s="38"/>
      <c r="L478" s="72"/>
      <c r="M478" s="39"/>
      <c r="N478" s="39"/>
      <c r="O478" s="91"/>
      <c r="Q478" s="81"/>
    </row>
    <row r="479">
      <c r="B479" s="75"/>
      <c r="C479" s="38"/>
      <c r="L479" s="72"/>
      <c r="M479" s="39"/>
      <c r="N479" s="39"/>
      <c r="O479" s="91"/>
      <c r="Q479" s="81"/>
    </row>
    <row r="480">
      <c r="B480" s="75"/>
      <c r="C480" s="38"/>
      <c r="L480" s="72"/>
      <c r="M480" s="39"/>
      <c r="N480" s="39"/>
      <c r="O480" s="91"/>
      <c r="Q480" s="81"/>
    </row>
    <row r="481">
      <c r="B481" s="75"/>
      <c r="C481" s="38"/>
      <c r="L481" s="72"/>
      <c r="M481" s="39"/>
      <c r="N481" s="39"/>
      <c r="O481" s="91"/>
      <c r="Q481" s="81"/>
    </row>
    <row r="482">
      <c r="B482" s="75"/>
      <c r="C482" s="38"/>
      <c r="L482" s="72"/>
      <c r="M482" s="39"/>
      <c r="N482" s="39"/>
      <c r="O482" s="91"/>
      <c r="Q482" s="81"/>
    </row>
    <row r="483">
      <c r="B483" s="75"/>
      <c r="C483" s="38"/>
      <c r="L483" s="72"/>
      <c r="M483" s="39"/>
      <c r="N483" s="39"/>
      <c r="O483" s="91"/>
      <c r="Q483" s="81"/>
    </row>
    <row r="484">
      <c r="B484" s="75"/>
      <c r="C484" s="38"/>
      <c r="L484" s="72"/>
      <c r="M484" s="39"/>
      <c r="N484" s="39"/>
      <c r="O484" s="91"/>
      <c r="Q484" s="81"/>
    </row>
    <row r="485">
      <c r="B485" s="75"/>
      <c r="C485" s="38"/>
      <c r="L485" s="72"/>
      <c r="M485" s="39"/>
      <c r="N485" s="39"/>
      <c r="O485" s="91"/>
      <c r="Q485" s="81"/>
    </row>
    <row r="486">
      <c r="B486" s="75"/>
      <c r="C486" s="38"/>
      <c r="L486" s="72"/>
      <c r="M486" s="39"/>
      <c r="N486" s="39"/>
      <c r="O486" s="91"/>
      <c r="Q486" s="81"/>
    </row>
    <row r="487">
      <c r="B487" s="75"/>
      <c r="C487" s="38"/>
      <c r="L487" s="72"/>
      <c r="M487" s="39"/>
      <c r="N487" s="39"/>
      <c r="O487" s="91"/>
      <c r="Q487" s="81"/>
    </row>
    <row r="488">
      <c r="B488" s="75"/>
      <c r="C488" s="38"/>
      <c r="L488" s="72"/>
      <c r="M488" s="39"/>
      <c r="N488" s="39"/>
      <c r="O488" s="91"/>
      <c r="Q488" s="81"/>
    </row>
    <row r="489">
      <c r="B489" s="75"/>
      <c r="C489" s="38"/>
      <c r="L489" s="72"/>
      <c r="M489" s="39"/>
      <c r="N489" s="39"/>
      <c r="O489" s="91"/>
      <c r="Q489" s="81"/>
    </row>
    <row r="490">
      <c r="B490" s="75"/>
      <c r="C490" s="38"/>
      <c r="L490" s="72"/>
      <c r="M490" s="39"/>
      <c r="N490" s="39"/>
      <c r="O490" s="91"/>
      <c r="Q490" s="81"/>
    </row>
    <row r="491">
      <c r="B491" s="75"/>
      <c r="C491" s="38"/>
      <c r="L491" s="72"/>
      <c r="M491" s="39"/>
      <c r="N491" s="39"/>
      <c r="O491" s="91"/>
      <c r="Q491" s="81"/>
    </row>
    <row r="492">
      <c r="B492" s="75"/>
      <c r="C492" s="38"/>
      <c r="L492" s="72"/>
      <c r="M492" s="39"/>
      <c r="N492" s="39"/>
      <c r="O492" s="91"/>
      <c r="Q492" s="81"/>
    </row>
    <row r="493">
      <c r="B493" s="75"/>
      <c r="C493" s="38"/>
      <c r="L493" s="72"/>
      <c r="M493" s="39"/>
      <c r="N493" s="39"/>
      <c r="O493" s="91"/>
      <c r="Q493" s="81"/>
    </row>
    <row r="494">
      <c r="B494" s="75"/>
      <c r="C494" s="38"/>
      <c r="L494" s="72"/>
      <c r="M494" s="39"/>
      <c r="N494" s="39"/>
      <c r="O494" s="91"/>
      <c r="Q494" s="81"/>
    </row>
    <row r="495">
      <c r="B495" s="75"/>
      <c r="C495" s="38"/>
      <c r="L495" s="72"/>
      <c r="M495" s="39"/>
      <c r="N495" s="39"/>
      <c r="O495" s="91"/>
      <c r="Q495" s="81"/>
    </row>
    <row r="496">
      <c r="B496" s="75"/>
      <c r="C496" s="38"/>
      <c r="L496" s="72"/>
      <c r="M496" s="39"/>
      <c r="N496" s="39"/>
      <c r="O496" s="91"/>
      <c r="Q496" s="81"/>
    </row>
    <row r="497">
      <c r="B497" s="75"/>
      <c r="C497" s="38"/>
      <c r="L497" s="72"/>
      <c r="M497" s="39"/>
      <c r="N497" s="39"/>
      <c r="O497" s="91"/>
      <c r="Q497" s="81"/>
    </row>
    <row r="498">
      <c r="B498" s="75"/>
      <c r="C498" s="38"/>
      <c r="L498" s="72"/>
      <c r="M498" s="39"/>
      <c r="N498" s="39"/>
      <c r="O498" s="91"/>
      <c r="Q498" s="81"/>
    </row>
    <row r="499">
      <c r="B499" s="75"/>
      <c r="C499" s="38"/>
      <c r="L499" s="72"/>
      <c r="M499" s="39"/>
      <c r="N499" s="39"/>
      <c r="O499" s="91"/>
      <c r="Q499" s="81"/>
    </row>
    <row r="500">
      <c r="B500" s="75"/>
      <c r="C500" s="38"/>
      <c r="L500" s="72"/>
      <c r="M500" s="39"/>
      <c r="N500" s="39"/>
      <c r="O500" s="91"/>
      <c r="Q500" s="81"/>
    </row>
    <row r="501">
      <c r="B501" s="75"/>
      <c r="C501" s="38"/>
      <c r="L501" s="72"/>
      <c r="M501" s="39"/>
      <c r="N501" s="39"/>
      <c r="O501" s="91"/>
      <c r="Q501" s="81"/>
    </row>
    <row r="502">
      <c r="B502" s="75"/>
      <c r="C502" s="38"/>
      <c r="L502" s="72"/>
      <c r="M502" s="39"/>
      <c r="N502" s="39"/>
      <c r="O502" s="91"/>
      <c r="Q502" s="81"/>
    </row>
    <row r="503">
      <c r="B503" s="75"/>
      <c r="C503" s="38"/>
      <c r="L503" s="72"/>
      <c r="M503" s="39"/>
      <c r="N503" s="39"/>
      <c r="O503" s="91"/>
      <c r="Q503" s="81"/>
    </row>
    <row r="504">
      <c r="B504" s="75"/>
      <c r="C504" s="38"/>
      <c r="L504" s="72"/>
      <c r="M504" s="39"/>
      <c r="N504" s="39"/>
      <c r="O504" s="91"/>
      <c r="Q504" s="81"/>
    </row>
    <row r="505">
      <c r="B505" s="75"/>
      <c r="C505" s="38"/>
      <c r="L505" s="72"/>
      <c r="M505" s="39"/>
      <c r="N505" s="39"/>
      <c r="O505" s="91"/>
      <c r="Q505" s="81"/>
    </row>
    <row r="506">
      <c r="B506" s="75"/>
      <c r="C506" s="38"/>
      <c r="L506" s="72"/>
      <c r="M506" s="39"/>
      <c r="N506" s="39"/>
      <c r="O506" s="91"/>
      <c r="Q506" s="81"/>
    </row>
    <row r="507">
      <c r="B507" s="75"/>
      <c r="C507" s="38"/>
      <c r="L507" s="72"/>
      <c r="M507" s="39"/>
      <c r="N507" s="39"/>
      <c r="O507" s="91"/>
      <c r="Q507" s="81"/>
    </row>
    <row r="508">
      <c r="B508" s="75"/>
      <c r="C508" s="38"/>
      <c r="L508" s="72"/>
      <c r="M508" s="39"/>
      <c r="N508" s="39"/>
      <c r="O508" s="91"/>
      <c r="Q508" s="81"/>
    </row>
    <row r="509">
      <c r="B509" s="75"/>
      <c r="C509" s="38"/>
      <c r="L509" s="72"/>
      <c r="M509" s="39"/>
      <c r="N509" s="39"/>
      <c r="O509" s="91"/>
      <c r="Q509" s="81"/>
    </row>
    <row r="510">
      <c r="B510" s="75"/>
      <c r="C510" s="38"/>
      <c r="L510" s="72"/>
      <c r="M510" s="39"/>
      <c r="N510" s="39"/>
      <c r="O510" s="91"/>
      <c r="Q510" s="81"/>
    </row>
    <row r="511">
      <c r="B511" s="75"/>
      <c r="C511" s="38"/>
      <c r="L511" s="72"/>
      <c r="M511" s="39"/>
      <c r="N511" s="39"/>
      <c r="O511" s="91"/>
      <c r="Q511" s="81"/>
    </row>
    <row r="512">
      <c r="B512" s="75"/>
      <c r="C512" s="38"/>
      <c r="L512" s="72"/>
      <c r="M512" s="39"/>
      <c r="N512" s="39"/>
      <c r="O512" s="91"/>
      <c r="Q512" s="81"/>
    </row>
    <row r="513">
      <c r="B513" s="75"/>
      <c r="C513" s="38"/>
      <c r="L513" s="72"/>
      <c r="M513" s="39"/>
      <c r="N513" s="39"/>
      <c r="O513" s="91"/>
      <c r="Q513" s="81"/>
    </row>
    <row r="514">
      <c r="B514" s="75"/>
      <c r="C514" s="38"/>
      <c r="L514" s="72"/>
      <c r="M514" s="39"/>
      <c r="N514" s="39"/>
      <c r="O514" s="91"/>
      <c r="Q514" s="81"/>
    </row>
    <row r="515">
      <c r="B515" s="75"/>
      <c r="C515" s="38"/>
      <c r="L515" s="72"/>
      <c r="M515" s="39"/>
      <c r="N515" s="39"/>
      <c r="O515" s="91"/>
      <c r="Q515" s="81"/>
    </row>
    <row r="516">
      <c r="B516" s="75"/>
      <c r="C516" s="38"/>
      <c r="L516" s="72"/>
      <c r="M516" s="39"/>
      <c r="N516" s="39"/>
      <c r="O516" s="91"/>
      <c r="Q516" s="81"/>
    </row>
    <row r="517">
      <c r="B517" s="75"/>
      <c r="C517" s="38"/>
      <c r="L517" s="72"/>
      <c r="M517" s="39"/>
      <c r="N517" s="39"/>
      <c r="O517" s="91"/>
      <c r="Q517" s="81"/>
    </row>
    <row r="518">
      <c r="B518" s="75"/>
      <c r="C518" s="38"/>
      <c r="L518" s="72"/>
      <c r="M518" s="39"/>
      <c r="N518" s="39"/>
      <c r="O518" s="91"/>
      <c r="Q518" s="81"/>
    </row>
    <row r="519">
      <c r="B519" s="75"/>
      <c r="C519" s="38"/>
      <c r="L519" s="72"/>
      <c r="M519" s="39"/>
      <c r="N519" s="39"/>
      <c r="O519" s="91"/>
      <c r="Q519" s="81"/>
    </row>
    <row r="520">
      <c r="B520" s="75"/>
      <c r="C520" s="38"/>
      <c r="L520" s="72"/>
      <c r="M520" s="39"/>
      <c r="N520" s="39"/>
      <c r="O520" s="91"/>
      <c r="Q520" s="81"/>
    </row>
    <row r="521">
      <c r="B521" s="75"/>
      <c r="C521" s="38"/>
      <c r="L521" s="72"/>
      <c r="M521" s="39"/>
      <c r="N521" s="39"/>
      <c r="O521" s="91"/>
      <c r="Q521" s="81"/>
    </row>
    <row r="522">
      <c r="B522" s="75"/>
      <c r="C522" s="38"/>
      <c r="L522" s="72"/>
      <c r="M522" s="39"/>
      <c r="N522" s="39"/>
      <c r="O522" s="91"/>
      <c r="Q522" s="81"/>
    </row>
    <row r="523">
      <c r="B523" s="75"/>
      <c r="C523" s="38"/>
      <c r="L523" s="72"/>
      <c r="M523" s="39"/>
      <c r="N523" s="39"/>
      <c r="O523" s="91"/>
      <c r="Q523" s="81"/>
    </row>
    <row r="524">
      <c r="B524" s="75"/>
      <c r="C524" s="38"/>
      <c r="L524" s="72"/>
      <c r="M524" s="39"/>
      <c r="N524" s="39"/>
      <c r="O524" s="91"/>
      <c r="Q524" s="81"/>
    </row>
    <row r="525">
      <c r="B525" s="75"/>
      <c r="C525" s="38"/>
      <c r="L525" s="72"/>
      <c r="M525" s="39"/>
      <c r="N525" s="39"/>
      <c r="O525" s="91"/>
      <c r="Q525" s="81"/>
    </row>
    <row r="526">
      <c r="B526" s="75"/>
      <c r="C526" s="38"/>
      <c r="L526" s="72"/>
      <c r="M526" s="39"/>
      <c r="N526" s="39"/>
      <c r="O526" s="91"/>
      <c r="Q526" s="81"/>
    </row>
    <row r="527">
      <c r="B527" s="75"/>
      <c r="C527" s="38"/>
      <c r="L527" s="72"/>
      <c r="M527" s="39"/>
      <c r="N527" s="39"/>
      <c r="O527" s="91"/>
      <c r="Q527" s="81"/>
    </row>
    <row r="528">
      <c r="B528" s="75"/>
      <c r="C528" s="38"/>
      <c r="L528" s="72"/>
      <c r="M528" s="39"/>
      <c r="N528" s="39"/>
      <c r="O528" s="91"/>
      <c r="Q528" s="81"/>
    </row>
    <row r="529">
      <c r="B529" s="75"/>
      <c r="C529" s="38"/>
      <c r="L529" s="72"/>
      <c r="M529" s="39"/>
      <c r="N529" s="39"/>
      <c r="O529" s="91"/>
      <c r="Q529" s="81"/>
    </row>
    <row r="530">
      <c r="B530" s="75"/>
      <c r="C530" s="38"/>
      <c r="L530" s="72"/>
      <c r="M530" s="39"/>
      <c r="N530" s="39"/>
      <c r="O530" s="91"/>
      <c r="Q530" s="81"/>
    </row>
    <row r="531">
      <c r="B531" s="75"/>
      <c r="C531" s="38"/>
      <c r="L531" s="72"/>
      <c r="M531" s="39"/>
      <c r="N531" s="39"/>
      <c r="O531" s="91"/>
      <c r="Q531" s="81"/>
    </row>
    <row r="532">
      <c r="B532" s="75"/>
      <c r="C532" s="38"/>
      <c r="L532" s="72"/>
      <c r="M532" s="39"/>
      <c r="N532" s="39"/>
      <c r="O532" s="91"/>
      <c r="Q532" s="81"/>
    </row>
    <row r="533">
      <c r="B533" s="75"/>
      <c r="C533" s="38"/>
      <c r="L533" s="72"/>
      <c r="M533" s="39"/>
      <c r="N533" s="39"/>
      <c r="O533" s="91"/>
      <c r="Q533" s="81"/>
    </row>
    <row r="534">
      <c r="B534" s="75"/>
      <c r="C534" s="38"/>
      <c r="L534" s="72"/>
      <c r="M534" s="39"/>
      <c r="N534" s="39"/>
      <c r="O534" s="91"/>
      <c r="Q534" s="81"/>
    </row>
    <row r="535">
      <c r="B535" s="75"/>
      <c r="C535" s="38"/>
      <c r="L535" s="72"/>
      <c r="M535" s="39"/>
      <c r="N535" s="39"/>
      <c r="O535" s="91"/>
      <c r="Q535" s="81"/>
    </row>
    <row r="536">
      <c r="B536" s="75"/>
      <c r="C536" s="38"/>
      <c r="L536" s="72"/>
      <c r="M536" s="39"/>
      <c r="N536" s="39"/>
      <c r="O536" s="91"/>
      <c r="Q536" s="81"/>
    </row>
    <row r="537">
      <c r="B537" s="75"/>
      <c r="C537" s="38"/>
      <c r="L537" s="72"/>
      <c r="M537" s="39"/>
      <c r="N537" s="39"/>
      <c r="O537" s="91"/>
      <c r="Q537" s="81"/>
    </row>
    <row r="538">
      <c r="B538" s="75"/>
      <c r="C538" s="38"/>
      <c r="L538" s="72"/>
      <c r="M538" s="39"/>
      <c r="N538" s="39"/>
      <c r="O538" s="91"/>
      <c r="Q538" s="81"/>
    </row>
    <row r="539">
      <c r="B539" s="75"/>
      <c r="C539" s="38"/>
      <c r="L539" s="72"/>
      <c r="M539" s="39"/>
      <c r="N539" s="39"/>
      <c r="O539" s="91"/>
      <c r="Q539" s="81"/>
    </row>
    <row r="540">
      <c r="B540" s="75"/>
      <c r="C540" s="38"/>
      <c r="L540" s="72"/>
      <c r="M540" s="39"/>
      <c r="N540" s="39"/>
      <c r="O540" s="91"/>
      <c r="Q540" s="81"/>
    </row>
    <row r="541">
      <c r="B541" s="75"/>
      <c r="C541" s="38"/>
      <c r="L541" s="72"/>
      <c r="M541" s="39"/>
      <c r="N541" s="39"/>
      <c r="O541" s="91"/>
      <c r="Q541" s="81"/>
    </row>
    <row r="542">
      <c r="B542" s="75"/>
      <c r="C542" s="38"/>
      <c r="L542" s="72"/>
      <c r="M542" s="39"/>
      <c r="N542" s="39"/>
      <c r="O542" s="91"/>
      <c r="Q542" s="81"/>
    </row>
    <row r="543">
      <c r="B543" s="75"/>
      <c r="C543" s="38"/>
      <c r="L543" s="72"/>
      <c r="M543" s="39"/>
      <c r="N543" s="39"/>
      <c r="O543" s="91"/>
      <c r="Q543" s="81"/>
    </row>
    <row r="544">
      <c r="B544" s="75"/>
      <c r="C544" s="38"/>
      <c r="L544" s="72"/>
      <c r="M544" s="39"/>
      <c r="N544" s="39"/>
      <c r="O544" s="91"/>
      <c r="Q544" s="81"/>
    </row>
    <row r="545">
      <c r="B545" s="75"/>
      <c r="C545" s="38"/>
      <c r="L545" s="72"/>
      <c r="M545" s="39"/>
      <c r="N545" s="39"/>
      <c r="O545" s="91"/>
      <c r="Q545" s="81"/>
    </row>
    <row r="546">
      <c r="B546" s="75"/>
      <c r="C546" s="38"/>
      <c r="L546" s="72"/>
      <c r="M546" s="39"/>
      <c r="N546" s="39"/>
      <c r="O546" s="91"/>
      <c r="Q546" s="81"/>
    </row>
    <row r="547">
      <c r="B547" s="75"/>
      <c r="C547" s="38"/>
      <c r="L547" s="72"/>
      <c r="M547" s="39"/>
      <c r="N547" s="39"/>
      <c r="O547" s="91"/>
      <c r="Q547" s="81"/>
    </row>
    <row r="548">
      <c r="B548" s="75"/>
      <c r="C548" s="38"/>
      <c r="L548" s="72"/>
      <c r="M548" s="39"/>
      <c r="N548" s="39"/>
      <c r="O548" s="91"/>
      <c r="Q548" s="81"/>
    </row>
    <row r="549">
      <c r="B549" s="75"/>
      <c r="C549" s="38"/>
      <c r="L549" s="72"/>
      <c r="M549" s="39"/>
      <c r="N549" s="39"/>
      <c r="O549" s="91"/>
      <c r="Q549" s="81"/>
    </row>
    <row r="550">
      <c r="B550" s="75"/>
      <c r="C550" s="38"/>
      <c r="L550" s="72"/>
      <c r="M550" s="39"/>
      <c r="N550" s="39"/>
      <c r="O550" s="91"/>
      <c r="Q550" s="81"/>
    </row>
    <row r="551">
      <c r="B551" s="75"/>
      <c r="C551" s="38"/>
      <c r="L551" s="72"/>
      <c r="M551" s="39"/>
      <c r="N551" s="39"/>
      <c r="O551" s="91"/>
      <c r="Q551" s="81"/>
    </row>
    <row r="552">
      <c r="B552" s="75"/>
      <c r="C552" s="38"/>
      <c r="L552" s="72"/>
      <c r="M552" s="39"/>
      <c r="N552" s="39"/>
      <c r="O552" s="91"/>
      <c r="Q552" s="81"/>
    </row>
    <row r="553">
      <c r="B553" s="75"/>
      <c r="C553" s="38"/>
      <c r="L553" s="72"/>
      <c r="M553" s="39"/>
      <c r="N553" s="39"/>
      <c r="O553" s="91"/>
      <c r="Q553" s="81"/>
    </row>
    <row r="554">
      <c r="B554" s="75"/>
      <c r="C554" s="38"/>
      <c r="L554" s="72"/>
      <c r="M554" s="39"/>
      <c r="N554" s="39"/>
      <c r="O554" s="91"/>
      <c r="Q554" s="81"/>
    </row>
    <row r="555">
      <c r="B555" s="75"/>
      <c r="C555" s="38"/>
      <c r="L555" s="72"/>
      <c r="M555" s="39"/>
      <c r="N555" s="39"/>
      <c r="O555" s="91"/>
      <c r="Q555" s="81"/>
    </row>
    <row r="556">
      <c r="B556" s="75"/>
      <c r="C556" s="38"/>
      <c r="L556" s="72"/>
      <c r="M556" s="39"/>
      <c r="N556" s="39"/>
      <c r="O556" s="91"/>
      <c r="Q556" s="81"/>
    </row>
    <row r="557">
      <c r="B557" s="75"/>
      <c r="C557" s="38"/>
      <c r="L557" s="72"/>
      <c r="M557" s="39"/>
      <c r="N557" s="39"/>
      <c r="O557" s="91"/>
      <c r="Q557" s="81"/>
    </row>
    <row r="558">
      <c r="B558" s="75"/>
      <c r="C558" s="38"/>
      <c r="L558" s="72"/>
      <c r="M558" s="39"/>
      <c r="N558" s="39"/>
      <c r="O558" s="91"/>
      <c r="Q558" s="81"/>
    </row>
    <row r="559">
      <c r="B559" s="75"/>
      <c r="C559" s="38"/>
      <c r="L559" s="72"/>
      <c r="M559" s="39"/>
      <c r="N559" s="39"/>
      <c r="O559" s="91"/>
      <c r="Q559" s="81"/>
    </row>
    <row r="560">
      <c r="B560" s="75"/>
      <c r="C560" s="38"/>
      <c r="L560" s="72"/>
      <c r="M560" s="39"/>
      <c r="N560" s="39"/>
      <c r="O560" s="91"/>
      <c r="Q560" s="81"/>
    </row>
    <row r="561">
      <c r="B561" s="75"/>
      <c r="C561" s="38"/>
      <c r="L561" s="72"/>
      <c r="M561" s="39"/>
      <c r="N561" s="39"/>
      <c r="O561" s="91"/>
      <c r="Q561" s="81"/>
    </row>
    <row r="562">
      <c r="B562" s="75"/>
      <c r="C562" s="38"/>
      <c r="L562" s="72"/>
      <c r="M562" s="39"/>
      <c r="N562" s="39"/>
      <c r="O562" s="91"/>
      <c r="Q562" s="81"/>
    </row>
    <row r="563">
      <c r="B563" s="75"/>
      <c r="C563" s="38"/>
      <c r="L563" s="72"/>
      <c r="M563" s="39"/>
      <c r="N563" s="39"/>
      <c r="O563" s="91"/>
      <c r="Q563" s="81"/>
    </row>
    <row r="564">
      <c r="B564" s="75"/>
      <c r="C564" s="38"/>
      <c r="L564" s="72"/>
      <c r="M564" s="39"/>
      <c r="N564" s="39"/>
      <c r="O564" s="91"/>
      <c r="Q564" s="81"/>
    </row>
    <row r="565">
      <c r="B565" s="75"/>
      <c r="C565" s="38"/>
      <c r="L565" s="72"/>
      <c r="M565" s="39"/>
      <c r="N565" s="39"/>
      <c r="O565" s="91"/>
      <c r="Q565" s="81"/>
    </row>
    <row r="566">
      <c r="B566" s="75"/>
      <c r="C566" s="38"/>
      <c r="L566" s="72"/>
      <c r="M566" s="39"/>
      <c r="N566" s="39"/>
      <c r="O566" s="91"/>
      <c r="Q566" s="81"/>
    </row>
    <row r="567">
      <c r="B567" s="75"/>
      <c r="C567" s="38"/>
      <c r="L567" s="72"/>
      <c r="M567" s="39"/>
      <c r="N567" s="39"/>
      <c r="O567" s="91"/>
      <c r="Q567" s="81"/>
    </row>
    <row r="568">
      <c r="B568" s="75"/>
      <c r="C568" s="38"/>
      <c r="L568" s="72"/>
      <c r="M568" s="39"/>
      <c r="N568" s="39"/>
      <c r="O568" s="91"/>
      <c r="Q568" s="81"/>
    </row>
    <row r="569">
      <c r="B569" s="75"/>
      <c r="C569" s="38"/>
      <c r="L569" s="72"/>
      <c r="M569" s="39"/>
      <c r="N569" s="39"/>
      <c r="O569" s="91"/>
      <c r="Q569" s="81"/>
    </row>
    <row r="570">
      <c r="B570" s="75"/>
      <c r="C570" s="38"/>
      <c r="L570" s="72"/>
      <c r="M570" s="39"/>
      <c r="N570" s="39"/>
      <c r="O570" s="91"/>
      <c r="Q570" s="81"/>
    </row>
    <row r="571">
      <c r="B571" s="75"/>
      <c r="C571" s="38"/>
      <c r="L571" s="72"/>
      <c r="M571" s="39"/>
      <c r="N571" s="39"/>
      <c r="O571" s="91"/>
      <c r="Q571" s="81"/>
    </row>
    <row r="572">
      <c r="B572" s="75"/>
      <c r="C572" s="38"/>
      <c r="L572" s="72"/>
      <c r="M572" s="39"/>
      <c r="N572" s="39"/>
      <c r="O572" s="91"/>
      <c r="Q572" s="81"/>
    </row>
    <row r="573">
      <c r="B573" s="75"/>
      <c r="C573" s="38"/>
      <c r="L573" s="72"/>
      <c r="M573" s="39"/>
      <c r="N573" s="39"/>
      <c r="O573" s="91"/>
      <c r="Q573" s="81"/>
    </row>
    <row r="574">
      <c r="B574" s="75"/>
      <c r="C574" s="38"/>
      <c r="L574" s="72"/>
      <c r="M574" s="39"/>
      <c r="N574" s="39"/>
      <c r="O574" s="91"/>
      <c r="Q574" s="81"/>
    </row>
    <row r="575">
      <c r="B575" s="75"/>
      <c r="C575" s="38"/>
      <c r="L575" s="72"/>
      <c r="M575" s="39"/>
      <c r="N575" s="39"/>
      <c r="O575" s="91"/>
      <c r="Q575" s="81"/>
    </row>
    <row r="576">
      <c r="B576" s="75"/>
      <c r="C576" s="38"/>
      <c r="L576" s="72"/>
      <c r="M576" s="39"/>
      <c r="N576" s="39"/>
      <c r="O576" s="91"/>
      <c r="Q576" s="81"/>
    </row>
    <row r="577">
      <c r="B577" s="75"/>
      <c r="C577" s="38"/>
      <c r="L577" s="72"/>
      <c r="M577" s="39"/>
      <c r="N577" s="39"/>
      <c r="O577" s="91"/>
      <c r="Q577" s="81"/>
    </row>
    <row r="578">
      <c r="B578" s="75"/>
      <c r="C578" s="38"/>
      <c r="L578" s="72"/>
      <c r="M578" s="39"/>
      <c r="N578" s="39"/>
      <c r="O578" s="91"/>
      <c r="Q578" s="81"/>
    </row>
    <row r="579">
      <c r="B579" s="75"/>
      <c r="C579" s="38"/>
      <c r="L579" s="72"/>
      <c r="M579" s="39"/>
      <c r="N579" s="39"/>
      <c r="O579" s="91"/>
      <c r="Q579" s="81"/>
    </row>
    <row r="580">
      <c r="B580" s="75"/>
      <c r="C580" s="38"/>
      <c r="L580" s="72"/>
      <c r="M580" s="39"/>
      <c r="N580" s="39"/>
      <c r="O580" s="91"/>
      <c r="Q580" s="81"/>
    </row>
    <row r="581">
      <c r="B581" s="75"/>
      <c r="C581" s="38"/>
      <c r="L581" s="72"/>
      <c r="M581" s="39"/>
      <c r="N581" s="39"/>
      <c r="O581" s="91"/>
      <c r="Q581" s="81"/>
    </row>
    <row r="582">
      <c r="B582" s="75"/>
      <c r="C582" s="38"/>
      <c r="L582" s="72"/>
      <c r="M582" s="39"/>
      <c r="N582" s="39"/>
      <c r="O582" s="91"/>
      <c r="Q582" s="81"/>
    </row>
    <row r="583">
      <c r="B583" s="75"/>
      <c r="C583" s="38"/>
      <c r="L583" s="72"/>
      <c r="M583" s="39"/>
      <c r="N583" s="39"/>
      <c r="O583" s="91"/>
      <c r="Q583" s="81"/>
    </row>
    <row r="584">
      <c r="B584" s="75"/>
      <c r="C584" s="38"/>
      <c r="L584" s="72"/>
      <c r="M584" s="39"/>
      <c r="N584" s="39"/>
      <c r="O584" s="91"/>
      <c r="Q584" s="81"/>
    </row>
    <row r="585">
      <c r="B585" s="75"/>
      <c r="C585" s="38"/>
      <c r="L585" s="72"/>
      <c r="M585" s="39"/>
      <c r="N585" s="39"/>
      <c r="O585" s="91"/>
      <c r="Q585" s="81"/>
    </row>
    <row r="586">
      <c r="B586" s="75"/>
      <c r="C586" s="38"/>
      <c r="L586" s="72"/>
      <c r="M586" s="39"/>
      <c r="N586" s="39"/>
      <c r="O586" s="91"/>
      <c r="Q586" s="81"/>
    </row>
    <row r="587">
      <c r="B587" s="75"/>
      <c r="C587" s="38"/>
      <c r="L587" s="72"/>
      <c r="M587" s="39"/>
      <c r="N587" s="39"/>
      <c r="O587" s="91"/>
      <c r="Q587" s="81"/>
    </row>
    <row r="588">
      <c r="B588" s="75"/>
      <c r="C588" s="38"/>
      <c r="L588" s="72"/>
      <c r="M588" s="39"/>
      <c r="N588" s="39"/>
      <c r="O588" s="91"/>
      <c r="Q588" s="81"/>
    </row>
    <row r="589">
      <c r="B589" s="75"/>
      <c r="C589" s="38"/>
      <c r="L589" s="72"/>
      <c r="M589" s="39"/>
      <c r="N589" s="39"/>
      <c r="O589" s="91"/>
      <c r="Q589" s="81"/>
    </row>
    <row r="590">
      <c r="B590" s="75"/>
      <c r="C590" s="38"/>
      <c r="L590" s="72"/>
      <c r="M590" s="39"/>
      <c r="N590" s="39"/>
      <c r="O590" s="91"/>
      <c r="Q590" s="81"/>
    </row>
    <row r="591">
      <c r="B591" s="75"/>
      <c r="C591" s="38"/>
      <c r="L591" s="72"/>
      <c r="M591" s="39"/>
      <c r="N591" s="39"/>
      <c r="O591" s="91"/>
      <c r="Q591" s="81"/>
    </row>
    <row r="592">
      <c r="B592" s="75"/>
      <c r="C592" s="38"/>
      <c r="L592" s="72"/>
      <c r="M592" s="39"/>
      <c r="N592" s="39"/>
      <c r="O592" s="91"/>
      <c r="Q592" s="81"/>
    </row>
    <row r="593">
      <c r="B593" s="75"/>
      <c r="C593" s="38"/>
      <c r="L593" s="72"/>
      <c r="M593" s="39"/>
      <c r="N593" s="39"/>
      <c r="O593" s="91"/>
      <c r="Q593" s="81"/>
    </row>
    <row r="594">
      <c r="B594" s="75"/>
      <c r="C594" s="38"/>
      <c r="L594" s="72"/>
      <c r="M594" s="39"/>
      <c r="N594" s="39"/>
      <c r="O594" s="91"/>
      <c r="Q594" s="81"/>
    </row>
    <row r="595">
      <c r="B595" s="75"/>
      <c r="C595" s="38"/>
      <c r="L595" s="72"/>
      <c r="M595" s="39"/>
      <c r="N595" s="39"/>
      <c r="O595" s="91"/>
      <c r="Q595" s="81"/>
    </row>
    <row r="596">
      <c r="B596" s="75"/>
      <c r="C596" s="38"/>
      <c r="L596" s="72"/>
      <c r="M596" s="39"/>
      <c r="N596" s="39"/>
      <c r="O596" s="91"/>
      <c r="Q596" s="81"/>
    </row>
    <row r="597">
      <c r="B597" s="75"/>
      <c r="C597" s="38"/>
      <c r="L597" s="72"/>
      <c r="M597" s="39"/>
      <c r="N597" s="39"/>
      <c r="O597" s="91"/>
      <c r="Q597" s="81"/>
    </row>
    <row r="598">
      <c r="B598" s="75"/>
      <c r="C598" s="38"/>
      <c r="L598" s="72"/>
      <c r="M598" s="39"/>
      <c r="N598" s="39"/>
      <c r="O598" s="91"/>
      <c r="Q598" s="81"/>
    </row>
    <row r="599">
      <c r="B599" s="75"/>
      <c r="C599" s="38"/>
      <c r="L599" s="72"/>
      <c r="M599" s="39"/>
      <c r="N599" s="39"/>
      <c r="O599" s="91"/>
      <c r="Q599" s="81"/>
    </row>
    <row r="600">
      <c r="B600" s="75"/>
      <c r="C600" s="38"/>
      <c r="L600" s="72"/>
      <c r="M600" s="39"/>
      <c r="N600" s="39"/>
      <c r="O600" s="91"/>
      <c r="Q600" s="81"/>
    </row>
    <row r="601">
      <c r="B601" s="75"/>
      <c r="C601" s="38"/>
      <c r="L601" s="72"/>
      <c r="M601" s="39"/>
      <c r="N601" s="39"/>
      <c r="O601" s="91"/>
      <c r="Q601" s="81"/>
    </row>
    <row r="602">
      <c r="B602" s="75"/>
      <c r="C602" s="38"/>
      <c r="L602" s="72"/>
      <c r="M602" s="39"/>
      <c r="N602" s="39"/>
      <c r="O602" s="91"/>
      <c r="Q602" s="81"/>
    </row>
    <row r="603">
      <c r="B603" s="75"/>
      <c r="C603" s="38"/>
      <c r="L603" s="72"/>
      <c r="M603" s="39"/>
      <c r="N603" s="39"/>
      <c r="O603" s="91"/>
      <c r="Q603" s="81"/>
    </row>
    <row r="604">
      <c r="B604" s="75"/>
      <c r="C604" s="38"/>
      <c r="L604" s="72"/>
      <c r="M604" s="39"/>
      <c r="N604" s="39"/>
      <c r="O604" s="91"/>
      <c r="Q604" s="81"/>
    </row>
    <row r="605">
      <c r="B605" s="75"/>
      <c r="C605" s="38"/>
      <c r="L605" s="72"/>
      <c r="M605" s="39"/>
      <c r="N605" s="39"/>
      <c r="O605" s="91"/>
      <c r="Q605" s="81"/>
    </row>
    <row r="606">
      <c r="B606" s="75"/>
      <c r="C606" s="38"/>
      <c r="L606" s="72"/>
      <c r="M606" s="39"/>
      <c r="N606" s="39"/>
      <c r="O606" s="91"/>
      <c r="Q606" s="81"/>
    </row>
    <row r="607">
      <c r="B607" s="75"/>
      <c r="C607" s="38"/>
      <c r="L607" s="72"/>
      <c r="M607" s="39"/>
      <c r="N607" s="39"/>
      <c r="O607" s="91"/>
      <c r="Q607" s="81"/>
    </row>
    <row r="608">
      <c r="B608" s="75"/>
      <c r="C608" s="38"/>
      <c r="L608" s="72"/>
      <c r="M608" s="39"/>
      <c r="N608" s="39"/>
      <c r="O608" s="91"/>
      <c r="Q608" s="81"/>
    </row>
    <row r="609">
      <c r="B609" s="75"/>
      <c r="C609" s="38"/>
      <c r="L609" s="72"/>
      <c r="M609" s="39"/>
      <c r="N609" s="39"/>
      <c r="O609" s="91"/>
      <c r="Q609" s="81"/>
    </row>
    <row r="610">
      <c r="B610" s="75"/>
      <c r="C610" s="38"/>
      <c r="L610" s="72"/>
      <c r="M610" s="39"/>
      <c r="N610" s="39"/>
      <c r="O610" s="91"/>
      <c r="Q610" s="81"/>
    </row>
    <row r="611">
      <c r="B611" s="75"/>
      <c r="C611" s="38"/>
      <c r="L611" s="72"/>
      <c r="M611" s="39"/>
      <c r="N611" s="39"/>
      <c r="O611" s="91"/>
      <c r="Q611" s="81"/>
    </row>
    <row r="612">
      <c r="B612" s="75"/>
      <c r="C612" s="38"/>
      <c r="L612" s="72"/>
      <c r="M612" s="39"/>
      <c r="N612" s="39"/>
      <c r="O612" s="91"/>
      <c r="Q612" s="81"/>
    </row>
    <row r="613">
      <c r="B613" s="75"/>
      <c r="C613" s="38"/>
      <c r="L613" s="72"/>
      <c r="M613" s="39"/>
      <c r="N613" s="39"/>
      <c r="O613" s="91"/>
      <c r="Q613" s="81"/>
    </row>
    <row r="614">
      <c r="B614" s="75"/>
      <c r="C614" s="38"/>
      <c r="L614" s="72"/>
      <c r="M614" s="39"/>
      <c r="N614" s="39"/>
      <c r="O614" s="91"/>
      <c r="Q614" s="81"/>
    </row>
    <row r="615">
      <c r="B615" s="75"/>
      <c r="C615" s="38"/>
      <c r="L615" s="72"/>
      <c r="M615" s="39"/>
      <c r="N615" s="39"/>
      <c r="O615" s="91"/>
      <c r="Q615" s="81"/>
    </row>
    <row r="616">
      <c r="B616" s="75"/>
      <c r="C616" s="38"/>
      <c r="L616" s="72"/>
      <c r="M616" s="39"/>
      <c r="N616" s="39"/>
      <c r="O616" s="91"/>
      <c r="Q616" s="81"/>
    </row>
    <row r="617">
      <c r="B617" s="75"/>
      <c r="C617" s="38"/>
      <c r="L617" s="72"/>
      <c r="M617" s="39"/>
      <c r="N617" s="39"/>
      <c r="O617" s="91"/>
      <c r="Q617" s="81"/>
    </row>
    <row r="618">
      <c r="B618" s="75"/>
      <c r="C618" s="38"/>
      <c r="L618" s="72"/>
      <c r="M618" s="39"/>
      <c r="N618" s="39"/>
      <c r="O618" s="91"/>
      <c r="Q618" s="81"/>
    </row>
    <row r="619">
      <c r="B619" s="75"/>
      <c r="C619" s="38"/>
      <c r="L619" s="72"/>
      <c r="M619" s="39"/>
      <c r="N619" s="39"/>
      <c r="O619" s="91"/>
      <c r="Q619" s="81"/>
    </row>
    <row r="620">
      <c r="B620" s="75"/>
      <c r="C620" s="38"/>
      <c r="L620" s="72"/>
      <c r="M620" s="39"/>
      <c r="N620" s="39"/>
      <c r="O620" s="91"/>
      <c r="Q620" s="81"/>
    </row>
    <row r="621">
      <c r="B621" s="75"/>
      <c r="C621" s="38"/>
      <c r="L621" s="72"/>
      <c r="M621" s="39"/>
      <c r="N621" s="39"/>
      <c r="O621" s="91"/>
      <c r="Q621" s="81"/>
    </row>
    <row r="622">
      <c r="B622" s="75"/>
      <c r="C622" s="38"/>
      <c r="L622" s="72"/>
      <c r="M622" s="39"/>
      <c r="N622" s="39"/>
      <c r="O622" s="91"/>
      <c r="Q622" s="81"/>
    </row>
    <row r="623">
      <c r="B623" s="75"/>
      <c r="C623" s="38"/>
      <c r="L623" s="72"/>
      <c r="M623" s="39"/>
      <c r="N623" s="39"/>
      <c r="O623" s="91"/>
      <c r="Q623" s="81"/>
    </row>
    <row r="624">
      <c r="B624" s="75"/>
      <c r="C624" s="38"/>
      <c r="L624" s="72"/>
      <c r="M624" s="39"/>
      <c r="N624" s="39"/>
      <c r="O624" s="91"/>
      <c r="Q624" s="81"/>
    </row>
    <row r="625">
      <c r="B625" s="75"/>
      <c r="C625" s="38"/>
      <c r="L625" s="72"/>
      <c r="M625" s="39"/>
      <c r="N625" s="39"/>
      <c r="O625" s="91"/>
      <c r="Q625" s="81"/>
    </row>
    <row r="626">
      <c r="B626" s="75"/>
      <c r="C626" s="38"/>
      <c r="L626" s="72"/>
      <c r="M626" s="39"/>
      <c r="N626" s="39"/>
      <c r="O626" s="91"/>
      <c r="Q626" s="81"/>
    </row>
    <row r="627">
      <c r="B627" s="75"/>
      <c r="C627" s="38"/>
      <c r="L627" s="72"/>
      <c r="M627" s="39"/>
      <c r="N627" s="39"/>
      <c r="O627" s="91"/>
      <c r="Q627" s="81"/>
    </row>
    <row r="628">
      <c r="B628" s="75"/>
      <c r="C628" s="38"/>
      <c r="L628" s="72"/>
      <c r="M628" s="39"/>
      <c r="N628" s="39"/>
      <c r="O628" s="91"/>
      <c r="Q628" s="81"/>
    </row>
    <row r="629">
      <c r="B629" s="75"/>
      <c r="C629" s="38"/>
      <c r="L629" s="72"/>
      <c r="M629" s="39"/>
      <c r="N629" s="39"/>
      <c r="O629" s="91"/>
      <c r="Q629" s="81"/>
    </row>
    <row r="630">
      <c r="B630" s="75"/>
      <c r="C630" s="38"/>
      <c r="L630" s="72"/>
      <c r="M630" s="39"/>
      <c r="N630" s="39"/>
      <c r="O630" s="91"/>
      <c r="Q630" s="81"/>
    </row>
    <row r="631">
      <c r="B631" s="75"/>
      <c r="C631" s="38"/>
      <c r="L631" s="72"/>
      <c r="M631" s="39"/>
      <c r="N631" s="39"/>
      <c r="O631" s="91"/>
      <c r="Q631" s="81"/>
    </row>
    <row r="632">
      <c r="B632" s="75"/>
      <c r="C632" s="38"/>
      <c r="L632" s="72"/>
      <c r="M632" s="39"/>
      <c r="N632" s="39"/>
      <c r="O632" s="91"/>
      <c r="Q632" s="81"/>
    </row>
    <row r="633">
      <c r="B633" s="75"/>
      <c r="C633" s="38"/>
      <c r="L633" s="72"/>
      <c r="M633" s="39"/>
      <c r="N633" s="39"/>
      <c r="O633" s="91"/>
      <c r="Q633" s="81"/>
    </row>
    <row r="634">
      <c r="B634" s="75"/>
      <c r="C634" s="38"/>
      <c r="L634" s="72"/>
      <c r="M634" s="39"/>
      <c r="N634" s="39"/>
      <c r="O634" s="91"/>
      <c r="Q634" s="81"/>
    </row>
    <row r="635">
      <c r="B635" s="75"/>
      <c r="C635" s="38"/>
      <c r="L635" s="72"/>
      <c r="M635" s="39"/>
      <c r="N635" s="39"/>
      <c r="O635" s="91"/>
      <c r="Q635" s="81"/>
    </row>
    <row r="636">
      <c r="B636" s="75"/>
      <c r="C636" s="38"/>
      <c r="L636" s="72"/>
      <c r="M636" s="39"/>
      <c r="N636" s="39"/>
      <c r="O636" s="91"/>
      <c r="Q636" s="81"/>
    </row>
    <row r="637">
      <c r="B637" s="75"/>
      <c r="C637" s="38"/>
      <c r="L637" s="72"/>
      <c r="M637" s="39"/>
      <c r="N637" s="39"/>
      <c r="O637" s="91"/>
      <c r="Q637" s="81"/>
    </row>
    <row r="638">
      <c r="B638" s="75"/>
      <c r="C638" s="38"/>
      <c r="L638" s="72"/>
      <c r="M638" s="39"/>
      <c r="N638" s="39"/>
      <c r="O638" s="91"/>
      <c r="Q638" s="81"/>
    </row>
    <row r="639">
      <c r="B639" s="75"/>
      <c r="C639" s="38"/>
      <c r="L639" s="72"/>
      <c r="M639" s="39"/>
      <c r="N639" s="39"/>
      <c r="O639" s="91"/>
      <c r="Q639" s="81"/>
    </row>
    <row r="640">
      <c r="B640" s="75"/>
      <c r="C640" s="38"/>
      <c r="L640" s="72"/>
      <c r="M640" s="39"/>
      <c r="N640" s="39"/>
      <c r="O640" s="91"/>
      <c r="Q640" s="81"/>
    </row>
    <row r="641">
      <c r="B641" s="75"/>
      <c r="C641" s="38"/>
      <c r="L641" s="72"/>
      <c r="M641" s="39"/>
      <c r="N641" s="39"/>
      <c r="O641" s="91"/>
      <c r="Q641" s="81"/>
    </row>
    <row r="642">
      <c r="B642" s="75"/>
      <c r="C642" s="38"/>
      <c r="L642" s="72"/>
      <c r="M642" s="39"/>
      <c r="N642" s="39"/>
      <c r="O642" s="91"/>
      <c r="Q642" s="81"/>
    </row>
    <row r="643">
      <c r="B643" s="75"/>
      <c r="C643" s="38"/>
      <c r="L643" s="72"/>
      <c r="M643" s="39"/>
      <c r="N643" s="39"/>
      <c r="O643" s="91"/>
      <c r="Q643" s="81"/>
    </row>
    <row r="644">
      <c r="B644" s="75"/>
      <c r="C644" s="38"/>
      <c r="L644" s="72"/>
      <c r="M644" s="39"/>
      <c r="N644" s="39"/>
      <c r="O644" s="91"/>
      <c r="Q644" s="81"/>
    </row>
    <row r="645">
      <c r="B645" s="75"/>
      <c r="C645" s="38"/>
      <c r="L645" s="72"/>
      <c r="M645" s="39"/>
      <c r="N645" s="39"/>
      <c r="O645" s="91"/>
      <c r="Q645" s="81"/>
    </row>
    <row r="646">
      <c r="B646" s="75"/>
      <c r="C646" s="38"/>
      <c r="L646" s="72"/>
      <c r="M646" s="39"/>
      <c r="N646" s="39"/>
      <c r="O646" s="91"/>
      <c r="Q646" s="81"/>
    </row>
    <row r="647">
      <c r="B647" s="75"/>
      <c r="C647" s="38"/>
      <c r="L647" s="72"/>
      <c r="M647" s="39"/>
      <c r="N647" s="39"/>
      <c r="O647" s="91"/>
      <c r="Q647" s="81"/>
    </row>
    <row r="648">
      <c r="B648" s="75"/>
      <c r="C648" s="38"/>
      <c r="L648" s="72"/>
      <c r="M648" s="39"/>
      <c r="N648" s="39"/>
      <c r="O648" s="91"/>
      <c r="Q648" s="81"/>
    </row>
    <row r="649">
      <c r="B649" s="75"/>
      <c r="C649" s="38"/>
      <c r="L649" s="72"/>
      <c r="M649" s="39"/>
      <c r="N649" s="39"/>
      <c r="O649" s="91"/>
      <c r="Q649" s="81"/>
    </row>
    <row r="650">
      <c r="B650" s="75"/>
      <c r="C650" s="38"/>
      <c r="L650" s="72"/>
      <c r="M650" s="39"/>
      <c r="N650" s="39"/>
      <c r="O650" s="91"/>
      <c r="Q650" s="81"/>
    </row>
    <row r="651">
      <c r="B651" s="75"/>
      <c r="C651" s="38"/>
      <c r="L651" s="72"/>
      <c r="M651" s="39"/>
      <c r="N651" s="39"/>
      <c r="O651" s="91"/>
      <c r="Q651" s="81"/>
    </row>
    <row r="652">
      <c r="B652" s="75"/>
      <c r="C652" s="38"/>
      <c r="L652" s="72"/>
      <c r="M652" s="39"/>
      <c r="N652" s="39"/>
      <c r="O652" s="91"/>
      <c r="Q652" s="81"/>
    </row>
    <row r="653">
      <c r="B653" s="75"/>
      <c r="C653" s="38"/>
      <c r="L653" s="72"/>
      <c r="M653" s="39"/>
      <c r="N653" s="39"/>
      <c r="O653" s="91"/>
      <c r="Q653" s="81"/>
    </row>
    <row r="654">
      <c r="B654" s="75"/>
      <c r="C654" s="38"/>
      <c r="L654" s="72"/>
      <c r="M654" s="39"/>
      <c r="N654" s="39"/>
      <c r="O654" s="91"/>
      <c r="Q654" s="81"/>
    </row>
    <row r="655">
      <c r="B655" s="75"/>
      <c r="C655" s="38"/>
      <c r="L655" s="72"/>
      <c r="M655" s="39"/>
      <c r="N655" s="39"/>
      <c r="O655" s="91"/>
      <c r="Q655" s="81"/>
    </row>
    <row r="656">
      <c r="B656" s="75"/>
      <c r="C656" s="38"/>
      <c r="L656" s="72"/>
      <c r="M656" s="39"/>
      <c r="N656" s="39"/>
      <c r="O656" s="91"/>
      <c r="Q656" s="81"/>
    </row>
    <row r="657">
      <c r="B657" s="75"/>
      <c r="C657" s="38"/>
      <c r="L657" s="72"/>
      <c r="M657" s="39"/>
      <c r="N657" s="39"/>
      <c r="O657" s="91"/>
      <c r="Q657" s="81"/>
    </row>
    <row r="658">
      <c r="B658" s="75"/>
      <c r="C658" s="38"/>
      <c r="L658" s="72"/>
      <c r="M658" s="39"/>
      <c r="N658" s="39"/>
      <c r="O658" s="91"/>
      <c r="Q658" s="81"/>
    </row>
    <row r="659">
      <c r="B659" s="75"/>
      <c r="C659" s="38"/>
      <c r="L659" s="72"/>
      <c r="M659" s="39"/>
      <c r="N659" s="39"/>
      <c r="O659" s="91"/>
      <c r="Q659" s="81"/>
    </row>
    <row r="660">
      <c r="B660" s="75"/>
      <c r="C660" s="38"/>
      <c r="L660" s="72"/>
      <c r="M660" s="39"/>
      <c r="N660" s="39"/>
      <c r="O660" s="91"/>
      <c r="Q660" s="81"/>
    </row>
    <row r="661">
      <c r="B661" s="75"/>
      <c r="C661" s="38"/>
      <c r="L661" s="72"/>
      <c r="M661" s="39"/>
      <c r="N661" s="39"/>
      <c r="O661" s="91"/>
      <c r="Q661" s="81"/>
    </row>
    <row r="662">
      <c r="B662" s="75"/>
      <c r="C662" s="38"/>
      <c r="L662" s="72"/>
      <c r="M662" s="39"/>
      <c r="N662" s="39"/>
      <c r="O662" s="91"/>
      <c r="Q662" s="81"/>
    </row>
    <row r="663">
      <c r="B663" s="75"/>
      <c r="C663" s="38"/>
      <c r="L663" s="72"/>
      <c r="M663" s="39"/>
      <c r="N663" s="39"/>
      <c r="O663" s="91"/>
      <c r="Q663" s="81"/>
    </row>
    <row r="664">
      <c r="B664" s="75"/>
      <c r="C664" s="38"/>
      <c r="L664" s="72"/>
      <c r="M664" s="39"/>
      <c r="N664" s="39"/>
      <c r="O664" s="91"/>
      <c r="Q664" s="81"/>
    </row>
    <row r="665">
      <c r="B665" s="75"/>
      <c r="C665" s="38"/>
      <c r="L665" s="72"/>
      <c r="M665" s="39"/>
      <c r="N665" s="39"/>
      <c r="O665" s="91"/>
      <c r="Q665" s="81"/>
    </row>
    <row r="666">
      <c r="B666" s="75"/>
      <c r="C666" s="38"/>
      <c r="L666" s="72"/>
      <c r="M666" s="39"/>
      <c r="N666" s="39"/>
      <c r="O666" s="91"/>
      <c r="Q666" s="81"/>
    </row>
    <row r="667">
      <c r="B667" s="75"/>
      <c r="C667" s="38"/>
      <c r="L667" s="72"/>
      <c r="M667" s="39"/>
      <c r="N667" s="39"/>
      <c r="O667" s="91"/>
      <c r="Q667" s="81"/>
    </row>
    <row r="668">
      <c r="B668" s="75"/>
      <c r="C668" s="38"/>
      <c r="L668" s="72"/>
      <c r="M668" s="39"/>
      <c r="N668" s="39"/>
      <c r="O668" s="91"/>
      <c r="Q668" s="81"/>
    </row>
    <row r="669">
      <c r="B669" s="75"/>
      <c r="C669" s="38"/>
      <c r="L669" s="72"/>
      <c r="M669" s="39"/>
      <c r="N669" s="39"/>
      <c r="O669" s="91"/>
      <c r="Q669" s="81"/>
    </row>
    <row r="670">
      <c r="B670" s="75"/>
      <c r="C670" s="38"/>
      <c r="L670" s="72"/>
      <c r="M670" s="39"/>
      <c r="N670" s="39"/>
      <c r="O670" s="91"/>
      <c r="Q670" s="81"/>
    </row>
    <row r="671">
      <c r="B671" s="75"/>
      <c r="C671" s="38"/>
      <c r="L671" s="72"/>
      <c r="M671" s="39"/>
      <c r="N671" s="39"/>
      <c r="O671" s="91"/>
      <c r="Q671" s="81"/>
    </row>
    <row r="672">
      <c r="B672" s="75"/>
      <c r="C672" s="38"/>
      <c r="L672" s="72"/>
      <c r="M672" s="39"/>
      <c r="N672" s="39"/>
      <c r="O672" s="91"/>
      <c r="Q672" s="81"/>
    </row>
    <row r="673">
      <c r="B673" s="75"/>
      <c r="C673" s="38"/>
      <c r="L673" s="72"/>
      <c r="M673" s="39"/>
      <c r="N673" s="39"/>
      <c r="O673" s="91"/>
      <c r="Q673" s="81"/>
    </row>
    <row r="674">
      <c r="B674" s="75"/>
      <c r="C674" s="38"/>
      <c r="L674" s="72"/>
      <c r="M674" s="39"/>
      <c r="N674" s="39"/>
      <c r="O674" s="91"/>
      <c r="Q674" s="81"/>
    </row>
    <row r="675">
      <c r="B675" s="75"/>
      <c r="C675" s="38"/>
      <c r="L675" s="72"/>
      <c r="M675" s="39"/>
      <c r="N675" s="39"/>
      <c r="O675" s="91"/>
      <c r="Q675" s="81"/>
    </row>
    <row r="676">
      <c r="B676" s="75"/>
      <c r="C676" s="38"/>
      <c r="L676" s="72"/>
      <c r="M676" s="39"/>
      <c r="N676" s="39"/>
      <c r="O676" s="91"/>
      <c r="Q676" s="81"/>
    </row>
    <row r="677">
      <c r="B677" s="75"/>
      <c r="C677" s="38"/>
      <c r="L677" s="72"/>
      <c r="M677" s="39"/>
      <c r="N677" s="39"/>
      <c r="O677" s="91"/>
      <c r="Q677" s="81"/>
    </row>
    <row r="678">
      <c r="B678" s="75"/>
      <c r="C678" s="38"/>
      <c r="L678" s="72"/>
      <c r="M678" s="39"/>
      <c r="N678" s="39"/>
      <c r="O678" s="91"/>
      <c r="Q678" s="81"/>
    </row>
    <row r="679">
      <c r="B679" s="75"/>
      <c r="C679" s="38"/>
      <c r="L679" s="72"/>
      <c r="M679" s="39"/>
      <c r="N679" s="39"/>
      <c r="O679" s="91"/>
      <c r="Q679" s="81"/>
    </row>
    <row r="680">
      <c r="B680" s="75"/>
      <c r="C680" s="38"/>
      <c r="L680" s="72"/>
      <c r="M680" s="39"/>
      <c r="N680" s="39"/>
      <c r="O680" s="91"/>
      <c r="Q680" s="81"/>
    </row>
    <row r="681">
      <c r="B681" s="75"/>
      <c r="C681" s="38"/>
      <c r="L681" s="72"/>
      <c r="M681" s="39"/>
      <c r="N681" s="39"/>
      <c r="O681" s="91"/>
      <c r="Q681" s="81"/>
    </row>
    <row r="682">
      <c r="B682" s="75"/>
      <c r="C682" s="38"/>
      <c r="L682" s="72"/>
      <c r="M682" s="39"/>
      <c r="N682" s="39"/>
      <c r="O682" s="91"/>
      <c r="Q682" s="81"/>
    </row>
    <row r="683">
      <c r="B683" s="75"/>
      <c r="C683" s="38"/>
      <c r="L683" s="72"/>
      <c r="M683" s="39"/>
      <c r="N683" s="39"/>
      <c r="O683" s="91"/>
      <c r="Q683" s="81"/>
    </row>
    <row r="684">
      <c r="B684" s="75"/>
      <c r="C684" s="38"/>
      <c r="L684" s="72"/>
      <c r="M684" s="39"/>
      <c r="N684" s="39"/>
      <c r="O684" s="91"/>
      <c r="Q684" s="81"/>
    </row>
    <row r="685">
      <c r="B685" s="75"/>
      <c r="C685" s="38"/>
      <c r="L685" s="72"/>
      <c r="M685" s="39"/>
      <c r="N685" s="39"/>
      <c r="O685" s="91"/>
      <c r="Q685" s="81"/>
    </row>
    <row r="686">
      <c r="B686" s="75"/>
      <c r="C686" s="38"/>
      <c r="L686" s="72"/>
      <c r="M686" s="39"/>
      <c r="N686" s="39"/>
      <c r="O686" s="91"/>
      <c r="Q686" s="81"/>
    </row>
    <row r="687">
      <c r="B687" s="75"/>
      <c r="C687" s="38"/>
      <c r="L687" s="72"/>
      <c r="M687" s="39"/>
      <c r="N687" s="39"/>
      <c r="O687" s="91"/>
      <c r="Q687" s="81"/>
    </row>
    <row r="688">
      <c r="B688" s="75"/>
      <c r="C688" s="38"/>
      <c r="L688" s="72"/>
      <c r="M688" s="39"/>
      <c r="N688" s="39"/>
      <c r="O688" s="91"/>
      <c r="Q688" s="81"/>
    </row>
    <row r="689">
      <c r="B689" s="75"/>
      <c r="C689" s="38"/>
      <c r="L689" s="72"/>
      <c r="M689" s="39"/>
      <c r="N689" s="39"/>
      <c r="O689" s="91"/>
      <c r="Q689" s="81"/>
    </row>
    <row r="690">
      <c r="B690" s="75"/>
      <c r="C690" s="38"/>
      <c r="L690" s="72"/>
      <c r="M690" s="39"/>
      <c r="N690" s="39"/>
      <c r="O690" s="91"/>
      <c r="Q690" s="81"/>
    </row>
    <row r="691">
      <c r="B691" s="75"/>
      <c r="C691" s="38"/>
      <c r="L691" s="72"/>
      <c r="M691" s="39"/>
      <c r="N691" s="39"/>
      <c r="O691" s="91"/>
      <c r="Q691" s="81"/>
    </row>
    <row r="692">
      <c r="B692" s="75"/>
      <c r="C692" s="38"/>
      <c r="L692" s="72"/>
      <c r="M692" s="39"/>
      <c r="N692" s="39"/>
      <c r="O692" s="91"/>
      <c r="Q692" s="81"/>
    </row>
    <row r="693">
      <c r="B693" s="75"/>
      <c r="C693" s="38"/>
      <c r="L693" s="72"/>
      <c r="M693" s="39"/>
      <c r="N693" s="39"/>
      <c r="O693" s="91"/>
      <c r="Q693" s="81"/>
    </row>
    <row r="694">
      <c r="B694" s="75"/>
      <c r="C694" s="38"/>
      <c r="L694" s="72"/>
      <c r="M694" s="39"/>
      <c r="N694" s="39"/>
      <c r="O694" s="91"/>
      <c r="Q694" s="81"/>
    </row>
    <row r="695">
      <c r="B695" s="75"/>
      <c r="C695" s="38"/>
      <c r="L695" s="72"/>
      <c r="M695" s="39"/>
      <c r="N695" s="39"/>
      <c r="O695" s="91"/>
      <c r="Q695" s="81"/>
    </row>
    <row r="696">
      <c r="B696" s="75"/>
      <c r="C696" s="38"/>
      <c r="L696" s="72"/>
      <c r="M696" s="39"/>
      <c r="N696" s="39"/>
      <c r="O696" s="91"/>
      <c r="Q696" s="81"/>
    </row>
    <row r="697">
      <c r="B697" s="75"/>
      <c r="C697" s="38"/>
      <c r="L697" s="72"/>
      <c r="M697" s="39"/>
      <c r="N697" s="39"/>
      <c r="O697" s="91"/>
      <c r="Q697" s="81"/>
    </row>
    <row r="698">
      <c r="B698" s="75"/>
      <c r="C698" s="38"/>
      <c r="L698" s="72"/>
      <c r="M698" s="39"/>
      <c r="N698" s="39"/>
      <c r="O698" s="91"/>
      <c r="Q698" s="81"/>
    </row>
    <row r="699">
      <c r="B699" s="75"/>
      <c r="C699" s="38"/>
      <c r="L699" s="72"/>
      <c r="M699" s="39"/>
      <c r="N699" s="39"/>
      <c r="O699" s="91"/>
      <c r="Q699" s="81"/>
    </row>
    <row r="700">
      <c r="B700" s="75"/>
      <c r="C700" s="38"/>
      <c r="L700" s="72"/>
      <c r="M700" s="39"/>
      <c r="N700" s="39"/>
      <c r="O700" s="91"/>
      <c r="Q700" s="81"/>
    </row>
    <row r="701">
      <c r="B701" s="75"/>
      <c r="C701" s="38"/>
      <c r="L701" s="72"/>
      <c r="M701" s="39"/>
      <c r="N701" s="39"/>
      <c r="O701" s="91"/>
      <c r="Q701" s="81"/>
    </row>
    <row r="702">
      <c r="B702" s="75"/>
      <c r="C702" s="38"/>
      <c r="L702" s="72"/>
      <c r="M702" s="39"/>
      <c r="N702" s="39"/>
      <c r="O702" s="91"/>
      <c r="Q702" s="81"/>
    </row>
    <row r="703">
      <c r="B703" s="75"/>
      <c r="C703" s="38"/>
      <c r="L703" s="72"/>
      <c r="M703" s="39"/>
      <c r="N703" s="39"/>
      <c r="O703" s="91"/>
      <c r="Q703" s="81"/>
    </row>
    <row r="704">
      <c r="B704" s="75"/>
      <c r="C704" s="38"/>
      <c r="L704" s="72"/>
      <c r="M704" s="39"/>
      <c r="N704" s="39"/>
      <c r="O704" s="91"/>
      <c r="Q704" s="81"/>
    </row>
    <row r="705">
      <c r="B705" s="75"/>
      <c r="C705" s="38"/>
      <c r="L705" s="72"/>
      <c r="M705" s="39"/>
      <c r="N705" s="39"/>
      <c r="O705" s="91"/>
      <c r="Q705" s="81"/>
    </row>
    <row r="706">
      <c r="B706" s="75"/>
      <c r="C706" s="38"/>
      <c r="L706" s="72"/>
      <c r="M706" s="39"/>
      <c r="N706" s="39"/>
      <c r="O706" s="91"/>
      <c r="Q706" s="81"/>
    </row>
    <row r="707">
      <c r="B707" s="75"/>
      <c r="C707" s="38"/>
      <c r="L707" s="72"/>
      <c r="M707" s="39"/>
      <c r="N707" s="39"/>
      <c r="O707" s="91"/>
      <c r="Q707" s="81"/>
    </row>
    <row r="708">
      <c r="B708" s="75"/>
      <c r="C708" s="38"/>
      <c r="L708" s="72"/>
      <c r="M708" s="39"/>
      <c r="N708" s="39"/>
      <c r="O708" s="91"/>
      <c r="Q708" s="81"/>
    </row>
    <row r="709">
      <c r="B709" s="75"/>
      <c r="C709" s="38"/>
      <c r="L709" s="72"/>
      <c r="M709" s="39"/>
      <c r="N709" s="39"/>
      <c r="O709" s="91"/>
      <c r="Q709" s="81"/>
    </row>
    <row r="710">
      <c r="B710" s="75"/>
      <c r="C710" s="38"/>
      <c r="L710" s="72"/>
      <c r="M710" s="39"/>
      <c r="N710" s="39"/>
      <c r="O710" s="91"/>
      <c r="Q710" s="81"/>
    </row>
    <row r="711">
      <c r="B711" s="75"/>
      <c r="C711" s="38"/>
      <c r="L711" s="72"/>
      <c r="M711" s="39"/>
      <c r="N711" s="39"/>
      <c r="O711" s="91"/>
      <c r="Q711" s="81"/>
    </row>
    <row r="712">
      <c r="B712" s="75"/>
      <c r="C712" s="38"/>
      <c r="L712" s="72"/>
      <c r="M712" s="39"/>
      <c r="N712" s="39"/>
      <c r="O712" s="91"/>
      <c r="Q712" s="81"/>
    </row>
    <row r="713">
      <c r="B713" s="75"/>
      <c r="C713" s="38"/>
      <c r="L713" s="72"/>
      <c r="M713" s="39"/>
      <c r="N713" s="39"/>
      <c r="O713" s="91"/>
      <c r="Q713" s="81"/>
    </row>
    <row r="714">
      <c r="B714" s="75"/>
      <c r="C714" s="38"/>
      <c r="L714" s="72"/>
      <c r="M714" s="39"/>
      <c r="N714" s="39"/>
      <c r="O714" s="91"/>
      <c r="Q714" s="81"/>
    </row>
    <row r="715">
      <c r="B715" s="75"/>
      <c r="C715" s="38"/>
      <c r="L715" s="72"/>
      <c r="M715" s="39"/>
      <c r="N715" s="39"/>
      <c r="O715" s="91"/>
      <c r="Q715" s="81"/>
    </row>
    <row r="716">
      <c r="B716" s="75"/>
      <c r="C716" s="38"/>
      <c r="L716" s="72"/>
      <c r="M716" s="39"/>
      <c r="N716" s="39"/>
      <c r="O716" s="91"/>
      <c r="Q716" s="81"/>
    </row>
    <row r="717">
      <c r="B717" s="75"/>
      <c r="C717" s="38"/>
      <c r="L717" s="72"/>
      <c r="M717" s="39"/>
      <c r="N717" s="39"/>
      <c r="O717" s="91"/>
      <c r="Q717" s="81"/>
    </row>
    <row r="718">
      <c r="B718" s="75"/>
      <c r="C718" s="38"/>
      <c r="L718" s="72"/>
      <c r="M718" s="39"/>
      <c r="N718" s="39"/>
      <c r="O718" s="91"/>
      <c r="Q718" s="81"/>
    </row>
    <row r="719">
      <c r="B719" s="75"/>
      <c r="C719" s="38"/>
      <c r="L719" s="72"/>
      <c r="M719" s="39"/>
      <c r="N719" s="39"/>
      <c r="O719" s="91"/>
      <c r="Q719" s="81"/>
    </row>
    <row r="720">
      <c r="B720" s="75"/>
      <c r="C720" s="38"/>
      <c r="L720" s="72"/>
      <c r="M720" s="39"/>
      <c r="N720" s="39"/>
      <c r="O720" s="91"/>
      <c r="Q720" s="81"/>
    </row>
    <row r="721">
      <c r="B721" s="75"/>
      <c r="C721" s="38"/>
      <c r="L721" s="72"/>
      <c r="M721" s="39"/>
      <c r="N721" s="39"/>
      <c r="O721" s="91"/>
      <c r="Q721" s="81"/>
    </row>
    <row r="722">
      <c r="B722" s="75"/>
      <c r="C722" s="38"/>
      <c r="L722" s="72"/>
      <c r="M722" s="39"/>
      <c r="N722" s="39"/>
      <c r="O722" s="91"/>
      <c r="Q722" s="81"/>
    </row>
    <row r="723">
      <c r="B723" s="75"/>
      <c r="C723" s="38"/>
      <c r="L723" s="72"/>
      <c r="M723" s="39"/>
      <c r="N723" s="39"/>
      <c r="O723" s="91"/>
      <c r="Q723" s="81"/>
    </row>
    <row r="724">
      <c r="B724" s="75"/>
      <c r="C724" s="38"/>
      <c r="L724" s="72"/>
      <c r="M724" s="39"/>
      <c r="N724" s="39"/>
      <c r="O724" s="91"/>
      <c r="Q724" s="81"/>
    </row>
    <row r="725">
      <c r="B725" s="75"/>
      <c r="C725" s="38"/>
      <c r="L725" s="72"/>
      <c r="M725" s="39"/>
      <c r="N725" s="39"/>
      <c r="O725" s="91"/>
      <c r="Q725" s="81"/>
    </row>
    <row r="726">
      <c r="B726" s="75"/>
      <c r="C726" s="38"/>
      <c r="L726" s="72"/>
      <c r="M726" s="39"/>
      <c r="N726" s="39"/>
      <c r="O726" s="91"/>
      <c r="Q726" s="81"/>
    </row>
    <row r="727">
      <c r="B727" s="75"/>
      <c r="C727" s="38"/>
      <c r="L727" s="72"/>
      <c r="M727" s="39"/>
      <c r="N727" s="39"/>
      <c r="O727" s="91"/>
      <c r="Q727" s="81"/>
    </row>
    <row r="728">
      <c r="B728" s="75"/>
      <c r="C728" s="38"/>
      <c r="L728" s="72"/>
      <c r="M728" s="39"/>
      <c r="N728" s="39"/>
      <c r="O728" s="91"/>
      <c r="Q728" s="81"/>
    </row>
    <row r="729">
      <c r="B729" s="75"/>
      <c r="C729" s="38"/>
      <c r="L729" s="72"/>
      <c r="M729" s="39"/>
      <c r="N729" s="39"/>
      <c r="O729" s="91"/>
      <c r="Q729" s="81"/>
    </row>
    <row r="730">
      <c r="B730" s="75"/>
      <c r="C730" s="38"/>
      <c r="L730" s="72"/>
      <c r="M730" s="39"/>
      <c r="N730" s="39"/>
      <c r="O730" s="91"/>
      <c r="Q730" s="81"/>
    </row>
    <row r="731">
      <c r="B731" s="75"/>
      <c r="C731" s="38"/>
      <c r="L731" s="72"/>
      <c r="M731" s="39"/>
      <c r="N731" s="39"/>
      <c r="O731" s="91"/>
      <c r="Q731" s="81"/>
    </row>
    <row r="732">
      <c r="B732" s="75"/>
      <c r="C732" s="38"/>
      <c r="L732" s="72"/>
      <c r="M732" s="39"/>
      <c r="N732" s="39"/>
      <c r="O732" s="91"/>
      <c r="Q732" s="81"/>
    </row>
    <row r="733">
      <c r="B733" s="75"/>
      <c r="C733" s="38"/>
      <c r="L733" s="72"/>
      <c r="M733" s="39"/>
      <c r="N733" s="39"/>
      <c r="O733" s="91"/>
      <c r="Q733" s="81"/>
    </row>
    <row r="734">
      <c r="B734" s="75"/>
      <c r="C734" s="38"/>
      <c r="L734" s="72"/>
      <c r="M734" s="39"/>
      <c r="N734" s="39"/>
      <c r="O734" s="91"/>
      <c r="Q734" s="81"/>
    </row>
    <row r="735">
      <c r="B735" s="75"/>
      <c r="C735" s="38"/>
      <c r="L735" s="72"/>
      <c r="M735" s="39"/>
      <c r="N735" s="39"/>
      <c r="O735" s="91"/>
      <c r="Q735" s="81"/>
    </row>
    <row r="736">
      <c r="B736" s="75"/>
      <c r="C736" s="38"/>
      <c r="L736" s="72"/>
      <c r="M736" s="39"/>
      <c r="N736" s="39"/>
      <c r="O736" s="91"/>
      <c r="Q736" s="81"/>
    </row>
    <row r="737">
      <c r="B737" s="75"/>
      <c r="C737" s="38"/>
      <c r="L737" s="72"/>
      <c r="M737" s="39"/>
      <c r="N737" s="39"/>
      <c r="O737" s="91"/>
      <c r="Q737" s="81"/>
    </row>
    <row r="738">
      <c r="B738" s="75"/>
      <c r="C738" s="38"/>
      <c r="L738" s="72"/>
      <c r="M738" s="39"/>
      <c r="N738" s="39"/>
      <c r="O738" s="91"/>
      <c r="Q738" s="81"/>
    </row>
    <row r="739">
      <c r="B739" s="75"/>
      <c r="C739" s="38"/>
      <c r="L739" s="72"/>
      <c r="M739" s="39"/>
      <c r="N739" s="39"/>
      <c r="O739" s="91"/>
      <c r="Q739" s="81"/>
    </row>
    <row r="740">
      <c r="B740" s="75"/>
      <c r="C740" s="38"/>
      <c r="L740" s="72"/>
      <c r="M740" s="39"/>
      <c r="N740" s="39"/>
      <c r="O740" s="91"/>
      <c r="Q740" s="81"/>
    </row>
    <row r="741">
      <c r="B741" s="75"/>
      <c r="C741" s="38"/>
      <c r="L741" s="72"/>
      <c r="M741" s="39"/>
      <c r="N741" s="39"/>
      <c r="O741" s="91"/>
      <c r="Q741" s="81"/>
    </row>
    <row r="742">
      <c r="B742" s="75"/>
      <c r="C742" s="38"/>
      <c r="L742" s="72"/>
      <c r="M742" s="39"/>
      <c r="N742" s="39"/>
      <c r="O742" s="91"/>
      <c r="Q742" s="81"/>
    </row>
    <row r="743">
      <c r="B743" s="75"/>
      <c r="C743" s="38"/>
      <c r="L743" s="72"/>
      <c r="M743" s="39"/>
      <c r="N743" s="39"/>
      <c r="O743" s="91"/>
      <c r="Q743" s="81"/>
    </row>
    <row r="744">
      <c r="B744" s="75"/>
      <c r="C744" s="38"/>
      <c r="L744" s="72"/>
      <c r="M744" s="39"/>
      <c r="N744" s="39"/>
      <c r="O744" s="91"/>
      <c r="Q744" s="81"/>
    </row>
    <row r="745">
      <c r="B745" s="75"/>
      <c r="C745" s="38"/>
      <c r="L745" s="72"/>
      <c r="M745" s="39"/>
      <c r="N745" s="39"/>
      <c r="O745" s="91"/>
      <c r="Q745" s="81"/>
    </row>
    <row r="746">
      <c r="B746" s="75"/>
      <c r="C746" s="38"/>
      <c r="L746" s="72"/>
      <c r="M746" s="39"/>
      <c r="N746" s="39"/>
      <c r="O746" s="91"/>
      <c r="Q746" s="81"/>
    </row>
    <row r="747">
      <c r="B747" s="75"/>
      <c r="C747" s="38"/>
      <c r="L747" s="72"/>
      <c r="M747" s="39"/>
      <c r="N747" s="39"/>
      <c r="O747" s="91"/>
      <c r="Q747" s="81"/>
    </row>
    <row r="748">
      <c r="B748" s="75"/>
      <c r="C748" s="38"/>
      <c r="L748" s="72"/>
      <c r="M748" s="39"/>
      <c r="N748" s="39"/>
      <c r="O748" s="91"/>
      <c r="Q748" s="81"/>
    </row>
    <row r="749">
      <c r="B749" s="75"/>
      <c r="C749" s="38"/>
      <c r="L749" s="72"/>
      <c r="M749" s="39"/>
      <c r="N749" s="39"/>
      <c r="O749" s="91"/>
      <c r="Q749" s="81"/>
    </row>
    <row r="750">
      <c r="B750" s="75"/>
      <c r="C750" s="38"/>
      <c r="L750" s="72"/>
      <c r="M750" s="39"/>
      <c r="N750" s="39"/>
      <c r="O750" s="91"/>
      <c r="Q750" s="81"/>
    </row>
    <row r="751">
      <c r="B751" s="75"/>
      <c r="C751" s="38"/>
      <c r="L751" s="72"/>
      <c r="M751" s="39"/>
      <c r="N751" s="39"/>
      <c r="O751" s="91"/>
      <c r="Q751" s="81"/>
    </row>
    <row r="752">
      <c r="B752" s="75"/>
      <c r="C752" s="38"/>
      <c r="L752" s="72"/>
      <c r="M752" s="39"/>
      <c r="N752" s="39"/>
      <c r="O752" s="91"/>
      <c r="Q752" s="81"/>
    </row>
    <row r="753">
      <c r="B753" s="75"/>
      <c r="C753" s="38"/>
      <c r="L753" s="72"/>
      <c r="M753" s="39"/>
      <c r="N753" s="39"/>
      <c r="O753" s="91"/>
      <c r="Q753" s="81"/>
    </row>
    <row r="754">
      <c r="B754" s="75"/>
      <c r="C754" s="38"/>
      <c r="L754" s="72"/>
      <c r="M754" s="39"/>
      <c r="N754" s="39"/>
      <c r="O754" s="91"/>
      <c r="Q754" s="81"/>
    </row>
    <row r="755">
      <c r="B755" s="75"/>
      <c r="C755" s="38"/>
      <c r="L755" s="72"/>
      <c r="M755" s="39"/>
      <c r="N755" s="39"/>
      <c r="O755" s="91"/>
      <c r="Q755" s="81"/>
    </row>
    <row r="756">
      <c r="B756" s="75"/>
      <c r="C756" s="38"/>
      <c r="L756" s="72"/>
      <c r="M756" s="39"/>
      <c r="N756" s="39"/>
      <c r="O756" s="91"/>
      <c r="Q756" s="81"/>
    </row>
    <row r="757">
      <c r="B757" s="75"/>
      <c r="C757" s="38"/>
      <c r="L757" s="72"/>
      <c r="M757" s="39"/>
      <c r="N757" s="39"/>
      <c r="O757" s="91"/>
      <c r="Q757" s="81"/>
    </row>
    <row r="758">
      <c r="B758" s="75"/>
      <c r="C758" s="38"/>
      <c r="L758" s="72"/>
      <c r="M758" s="39"/>
      <c r="N758" s="39"/>
      <c r="O758" s="91"/>
      <c r="Q758" s="81"/>
    </row>
    <row r="759">
      <c r="B759" s="75"/>
      <c r="C759" s="38"/>
      <c r="L759" s="72"/>
      <c r="M759" s="39"/>
      <c r="N759" s="39"/>
      <c r="O759" s="91"/>
      <c r="Q759" s="81"/>
    </row>
    <row r="760">
      <c r="B760" s="75"/>
      <c r="C760" s="38"/>
      <c r="L760" s="72"/>
      <c r="M760" s="39"/>
      <c r="N760" s="39"/>
      <c r="O760" s="91"/>
      <c r="Q760" s="81"/>
    </row>
    <row r="761">
      <c r="B761" s="75"/>
      <c r="C761" s="38"/>
      <c r="L761" s="72"/>
      <c r="M761" s="39"/>
      <c r="N761" s="39"/>
      <c r="O761" s="91"/>
      <c r="Q761" s="81"/>
    </row>
    <row r="762">
      <c r="B762" s="75"/>
      <c r="C762" s="38"/>
      <c r="L762" s="72"/>
      <c r="M762" s="39"/>
      <c r="N762" s="39"/>
      <c r="O762" s="91"/>
      <c r="Q762" s="81"/>
    </row>
    <row r="763">
      <c r="B763" s="75"/>
      <c r="C763" s="38"/>
      <c r="L763" s="72"/>
      <c r="M763" s="39"/>
      <c r="N763" s="39"/>
      <c r="O763" s="91"/>
      <c r="Q763" s="81"/>
    </row>
    <row r="764">
      <c r="B764" s="75"/>
      <c r="C764" s="38"/>
      <c r="L764" s="72"/>
      <c r="M764" s="39"/>
      <c r="N764" s="39"/>
      <c r="O764" s="91"/>
      <c r="Q764" s="81"/>
    </row>
    <row r="765">
      <c r="B765" s="75"/>
      <c r="C765" s="38"/>
      <c r="L765" s="72"/>
      <c r="M765" s="39"/>
      <c r="N765" s="39"/>
      <c r="O765" s="91"/>
      <c r="Q765" s="81"/>
    </row>
    <row r="766">
      <c r="B766" s="75"/>
      <c r="C766" s="38"/>
      <c r="L766" s="72"/>
      <c r="M766" s="39"/>
      <c r="N766" s="39"/>
      <c r="O766" s="91"/>
      <c r="Q766" s="81"/>
    </row>
    <row r="767">
      <c r="B767" s="75"/>
      <c r="C767" s="38"/>
      <c r="L767" s="72"/>
      <c r="M767" s="39"/>
      <c r="N767" s="39"/>
      <c r="O767" s="91"/>
      <c r="Q767" s="81"/>
    </row>
    <row r="768">
      <c r="B768" s="75"/>
      <c r="C768" s="38"/>
      <c r="L768" s="72"/>
      <c r="M768" s="39"/>
      <c r="N768" s="39"/>
      <c r="O768" s="91"/>
      <c r="Q768" s="81"/>
    </row>
    <row r="769">
      <c r="B769" s="75"/>
      <c r="C769" s="38"/>
      <c r="L769" s="72"/>
      <c r="M769" s="39"/>
      <c r="N769" s="39"/>
      <c r="O769" s="91"/>
      <c r="Q769" s="81"/>
    </row>
    <row r="770">
      <c r="B770" s="75"/>
      <c r="C770" s="38"/>
      <c r="L770" s="72"/>
      <c r="M770" s="39"/>
      <c r="N770" s="39"/>
      <c r="O770" s="91"/>
      <c r="Q770" s="81"/>
    </row>
    <row r="771">
      <c r="B771" s="75"/>
      <c r="C771" s="38"/>
      <c r="L771" s="72"/>
      <c r="M771" s="39"/>
      <c r="N771" s="39"/>
      <c r="O771" s="91"/>
      <c r="Q771" s="81"/>
    </row>
    <row r="772">
      <c r="B772" s="75"/>
      <c r="C772" s="38"/>
      <c r="L772" s="72"/>
      <c r="M772" s="39"/>
      <c r="N772" s="39"/>
      <c r="O772" s="91"/>
      <c r="Q772" s="81"/>
    </row>
    <row r="773">
      <c r="B773" s="75"/>
      <c r="C773" s="38"/>
      <c r="L773" s="72"/>
      <c r="M773" s="39"/>
      <c r="N773" s="39"/>
      <c r="O773" s="91"/>
      <c r="Q773" s="81"/>
    </row>
    <row r="774">
      <c r="B774" s="75"/>
      <c r="C774" s="38"/>
      <c r="L774" s="72"/>
      <c r="M774" s="39"/>
      <c r="N774" s="39"/>
      <c r="O774" s="91"/>
      <c r="Q774" s="81"/>
    </row>
    <row r="775">
      <c r="B775" s="75"/>
      <c r="C775" s="38"/>
      <c r="L775" s="72"/>
      <c r="M775" s="39"/>
      <c r="N775" s="39"/>
      <c r="O775" s="91"/>
      <c r="Q775" s="81"/>
    </row>
    <row r="776">
      <c r="B776" s="75"/>
      <c r="C776" s="38"/>
      <c r="L776" s="72"/>
      <c r="M776" s="39"/>
      <c r="N776" s="39"/>
      <c r="O776" s="91"/>
      <c r="Q776" s="81"/>
    </row>
    <row r="777">
      <c r="B777" s="75"/>
      <c r="C777" s="38"/>
      <c r="L777" s="72"/>
      <c r="M777" s="39"/>
      <c r="N777" s="39"/>
      <c r="O777" s="91"/>
      <c r="Q777" s="81"/>
    </row>
    <row r="778">
      <c r="B778" s="75"/>
      <c r="C778" s="38"/>
      <c r="L778" s="72"/>
      <c r="M778" s="39"/>
      <c r="N778" s="39"/>
      <c r="O778" s="91"/>
      <c r="Q778" s="81"/>
    </row>
    <row r="779">
      <c r="B779" s="75"/>
      <c r="C779" s="38"/>
      <c r="L779" s="72"/>
      <c r="M779" s="39"/>
      <c r="N779" s="39"/>
      <c r="O779" s="91"/>
      <c r="Q779" s="81"/>
    </row>
    <row r="780">
      <c r="B780" s="75"/>
      <c r="C780" s="38"/>
      <c r="L780" s="72"/>
      <c r="M780" s="39"/>
      <c r="N780" s="39"/>
      <c r="O780" s="91"/>
      <c r="Q780" s="81"/>
    </row>
    <row r="781">
      <c r="B781" s="75"/>
      <c r="C781" s="38"/>
      <c r="L781" s="72"/>
      <c r="M781" s="39"/>
      <c r="N781" s="39"/>
      <c r="O781" s="91"/>
      <c r="Q781" s="81"/>
    </row>
    <row r="782">
      <c r="B782" s="75"/>
      <c r="C782" s="38"/>
      <c r="L782" s="72"/>
      <c r="M782" s="39"/>
      <c r="N782" s="39"/>
      <c r="O782" s="91"/>
      <c r="Q782" s="81"/>
    </row>
    <row r="783">
      <c r="B783" s="75"/>
      <c r="C783" s="38"/>
      <c r="L783" s="72"/>
      <c r="M783" s="39"/>
      <c r="N783" s="39"/>
      <c r="O783" s="91"/>
      <c r="Q783" s="81"/>
    </row>
    <row r="784">
      <c r="B784" s="75"/>
      <c r="C784" s="38"/>
      <c r="L784" s="72"/>
      <c r="M784" s="39"/>
      <c r="N784" s="39"/>
      <c r="O784" s="91"/>
      <c r="Q784" s="81"/>
    </row>
    <row r="785">
      <c r="B785" s="75"/>
      <c r="C785" s="38"/>
      <c r="L785" s="72"/>
      <c r="M785" s="39"/>
      <c r="N785" s="39"/>
      <c r="O785" s="91"/>
      <c r="Q785" s="81"/>
    </row>
    <row r="786">
      <c r="B786" s="75"/>
      <c r="C786" s="38"/>
      <c r="L786" s="72"/>
      <c r="M786" s="39"/>
      <c r="N786" s="39"/>
      <c r="O786" s="91"/>
      <c r="Q786" s="81"/>
    </row>
    <row r="787">
      <c r="B787" s="75"/>
      <c r="C787" s="38"/>
      <c r="L787" s="72"/>
      <c r="M787" s="39"/>
      <c r="N787" s="39"/>
      <c r="O787" s="91"/>
      <c r="Q787" s="81"/>
    </row>
    <row r="788">
      <c r="B788" s="75"/>
      <c r="C788" s="38"/>
      <c r="L788" s="72"/>
      <c r="M788" s="39"/>
      <c r="N788" s="39"/>
      <c r="O788" s="91"/>
      <c r="Q788" s="81"/>
    </row>
    <row r="789">
      <c r="B789" s="75"/>
      <c r="C789" s="38"/>
      <c r="L789" s="72"/>
      <c r="M789" s="39"/>
      <c r="N789" s="39"/>
      <c r="O789" s="91"/>
      <c r="Q789" s="81"/>
    </row>
    <row r="790">
      <c r="B790" s="75"/>
      <c r="C790" s="38"/>
      <c r="L790" s="72"/>
      <c r="M790" s="39"/>
      <c r="N790" s="39"/>
      <c r="O790" s="91"/>
      <c r="Q790" s="81"/>
    </row>
    <row r="791">
      <c r="B791" s="75"/>
      <c r="C791" s="38"/>
      <c r="L791" s="72"/>
      <c r="M791" s="39"/>
      <c r="N791" s="39"/>
      <c r="O791" s="91"/>
      <c r="Q791" s="81"/>
    </row>
    <row r="792">
      <c r="B792" s="75"/>
      <c r="C792" s="38"/>
      <c r="L792" s="72"/>
      <c r="M792" s="39"/>
      <c r="N792" s="39"/>
      <c r="O792" s="91"/>
      <c r="Q792" s="81"/>
    </row>
    <row r="793">
      <c r="B793" s="75"/>
      <c r="C793" s="38"/>
      <c r="L793" s="72"/>
      <c r="M793" s="39"/>
      <c r="N793" s="39"/>
      <c r="O793" s="91"/>
      <c r="Q793" s="81"/>
    </row>
    <row r="794">
      <c r="B794" s="75"/>
      <c r="C794" s="38"/>
      <c r="L794" s="72"/>
      <c r="M794" s="39"/>
      <c r="N794" s="39"/>
      <c r="O794" s="91"/>
      <c r="Q794" s="81"/>
    </row>
    <row r="795">
      <c r="B795" s="75"/>
      <c r="C795" s="38"/>
      <c r="L795" s="72"/>
      <c r="M795" s="39"/>
      <c r="N795" s="39"/>
      <c r="O795" s="91"/>
      <c r="Q795" s="81"/>
    </row>
    <row r="796">
      <c r="B796" s="75"/>
      <c r="C796" s="38"/>
      <c r="L796" s="72"/>
      <c r="M796" s="39"/>
      <c r="N796" s="39"/>
      <c r="O796" s="91"/>
      <c r="Q796" s="81"/>
    </row>
    <row r="797">
      <c r="B797" s="75"/>
      <c r="C797" s="38"/>
      <c r="L797" s="72"/>
      <c r="M797" s="39"/>
      <c r="N797" s="39"/>
      <c r="O797" s="91"/>
      <c r="Q797" s="81"/>
    </row>
    <row r="798">
      <c r="B798" s="75"/>
      <c r="C798" s="38"/>
      <c r="L798" s="72"/>
      <c r="M798" s="39"/>
      <c r="N798" s="39"/>
      <c r="O798" s="91"/>
      <c r="Q798" s="81"/>
    </row>
    <row r="799">
      <c r="B799" s="75"/>
      <c r="C799" s="38"/>
      <c r="L799" s="72"/>
      <c r="M799" s="39"/>
      <c r="N799" s="39"/>
      <c r="O799" s="91"/>
      <c r="Q799" s="81"/>
    </row>
    <row r="800">
      <c r="B800" s="75"/>
      <c r="C800" s="38"/>
      <c r="L800" s="72"/>
      <c r="M800" s="39"/>
      <c r="N800" s="39"/>
      <c r="O800" s="91"/>
      <c r="Q800" s="81"/>
    </row>
    <row r="801">
      <c r="B801" s="75"/>
      <c r="C801" s="38"/>
      <c r="L801" s="72"/>
      <c r="M801" s="39"/>
      <c r="N801" s="39"/>
      <c r="O801" s="91"/>
      <c r="Q801" s="81"/>
    </row>
    <row r="802">
      <c r="B802" s="75"/>
      <c r="C802" s="38"/>
      <c r="L802" s="72"/>
      <c r="M802" s="39"/>
      <c r="N802" s="39"/>
      <c r="O802" s="91"/>
      <c r="Q802" s="81"/>
    </row>
    <row r="803">
      <c r="B803" s="75"/>
      <c r="C803" s="38"/>
      <c r="L803" s="72"/>
      <c r="M803" s="39"/>
      <c r="N803" s="39"/>
      <c r="O803" s="91"/>
      <c r="Q803" s="81"/>
    </row>
    <row r="804">
      <c r="B804" s="75"/>
      <c r="C804" s="38"/>
      <c r="L804" s="72"/>
      <c r="M804" s="39"/>
      <c r="N804" s="39"/>
      <c r="O804" s="91"/>
      <c r="Q804" s="81"/>
    </row>
    <row r="805">
      <c r="B805" s="75"/>
      <c r="C805" s="38"/>
      <c r="L805" s="72"/>
      <c r="M805" s="39"/>
      <c r="N805" s="39"/>
      <c r="O805" s="91"/>
      <c r="Q805" s="81"/>
    </row>
    <row r="806">
      <c r="B806" s="75"/>
      <c r="C806" s="38"/>
      <c r="L806" s="72"/>
      <c r="M806" s="39"/>
      <c r="N806" s="39"/>
      <c r="O806" s="91"/>
      <c r="Q806" s="81"/>
    </row>
    <row r="807">
      <c r="B807" s="75"/>
      <c r="C807" s="38"/>
      <c r="L807" s="72"/>
      <c r="M807" s="39"/>
      <c r="N807" s="39"/>
      <c r="O807" s="91"/>
      <c r="Q807" s="81"/>
    </row>
    <row r="808">
      <c r="B808" s="75"/>
      <c r="C808" s="38"/>
      <c r="L808" s="72"/>
      <c r="M808" s="39"/>
      <c r="N808" s="39"/>
      <c r="O808" s="91"/>
      <c r="Q808" s="81"/>
    </row>
    <row r="809">
      <c r="B809" s="75"/>
      <c r="C809" s="38"/>
      <c r="L809" s="72"/>
      <c r="M809" s="39"/>
      <c r="N809" s="39"/>
      <c r="O809" s="91"/>
      <c r="Q809" s="81"/>
    </row>
    <row r="810">
      <c r="B810" s="75"/>
      <c r="C810" s="38"/>
      <c r="L810" s="72"/>
      <c r="M810" s="39"/>
      <c r="N810" s="39"/>
      <c r="O810" s="91"/>
      <c r="Q810" s="81"/>
    </row>
    <row r="811">
      <c r="B811" s="75"/>
      <c r="C811" s="38"/>
      <c r="L811" s="72"/>
      <c r="M811" s="39"/>
      <c r="N811" s="39"/>
      <c r="O811" s="91"/>
      <c r="Q811" s="81"/>
    </row>
    <row r="812">
      <c r="B812" s="75"/>
      <c r="C812" s="38"/>
      <c r="L812" s="72"/>
      <c r="M812" s="39"/>
      <c r="N812" s="39"/>
      <c r="O812" s="91"/>
      <c r="Q812" s="81"/>
    </row>
    <row r="813">
      <c r="B813" s="75"/>
      <c r="C813" s="38"/>
      <c r="L813" s="72"/>
      <c r="M813" s="39"/>
      <c r="N813" s="39"/>
      <c r="O813" s="91"/>
      <c r="Q813" s="81"/>
    </row>
    <row r="814">
      <c r="B814" s="75"/>
      <c r="C814" s="38"/>
      <c r="L814" s="72"/>
      <c r="M814" s="39"/>
      <c r="N814" s="39"/>
      <c r="O814" s="91"/>
      <c r="Q814" s="81"/>
    </row>
    <row r="815">
      <c r="B815" s="75"/>
      <c r="C815" s="38"/>
      <c r="L815" s="72"/>
      <c r="M815" s="39"/>
      <c r="N815" s="39"/>
      <c r="O815" s="91"/>
      <c r="Q815" s="81"/>
    </row>
    <row r="816">
      <c r="B816" s="75"/>
      <c r="C816" s="38"/>
      <c r="L816" s="72"/>
      <c r="M816" s="39"/>
      <c r="N816" s="39"/>
      <c r="O816" s="91"/>
      <c r="Q816" s="81"/>
    </row>
    <row r="817">
      <c r="B817" s="75"/>
      <c r="C817" s="38"/>
      <c r="L817" s="72"/>
      <c r="M817" s="39"/>
      <c r="N817" s="39"/>
      <c r="O817" s="91"/>
      <c r="Q817" s="81"/>
    </row>
    <row r="818">
      <c r="B818" s="75"/>
      <c r="C818" s="38"/>
      <c r="L818" s="72"/>
      <c r="M818" s="39"/>
      <c r="N818" s="39"/>
      <c r="O818" s="91"/>
      <c r="Q818" s="81"/>
    </row>
    <row r="819">
      <c r="B819" s="75"/>
      <c r="C819" s="38"/>
      <c r="L819" s="72"/>
      <c r="M819" s="39"/>
      <c r="N819" s="39"/>
      <c r="O819" s="91"/>
      <c r="Q819" s="81"/>
    </row>
    <row r="820">
      <c r="B820" s="75"/>
      <c r="C820" s="38"/>
      <c r="L820" s="72"/>
      <c r="M820" s="39"/>
      <c r="N820" s="39"/>
      <c r="O820" s="91"/>
      <c r="Q820" s="81"/>
    </row>
    <row r="821">
      <c r="B821" s="75"/>
      <c r="C821" s="38"/>
      <c r="L821" s="72"/>
      <c r="M821" s="39"/>
      <c r="N821" s="39"/>
      <c r="O821" s="91"/>
      <c r="Q821" s="81"/>
    </row>
    <row r="822">
      <c r="B822" s="75"/>
      <c r="C822" s="38"/>
      <c r="L822" s="72"/>
      <c r="M822" s="39"/>
      <c r="N822" s="39"/>
      <c r="O822" s="91"/>
      <c r="Q822" s="81"/>
    </row>
    <row r="823">
      <c r="B823" s="75"/>
      <c r="C823" s="38"/>
      <c r="L823" s="72"/>
      <c r="M823" s="39"/>
      <c r="N823" s="39"/>
      <c r="O823" s="91"/>
      <c r="Q823" s="81"/>
    </row>
    <row r="824">
      <c r="B824" s="75"/>
      <c r="C824" s="38"/>
      <c r="L824" s="72"/>
      <c r="M824" s="39"/>
      <c r="N824" s="39"/>
      <c r="O824" s="91"/>
      <c r="Q824" s="81"/>
    </row>
    <row r="825">
      <c r="B825" s="75"/>
      <c r="C825" s="38"/>
      <c r="L825" s="72"/>
      <c r="M825" s="39"/>
      <c r="N825" s="39"/>
      <c r="O825" s="91"/>
      <c r="Q825" s="81"/>
    </row>
    <row r="826">
      <c r="B826" s="75"/>
      <c r="C826" s="38"/>
      <c r="L826" s="72"/>
      <c r="M826" s="39"/>
      <c r="N826" s="39"/>
      <c r="O826" s="91"/>
      <c r="Q826" s="81"/>
    </row>
    <row r="827">
      <c r="B827" s="75"/>
      <c r="C827" s="38"/>
      <c r="L827" s="72"/>
      <c r="M827" s="39"/>
      <c r="N827" s="39"/>
      <c r="O827" s="91"/>
      <c r="Q827" s="81"/>
    </row>
    <row r="828">
      <c r="B828" s="75"/>
      <c r="C828" s="38"/>
      <c r="L828" s="72"/>
      <c r="M828" s="39"/>
      <c r="N828" s="39"/>
      <c r="O828" s="91"/>
      <c r="Q828" s="81"/>
    </row>
    <row r="829">
      <c r="B829" s="75"/>
      <c r="C829" s="38"/>
      <c r="L829" s="72"/>
      <c r="M829" s="39"/>
      <c r="N829" s="39"/>
      <c r="O829" s="91"/>
      <c r="Q829" s="81"/>
    </row>
    <row r="830">
      <c r="B830" s="75"/>
      <c r="C830" s="38"/>
      <c r="L830" s="72"/>
      <c r="M830" s="39"/>
      <c r="N830" s="39"/>
      <c r="O830" s="91"/>
      <c r="Q830" s="81"/>
    </row>
    <row r="831">
      <c r="B831" s="75"/>
      <c r="C831" s="38"/>
      <c r="L831" s="72"/>
      <c r="M831" s="39"/>
      <c r="N831" s="39"/>
      <c r="O831" s="91"/>
      <c r="Q831" s="81"/>
    </row>
    <row r="832">
      <c r="B832" s="75"/>
      <c r="C832" s="38"/>
      <c r="L832" s="72"/>
      <c r="M832" s="39"/>
      <c r="N832" s="39"/>
      <c r="O832" s="91"/>
      <c r="Q832" s="81"/>
    </row>
    <row r="833">
      <c r="B833" s="75"/>
      <c r="C833" s="38"/>
      <c r="L833" s="72"/>
      <c r="M833" s="39"/>
      <c r="N833" s="39"/>
      <c r="O833" s="91"/>
      <c r="Q833" s="81"/>
    </row>
    <row r="834">
      <c r="B834" s="75"/>
      <c r="C834" s="38"/>
      <c r="L834" s="72"/>
      <c r="M834" s="39"/>
      <c r="N834" s="39"/>
      <c r="O834" s="91"/>
      <c r="Q834" s="81"/>
    </row>
    <row r="835">
      <c r="B835" s="75"/>
      <c r="C835" s="38"/>
      <c r="L835" s="72"/>
      <c r="M835" s="39"/>
      <c r="N835" s="39"/>
      <c r="O835" s="91"/>
      <c r="Q835" s="81"/>
    </row>
    <row r="836">
      <c r="B836" s="75"/>
      <c r="C836" s="38"/>
      <c r="L836" s="72"/>
      <c r="M836" s="39"/>
      <c r="N836" s="39"/>
      <c r="O836" s="91"/>
      <c r="Q836" s="81"/>
    </row>
    <row r="837">
      <c r="B837" s="75"/>
      <c r="C837" s="38"/>
      <c r="L837" s="72"/>
      <c r="M837" s="39"/>
      <c r="N837" s="39"/>
      <c r="O837" s="91"/>
      <c r="Q837" s="81"/>
    </row>
    <row r="838">
      <c r="B838" s="75"/>
      <c r="C838" s="38"/>
      <c r="L838" s="72"/>
      <c r="M838" s="39"/>
      <c r="N838" s="39"/>
      <c r="O838" s="91"/>
      <c r="Q838" s="81"/>
    </row>
    <row r="839">
      <c r="B839" s="75"/>
      <c r="C839" s="38"/>
      <c r="L839" s="72"/>
      <c r="M839" s="39"/>
      <c r="N839" s="39"/>
      <c r="O839" s="91"/>
      <c r="Q839" s="81"/>
    </row>
    <row r="840">
      <c r="B840" s="75"/>
      <c r="C840" s="38"/>
      <c r="L840" s="72"/>
      <c r="M840" s="39"/>
      <c r="N840" s="39"/>
      <c r="O840" s="91"/>
      <c r="Q840" s="81"/>
    </row>
    <row r="841">
      <c r="B841" s="75"/>
      <c r="C841" s="38"/>
      <c r="L841" s="72"/>
      <c r="M841" s="39"/>
      <c r="N841" s="39"/>
      <c r="O841" s="91"/>
      <c r="Q841" s="81"/>
    </row>
    <row r="842">
      <c r="B842" s="75"/>
      <c r="C842" s="38"/>
      <c r="L842" s="72"/>
      <c r="M842" s="39"/>
      <c r="N842" s="39"/>
      <c r="O842" s="91"/>
      <c r="Q842" s="81"/>
    </row>
    <row r="843">
      <c r="B843" s="75"/>
      <c r="C843" s="38"/>
      <c r="L843" s="72"/>
      <c r="M843" s="39"/>
      <c r="N843" s="39"/>
      <c r="O843" s="91"/>
      <c r="Q843" s="81"/>
    </row>
    <row r="844">
      <c r="B844" s="75"/>
      <c r="C844" s="38"/>
      <c r="L844" s="72"/>
      <c r="M844" s="39"/>
      <c r="N844" s="39"/>
      <c r="O844" s="91"/>
      <c r="Q844" s="81"/>
    </row>
    <row r="845">
      <c r="B845" s="75"/>
      <c r="C845" s="38"/>
      <c r="L845" s="72"/>
      <c r="M845" s="39"/>
      <c r="N845" s="39"/>
      <c r="O845" s="91"/>
      <c r="Q845" s="81"/>
    </row>
    <row r="846">
      <c r="B846" s="75"/>
      <c r="C846" s="38"/>
      <c r="L846" s="72"/>
      <c r="M846" s="39"/>
      <c r="N846" s="39"/>
      <c r="O846" s="91"/>
      <c r="Q846" s="81"/>
    </row>
    <row r="847">
      <c r="B847" s="75"/>
      <c r="C847" s="38"/>
      <c r="L847" s="72"/>
      <c r="M847" s="39"/>
      <c r="N847" s="39"/>
      <c r="O847" s="91"/>
      <c r="Q847" s="81"/>
    </row>
    <row r="848">
      <c r="B848" s="75"/>
      <c r="C848" s="38"/>
      <c r="L848" s="72"/>
      <c r="M848" s="39"/>
      <c r="N848" s="39"/>
      <c r="O848" s="91"/>
      <c r="Q848" s="81"/>
    </row>
    <row r="849">
      <c r="B849" s="75"/>
      <c r="C849" s="38"/>
      <c r="L849" s="72"/>
      <c r="M849" s="39"/>
      <c r="N849" s="39"/>
      <c r="O849" s="91"/>
      <c r="Q849" s="81"/>
    </row>
    <row r="850">
      <c r="B850" s="75"/>
      <c r="C850" s="38"/>
      <c r="L850" s="72"/>
      <c r="M850" s="39"/>
      <c r="N850" s="39"/>
      <c r="O850" s="91"/>
      <c r="Q850" s="81"/>
    </row>
    <row r="851">
      <c r="B851" s="75"/>
      <c r="C851" s="38"/>
      <c r="L851" s="72"/>
      <c r="M851" s="39"/>
      <c r="N851" s="39"/>
      <c r="O851" s="91"/>
      <c r="Q851" s="81"/>
    </row>
    <row r="852">
      <c r="B852" s="75"/>
      <c r="C852" s="38"/>
      <c r="L852" s="72"/>
      <c r="M852" s="39"/>
      <c r="N852" s="39"/>
      <c r="O852" s="91"/>
      <c r="Q852" s="81"/>
    </row>
    <row r="853">
      <c r="B853" s="75"/>
      <c r="C853" s="38"/>
      <c r="L853" s="72"/>
      <c r="M853" s="39"/>
      <c r="N853" s="39"/>
      <c r="O853" s="91"/>
      <c r="Q853" s="81"/>
    </row>
    <row r="854">
      <c r="B854" s="75"/>
      <c r="C854" s="38"/>
      <c r="L854" s="72"/>
      <c r="M854" s="39"/>
      <c r="N854" s="39"/>
      <c r="O854" s="91"/>
      <c r="Q854" s="81"/>
    </row>
    <row r="855">
      <c r="B855" s="75"/>
      <c r="C855" s="38"/>
      <c r="L855" s="72"/>
      <c r="M855" s="39"/>
      <c r="N855" s="39"/>
      <c r="O855" s="91"/>
      <c r="Q855" s="81"/>
    </row>
    <row r="856">
      <c r="B856" s="75"/>
      <c r="C856" s="38"/>
      <c r="L856" s="72"/>
      <c r="M856" s="39"/>
      <c r="N856" s="39"/>
      <c r="O856" s="91"/>
      <c r="Q856" s="81"/>
    </row>
    <row r="857">
      <c r="B857" s="75"/>
      <c r="C857" s="38"/>
      <c r="L857" s="72"/>
      <c r="M857" s="39"/>
      <c r="N857" s="39"/>
      <c r="O857" s="91"/>
      <c r="Q857" s="81"/>
    </row>
    <row r="858">
      <c r="B858" s="75"/>
      <c r="C858" s="38"/>
      <c r="L858" s="72"/>
      <c r="M858" s="39"/>
      <c r="N858" s="39"/>
      <c r="O858" s="91"/>
      <c r="Q858" s="81"/>
    </row>
    <row r="859">
      <c r="B859" s="75"/>
      <c r="C859" s="38"/>
      <c r="L859" s="72"/>
      <c r="M859" s="39"/>
      <c r="N859" s="39"/>
      <c r="O859" s="91"/>
      <c r="Q859" s="81"/>
    </row>
    <row r="860">
      <c r="B860" s="75"/>
      <c r="C860" s="38"/>
      <c r="L860" s="72"/>
      <c r="M860" s="39"/>
      <c r="N860" s="39"/>
      <c r="O860" s="91"/>
      <c r="Q860" s="81"/>
    </row>
    <row r="861">
      <c r="B861" s="75"/>
      <c r="C861" s="38"/>
      <c r="L861" s="72"/>
      <c r="M861" s="39"/>
      <c r="N861" s="39"/>
      <c r="O861" s="91"/>
      <c r="Q861" s="81"/>
    </row>
    <row r="862">
      <c r="B862" s="75"/>
      <c r="C862" s="38"/>
      <c r="L862" s="72"/>
      <c r="M862" s="39"/>
      <c r="N862" s="39"/>
      <c r="O862" s="91"/>
      <c r="Q862" s="81"/>
    </row>
    <row r="863">
      <c r="B863" s="75"/>
      <c r="C863" s="38"/>
      <c r="L863" s="72"/>
      <c r="M863" s="39"/>
      <c r="N863" s="39"/>
      <c r="O863" s="91"/>
      <c r="Q863" s="81"/>
    </row>
    <row r="864">
      <c r="B864" s="75"/>
      <c r="C864" s="38"/>
      <c r="L864" s="72"/>
      <c r="M864" s="39"/>
      <c r="N864" s="39"/>
      <c r="O864" s="91"/>
      <c r="Q864" s="81"/>
    </row>
    <row r="865">
      <c r="B865" s="75"/>
      <c r="C865" s="38"/>
      <c r="L865" s="72"/>
      <c r="M865" s="39"/>
      <c r="N865" s="39"/>
      <c r="O865" s="91"/>
      <c r="Q865" s="81"/>
    </row>
    <row r="866">
      <c r="B866" s="75"/>
      <c r="C866" s="38"/>
      <c r="L866" s="72"/>
      <c r="M866" s="39"/>
      <c r="N866" s="39"/>
      <c r="O866" s="91"/>
      <c r="Q866" s="81"/>
    </row>
    <row r="867">
      <c r="B867" s="75"/>
      <c r="C867" s="38"/>
      <c r="L867" s="72"/>
      <c r="M867" s="39"/>
      <c r="N867" s="39"/>
      <c r="O867" s="91"/>
      <c r="Q867" s="81"/>
    </row>
    <row r="868">
      <c r="B868" s="75"/>
      <c r="C868" s="38"/>
      <c r="L868" s="72"/>
      <c r="M868" s="39"/>
      <c r="N868" s="39"/>
      <c r="O868" s="91"/>
      <c r="Q868" s="81"/>
    </row>
    <row r="869">
      <c r="B869" s="75"/>
      <c r="C869" s="38"/>
      <c r="L869" s="72"/>
      <c r="M869" s="39"/>
      <c r="N869" s="39"/>
      <c r="O869" s="91"/>
      <c r="Q869" s="81"/>
    </row>
    <row r="870">
      <c r="B870" s="75"/>
      <c r="C870" s="38"/>
      <c r="L870" s="72"/>
      <c r="M870" s="39"/>
      <c r="N870" s="39"/>
      <c r="O870" s="91"/>
      <c r="Q870" s="81"/>
    </row>
    <row r="871">
      <c r="B871" s="75"/>
      <c r="C871" s="38"/>
      <c r="L871" s="72"/>
      <c r="M871" s="39"/>
      <c r="N871" s="39"/>
      <c r="O871" s="91"/>
      <c r="Q871" s="81"/>
    </row>
    <row r="872">
      <c r="B872" s="75"/>
      <c r="C872" s="38"/>
      <c r="L872" s="72"/>
      <c r="M872" s="39"/>
      <c r="N872" s="39"/>
      <c r="O872" s="91"/>
      <c r="Q872" s="81"/>
    </row>
    <row r="873">
      <c r="B873" s="75"/>
      <c r="C873" s="38"/>
      <c r="L873" s="72"/>
      <c r="M873" s="39"/>
      <c r="N873" s="39"/>
      <c r="O873" s="91"/>
      <c r="Q873" s="81"/>
    </row>
    <row r="874">
      <c r="B874" s="75"/>
      <c r="C874" s="38"/>
      <c r="L874" s="72"/>
      <c r="M874" s="39"/>
      <c r="N874" s="39"/>
      <c r="O874" s="91"/>
      <c r="Q874" s="81"/>
    </row>
    <row r="875">
      <c r="B875" s="75"/>
      <c r="C875" s="38"/>
      <c r="L875" s="72"/>
      <c r="M875" s="39"/>
      <c r="N875" s="39"/>
      <c r="O875" s="91"/>
      <c r="Q875" s="81"/>
    </row>
    <row r="876">
      <c r="B876" s="75"/>
      <c r="C876" s="38"/>
      <c r="L876" s="72"/>
      <c r="M876" s="39"/>
      <c r="N876" s="39"/>
      <c r="O876" s="91"/>
      <c r="Q876" s="81"/>
    </row>
    <row r="877">
      <c r="B877" s="75"/>
      <c r="C877" s="38"/>
      <c r="L877" s="72"/>
      <c r="M877" s="39"/>
      <c r="N877" s="39"/>
      <c r="O877" s="91"/>
      <c r="Q877" s="81"/>
    </row>
    <row r="878">
      <c r="B878" s="75"/>
      <c r="C878" s="38"/>
      <c r="L878" s="72"/>
      <c r="M878" s="39"/>
      <c r="N878" s="39"/>
      <c r="O878" s="91"/>
      <c r="Q878" s="81"/>
    </row>
    <row r="879">
      <c r="B879" s="75"/>
      <c r="C879" s="38"/>
      <c r="L879" s="72"/>
      <c r="M879" s="39"/>
      <c r="N879" s="39"/>
      <c r="O879" s="91"/>
      <c r="Q879" s="81"/>
    </row>
    <row r="880">
      <c r="B880" s="75"/>
      <c r="C880" s="38"/>
      <c r="L880" s="72"/>
      <c r="M880" s="39"/>
      <c r="N880" s="39"/>
      <c r="O880" s="91"/>
      <c r="Q880" s="81"/>
    </row>
    <row r="881">
      <c r="B881" s="75"/>
      <c r="C881" s="38"/>
      <c r="L881" s="72"/>
      <c r="M881" s="39"/>
      <c r="N881" s="39"/>
      <c r="O881" s="91"/>
      <c r="Q881" s="81"/>
    </row>
    <row r="882">
      <c r="B882" s="75"/>
      <c r="C882" s="38"/>
      <c r="L882" s="72"/>
      <c r="M882" s="39"/>
      <c r="N882" s="39"/>
      <c r="O882" s="91"/>
      <c r="Q882" s="81"/>
    </row>
    <row r="883">
      <c r="B883" s="75"/>
      <c r="C883" s="38"/>
      <c r="L883" s="72"/>
      <c r="M883" s="39"/>
      <c r="N883" s="39"/>
      <c r="O883" s="91"/>
      <c r="Q883" s="81"/>
    </row>
    <row r="884">
      <c r="B884" s="75"/>
      <c r="C884" s="38"/>
      <c r="L884" s="72"/>
      <c r="M884" s="39"/>
      <c r="N884" s="39"/>
      <c r="O884" s="91"/>
      <c r="Q884" s="81"/>
    </row>
    <row r="885">
      <c r="B885" s="75"/>
      <c r="C885" s="38"/>
      <c r="L885" s="72"/>
      <c r="M885" s="39"/>
      <c r="N885" s="39"/>
      <c r="O885" s="91"/>
      <c r="Q885" s="81"/>
    </row>
    <row r="886">
      <c r="B886" s="75"/>
      <c r="C886" s="38"/>
      <c r="L886" s="72"/>
      <c r="M886" s="39"/>
      <c r="N886" s="39"/>
      <c r="O886" s="91"/>
      <c r="Q886" s="81"/>
    </row>
    <row r="887">
      <c r="B887" s="75"/>
      <c r="C887" s="38"/>
      <c r="L887" s="72"/>
      <c r="M887" s="39"/>
      <c r="N887" s="39"/>
      <c r="O887" s="91"/>
      <c r="Q887" s="81"/>
    </row>
    <row r="888">
      <c r="B888" s="75"/>
      <c r="C888" s="38"/>
      <c r="L888" s="72"/>
      <c r="M888" s="39"/>
      <c r="N888" s="39"/>
      <c r="O888" s="91"/>
      <c r="Q888" s="81"/>
    </row>
    <row r="889">
      <c r="B889" s="75"/>
      <c r="C889" s="38"/>
      <c r="L889" s="72"/>
      <c r="M889" s="39"/>
      <c r="N889" s="39"/>
      <c r="O889" s="91"/>
      <c r="Q889" s="81"/>
    </row>
    <row r="890">
      <c r="B890" s="75"/>
      <c r="C890" s="38"/>
      <c r="L890" s="72"/>
      <c r="M890" s="39"/>
      <c r="N890" s="39"/>
      <c r="O890" s="91"/>
      <c r="Q890" s="81"/>
    </row>
    <row r="891">
      <c r="B891" s="75"/>
      <c r="C891" s="38"/>
      <c r="L891" s="72"/>
      <c r="M891" s="39"/>
      <c r="N891" s="39"/>
      <c r="O891" s="91"/>
      <c r="Q891" s="81"/>
    </row>
    <row r="892">
      <c r="B892" s="75"/>
      <c r="C892" s="38"/>
      <c r="L892" s="72"/>
      <c r="M892" s="39"/>
      <c r="N892" s="39"/>
      <c r="O892" s="91"/>
      <c r="Q892" s="81"/>
    </row>
    <row r="893">
      <c r="B893" s="75"/>
      <c r="C893" s="38"/>
      <c r="L893" s="72"/>
      <c r="M893" s="39"/>
      <c r="N893" s="39"/>
      <c r="O893" s="91"/>
      <c r="Q893" s="81"/>
    </row>
    <row r="894">
      <c r="B894" s="75"/>
      <c r="C894" s="38"/>
      <c r="L894" s="72"/>
      <c r="M894" s="39"/>
      <c r="N894" s="39"/>
      <c r="O894" s="91"/>
      <c r="Q894" s="81"/>
    </row>
    <row r="895">
      <c r="B895" s="75"/>
      <c r="C895" s="38"/>
      <c r="L895" s="72"/>
      <c r="M895" s="39"/>
      <c r="N895" s="39"/>
      <c r="O895" s="91"/>
      <c r="Q895" s="81"/>
    </row>
    <row r="896">
      <c r="B896" s="75"/>
      <c r="C896" s="38"/>
      <c r="L896" s="72"/>
      <c r="M896" s="39"/>
      <c r="N896" s="39"/>
      <c r="O896" s="91"/>
      <c r="Q896" s="81"/>
    </row>
    <row r="897">
      <c r="B897" s="75"/>
      <c r="C897" s="38"/>
      <c r="L897" s="72"/>
      <c r="M897" s="39"/>
      <c r="N897" s="39"/>
      <c r="O897" s="91"/>
      <c r="Q897" s="81"/>
    </row>
    <row r="898">
      <c r="B898" s="75"/>
      <c r="C898" s="38"/>
      <c r="L898" s="72"/>
      <c r="M898" s="39"/>
      <c r="N898" s="39"/>
      <c r="O898" s="91"/>
      <c r="Q898" s="81"/>
    </row>
    <row r="899">
      <c r="B899" s="75"/>
      <c r="C899" s="38"/>
      <c r="L899" s="72"/>
      <c r="M899" s="39"/>
      <c r="N899" s="39"/>
      <c r="O899" s="91"/>
      <c r="Q899" s="81"/>
    </row>
    <row r="900">
      <c r="B900" s="75"/>
      <c r="C900" s="38"/>
      <c r="L900" s="72"/>
      <c r="M900" s="39"/>
      <c r="N900" s="39"/>
      <c r="O900" s="91"/>
      <c r="Q900" s="81"/>
    </row>
    <row r="901">
      <c r="B901" s="75"/>
      <c r="C901" s="38"/>
      <c r="L901" s="72"/>
      <c r="M901" s="39"/>
      <c r="N901" s="39"/>
      <c r="O901" s="91"/>
      <c r="Q901" s="81"/>
    </row>
    <row r="902">
      <c r="B902" s="75"/>
      <c r="C902" s="38"/>
      <c r="L902" s="72"/>
      <c r="M902" s="39"/>
      <c r="N902" s="39"/>
      <c r="O902" s="91"/>
      <c r="Q902" s="81"/>
    </row>
    <row r="903">
      <c r="B903" s="75"/>
      <c r="C903" s="38"/>
      <c r="L903" s="72"/>
      <c r="M903" s="39"/>
      <c r="N903" s="39"/>
      <c r="O903" s="91"/>
      <c r="Q903" s="81"/>
    </row>
    <row r="904">
      <c r="B904" s="75"/>
      <c r="C904" s="38"/>
      <c r="L904" s="72"/>
      <c r="M904" s="39"/>
      <c r="N904" s="39"/>
      <c r="O904" s="91"/>
      <c r="Q904" s="81"/>
    </row>
    <row r="905">
      <c r="B905" s="75"/>
      <c r="C905" s="38"/>
      <c r="L905" s="72"/>
      <c r="M905" s="39"/>
      <c r="N905" s="39"/>
      <c r="O905" s="91"/>
      <c r="Q905" s="81"/>
    </row>
    <row r="906">
      <c r="B906" s="75"/>
      <c r="C906" s="38"/>
      <c r="L906" s="72"/>
      <c r="M906" s="39"/>
      <c r="N906" s="39"/>
      <c r="O906" s="91"/>
      <c r="Q906" s="81"/>
    </row>
    <row r="907">
      <c r="B907" s="75"/>
      <c r="C907" s="38"/>
      <c r="L907" s="72"/>
      <c r="M907" s="39"/>
      <c r="N907" s="39"/>
      <c r="O907" s="91"/>
      <c r="Q907" s="81"/>
    </row>
    <row r="908">
      <c r="B908" s="75"/>
      <c r="C908" s="38"/>
      <c r="L908" s="72"/>
      <c r="M908" s="39"/>
      <c r="N908" s="39"/>
      <c r="O908" s="91"/>
      <c r="Q908" s="81"/>
    </row>
    <row r="909">
      <c r="B909" s="75"/>
      <c r="C909" s="38"/>
      <c r="L909" s="72"/>
      <c r="M909" s="39"/>
      <c r="N909" s="39"/>
      <c r="O909" s="91"/>
      <c r="Q909" s="81"/>
    </row>
    <row r="910">
      <c r="B910" s="75"/>
      <c r="C910" s="38"/>
      <c r="L910" s="72"/>
      <c r="M910" s="39"/>
      <c r="N910" s="39"/>
      <c r="O910" s="91"/>
      <c r="Q910" s="81"/>
    </row>
    <row r="911">
      <c r="B911" s="75"/>
      <c r="C911" s="38"/>
      <c r="L911" s="72"/>
      <c r="M911" s="39"/>
      <c r="N911" s="39"/>
      <c r="O911" s="91"/>
      <c r="Q911" s="81"/>
    </row>
    <row r="912">
      <c r="B912" s="75"/>
      <c r="C912" s="38"/>
      <c r="L912" s="72"/>
      <c r="M912" s="39"/>
      <c r="N912" s="39"/>
      <c r="O912" s="91"/>
      <c r="Q912" s="81"/>
    </row>
    <row r="913">
      <c r="B913" s="75"/>
      <c r="C913" s="38"/>
      <c r="L913" s="72"/>
      <c r="M913" s="39"/>
      <c r="N913" s="39"/>
      <c r="O913" s="91"/>
      <c r="Q913" s="81"/>
    </row>
    <row r="914">
      <c r="B914" s="75"/>
      <c r="C914" s="38"/>
      <c r="L914" s="72"/>
      <c r="M914" s="39"/>
      <c r="N914" s="39"/>
      <c r="O914" s="91"/>
      <c r="Q914" s="81"/>
    </row>
    <row r="915">
      <c r="B915" s="75"/>
      <c r="C915" s="38"/>
      <c r="L915" s="72"/>
      <c r="M915" s="39"/>
      <c r="N915" s="39"/>
      <c r="O915" s="91"/>
      <c r="Q915" s="81"/>
    </row>
    <row r="916">
      <c r="B916" s="75"/>
      <c r="C916" s="38"/>
      <c r="L916" s="72"/>
      <c r="M916" s="39"/>
      <c r="N916" s="39"/>
      <c r="O916" s="91"/>
      <c r="Q916" s="81"/>
    </row>
    <row r="917">
      <c r="B917" s="75"/>
      <c r="C917" s="38"/>
      <c r="L917" s="72"/>
      <c r="M917" s="39"/>
      <c r="N917" s="39"/>
      <c r="O917" s="91"/>
      <c r="Q917" s="81"/>
    </row>
    <row r="918">
      <c r="B918" s="75"/>
      <c r="C918" s="38"/>
      <c r="L918" s="72"/>
      <c r="M918" s="39"/>
      <c r="N918" s="39"/>
      <c r="O918" s="91"/>
      <c r="Q918" s="81"/>
    </row>
    <row r="919">
      <c r="B919" s="75"/>
      <c r="C919" s="38"/>
      <c r="L919" s="72"/>
      <c r="M919" s="39"/>
      <c r="N919" s="39"/>
      <c r="O919" s="91"/>
      <c r="Q919" s="81"/>
    </row>
    <row r="920">
      <c r="B920" s="75"/>
      <c r="C920" s="38"/>
      <c r="L920" s="72"/>
      <c r="M920" s="39"/>
      <c r="N920" s="39"/>
      <c r="O920" s="91"/>
      <c r="Q920" s="81"/>
    </row>
    <row r="921">
      <c r="B921" s="75"/>
      <c r="C921" s="38"/>
      <c r="L921" s="72"/>
      <c r="M921" s="39"/>
      <c r="N921" s="39"/>
      <c r="O921" s="91"/>
      <c r="Q921" s="81"/>
    </row>
    <row r="922">
      <c r="B922" s="75"/>
      <c r="C922" s="38"/>
      <c r="L922" s="72"/>
      <c r="M922" s="39"/>
      <c r="N922" s="39"/>
      <c r="O922" s="91"/>
      <c r="Q922" s="81"/>
    </row>
    <row r="923">
      <c r="B923" s="75"/>
      <c r="C923" s="38"/>
      <c r="L923" s="72"/>
      <c r="M923" s="39"/>
      <c r="N923" s="39"/>
      <c r="O923" s="91"/>
      <c r="Q923" s="81"/>
    </row>
    <row r="924">
      <c r="B924" s="75"/>
      <c r="C924" s="38"/>
      <c r="L924" s="72"/>
      <c r="M924" s="39"/>
      <c r="N924" s="39"/>
      <c r="O924" s="91"/>
      <c r="Q924" s="81"/>
    </row>
    <row r="925">
      <c r="B925" s="75"/>
      <c r="C925" s="38"/>
      <c r="L925" s="72"/>
      <c r="M925" s="39"/>
      <c r="N925" s="39"/>
      <c r="O925" s="91"/>
      <c r="Q925" s="81"/>
    </row>
    <row r="926">
      <c r="B926" s="75"/>
      <c r="C926" s="38"/>
      <c r="L926" s="72"/>
      <c r="M926" s="39"/>
      <c r="N926" s="39"/>
      <c r="O926" s="91"/>
      <c r="Q926" s="81"/>
    </row>
    <row r="927">
      <c r="B927" s="75"/>
      <c r="C927" s="38"/>
      <c r="L927" s="72"/>
      <c r="M927" s="39"/>
      <c r="N927" s="39"/>
      <c r="O927" s="91"/>
      <c r="Q927" s="81"/>
    </row>
    <row r="928">
      <c r="B928" s="75"/>
      <c r="C928" s="38"/>
      <c r="L928" s="72"/>
      <c r="M928" s="39"/>
      <c r="N928" s="39"/>
      <c r="O928" s="91"/>
      <c r="Q928" s="81"/>
    </row>
    <row r="929">
      <c r="B929" s="75"/>
      <c r="C929" s="38"/>
      <c r="L929" s="72"/>
      <c r="M929" s="39"/>
      <c r="N929" s="39"/>
      <c r="O929" s="91"/>
      <c r="Q929" s="81"/>
    </row>
    <row r="930">
      <c r="B930" s="75"/>
      <c r="C930" s="38"/>
      <c r="L930" s="72"/>
      <c r="M930" s="39"/>
      <c r="N930" s="39"/>
      <c r="O930" s="91"/>
      <c r="Q930" s="81"/>
    </row>
    <row r="931">
      <c r="B931" s="75"/>
      <c r="C931" s="38"/>
      <c r="L931" s="72"/>
      <c r="M931" s="39"/>
      <c r="N931" s="39"/>
      <c r="O931" s="91"/>
      <c r="Q931" s="81"/>
    </row>
    <row r="932">
      <c r="B932" s="75"/>
      <c r="C932" s="38"/>
      <c r="L932" s="72"/>
      <c r="M932" s="39"/>
      <c r="N932" s="39"/>
      <c r="O932" s="91"/>
      <c r="Q932" s="81"/>
    </row>
    <row r="933">
      <c r="B933" s="75"/>
      <c r="C933" s="38"/>
      <c r="L933" s="72"/>
      <c r="M933" s="39"/>
      <c r="N933" s="39"/>
      <c r="O933" s="91"/>
      <c r="Q933" s="81"/>
    </row>
    <row r="934">
      <c r="B934" s="75"/>
      <c r="C934" s="38"/>
      <c r="L934" s="72"/>
      <c r="M934" s="39"/>
      <c r="N934" s="39"/>
      <c r="O934" s="91"/>
      <c r="Q934" s="81"/>
    </row>
    <row r="935">
      <c r="B935" s="75"/>
      <c r="C935" s="38"/>
      <c r="L935" s="72"/>
      <c r="M935" s="39"/>
      <c r="N935" s="39"/>
      <c r="O935" s="91"/>
      <c r="Q935" s="81"/>
    </row>
    <row r="936">
      <c r="B936" s="75"/>
      <c r="C936" s="38"/>
      <c r="L936" s="72"/>
      <c r="M936" s="39"/>
      <c r="N936" s="39"/>
      <c r="O936" s="91"/>
      <c r="Q936" s="81"/>
    </row>
    <row r="937">
      <c r="B937" s="75"/>
      <c r="C937" s="38"/>
      <c r="L937" s="72"/>
      <c r="M937" s="39"/>
      <c r="N937" s="39"/>
      <c r="O937" s="91"/>
      <c r="Q937" s="81"/>
    </row>
    <row r="938">
      <c r="B938" s="75"/>
      <c r="C938" s="38"/>
      <c r="L938" s="72"/>
      <c r="M938" s="39"/>
      <c r="N938" s="39"/>
      <c r="O938" s="91"/>
      <c r="Q938" s="81"/>
    </row>
    <row r="939">
      <c r="B939" s="75"/>
      <c r="C939" s="38"/>
      <c r="L939" s="72"/>
      <c r="M939" s="39"/>
      <c r="N939" s="39"/>
      <c r="O939" s="91"/>
      <c r="Q939" s="81"/>
    </row>
    <row r="940">
      <c r="B940" s="75"/>
      <c r="C940" s="38"/>
      <c r="L940" s="72"/>
      <c r="M940" s="39"/>
      <c r="N940" s="39"/>
      <c r="O940" s="91"/>
      <c r="Q940" s="81"/>
    </row>
    <row r="941">
      <c r="B941" s="75"/>
      <c r="C941" s="38"/>
      <c r="L941" s="72"/>
      <c r="M941" s="39"/>
      <c r="N941" s="39"/>
      <c r="O941" s="91"/>
      <c r="Q941" s="81"/>
    </row>
    <row r="942">
      <c r="B942" s="75"/>
      <c r="C942" s="38"/>
      <c r="L942" s="72"/>
      <c r="M942" s="39"/>
      <c r="N942" s="39"/>
      <c r="O942" s="91"/>
      <c r="Q942" s="81"/>
    </row>
    <row r="943">
      <c r="B943" s="75"/>
      <c r="C943" s="38"/>
      <c r="L943" s="72"/>
      <c r="M943" s="39"/>
      <c r="N943" s="39"/>
      <c r="O943" s="91"/>
      <c r="Q943" s="81"/>
    </row>
    <row r="944">
      <c r="B944" s="75"/>
      <c r="C944" s="38"/>
      <c r="L944" s="72"/>
      <c r="M944" s="39"/>
      <c r="N944" s="39"/>
      <c r="O944" s="91"/>
      <c r="Q944" s="81"/>
    </row>
    <row r="945">
      <c r="B945" s="75"/>
      <c r="C945" s="38"/>
      <c r="L945" s="72"/>
      <c r="M945" s="39"/>
      <c r="N945" s="39"/>
      <c r="O945" s="91"/>
      <c r="Q945" s="81"/>
    </row>
    <row r="946">
      <c r="B946" s="75"/>
      <c r="C946" s="38"/>
      <c r="L946" s="72"/>
      <c r="M946" s="39"/>
      <c r="N946" s="39"/>
      <c r="O946" s="91"/>
      <c r="Q946" s="81"/>
    </row>
    <row r="947">
      <c r="B947" s="75"/>
      <c r="C947" s="38"/>
      <c r="L947" s="72"/>
      <c r="M947" s="39"/>
      <c r="N947" s="39"/>
      <c r="O947" s="91"/>
      <c r="Q947" s="81"/>
    </row>
    <row r="948">
      <c r="B948" s="75"/>
      <c r="C948" s="38"/>
      <c r="L948" s="72"/>
      <c r="M948" s="39"/>
      <c r="N948" s="39"/>
      <c r="O948" s="91"/>
      <c r="Q948" s="81"/>
    </row>
    <row r="949">
      <c r="B949" s="75"/>
      <c r="C949" s="38"/>
      <c r="L949" s="72"/>
      <c r="M949" s="39"/>
      <c r="N949" s="39"/>
      <c r="O949" s="91"/>
      <c r="Q949" s="81"/>
    </row>
    <row r="950">
      <c r="B950" s="75"/>
      <c r="C950" s="38"/>
      <c r="L950" s="72"/>
      <c r="M950" s="39"/>
      <c r="N950" s="39"/>
      <c r="O950" s="91"/>
      <c r="Q950" s="81"/>
    </row>
    <row r="951">
      <c r="B951" s="75"/>
      <c r="C951" s="38"/>
      <c r="L951" s="72"/>
      <c r="M951" s="39"/>
      <c r="N951" s="39"/>
      <c r="O951" s="91"/>
      <c r="Q951" s="81"/>
    </row>
    <row r="952">
      <c r="B952" s="75"/>
      <c r="C952" s="38"/>
      <c r="L952" s="72"/>
      <c r="M952" s="39"/>
      <c r="N952" s="39"/>
      <c r="O952" s="91"/>
      <c r="Q952" s="81"/>
    </row>
    <row r="953">
      <c r="B953" s="75"/>
      <c r="C953" s="38"/>
      <c r="L953" s="72"/>
      <c r="M953" s="39"/>
      <c r="N953" s="39"/>
      <c r="O953" s="91"/>
      <c r="Q953" s="81"/>
    </row>
    <row r="954">
      <c r="B954" s="75"/>
      <c r="C954" s="38"/>
      <c r="L954" s="72"/>
      <c r="M954" s="39"/>
      <c r="N954" s="39"/>
      <c r="O954" s="91"/>
      <c r="Q954" s="81"/>
    </row>
    <row r="955">
      <c r="B955" s="75"/>
      <c r="C955" s="38"/>
      <c r="L955" s="72"/>
      <c r="M955" s="39"/>
      <c r="N955" s="39"/>
      <c r="O955" s="91"/>
      <c r="Q955" s="81"/>
    </row>
    <row r="956">
      <c r="B956" s="75"/>
      <c r="C956" s="38"/>
      <c r="L956" s="72"/>
      <c r="M956" s="39"/>
      <c r="N956" s="39"/>
      <c r="O956" s="91"/>
      <c r="Q956" s="81"/>
    </row>
    <row r="957">
      <c r="B957" s="75"/>
      <c r="C957" s="38"/>
      <c r="L957" s="72"/>
      <c r="M957" s="39"/>
      <c r="N957" s="39"/>
      <c r="O957" s="91"/>
      <c r="Q957" s="81"/>
    </row>
    <row r="958">
      <c r="B958" s="75"/>
      <c r="C958" s="38"/>
      <c r="L958" s="72"/>
      <c r="M958" s="39"/>
      <c r="N958" s="39"/>
      <c r="O958" s="91"/>
      <c r="Q958" s="81"/>
    </row>
    <row r="959">
      <c r="B959" s="75"/>
      <c r="C959" s="38"/>
      <c r="L959" s="72"/>
      <c r="M959" s="39"/>
      <c r="N959" s="39"/>
      <c r="O959" s="91"/>
      <c r="Q959" s="81"/>
    </row>
    <row r="960">
      <c r="B960" s="75"/>
      <c r="C960" s="38"/>
      <c r="L960" s="72"/>
      <c r="M960" s="39"/>
      <c r="N960" s="39"/>
      <c r="O960" s="91"/>
      <c r="Q960" s="81"/>
    </row>
    <row r="961">
      <c r="B961" s="75"/>
      <c r="C961" s="38"/>
      <c r="L961" s="72"/>
      <c r="M961" s="39"/>
      <c r="N961" s="39"/>
      <c r="O961" s="91"/>
      <c r="Q961" s="81"/>
    </row>
    <row r="962">
      <c r="B962" s="75"/>
      <c r="C962" s="38"/>
      <c r="L962" s="72"/>
      <c r="M962" s="39"/>
      <c r="N962" s="39"/>
      <c r="O962" s="91"/>
      <c r="Q962" s="81"/>
    </row>
    <row r="963">
      <c r="B963" s="75"/>
      <c r="C963" s="38"/>
      <c r="L963" s="72"/>
      <c r="M963" s="39"/>
      <c r="N963" s="39"/>
      <c r="O963" s="91"/>
      <c r="Q963" s="81"/>
    </row>
    <row r="964">
      <c r="B964" s="75"/>
      <c r="C964" s="38"/>
      <c r="L964" s="72"/>
      <c r="M964" s="39"/>
      <c r="N964" s="39"/>
      <c r="O964" s="91"/>
      <c r="Q964" s="81"/>
    </row>
    <row r="965">
      <c r="B965" s="75"/>
      <c r="C965" s="38"/>
      <c r="L965" s="72"/>
      <c r="M965" s="39"/>
      <c r="N965" s="39"/>
      <c r="O965" s="91"/>
      <c r="Q965" s="81"/>
    </row>
    <row r="966">
      <c r="B966" s="75"/>
      <c r="C966" s="38"/>
      <c r="L966" s="72"/>
      <c r="M966" s="39"/>
      <c r="N966" s="39"/>
      <c r="O966" s="91"/>
      <c r="Q966" s="81"/>
    </row>
    <row r="967">
      <c r="B967" s="75"/>
      <c r="C967" s="38"/>
      <c r="L967" s="72"/>
      <c r="M967" s="39"/>
      <c r="N967" s="39"/>
      <c r="O967" s="91"/>
      <c r="Q967" s="81"/>
    </row>
    <row r="968">
      <c r="B968" s="75"/>
      <c r="C968" s="38"/>
      <c r="L968" s="72"/>
      <c r="M968" s="39"/>
      <c r="N968" s="39"/>
      <c r="O968" s="91"/>
      <c r="Q968" s="81"/>
    </row>
    <row r="969">
      <c r="B969" s="75"/>
      <c r="C969" s="38"/>
      <c r="L969" s="72"/>
      <c r="M969" s="39"/>
      <c r="N969" s="39"/>
      <c r="O969" s="91"/>
      <c r="Q969" s="81"/>
    </row>
    <row r="970">
      <c r="B970" s="75"/>
      <c r="C970" s="38"/>
      <c r="L970" s="72"/>
      <c r="M970" s="39"/>
      <c r="N970" s="39"/>
      <c r="O970" s="91"/>
      <c r="Q970" s="81"/>
    </row>
    <row r="971">
      <c r="B971" s="75"/>
      <c r="C971" s="38"/>
      <c r="L971" s="72"/>
      <c r="M971" s="39"/>
      <c r="N971" s="39"/>
      <c r="O971" s="91"/>
      <c r="Q971" s="81"/>
    </row>
    <row r="972">
      <c r="B972" s="75"/>
      <c r="C972" s="38"/>
      <c r="L972" s="72"/>
      <c r="M972" s="39"/>
      <c r="N972" s="39"/>
      <c r="O972" s="91"/>
      <c r="Q972" s="81"/>
    </row>
    <row r="973">
      <c r="B973" s="75"/>
      <c r="C973" s="38"/>
      <c r="L973" s="72"/>
      <c r="M973" s="39"/>
      <c r="N973" s="39"/>
      <c r="O973" s="91"/>
      <c r="Q973" s="81"/>
    </row>
    <row r="974">
      <c r="B974" s="75"/>
      <c r="C974" s="38"/>
      <c r="L974" s="72"/>
      <c r="M974" s="39"/>
      <c r="N974" s="39"/>
      <c r="O974" s="91"/>
      <c r="Q974" s="81"/>
    </row>
    <row r="975">
      <c r="B975" s="75"/>
      <c r="C975" s="38"/>
      <c r="L975" s="72"/>
      <c r="M975" s="39"/>
      <c r="N975" s="39"/>
      <c r="O975" s="91"/>
      <c r="Q975" s="81"/>
    </row>
    <row r="976">
      <c r="B976" s="75"/>
      <c r="C976" s="38"/>
      <c r="L976" s="72"/>
      <c r="M976" s="39"/>
      <c r="N976" s="39"/>
      <c r="O976" s="91"/>
      <c r="Q976" s="81"/>
    </row>
    <row r="977">
      <c r="B977" s="75"/>
      <c r="C977" s="38"/>
      <c r="L977" s="72"/>
      <c r="M977" s="39"/>
      <c r="N977" s="39"/>
      <c r="O977" s="91"/>
      <c r="Q977" s="81"/>
    </row>
    <row r="978">
      <c r="B978" s="75"/>
      <c r="C978" s="38"/>
      <c r="L978" s="72"/>
      <c r="M978" s="39"/>
      <c r="N978" s="39"/>
      <c r="O978" s="91"/>
      <c r="Q978" s="81"/>
    </row>
    <row r="979">
      <c r="B979" s="75"/>
      <c r="C979" s="38"/>
      <c r="L979" s="72"/>
      <c r="M979" s="39"/>
      <c r="N979" s="39"/>
      <c r="O979" s="91"/>
      <c r="Q979" s="81"/>
    </row>
    <row r="980">
      <c r="B980" s="75"/>
      <c r="C980" s="38"/>
      <c r="L980" s="72"/>
      <c r="M980" s="39"/>
      <c r="N980" s="39"/>
      <c r="O980" s="91"/>
      <c r="Q980" s="81"/>
    </row>
    <row r="981">
      <c r="B981" s="75"/>
      <c r="C981" s="38"/>
      <c r="L981" s="72"/>
      <c r="M981" s="39"/>
      <c r="N981" s="39"/>
      <c r="O981" s="91"/>
      <c r="Q981" s="81"/>
    </row>
    <row r="982">
      <c r="B982" s="75"/>
      <c r="C982" s="38"/>
      <c r="L982" s="72"/>
      <c r="M982" s="39"/>
      <c r="N982" s="39"/>
      <c r="O982" s="91"/>
      <c r="Q982" s="81"/>
    </row>
    <row r="983">
      <c r="B983" s="75"/>
      <c r="C983" s="38"/>
      <c r="L983" s="72"/>
      <c r="M983" s="39"/>
      <c r="N983" s="39"/>
      <c r="O983" s="91"/>
      <c r="Q983" s="81"/>
    </row>
    <row r="984">
      <c r="B984" s="75"/>
      <c r="C984" s="38"/>
      <c r="L984" s="72"/>
      <c r="M984" s="39"/>
      <c r="N984" s="39"/>
      <c r="O984" s="91"/>
      <c r="Q984" s="81"/>
    </row>
    <row r="985">
      <c r="B985" s="75"/>
      <c r="C985" s="38"/>
      <c r="L985" s="72"/>
      <c r="M985" s="39"/>
      <c r="N985" s="39"/>
      <c r="O985" s="91"/>
      <c r="Q985" s="81"/>
    </row>
    <row r="986">
      <c r="B986" s="75"/>
      <c r="C986" s="38"/>
      <c r="L986" s="72"/>
      <c r="M986" s="39"/>
      <c r="N986" s="39"/>
      <c r="O986" s="91"/>
      <c r="Q986" s="81"/>
    </row>
    <row r="987">
      <c r="B987" s="75"/>
      <c r="C987" s="38"/>
      <c r="L987" s="72"/>
      <c r="M987" s="39"/>
      <c r="N987" s="39"/>
      <c r="O987" s="91"/>
      <c r="Q987" s="81"/>
    </row>
    <row r="988">
      <c r="B988" s="75"/>
      <c r="C988" s="38"/>
      <c r="L988" s="72"/>
      <c r="M988" s="39"/>
      <c r="N988" s="39"/>
      <c r="O988" s="91"/>
      <c r="Q988" s="81"/>
    </row>
    <row r="989">
      <c r="B989" s="75"/>
      <c r="C989" s="38"/>
      <c r="L989" s="72"/>
      <c r="M989" s="39"/>
      <c r="N989" s="39"/>
      <c r="O989" s="91"/>
      <c r="Q989" s="81"/>
    </row>
    <row r="990">
      <c r="B990" s="75"/>
      <c r="C990" s="38"/>
      <c r="L990" s="72"/>
      <c r="M990" s="39"/>
      <c r="N990" s="39"/>
      <c r="O990" s="91"/>
      <c r="Q990" s="81"/>
    </row>
    <row r="991">
      <c r="B991" s="75"/>
      <c r="C991" s="38"/>
      <c r="L991" s="72"/>
      <c r="M991" s="39"/>
      <c r="N991" s="39"/>
      <c r="O991" s="91"/>
      <c r="Q991" s="81"/>
    </row>
    <row r="992">
      <c r="B992" s="75"/>
      <c r="C992" s="38"/>
      <c r="L992" s="72"/>
      <c r="M992" s="39"/>
      <c r="N992" s="39"/>
      <c r="O992" s="91"/>
      <c r="Q992" s="81"/>
    </row>
    <row r="993">
      <c r="B993" s="75"/>
      <c r="C993" s="38"/>
      <c r="L993" s="72"/>
      <c r="M993" s="39"/>
      <c r="N993" s="39"/>
      <c r="O993" s="91"/>
      <c r="Q993" s="81"/>
    </row>
    <row r="994">
      <c r="B994" s="75"/>
      <c r="C994" s="38"/>
      <c r="L994" s="72"/>
      <c r="M994" s="39"/>
      <c r="N994" s="39"/>
      <c r="O994" s="91"/>
      <c r="Q994" s="81"/>
    </row>
    <row r="995">
      <c r="B995" s="75"/>
      <c r="C995" s="38"/>
      <c r="L995" s="72"/>
      <c r="M995" s="39"/>
      <c r="N995" s="39"/>
      <c r="O995" s="91"/>
      <c r="Q995" s="81"/>
    </row>
    <row r="996">
      <c r="B996" s="75"/>
      <c r="C996" s="38"/>
      <c r="L996" s="72"/>
      <c r="M996" s="39"/>
      <c r="N996" s="39"/>
      <c r="O996" s="91"/>
      <c r="Q996" s="81"/>
    </row>
    <row r="997">
      <c r="B997" s="75"/>
      <c r="C997" s="38"/>
      <c r="L997" s="72"/>
      <c r="M997" s="39"/>
      <c r="N997" s="39"/>
      <c r="O997" s="91"/>
      <c r="Q997" s="81"/>
    </row>
    <row r="998">
      <c r="B998" s="75"/>
      <c r="C998" s="38"/>
      <c r="L998" s="72"/>
      <c r="M998" s="39"/>
      <c r="N998" s="39"/>
      <c r="O998" s="91"/>
      <c r="Q998" s="81"/>
    </row>
    <row r="999">
      <c r="B999" s="75"/>
      <c r="C999" s="38"/>
      <c r="L999" s="72"/>
      <c r="M999" s="39"/>
      <c r="N999" s="39"/>
      <c r="O999" s="91"/>
      <c r="Q999" s="81"/>
    </row>
    <row r="1000">
      <c r="L1000" s="72"/>
      <c r="M1000" s="39"/>
      <c r="N1000" s="39"/>
      <c r="O1000" s="91"/>
      <c r="Q1000" s="8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2" width="17.13"/>
    <col customWidth="1" min="3" max="3" width="34.13"/>
    <col customWidth="1" min="4" max="8" width="17.13"/>
    <col customWidth="1" min="9" max="9" width="19.5"/>
    <col customWidth="1" min="10" max="10" width="18.13"/>
    <col customWidth="1" min="11" max="11" width="8.63"/>
    <col customWidth="1" min="12" max="12" width="17.0"/>
    <col customWidth="1" min="13" max="14" width="8.63"/>
    <col customWidth="1" min="15" max="15" width="14.88"/>
    <col customWidth="1" min="16" max="26" width="8.63"/>
  </cols>
  <sheetData>
    <row r="1" ht="13.5" customHeight="1">
      <c r="A1" s="78" t="s">
        <v>38</v>
      </c>
      <c r="B1" s="58" t="s">
        <v>120</v>
      </c>
      <c r="C1" s="78" t="s">
        <v>121</v>
      </c>
      <c r="D1" s="78" t="s">
        <v>122</v>
      </c>
      <c r="E1" s="78" t="s">
        <v>123</v>
      </c>
      <c r="F1" s="78" t="s">
        <v>124</v>
      </c>
      <c r="G1" s="78" t="s">
        <v>125</v>
      </c>
      <c r="H1" s="78" t="s">
        <v>126</v>
      </c>
      <c r="I1" s="78" t="s">
        <v>127</v>
      </c>
      <c r="J1" s="78" t="s">
        <v>128</v>
      </c>
      <c r="K1" s="94"/>
    </row>
    <row r="2" ht="13.5" hidden="1" customHeight="1">
      <c r="A2" s="95" t="s">
        <v>53</v>
      </c>
      <c r="B2" s="95" t="s">
        <v>7</v>
      </c>
      <c r="C2" s="95" t="s">
        <v>7</v>
      </c>
      <c r="D2" s="96" t="s">
        <v>136</v>
      </c>
      <c r="E2" s="97">
        <v>41770.43</v>
      </c>
      <c r="F2" s="95">
        <v>0.0</v>
      </c>
      <c r="G2" s="95">
        <v>0.0</v>
      </c>
      <c r="H2" s="95">
        <v>1.9345820220866203E9</v>
      </c>
      <c r="I2" s="95">
        <v>0.0</v>
      </c>
      <c r="J2" s="95">
        <v>0.0</v>
      </c>
      <c r="K2" s="81"/>
    </row>
    <row r="3" ht="13.5" hidden="1" customHeight="1">
      <c r="A3" s="95" t="s">
        <v>53</v>
      </c>
      <c r="B3" s="95" t="s">
        <v>8</v>
      </c>
      <c r="C3" s="95" t="s">
        <v>137</v>
      </c>
      <c r="D3" s="96" t="s">
        <v>138</v>
      </c>
      <c r="E3" s="98">
        <v>27857.85</v>
      </c>
      <c r="F3" s="99">
        <v>0.0295</v>
      </c>
      <c r="G3" s="100">
        <v>0.0298</v>
      </c>
      <c r="H3" s="101">
        <v>1.2902260231456978E9</v>
      </c>
      <c r="I3" s="100">
        <v>3.8448735489741795E7</v>
      </c>
      <c r="J3" s="100">
        <v>3.806166768279809E7</v>
      </c>
      <c r="K3" s="81"/>
    </row>
    <row r="4" ht="13.5" hidden="1" customHeight="1">
      <c r="A4" s="95" t="s">
        <v>56</v>
      </c>
      <c r="B4" s="95" t="s">
        <v>16</v>
      </c>
      <c r="C4" s="95" t="s">
        <v>16</v>
      </c>
      <c r="D4" s="96" t="s">
        <v>139</v>
      </c>
      <c r="E4" s="98">
        <v>2.837327745E8</v>
      </c>
      <c r="F4" s="99">
        <v>0.0</v>
      </c>
      <c r="G4" s="99">
        <v>0.0415</v>
      </c>
      <c r="H4" s="101">
        <v>1.1112741220619512E9</v>
      </c>
      <c r="I4" s="100">
        <v>4.611787606557097E7</v>
      </c>
      <c r="J4" s="100">
        <v>0.0</v>
      </c>
      <c r="K4" s="81"/>
    </row>
    <row r="5" ht="13.5" hidden="1" customHeight="1">
      <c r="A5" s="95" t="s">
        <v>56</v>
      </c>
      <c r="B5" s="95" t="s">
        <v>17</v>
      </c>
      <c r="C5" s="95" t="s">
        <v>17</v>
      </c>
      <c r="D5" s="96" t="s">
        <v>139</v>
      </c>
      <c r="E5" s="98">
        <v>2.785874843E8</v>
      </c>
      <c r="F5" s="100">
        <v>0.0</v>
      </c>
      <c r="G5" s="100">
        <v>0.0</v>
      </c>
      <c r="H5" s="102">
        <v>1.0911219635394294E9</v>
      </c>
      <c r="I5" s="100">
        <v>0.0</v>
      </c>
      <c r="J5" s="100">
        <v>0.0</v>
      </c>
      <c r="K5" s="81"/>
    </row>
    <row r="6" ht="13.5" hidden="1" customHeight="1">
      <c r="A6" s="95" t="s">
        <v>54</v>
      </c>
      <c r="B6" s="95" t="s">
        <v>7</v>
      </c>
      <c r="C6" s="95" t="s">
        <v>140</v>
      </c>
      <c r="D6" s="96" t="s">
        <v>136</v>
      </c>
      <c r="E6" s="97">
        <v>270652.6053</v>
      </c>
      <c r="F6" s="103">
        <v>0.003</v>
      </c>
      <c r="G6" s="95">
        <v>0.0</v>
      </c>
      <c r="H6" s="104">
        <v>1.0338051341364635E9</v>
      </c>
      <c r="I6" s="95">
        <v>0.0</v>
      </c>
      <c r="J6" s="95">
        <v>3101415.4024093905</v>
      </c>
      <c r="K6" s="81"/>
    </row>
    <row r="7" ht="13.5" hidden="1" customHeight="1">
      <c r="A7" s="95" t="s">
        <v>55</v>
      </c>
      <c r="B7" s="95" t="s">
        <v>8</v>
      </c>
      <c r="C7" s="95" t="s">
        <v>137</v>
      </c>
      <c r="D7" s="96" t="s">
        <v>138</v>
      </c>
      <c r="E7" s="97">
        <v>9.4124367304E8</v>
      </c>
      <c r="F7" s="103">
        <v>0.08746432259407222</v>
      </c>
      <c r="G7" s="95">
        <v>0.0959</v>
      </c>
      <c r="H7" s="95">
        <v>9.4124367304E8</v>
      </c>
      <c r="I7" s="95">
        <v>9.0265268244536E7</v>
      </c>
      <c r="J7" s="95">
        <v>8.23252402584E7</v>
      </c>
      <c r="K7" s="81"/>
    </row>
    <row r="8" ht="13.5" hidden="1" customHeight="1">
      <c r="A8" s="95" t="s">
        <v>55</v>
      </c>
      <c r="B8" s="95" t="s">
        <v>12</v>
      </c>
      <c r="C8" s="95" t="s">
        <v>141</v>
      </c>
      <c r="D8" s="96" t="s">
        <v>136</v>
      </c>
      <c r="E8" s="98">
        <v>9.1087498374E8</v>
      </c>
      <c r="F8" s="100">
        <v>0.034</v>
      </c>
      <c r="G8" s="95">
        <v>0.0959</v>
      </c>
      <c r="H8" s="100">
        <v>9.1087498374E8</v>
      </c>
      <c r="I8" s="95">
        <v>8.7352910940666E7</v>
      </c>
      <c r="J8" s="100">
        <v>3.096974944716E7</v>
      </c>
      <c r="K8" s="81"/>
    </row>
    <row r="9" ht="13.5" hidden="1" customHeight="1">
      <c r="A9" s="95" t="s">
        <v>54</v>
      </c>
      <c r="B9" s="95" t="s">
        <v>15</v>
      </c>
      <c r="C9" s="95" t="s">
        <v>142</v>
      </c>
      <c r="D9" s="96" t="s">
        <v>143</v>
      </c>
      <c r="E9" s="98">
        <v>230209.5914</v>
      </c>
      <c r="F9" s="99">
        <v>0.0103222</v>
      </c>
      <c r="G9" s="100">
        <v>0.0384</v>
      </c>
      <c r="H9" s="101">
        <v>8.793259435022976E8</v>
      </c>
      <c r="I9" s="100">
        <v>3.3766116230488226E7</v>
      </c>
      <c r="J9" s="100">
        <v>9076578.254019417</v>
      </c>
      <c r="K9" s="81"/>
    </row>
    <row r="10" ht="13.5" hidden="1" customHeight="1">
      <c r="A10" s="95" t="s">
        <v>53</v>
      </c>
      <c r="B10" s="95" t="s">
        <v>132</v>
      </c>
      <c r="C10" s="95" t="s">
        <v>144</v>
      </c>
      <c r="D10" s="96" t="s">
        <v>139</v>
      </c>
      <c r="E10" s="98">
        <v>17691.51839</v>
      </c>
      <c r="F10" s="99">
        <v>0.0</v>
      </c>
      <c r="G10" s="100">
        <v>0.0298</v>
      </c>
      <c r="H10" s="101">
        <v>8.193761333246709E8</v>
      </c>
      <c r="I10" s="100">
        <v>2.4417408773075193E7</v>
      </c>
      <c r="J10" s="100">
        <v>0.0</v>
      </c>
      <c r="K10" s="81"/>
    </row>
    <row r="11" ht="13.5" hidden="1" customHeight="1">
      <c r="A11" s="95" t="s">
        <v>54</v>
      </c>
      <c r="B11" s="95" t="s">
        <v>15</v>
      </c>
      <c r="C11" s="95" t="s">
        <v>145</v>
      </c>
      <c r="D11" s="96" t="s">
        <v>143</v>
      </c>
      <c r="E11" s="98">
        <v>206274.0</v>
      </c>
      <c r="F11" s="100">
        <v>0.003</v>
      </c>
      <c r="G11" s="100">
        <v>0.0384</v>
      </c>
      <c r="H11" s="102">
        <v>7.87899750687768E8</v>
      </c>
      <c r="I11" s="100">
        <v>3.0255350426410288E7</v>
      </c>
      <c r="J11" s="100">
        <v>2363699.252063304</v>
      </c>
      <c r="K11" s="81"/>
    </row>
    <row r="12" ht="13.5" hidden="1" customHeight="1">
      <c r="A12" s="95" t="s">
        <v>146</v>
      </c>
      <c r="B12" s="95" t="s">
        <v>7</v>
      </c>
      <c r="C12" s="95" t="s">
        <v>147</v>
      </c>
      <c r="D12" s="96" t="s">
        <v>138</v>
      </c>
      <c r="E12" s="98">
        <v>16223.42707</v>
      </c>
      <c r="F12" s="100">
        <v>0.0</v>
      </c>
      <c r="G12" s="100">
        <v>0.0</v>
      </c>
      <c r="H12" s="101">
        <v>7.512230858688232E8</v>
      </c>
      <c r="I12" s="100">
        <v>0.0</v>
      </c>
      <c r="J12" s="100">
        <v>0.0</v>
      </c>
      <c r="K12" s="81"/>
    </row>
    <row r="13" ht="13.5" hidden="1" customHeight="1">
      <c r="A13" s="95" t="s">
        <v>54</v>
      </c>
      <c r="B13" s="95" t="s">
        <v>9</v>
      </c>
      <c r="C13" s="95" t="s">
        <v>148</v>
      </c>
      <c r="D13" s="96" t="s">
        <v>143</v>
      </c>
      <c r="E13" s="97">
        <v>187655.9834</v>
      </c>
      <c r="F13" s="95">
        <v>0.0673</v>
      </c>
      <c r="G13" s="95">
        <v>0.0384</v>
      </c>
      <c r="H13" s="95">
        <v>7.167849682263782E8</v>
      </c>
      <c r="I13" s="95">
        <v>2.752454277989292E7</v>
      </c>
      <c r="J13" s="95">
        <v>4.823962836163525E7</v>
      </c>
      <c r="K13" s="81"/>
    </row>
    <row r="14" ht="13.5" hidden="1" customHeight="1">
      <c r="A14" s="95" t="s">
        <v>57</v>
      </c>
      <c r="B14" s="95" t="s">
        <v>11</v>
      </c>
      <c r="C14" s="95" t="s">
        <v>149</v>
      </c>
      <c r="D14" s="96" t="s">
        <v>136</v>
      </c>
      <c r="E14" s="98">
        <v>2.860536222E8</v>
      </c>
      <c r="F14" s="100">
        <v>0.135</v>
      </c>
      <c r="G14" s="100">
        <v>0.0818</v>
      </c>
      <c r="H14" s="101">
        <v>6.00028250217927E8</v>
      </c>
      <c r="I14" s="100">
        <v>4.9082310867826425E7</v>
      </c>
      <c r="J14" s="100">
        <v>8.100381377942015E7</v>
      </c>
      <c r="K14" s="81"/>
    </row>
    <row r="15" ht="13.5" hidden="1" customHeight="1">
      <c r="A15" s="95" t="s">
        <v>58</v>
      </c>
      <c r="B15" s="95" t="s">
        <v>150</v>
      </c>
      <c r="C15" s="95" t="s">
        <v>151</v>
      </c>
      <c r="D15" s="96" t="s">
        <v>136</v>
      </c>
      <c r="E15" s="98">
        <v>1.604026691E8</v>
      </c>
      <c r="F15" s="100">
        <v>0.03</v>
      </c>
      <c r="G15" s="100" t="s">
        <v>134</v>
      </c>
      <c r="H15" s="101">
        <v>5.3339015420758986E8</v>
      </c>
      <c r="I15" s="100" t="s">
        <v>134</v>
      </c>
      <c r="J15" s="100">
        <v>1.6001704626227695E7</v>
      </c>
      <c r="K15" s="81"/>
    </row>
    <row r="16" ht="13.5" hidden="1" customHeight="1">
      <c r="A16" s="95" t="s">
        <v>54</v>
      </c>
      <c r="B16" s="95" t="s">
        <v>8</v>
      </c>
      <c r="C16" s="95" t="s">
        <v>137</v>
      </c>
      <c r="D16" s="96" t="s">
        <v>138</v>
      </c>
      <c r="E16" s="98">
        <v>134921.79</v>
      </c>
      <c r="F16" s="100">
        <v>0.0354</v>
      </c>
      <c r="G16" s="100">
        <v>0.0384</v>
      </c>
      <c r="H16" s="101">
        <v>5.1535745999664235E8</v>
      </c>
      <c r="I16" s="100">
        <v>1.9789726463871066E7</v>
      </c>
      <c r="J16" s="100">
        <v>1.824365408388114E7</v>
      </c>
      <c r="K16" s="81"/>
    </row>
    <row r="17" ht="13.5" hidden="1" customHeight="1">
      <c r="A17" s="95" t="s">
        <v>53</v>
      </c>
      <c r="B17" s="95" t="s">
        <v>15</v>
      </c>
      <c r="C17" s="95" t="s">
        <v>142</v>
      </c>
      <c r="D17" s="96" t="s">
        <v>143</v>
      </c>
      <c r="E17" s="98">
        <v>11004.104566</v>
      </c>
      <c r="F17" s="99">
        <v>0.00876</v>
      </c>
      <c r="G17" s="100">
        <v>0.0298</v>
      </c>
      <c r="H17" s="101">
        <v>5.0965103453674984E8</v>
      </c>
      <c r="I17" s="100">
        <v>1.5187600829195146E7</v>
      </c>
      <c r="J17" s="100">
        <v>4464543.062541929</v>
      </c>
      <c r="K17" s="81"/>
    </row>
    <row r="18" ht="13.5" hidden="1" customHeight="1">
      <c r="A18" s="95" t="s">
        <v>54</v>
      </c>
      <c r="B18" s="95" t="s">
        <v>10</v>
      </c>
      <c r="C18" s="95" t="s">
        <v>152</v>
      </c>
      <c r="D18" s="96" t="s">
        <v>138</v>
      </c>
      <c r="E18" s="98">
        <v>119010.8956</v>
      </c>
      <c r="F18" s="99">
        <v>0.131</v>
      </c>
      <c r="G18" s="95">
        <v>0.0384</v>
      </c>
      <c r="H18" s="101">
        <v>4.545830059647265E8</v>
      </c>
      <c r="I18" s="95">
        <v>1.7455987429045495E7</v>
      </c>
      <c r="J18" s="100">
        <v>5.955037378137918E7</v>
      </c>
      <c r="K18" s="81"/>
    </row>
    <row r="19" ht="13.5" hidden="1" customHeight="1">
      <c r="A19" s="95" t="s">
        <v>55</v>
      </c>
      <c r="B19" s="95" t="s">
        <v>22</v>
      </c>
      <c r="C19" s="95" t="s">
        <v>22</v>
      </c>
      <c r="D19" s="96" t="s">
        <v>136</v>
      </c>
      <c r="E19" s="97">
        <v>4.5326E8</v>
      </c>
      <c r="F19" s="95">
        <v>0.3</v>
      </c>
      <c r="G19" s="95">
        <v>0.0959</v>
      </c>
      <c r="H19" s="104">
        <v>4.5326E8</v>
      </c>
      <c r="I19" s="95">
        <v>4.3467634E7</v>
      </c>
      <c r="J19" s="95">
        <v>1.35978E8</v>
      </c>
      <c r="K19" s="81"/>
    </row>
    <row r="20" ht="13.5" hidden="1" customHeight="1">
      <c r="A20" s="95" t="s">
        <v>53</v>
      </c>
      <c r="B20" s="95" t="s">
        <v>18</v>
      </c>
      <c r="C20" s="95" t="s">
        <v>153</v>
      </c>
      <c r="D20" s="96" t="s">
        <v>136</v>
      </c>
      <c r="E20" s="98">
        <v>8407.179052</v>
      </c>
      <c r="F20" s="100">
        <v>0.0</v>
      </c>
      <c r="G20" s="100">
        <v>0.0298</v>
      </c>
      <c r="H20" s="101">
        <v>3.8937538949114084E8</v>
      </c>
      <c r="I20" s="100">
        <v>1.1603386606835997E7</v>
      </c>
      <c r="J20" s="100">
        <v>0.0</v>
      </c>
      <c r="K20" s="81"/>
    </row>
    <row r="21" ht="13.5" hidden="1" customHeight="1">
      <c r="A21" s="95" t="s">
        <v>59</v>
      </c>
      <c r="B21" s="95" t="s">
        <v>150</v>
      </c>
      <c r="C21" s="95" t="s">
        <v>151</v>
      </c>
      <c r="D21" s="96" t="s">
        <v>136</v>
      </c>
      <c r="E21" s="97">
        <v>7120059.184</v>
      </c>
      <c r="F21" s="95">
        <v>0.025</v>
      </c>
      <c r="G21" s="95" t="s">
        <v>134</v>
      </c>
      <c r="H21" s="104">
        <v>2.813748867121854E8</v>
      </c>
      <c r="I21" s="95" t="s">
        <v>134</v>
      </c>
      <c r="J21" s="95">
        <v>7034372.167804635</v>
      </c>
      <c r="K21" s="81"/>
    </row>
    <row r="22" ht="13.5" hidden="1" customHeight="1">
      <c r="A22" s="95" t="s">
        <v>54</v>
      </c>
      <c r="B22" s="95" t="s">
        <v>9</v>
      </c>
      <c r="C22" s="95" t="s">
        <v>154</v>
      </c>
      <c r="D22" s="96" t="s">
        <v>143</v>
      </c>
      <c r="E22" s="98">
        <v>70233.32577</v>
      </c>
      <c r="F22" s="100">
        <v>0.0091</v>
      </c>
      <c r="G22" s="95">
        <v>0.0384</v>
      </c>
      <c r="H22" s="101">
        <v>2.6826851597465405E8</v>
      </c>
      <c r="I22" s="95">
        <v>1.0301511013426714E7</v>
      </c>
      <c r="J22" s="100">
        <v>2441243.495369352</v>
      </c>
      <c r="K22" s="81"/>
    </row>
    <row r="23" ht="13.5" hidden="1" customHeight="1">
      <c r="A23" s="95" t="s">
        <v>54</v>
      </c>
      <c r="B23" s="95" t="s">
        <v>7</v>
      </c>
      <c r="C23" s="95" t="s">
        <v>7</v>
      </c>
      <c r="D23" s="96" t="s">
        <v>136</v>
      </c>
      <c r="E23" s="98">
        <v>61569.49</v>
      </c>
      <c r="F23" s="100">
        <v>0.0</v>
      </c>
      <c r="G23" s="100">
        <v>0.0</v>
      </c>
      <c r="H23" s="101">
        <v>2.3517547447071868E8</v>
      </c>
      <c r="I23" s="100">
        <v>0.0</v>
      </c>
      <c r="J23" s="100">
        <v>0.0</v>
      </c>
      <c r="K23" s="81"/>
    </row>
    <row r="24" ht="13.5" hidden="1" customHeight="1">
      <c r="A24" s="95" t="s">
        <v>54</v>
      </c>
      <c r="B24" s="95" t="s">
        <v>132</v>
      </c>
      <c r="C24" s="95" t="s">
        <v>144</v>
      </c>
      <c r="D24" s="96" t="s">
        <v>139</v>
      </c>
      <c r="E24" s="97">
        <v>57379.52715</v>
      </c>
      <c r="F24" s="95">
        <v>0.0</v>
      </c>
      <c r="G24" s="95">
        <v>0.0384</v>
      </c>
      <c r="H24" s="104">
        <v>2.191711758925847E8</v>
      </c>
      <c r="I24" s="95">
        <v>8416173.154275252</v>
      </c>
      <c r="J24" s="95">
        <v>0.0</v>
      </c>
      <c r="K24" s="81"/>
    </row>
    <row r="25" ht="13.5" hidden="1" customHeight="1">
      <c r="A25" s="95" t="s">
        <v>57</v>
      </c>
      <c r="B25" s="95" t="s">
        <v>134</v>
      </c>
      <c r="C25" s="95" t="s">
        <v>155</v>
      </c>
      <c r="D25" s="95" t="s">
        <v>156</v>
      </c>
      <c r="E25" s="98">
        <v>1.043464542E8</v>
      </c>
      <c r="F25" s="100" t="s">
        <v>134</v>
      </c>
      <c r="G25" s="100">
        <v>0.0818</v>
      </c>
      <c r="H25" s="101">
        <v>2.1887791473689318E8</v>
      </c>
      <c r="I25" s="100">
        <v>1.7904213425477862E7</v>
      </c>
      <c r="J25" s="100" t="s">
        <v>134</v>
      </c>
      <c r="K25" s="81"/>
    </row>
    <row r="26" ht="13.5" hidden="1" customHeight="1">
      <c r="A26" s="95" t="s">
        <v>60</v>
      </c>
      <c r="B26" s="95" t="s">
        <v>11</v>
      </c>
      <c r="C26" s="95" t="s">
        <v>149</v>
      </c>
      <c r="D26" s="96" t="s">
        <v>136</v>
      </c>
      <c r="E26" s="97">
        <v>1.72989656E8</v>
      </c>
      <c r="F26" s="103">
        <v>0.045</v>
      </c>
      <c r="G26" s="95">
        <v>0.0205</v>
      </c>
      <c r="H26" s="104">
        <v>2.1189970848562583E8</v>
      </c>
      <c r="I26" s="95">
        <v>4343944.023955329</v>
      </c>
      <c r="J26" s="95">
        <v>9535486.881853161</v>
      </c>
      <c r="K26" s="81"/>
    </row>
    <row r="27" ht="13.5" customHeight="1">
      <c r="A27" s="95" t="s">
        <v>55</v>
      </c>
      <c r="B27" s="95" t="s">
        <v>132</v>
      </c>
      <c r="C27" s="95" t="s">
        <v>157</v>
      </c>
      <c r="D27" s="96" t="s">
        <v>139</v>
      </c>
      <c r="E27" s="98">
        <v>2.108746895E8</v>
      </c>
      <c r="F27" s="100">
        <v>0.0</v>
      </c>
      <c r="G27" s="100">
        <v>0.0959</v>
      </c>
      <c r="H27" s="101">
        <v>2.108746895E8</v>
      </c>
      <c r="I27" s="100">
        <v>2.022288272305E7</v>
      </c>
      <c r="J27" s="100">
        <v>0.0</v>
      </c>
      <c r="K27" s="81"/>
    </row>
    <row r="28" ht="13.5" hidden="1" customHeight="1">
      <c r="A28" s="95" t="s">
        <v>53</v>
      </c>
      <c r="B28" s="95" t="s">
        <v>132</v>
      </c>
      <c r="C28" s="95" t="s">
        <v>158</v>
      </c>
      <c r="D28" s="96" t="s">
        <v>139</v>
      </c>
      <c r="E28" s="98">
        <v>4252.37243</v>
      </c>
      <c r="F28" s="99">
        <v>0.0</v>
      </c>
      <c r="G28" s="100">
        <v>0.0298</v>
      </c>
      <c r="H28" s="101">
        <v>1.9694705690831518E8</v>
      </c>
      <c r="I28" s="100">
        <v>5869022.295867792</v>
      </c>
      <c r="J28" s="100">
        <v>0.0</v>
      </c>
      <c r="K28" s="81"/>
    </row>
    <row r="29" ht="13.5" hidden="1" customHeight="1">
      <c r="A29" s="95" t="s">
        <v>59</v>
      </c>
      <c r="B29" s="95" t="s">
        <v>10</v>
      </c>
      <c r="C29" s="95" t="s">
        <v>159</v>
      </c>
      <c r="D29" s="96" t="s">
        <v>138</v>
      </c>
      <c r="E29" s="97">
        <v>4640586.36</v>
      </c>
      <c r="F29" s="103">
        <v>0.04294812889</v>
      </c>
      <c r="G29" s="95" t="s">
        <v>134</v>
      </c>
      <c r="H29" s="95">
        <v>1.833895516286361E8</v>
      </c>
      <c r="I29" s="95" t="s">
        <v>134</v>
      </c>
      <c r="J29" s="95">
        <v>7876238.100425973</v>
      </c>
      <c r="K29" s="81"/>
    </row>
    <row r="30" ht="13.5" hidden="1" customHeight="1">
      <c r="A30" s="95" t="s">
        <v>63</v>
      </c>
      <c r="B30" s="95" t="s">
        <v>11</v>
      </c>
      <c r="C30" s="95" t="s">
        <v>149</v>
      </c>
      <c r="D30" s="96" t="s">
        <v>136</v>
      </c>
      <c r="E30" s="97">
        <v>2283671.19</v>
      </c>
      <c r="F30" s="95">
        <v>0.12</v>
      </c>
      <c r="G30" s="95">
        <v>0.0488</v>
      </c>
      <c r="H30" s="95">
        <v>1.7249687572314247E8</v>
      </c>
      <c r="I30" s="95">
        <v>8417847.535289353</v>
      </c>
      <c r="J30" s="95">
        <v>2.0699625086777095E7</v>
      </c>
      <c r="K30" s="81"/>
    </row>
    <row r="31" ht="13.5" hidden="1" customHeight="1">
      <c r="A31" s="95" t="s">
        <v>146</v>
      </c>
      <c r="B31" s="95" t="s">
        <v>9</v>
      </c>
      <c r="C31" s="95" t="s">
        <v>160</v>
      </c>
      <c r="D31" s="96" t="s">
        <v>143</v>
      </c>
      <c r="E31" s="98">
        <v>3661.125859</v>
      </c>
      <c r="F31" s="100">
        <v>0.0074</v>
      </c>
      <c r="G31" s="100">
        <v>0.0298</v>
      </c>
      <c r="H31" s="101">
        <v>1.6952782255470306E8</v>
      </c>
      <c r="I31" s="100">
        <v>5051929.112130151</v>
      </c>
      <c r="J31" s="100">
        <v>1254505.8869048026</v>
      </c>
      <c r="K31" s="81"/>
    </row>
    <row r="32" ht="13.5" hidden="1" customHeight="1">
      <c r="A32" s="95" t="s">
        <v>62</v>
      </c>
      <c r="B32" s="95" t="s">
        <v>8</v>
      </c>
      <c r="C32" s="95" t="s">
        <v>137</v>
      </c>
      <c r="D32" s="96" t="s">
        <v>138</v>
      </c>
      <c r="E32" s="97">
        <v>1.926099252E8</v>
      </c>
      <c r="F32" s="95">
        <v>0.0462</v>
      </c>
      <c r="G32" s="95">
        <v>0.0127</v>
      </c>
      <c r="H32" s="95">
        <v>1.6690294056091288E8</v>
      </c>
      <c r="I32" s="95">
        <v>2119667.345123593</v>
      </c>
      <c r="J32" s="95">
        <v>7710915.853914174</v>
      </c>
      <c r="K32" s="81"/>
    </row>
    <row r="33" ht="13.5" hidden="1" customHeight="1">
      <c r="A33" s="95" t="s">
        <v>54</v>
      </c>
      <c r="B33" s="95" t="s">
        <v>13</v>
      </c>
      <c r="C33" s="95" t="s">
        <v>161</v>
      </c>
      <c r="D33" s="96" t="s">
        <v>138</v>
      </c>
      <c r="E33" s="98">
        <v>42391.18634</v>
      </c>
      <c r="F33" s="99">
        <v>0.05555748992</v>
      </c>
      <c r="G33" s="100">
        <v>0.0384</v>
      </c>
      <c r="H33" s="101">
        <v>1.6192057723535064E8</v>
      </c>
      <c r="I33" s="100">
        <v>6217750.165837464</v>
      </c>
      <c r="J33" s="100">
        <v>8995900.837593574</v>
      </c>
      <c r="K33" s="81"/>
    </row>
    <row r="34" ht="13.5" hidden="1" customHeight="1">
      <c r="A34" s="95" t="s">
        <v>54</v>
      </c>
      <c r="B34" s="95" t="s">
        <v>11</v>
      </c>
      <c r="C34" s="95" t="s">
        <v>149</v>
      </c>
      <c r="D34" s="96" t="s">
        <v>136</v>
      </c>
      <c r="E34" s="97">
        <v>42335.06444</v>
      </c>
      <c r="F34" s="103">
        <v>0.047</v>
      </c>
      <c r="G34" s="95">
        <v>0.0384</v>
      </c>
      <c r="H34" s="104">
        <v>1.617062097871113E8</v>
      </c>
      <c r="I34" s="95">
        <v>6209518.455825074</v>
      </c>
      <c r="J34" s="95">
        <v>7600191.859994232</v>
      </c>
      <c r="K34" s="81"/>
    </row>
    <row r="35" ht="13.5" hidden="1" customHeight="1">
      <c r="A35" s="95" t="s">
        <v>53</v>
      </c>
      <c r="B35" s="95" t="s">
        <v>10</v>
      </c>
      <c r="C35" s="95" t="s">
        <v>159</v>
      </c>
      <c r="D35" s="96" t="s">
        <v>138</v>
      </c>
      <c r="E35" s="98">
        <v>3319.884312</v>
      </c>
      <c r="F35" s="100">
        <v>0.04294812889</v>
      </c>
      <c r="G35" s="100">
        <v>0.0959</v>
      </c>
      <c r="H35" s="101">
        <v>1.5375921448265216E8</v>
      </c>
      <c r="I35" s="100">
        <v>1.4745508668886341E7</v>
      </c>
      <c r="J35" s="100">
        <v>6603670.561626099</v>
      </c>
      <c r="K35" s="81"/>
    </row>
    <row r="36" ht="13.5" hidden="1" customHeight="1">
      <c r="A36" s="95" t="s">
        <v>56</v>
      </c>
      <c r="B36" s="95" t="s">
        <v>10</v>
      </c>
      <c r="C36" s="95" t="s">
        <v>159</v>
      </c>
      <c r="D36" s="96" t="s">
        <v>138</v>
      </c>
      <c r="E36" s="98">
        <v>3.408784164E7</v>
      </c>
      <c r="F36" s="100">
        <v>0.04294812889</v>
      </c>
      <c r="G36" s="95">
        <v>0.0415</v>
      </c>
      <c r="H36" s="101">
        <v>1.3350920195325488E8</v>
      </c>
      <c r="I36" s="95">
        <v>5540631.881060078</v>
      </c>
      <c r="J36" s="100">
        <v>5733970.41348943</v>
      </c>
      <c r="K36" s="81"/>
    </row>
    <row r="37" ht="13.5" hidden="1" customHeight="1">
      <c r="A37" s="95" t="s">
        <v>54</v>
      </c>
      <c r="B37" s="95" t="s">
        <v>132</v>
      </c>
      <c r="C37" s="95" t="s">
        <v>158</v>
      </c>
      <c r="D37" s="96" t="s">
        <v>139</v>
      </c>
      <c r="E37" s="97">
        <v>34445.88763</v>
      </c>
      <c r="F37" s="95">
        <v>0.0</v>
      </c>
      <c r="G37" s="95">
        <v>0.0384</v>
      </c>
      <c r="H37" s="104">
        <v>1.3157211415833247E8</v>
      </c>
      <c r="I37" s="95">
        <v>5052369.183679966</v>
      </c>
      <c r="J37" s="95">
        <v>0.0</v>
      </c>
      <c r="K37" s="81"/>
    </row>
    <row r="38" ht="13.5" hidden="1" customHeight="1">
      <c r="A38" s="95" t="s">
        <v>55</v>
      </c>
      <c r="B38" s="95" t="s">
        <v>162</v>
      </c>
      <c r="C38" s="95" t="s">
        <v>163</v>
      </c>
      <c r="D38" s="96" t="s">
        <v>136</v>
      </c>
      <c r="E38" s="97">
        <v>1.264947577E8</v>
      </c>
      <c r="F38" s="95">
        <v>0.0</v>
      </c>
      <c r="G38" s="95">
        <v>0.0959</v>
      </c>
      <c r="H38" s="104">
        <v>1.264947577E8</v>
      </c>
      <c r="I38" s="95">
        <v>1.213084726343E7</v>
      </c>
      <c r="J38" s="95">
        <v>0.0</v>
      </c>
      <c r="K38" s="81"/>
    </row>
    <row r="39" ht="13.5" hidden="1" customHeight="1">
      <c r="A39" s="95" t="s">
        <v>61</v>
      </c>
      <c r="B39" s="95" t="s">
        <v>7</v>
      </c>
      <c r="C39" s="95" t="s">
        <v>147</v>
      </c>
      <c r="D39" s="96" t="s">
        <v>138</v>
      </c>
      <c r="E39" s="98">
        <v>6649080.984</v>
      </c>
      <c r="F39" s="100">
        <v>0.0</v>
      </c>
      <c r="G39" s="100">
        <v>0.0</v>
      </c>
      <c r="H39" s="102">
        <v>1.2309501419491112E8</v>
      </c>
      <c r="I39" s="100">
        <v>0.0</v>
      </c>
      <c r="J39" s="100">
        <v>0.0</v>
      </c>
      <c r="K39" s="81"/>
    </row>
    <row r="40" ht="13.5" hidden="1" customHeight="1">
      <c r="A40" s="95" t="s">
        <v>59</v>
      </c>
      <c r="B40" s="95" t="s">
        <v>132</v>
      </c>
      <c r="C40" s="95" t="s">
        <v>144</v>
      </c>
      <c r="D40" s="96" t="s">
        <v>139</v>
      </c>
      <c r="E40" s="97">
        <v>2459108.075</v>
      </c>
      <c r="F40" s="95">
        <v>0.0</v>
      </c>
      <c r="G40" s="95" t="s">
        <v>134</v>
      </c>
      <c r="H40" s="95">
        <v>9.718054838238339E7</v>
      </c>
      <c r="I40" s="95" t="s">
        <v>134</v>
      </c>
      <c r="J40" s="95">
        <v>0.0</v>
      </c>
      <c r="K40" s="81"/>
    </row>
    <row r="41" ht="13.5" hidden="1" customHeight="1">
      <c r="A41" s="95" t="s">
        <v>54</v>
      </c>
      <c r="B41" s="95" t="s">
        <v>11</v>
      </c>
      <c r="C41" s="95" t="s">
        <v>164</v>
      </c>
      <c r="D41" s="96" t="s">
        <v>136</v>
      </c>
      <c r="E41" s="98">
        <v>25000.0</v>
      </c>
      <c r="F41" s="95">
        <v>0.04</v>
      </c>
      <c r="G41" s="100">
        <v>0.0384</v>
      </c>
      <c r="H41" s="101">
        <v>9.549188830000001E7</v>
      </c>
      <c r="I41" s="100">
        <v>3666888.51072</v>
      </c>
      <c r="J41" s="95">
        <v>3819675.5320000006</v>
      </c>
      <c r="K41" s="81"/>
    </row>
    <row r="42" ht="13.5" hidden="1" customHeight="1">
      <c r="A42" s="95" t="s">
        <v>57</v>
      </c>
      <c r="B42" s="95" t="s">
        <v>11</v>
      </c>
      <c r="C42" s="95" t="s">
        <v>164</v>
      </c>
      <c r="D42" s="96" t="s">
        <v>136</v>
      </c>
      <c r="E42" s="98">
        <v>4.18151986E7</v>
      </c>
      <c r="F42" s="100">
        <v>0.1</v>
      </c>
      <c r="G42" s="100">
        <v>0.0818</v>
      </c>
      <c r="H42" s="101">
        <v>8.771187812797816E7</v>
      </c>
      <c r="I42" s="100">
        <v>7174831.630868614</v>
      </c>
      <c r="J42" s="100">
        <v>8771187.812797816</v>
      </c>
      <c r="K42" s="81"/>
    </row>
    <row r="43" ht="13.5" hidden="1" customHeight="1">
      <c r="A43" s="95" t="s">
        <v>146</v>
      </c>
      <c r="B43" s="95" t="s">
        <v>9</v>
      </c>
      <c r="C43" s="95" t="s">
        <v>165</v>
      </c>
      <c r="D43" s="96" t="s">
        <v>143</v>
      </c>
      <c r="E43" s="97">
        <v>1868.388924</v>
      </c>
      <c r="F43" s="95">
        <v>0.0483</v>
      </c>
      <c r="G43" s="95">
        <v>0.0298</v>
      </c>
      <c r="H43" s="105">
        <v>8.651543764670248E7</v>
      </c>
      <c r="I43" s="95">
        <v>2578160.041871734</v>
      </c>
      <c r="J43" s="95">
        <v>4178695.63833573</v>
      </c>
      <c r="K43" s="81"/>
    </row>
    <row r="44" ht="13.5" hidden="1" customHeight="1">
      <c r="A44" s="95" t="s">
        <v>56</v>
      </c>
      <c r="B44" s="95" t="s">
        <v>132</v>
      </c>
      <c r="C44" s="95" t="s">
        <v>166</v>
      </c>
      <c r="D44" s="96" t="s">
        <v>139</v>
      </c>
      <c r="E44" s="98">
        <v>2.050911728E7</v>
      </c>
      <c r="F44" s="100">
        <v>0.0</v>
      </c>
      <c r="G44" s="100">
        <v>0.0415</v>
      </c>
      <c r="H44" s="101">
        <v>8.032646683049157E7</v>
      </c>
      <c r="I44" s="100">
        <v>3333548.3734654007</v>
      </c>
      <c r="J44" s="100">
        <v>0.0</v>
      </c>
      <c r="K44" s="81"/>
    </row>
    <row r="45" ht="13.5" hidden="1" customHeight="1">
      <c r="A45" s="95" t="s">
        <v>60</v>
      </c>
      <c r="B45" s="95" t="s">
        <v>8</v>
      </c>
      <c r="C45" s="95" t="s">
        <v>137</v>
      </c>
      <c r="D45" s="96" t="s">
        <v>138</v>
      </c>
      <c r="E45" s="98">
        <v>6.3361559E7</v>
      </c>
      <c r="F45" s="100">
        <v>0.0747</v>
      </c>
      <c r="G45" s="100">
        <v>0.0205</v>
      </c>
      <c r="H45" s="101">
        <v>7.761328735918628E7</v>
      </c>
      <c r="I45" s="100">
        <v>1591072.3908633187</v>
      </c>
      <c r="J45" s="100">
        <v>5797712.565731215</v>
      </c>
      <c r="K45" s="81"/>
    </row>
    <row r="46" ht="13.5" hidden="1" customHeight="1">
      <c r="A46" s="95" t="s">
        <v>55</v>
      </c>
      <c r="B46" s="95" t="s">
        <v>13</v>
      </c>
      <c r="C46" s="95" t="s">
        <v>161</v>
      </c>
      <c r="D46" s="96" t="s">
        <v>138</v>
      </c>
      <c r="E46" s="98">
        <v>7.493428363E7</v>
      </c>
      <c r="F46" s="99">
        <v>0.13158860561183902</v>
      </c>
      <c r="G46" s="100">
        <v>0.0959</v>
      </c>
      <c r="H46" s="100">
        <v>7.493428363E7</v>
      </c>
      <c r="I46" s="100">
        <v>7186197.800116999</v>
      </c>
      <c r="J46" s="100">
        <v>9860497.895393753</v>
      </c>
      <c r="K46" s="81"/>
    </row>
    <row r="47" ht="13.5" hidden="1" customHeight="1">
      <c r="A47" s="95" t="s">
        <v>54</v>
      </c>
      <c r="B47" s="95" t="s">
        <v>14</v>
      </c>
      <c r="C47" s="95" t="s">
        <v>167</v>
      </c>
      <c r="D47" s="96" t="s">
        <v>139</v>
      </c>
      <c r="E47" s="98">
        <v>19151.647</v>
      </c>
      <c r="F47" s="100">
        <v>0.0</v>
      </c>
      <c r="G47" s="95">
        <v>0.0384</v>
      </c>
      <c r="H47" s="100">
        <v>7.315307744340122E7</v>
      </c>
      <c r="I47" s="95">
        <v>2809078.1738266065</v>
      </c>
      <c r="J47" s="100">
        <v>0.0</v>
      </c>
      <c r="K47" s="81"/>
    </row>
    <row r="48" ht="13.5" hidden="1" customHeight="1">
      <c r="A48" s="95" t="s">
        <v>55</v>
      </c>
      <c r="B48" s="95" t="s">
        <v>10</v>
      </c>
      <c r="C48" s="95" t="s">
        <v>159</v>
      </c>
      <c r="D48" s="96" t="s">
        <v>138</v>
      </c>
      <c r="E48" s="97">
        <v>7.133593624E7</v>
      </c>
      <c r="F48" s="95">
        <v>0.04294812889</v>
      </c>
      <c r="G48" s="95">
        <v>0.0959</v>
      </c>
      <c r="H48" s="104">
        <v>7.133593624E7</v>
      </c>
      <c r="I48" s="95">
        <v>6841116.285416</v>
      </c>
      <c r="J48" s="95">
        <v>3063744.9841243415</v>
      </c>
      <c r="K48" s="81"/>
    </row>
    <row r="49" ht="13.5" hidden="1" customHeight="1">
      <c r="A49" s="95" t="s">
        <v>54</v>
      </c>
      <c r="B49" s="95" t="s">
        <v>9</v>
      </c>
      <c r="C49" s="95" t="s">
        <v>168</v>
      </c>
      <c r="D49" s="96" t="s">
        <v>136</v>
      </c>
      <c r="E49" s="98">
        <v>18414.28343</v>
      </c>
      <c r="F49" s="99">
        <v>0.0487</v>
      </c>
      <c r="G49" s="95">
        <v>0.0384</v>
      </c>
      <c r="H49" s="101">
        <v>7.033658785688403E7</v>
      </c>
      <c r="I49" s="100">
        <v>2700924.9737043465</v>
      </c>
      <c r="J49" s="100">
        <v>3425391.8286302523</v>
      </c>
      <c r="K49" s="81"/>
    </row>
    <row r="50" ht="13.5" hidden="1" customHeight="1">
      <c r="A50" s="95" t="s">
        <v>56</v>
      </c>
      <c r="B50" s="95" t="s">
        <v>132</v>
      </c>
      <c r="C50" s="95" t="s">
        <v>158</v>
      </c>
      <c r="D50" s="96" t="s">
        <v>139</v>
      </c>
      <c r="E50" s="97">
        <v>1.747356095E7</v>
      </c>
      <c r="F50" s="95">
        <v>0.0</v>
      </c>
      <c r="G50" s="95">
        <v>0.0415</v>
      </c>
      <c r="H50" s="95">
        <v>6.843733910622738E7</v>
      </c>
      <c r="I50" s="95">
        <v>2840149.5729084364</v>
      </c>
      <c r="J50" s="95">
        <v>0.0</v>
      </c>
      <c r="K50" s="81"/>
    </row>
    <row r="51" ht="13.5" hidden="1" customHeight="1">
      <c r="A51" s="95" t="s">
        <v>54</v>
      </c>
      <c r="B51" s="95" t="s">
        <v>10</v>
      </c>
      <c r="C51" s="95" t="s">
        <v>159</v>
      </c>
      <c r="D51" s="96" t="s">
        <v>138</v>
      </c>
      <c r="E51" s="98">
        <v>17635.10913</v>
      </c>
      <c r="F51" s="99">
        <v>0.04294812889</v>
      </c>
      <c r="G51" s="95">
        <v>0.0384</v>
      </c>
      <c r="H51" s="100">
        <v>6.736039484801081E7</v>
      </c>
      <c r="I51" s="95">
        <v>2586639.1621636148</v>
      </c>
      <c r="J51" s="100">
        <v>2893002.92001366</v>
      </c>
      <c r="K51" s="81"/>
    </row>
    <row r="52" ht="13.5" hidden="1" customHeight="1">
      <c r="A52" s="95" t="s">
        <v>58</v>
      </c>
      <c r="B52" s="95" t="s">
        <v>132</v>
      </c>
      <c r="C52" s="95" t="s">
        <v>169</v>
      </c>
      <c r="D52" s="96" t="s">
        <v>143</v>
      </c>
      <c r="E52" s="98">
        <v>2.00060916E7</v>
      </c>
      <c r="F52" s="100">
        <v>0.0</v>
      </c>
      <c r="G52" s="100" t="s">
        <v>134</v>
      </c>
      <c r="H52" s="102">
        <v>6.652665035743579E7</v>
      </c>
      <c r="I52" s="100" t="s">
        <v>134</v>
      </c>
      <c r="J52" s="100">
        <v>0.0</v>
      </c>
      <c r="K52" s="81"/>
    </row>
    <row r="53" ht="13.5" hidden="1" customHeight="1">
      <c r="A53" s="95" t="s">
        <v>57</v>
      </c>
      <c r="B53" s="95" t="s">
        <v>132</v>
      </c>
      <c r="C53" s="95" t="s">
        <v>158</v>
      </c>
      <c r="D53" s="96" t="s">
        <v>139</v>
      </c>
      <c r="E53" s="97">
        <v>3.143914203E7</v>
      </c>
      <c r="F53" s="95">
        <v>0.0</v>
      </c>
      <c r="G53" s="95">
        <v>0.0818</v>
      </c>
      <c r="H53" s="105">
        <v>6.594698307097258E7</v>
      </c>
      <c r="I53" s="95">
        <v>5394463.215205557</v>
      </c>
      <c r="J53" s="95">
        <v>0.0</v>
      </c>
      <c r="K53" s="81"/>
    </row>
    <row r="54" ht="13.5" hidden="1" customHeight="1">
      <c r="A54" s="95" t="s">
        <v>146</v>
      </c>
      <c r="B54" s="95" t="s">
        <v>9</v>
      </c>
      <c r="C54" s="95" t="s">
        <v>170</v>
      </c>
      <c r="D54" s="96" t="s">
        <v>136</v>
      </c>
      <c r="E54" s="97">
        <v>1351.582005</v>
      </c>
      <c r="F54" s="95">
        <v>0.0064</v>
      </c>
      <c r="G54" s="95">
        <v>0.0298</v>
      </c>
      <c r="H54" s="95">
        <v>6.258477941928895E7</v>
      </c>
      <c r="I54" s="95">
        <v>1865026.4266948106</v>
      </c>
      <c r="J54" s="95">
        <v>400542.5882834493</v>
      </c>
      <c r="K54" s="81"/>
    </row>
    <row r="55" ht="13.5" hidden="1" customHeight="1">
      <c r="A55" s="95" t="s">
        <v>54</v>
      </c>
      <c r="B55" s="95" t="s">
        <v>9</v>
      </c>
      <c r="C55" s="95" t="s">
        <v>171</v>
      </c>
      <c r="D55" s="96" t="s">
        <v>143</v>
      </c>
      <c r="E55" s="98">
        <v>15406.34671</v>
      </c>
      <c r="F55" s="100">
        <v>0.0426</v>
      </c>
      <c r="G55" s="100">
        <v>0.0384</v>
      </c>
      <c r="H55" s="101">
        <v>5.88472455656957E7</v>
      </c>
      <c r="I55" s="100">
        <v>2259734.229722715</v>
      </c>
      <c r="J55" s="100">
        <v>2506892.6610986367</v>
      </c>
      <c r="K55" s="81"/>
    </row>
    <row r="56" ht="13.5" hidden="1" customHeight="1">
      <c r="A56" s="95" t="s">
        <v>146</v>
      </c>
      <c r="B56" s="95" t="s">
        <v>9</v>
      </c>
      <c r="C56" s="95" t="s">
        <v>172</v>
      </c>
      <c r="D56" s="96" t="s">
        <v>138</v>
      </c>
      <c r="E56" s="98">
        <v>1252.882078</v>
      </c>
      <c r="F56" s="100">
        <v>0.0186</v>
      </c>
      <c r="G56" s="100">
        <v>0.0298</v>
      </c>
      <c r="H56" s="104">
        <v>5.801449575381878E7</v>
      </c>
      <c r="I56" s="100">
        <v>1728831.9734637996</v>
      </c>
      <c r="J56" s="100">
        <v>1079069.6210210293</v>
      </c>
      <c r="K56" s="81"/>
    </row>
    <row r="57" ht="13.5" hidden="1" customHeight="1">
      <c r="A57" s="95" t="s">
        <v>57</v>
      </c>
      <c r="B57" s="95" t="s">
        <v>134</v>
      </c>
      <c r="C57" s="95" t="s">
        <v>173</v>
      </c>
      <c r="D57" s="95" t="s">
        <v>156</v>
      </c>
      <c r="E57" s="98">
        <v>2.745402563E7</v>
      </c>
      <c r="F57" s="100" t="s">
        <v>134</v>
      </c>
      <c r="G57" s="95">
        <v>0.0818</v>
      </c>
      <c r="H57" s="101">
        <v>5.7587772647358626E7</v>
      </c>
      <c r="I57" s="100">
        <v>4710679.802553936</v>
      </c>
      <c r="J57" s="100" t="s">
        <v>134</v>
      </c>
      <c r="K57" s="81"/>
    </row>
    <row r="58" ht="13.5" hidden="1" customHeight="1">
      <c r="A58" s="95" t="s">
        <v>146</v>
      </c>
      <c r="B58" s="95" t="s">
        <v>13</v>
      </c>
      <c r="C58" s="95" t="s">
        <v>161</v>
      </c>
      <c r="D58" s="96" t="s">
        <v>138</v>
      </c>
      <c r="E58" s="97">
        <v>1173.094383</v>
      </c>
      <c r="F58" s="103">
        <v>0.0478698103</v>
      </c>
      <c r="G58" s="95">
        <v>0.0298</v>
      </c>
      <c r="H58" s="104">
        <v>5.431993983825042E7</v>
      </c>
      <c r="I58" s="95">
        <v>1618734.2071798625</v>
      </c>
      <c r="J58" s="95">
        <v>2600285.2155644605</v>
      </c>
      <c r="K58" s="81"/>
    </row>
    <row r="59" ht="13.5" hidden="1" customHeight="1">
      <c r="A59" s="95" t="s">
        <v>146</v>
      </c>
      <c r="B59" s="95" t="s">
        <v>9</v>
      </c>
      <c r="C59" s="95" t="s">
        <v>174</v>
      </c>
      <c r="D59" s="96" t="s">
        <v>143</v>
      </c>
      <c r="E59" s="98">
        <v>1160.0</v>
      </c>
      <c r="F59" s="99">
        <v>0.0549</v>
      </c>
      <c r="G59" s="100">
        <v>0.0298</v>
      </c>
      <c r="H59" s="101">
        <v>5.37136066164E7</v>
      </c>
      <c r="I59" s="95">
        <v>1600665.4771687202</v>
      </c>
      <c r="J59" s="100">
        <v>2948877.00324036</v>
      </c>
      <c r="K59" s="81"/>
    </row>
    <row r="60" ht="13.5" hidden="1" customHeight="1">
      <c r="A60" s="95" t="s">
        <v>57</v>
      </c>
      <c r="B60" s="95" t="s">
        <v>11</v>
      </c>
      <c r="C60" s="95" t="s">
        <v>175</v>
      </c>
      <c r="D60" s="96" t="s">
        <v>176</v>
      </c>
      <c r="E60" s="97">
        <v>2.532603001E7</v>
      </c>
      <c r="F60" s="103">
        <v>0.0</v>
      </c>
      <c r="G60" s="95">
        <v>0.0818</v>
      </c>
      <c r="H60" s="95">
        <v>5.31240728748479E7</v>
      </c>
      <c r="I60" s="95">
        <v>4345549.161162558</v>
      </c>
      <c r="J60" s="95">
        <v>0.0</v>
      </c>
      <c r="K60" s="81"/>
    </row>
    <row r="61" ht="13.5" hidden="1" customHeight="1">
      <c r="A61" s="95" t="s">
        <v>54</v>
      </c>
      <c r="B61" s="95" t="s">
        <v>9</v>
      </c>
      <c r="C61" s="95" t="s">
        <v>177</v>
      </c>
      <c r="D61" s="96" t="s">
        <v>143</v>
      </c>
      <c r="E61" s="98">
        <v>13706.64712</v>
      </c>
      <c r="F61" s="100">
        <v>0.0273</v>
      </c>
      <c r="G61" s="100">
        <v>0.0384</v>
      </c>
      <c r="H61" s="102">
        <v>5.235494463002227E7</v>
      </c>
      <c r="I61" s="95">
        <v>2010429.873792855</v>
      </c>
      <c r="J61" s="100">
        <v>1429289.988399608</v>
      </c>
      <c r="K61" s="81"/>
    </row>
    <row r="62" ht="13.5" hidden="1" customHeight="1">
      <c r="A62" s="95" t="s">
        <v>146</v>
      </c>
      <c r="B62" s="95" t="s">
        <v>9</v>
      </c>
      <c r="C62" s="95" t="s">
        <v>178</v>
      </c>
      <c r="D62" s="96" t="s">
        <v>143</v>
      </c>
      <c r="E62" s="98">
        <v>1090.057662</v>
      </c>
      <c r="F62" s="100">
        <v>0.0074</v>
      </c>
      <c r="G62" s="100">
        <v>0.0298</v>
      </c>
      <c r="H62" s="101">
        <v>5.0474938315397166E7</v>
      </c>
      <c r="I62" s="100">
        <v>1504153.1617988355</v>
      </c>
      <c r="J62" s="100">
        <v>373514.54353393905</v>
      </c>
      <c r="K62" s="81"/>
    </row>
    <row r="63" ht="13.5" hidden="1" customHeight="1">
      <c r="A63" s="95" t="s">
        <v>72</v>
      </c>
      <c r="B63" s="95" t="s">
        <v>11</v>
      </c>
      <c r="C63" s="95" t="s">
        <v>149</v>
      </c>
      <c r="D63" s="96" t="s">
        <v>136</v>
      </c>
      <c r="E63" s="97">
        <v>2035281.774</v>
      </c>
      <c r="F63" s="103">
        <v>0.14</v>
      </c>
      <c r="G63" s="95">
        <v>0.0668</v>
      </c>
      <c r="H63" s="95">
        <v>4.9360514588649675E7</v>
      </c>
      <c r="I63" s="95">
        <v>3297282.374521798</v>
      </c>
      <c r="J63" s="95">
        <v>6910472.042410955</v>
      </c>
      <c r="K63" s="81"/>
    </row>
    <row r="64" ht="13.5" hidden="1" customHeight="1">
      <c r="A64" s="95" t="s">
        <v>54</v>
      </c>
      <c r="B64" s="95" t="s">
        <v>134</v>
      </c>
      <c r="C64" s="95" t="s">
        <v>179</v>
      </c>
      <c r="D64" s="95" t="s">
        <v>156</v>
      </c>
      <c r="E64" s="98">
        <v>12500.94525</v>
      </c>
      <c r="F64" s="100" t="s">
        <v>134</v>
      </c>
      <c r="G64" s="100">
        <v>0.0384</v>
      </c>
      <c r="H64" s="101">
        <v>4.774955469829663E7</v>
      </c>
      <c r="I64" s="95">
        <v>1833582.9004145905</v>
      </c>
      <c r="J64" s="100" t="s">
        <v>134</v>
      </c>
      <c r="K64" s="81"/>
    </row>
    <row r="65" ht="13.5" hidden="1" customHeight="1">
      <c r="A65" s="95" t="s">
        <v>64</v>
      </c>
      <c r="B65" s="95" t="s">
        <v>8</v>
      </c>
      <c r="C65" s="95" t="s">
        <v>137</v>
      </c>
      <c r="D65" s="96" t="s">
        <v>138</v>
      </c>
      <c r="E65" s="97">
        <v>312628.72</v>
      </c>
      <c r="F65" s="95">
        <v>0.0509</v>
      </c>
      <c r="G65" s="95">
        <v>0.0285</v>
      </c>
      <c r="H65" s="105">
        <v>4.696259589772693E7</v>
      </c>
      <c r="I65" s="95">
        <v>1338433.9830852177</v>
      </c>
      <c r="J65" s="95">
        <v>2390396.131194301</v>
      </c>
      <c r="K65" s="81"/>
    </row>
    <row r="66" ht="13.5" customHeight="1">
      <c r="A66" s="95" t="s">
        <v>55</v>
      </c>
      <c r="B66" s="95" t="s">
        <v>132</v>
      </c>
      <c r="C66" s="95" t="s">
        <v>144</v>
      </c>
      <c r="D66" s="96" t="s">
        <v>139</v>
      </c>
      <c r="E66" s="98">
        <v>4.635566319712216E7</v>
      </c>
      <c r="F66" s="100">
        <v>0.0</v>
      </c>
      <c r="G66" s="100">
        <v>0.0959</v>
      </c>
      <c r="H66" s="101">
        <v>4.635566319712216E7</v>
      </c>
      <c r="I66" s="100">
        <v>4445508.1006040145</v>
      </c>
      <c r="J66" s="100">
        <v>0.0</v>
      </c>
      <c r="K66" s="81"/>
    </row>
    <row r="67" ht="13.5" customHeight="1">
      <c r="A67" s="95" t="s">
        <v>55</v>
      </c>
      <c r="B67" s="95" t="s">
        <v>132</v>
      </c>
      <c r="C67" s="95" t="s">
        <v>158</v>
      </c>
      <c r="D67" s="96" t="s">
        <v>139</v>
      </c>
      <c r="E67" s="98">
        <v>4.43760322948377E7</v>
      </c>
      <c r="F67" s="103">
        <v>0.0</v>
      </c>
      <c r="G67" s="100">
        <v>0.0959</v>
      </c>
      <c r="H67" s="102">
        <v>4.43760322948377E7</v>
      </c>
      <c r="I67" s="100">
        <v>4255661.497074936</v>
      </c>
      <c r="J67" s="95">
        <v>0.0</v>
      </c>
      <c r="K67" s="81"/>
    </row>
    <row r="68" ht="13.5" hidden="1" customHeight="1">
      <c r="A68" s="95" t="s">
        <v>146</v>
      </c>
      <c r="B68" s="95" t="s">
        <v>9</v>
      </c>
      <c r="C68" s="95" t="s">
        <v>180</v>
      </c>
      <c r="D68" s="96" t="s">
        <v>143</v>
      </c>
      <c r="E68" s="98">
        <v>949.9168969</v>
      </c>
      <c r="F68" s="99">
        <v>0.0063</v>
      </c>
      <c r="G68" s="100">
        <v>0.0298</v>
      </c>
      <c r="H68" s="101">
        <v>4.398574355030862E7</v>
      </c>
      <c r="I68" s="100">
        <v>1310775.157799197</v>
      </c>
      <c r="J68" s="100">
        <v>277110.1843669443</v>
      </c>
      <c r="K68" s="81"/>
    </row>
    <row r="69" ht="13.5" hidden="1" customHeight="1">
      <c r="A69" s="95" t="s">
        <v>53</v>
      </c>
      <c r="B69" s="95" t="s">
        <v>9</v>
      </c>
      <c r="C69" s="95" t="s">
        <v>180</v>
      </c>
      <c r="D69" s="96" t="s">
        <v>143</v>
      </c>
      <c r="E69" s="98">
        <v>913.14</v>
      </c>
      <c r="F69" s="100">
        <v>0.0063</v>
      </c>
      <c r="G69" s="95">
        <v>0.0298</v>
      </c>
      <c r="H69" s="101">
        <v>4.22917414938792E7</v>
      </c>
      <c r="I69" s="95">
        <v>1260293.8965176002</v>
      </c>
      <c r="J69" s="100">
        <v>266437.97141143895</v>
      </c>
      <c r="K69" s="81"/>
    </row>
    <row r="70" ht="13.5" hidden="1" customHeight="1">
      <c r="A70" s="95" t="s">
        <v>59</v>
      </c>
      <c r="B70" s="95" t="s">
        <v>9</v>
      </c>
      <c r="C70" s="95" t="s">
        <v>181</v>
      </c>
      <c r="D70" s="96" t="s">
        <v>136</v>
      </c>
      <c r="E70" s="97">
        <v>1050000.0</v>
      </c>
      <c r="F70" s="95">
        <v>0.0</v>
      </c>
      <c r="G70" s="100" t="s">
        <v>134</v>
      </c>
      <c r="H70" s="104">
        <v>4.1494547083500005E7</v>
      </c>
      <c r="I70" s="95" t="s">
        <v>134</v>
      </c>
      <c r="J70" s="95">
        <v>0.0</v>
      </c>
      <c r="K70" s="81"/>
    </row>
    <row r="71" ht="13.5" hidden="1" customHeight="1">
      <c r="A71" s="95" t="s">
        <v>59</v>
      </c>
      <c r="B71" s="95" t="s">
        <v>10</v>
      </c>
      <c r="C71" s="95" t="s">
        <v>182</v>
      </c>
      <c r="D71" s="96" t="s">
        <v>138</v>
      </c>
      <c r="E71" s="98">
        <v>1000000.0</v>
      </c>
      <c r="F71" s="100" t="s">
        <v>134</v>
      </c>
      <c r="G71" s="100" t="s">
        <v>134</v>
      </c>
      <c r="H71" s="100">
        <v>3.951861627E7</v>
      </c>
      <c r="I71" s="100" t="s">
        <v>134</v>
      </c>
      <c r="J71" s="100" t="s">
        <v>134</v>
      </c>
      <c r="K71" s="81"/>
    </row>
    <row r="72" ht="13.5" hidden="1" customHeight="1">
      <c r="A72" s="95" t="s">
        <v>53</v>
      </c>
      <c r="B72" s="95" t="s">
        <v>18</v>
      </c>
      <c r="C72" s="95" t="s">
        <v>183</v>
      </c>
      <c r="D72" s="96" t="s">
        <v>136</v>
      </c>
      <c r="E72" s="98">
        <v>851.5606669</v>
      </c>
      <c r="F72" s="100">
        <v>0.0</v>
      </c>
      <c r="G72" s="100">
        <v>0.0298</v>
      </c>
      <c r="H72" s="101">
        <v>3.943971744846373E7</v>
      </c>
      <c r="I72" s="100">
        <v>1175303.5799642191</v>
      </c>
      <c r="J72" s="100">
        <v>0.0</v>
      </c>
      <c r="K72" s="81"/>
    </row>
    <row r="73" ht="13.5" hidden="1" customHeight="1">
      <c r="A73" s="95" t="s">
        <v>56</v>
      </c>
      <c r="B73" s="95" t="s">
        <v>132</v>
      </c>
      <c r="C73" s="95" t="s">
        <v>184</v>
      </c>
      <c r="D73" s="96" t="s">
        <v>138</v>
      </c>
      <c r="E73" s="98">
        <v>1.0E7</v>
      </c>
      <c r="F73" s="100">
        <v>0.0</v>
      </c>
      <c r="G73" s="95">
        <v>0.0415</v>
      </c>
      <c r="H73" s="101">
        <v>3.916622336E7</v>
      </c>
      <c r="I73" s="100">
        <v>1625398.26944</v>
      </c>
      <c r="J73" s="100">
        <v>0.0</v>
      </c>
      <c r="K73" s="81"/>
    </row>
    <row r="74" ht="13.5" hidden="1" customHeight="1">
      <c r="A74" s="95" t="s">
        <v>54</v>
      </c>
      <c r="B74" s="95" t="s">
        <v>9</v>
      </c>
      <c r="C74" s="95" t="s">
        <v>174</v>
      </c>
      <c r="D74" s="96" t="s">
        <v>143</v>
      </c>
      <c r="E74" s="97">
        <v>10055.21371</v>
      </c>
      <c r="F74" s="95">
        <v>0.0427</v>
      </c>
      <c r="G74" s="100">
        <v>0.0384</v>
      </c>
      <c r="H74" s="104">
        <v>3.8407653777117945E7</v>
      </c>
      <c r="I74" s="95">
        <v>1474853.9050413289</v>
      </c>
      <c r="J74" s="95">
        <v>1640006.8162829364</v>
      </c>
      <c r="K74" s="81"/>
    </row>
    <row r="75" ht="13.5" hidden="1" customHeight="1">
      <c r="A75" s="95" t="s">
        <v>61</v>
      </c>
      <c r="B75" s="95" t="s">
        <v>9</v>
      </c>
      <c r="C75" s="95" t="s">
        <v>185</v>
      </c>
      <c r="D75" s="96" t="s">
        <v>136</v>
      </c>
      <c r="E75" s="98">
        <v>1976837.777</v>
      </c>
      <c r="F75" s="99">
        <v>0.0</v>
      </c>
      <c r="G75" s="100">
        <v>0.0251</v>
      </c>
      <c r="H75" s="101">
        <v>3.659736959234057E7</v>
      </c>
      <c r="I75" s="100">
        <v>918593.9767677485</v>
      </c>
      <c r="J75" s="100">
        <v>0.0</v>
      </c>
      <c r="K75" s="81"/>
    </row>
    <row r="76" ht="13.5" hidden="1" customHeight="1">
      <c r="A76" s="95" t="s">
        <v>53</v>
      </c>
      <c r="B76" s="95" t="s">
        <v>9</v>
      </c>
      <c r="C76" s="95" t="s">
        <v>186</v>
      </c>
      <c r="D76" s="96" t="s">
        <v>143</v>
      </c>
      <c r="E76" s="98">
        <v>721.79</v>
      </c>
      <c r="F76" s="100">
        <v>0.029</v>
      </c>
      <c r="G76" s="100">
        <v>0.0298</v>
      </c>
      <c r="H76" s="100">
        <v>3.34294369898012E7</v>
      </c>
      <c r="I76" s="100">
        <v>996197.2222960757</v>
      </c>
      <c r="J76" s="100">
        <v>969453.6727042348</v>
      </c>
      <c r="K76" s="81"/>
    </row>
    <row r="77" ht="13.5" hidden="1" customHeight="1">
      <c r="A77" s="95" t="s">
        <v>66</v>
      </c>
      <c r="B77" s="95" t="s">
        <v>8</v>
      </c>
      <c r="C77" s="95" t="s">
        <v>137</v>
      </c>
      <c r="D77" s="96" t="s">
        <v>138</v>
      </c>
      <c r="E77" s="98">
        <v>71979.51</v>
      </c>
      <c r="F77" s="100">
        <v>0.041</v>
      </c>
      <c r="G77" s="100">
        <v>0.0225</v>
      </c>
      <c r="H77" s="101">
        <v>3.079835508405183E7</v>
      </c>
      <c r="I77" s="100">
        <v>692962.9893911661</v>
      </c>
      <c r="J77" s="100">
        <v>1262732.5584461251</v>
      </c>
      <c r="K77" s="81"/>
    </row>
    <row r="78" ht="13.5" hidden="1" customHeight="1">
      <c r="A78" s="95" t="s">
        <v>65</v>
      </c>
      <c r="B78" s="95" t="s">
        <v>8</v>
      </c>
      <c r="C78" s="95" t="s">
        <v>137</v>
      </c>
      <c r="D78" s="96" t="s">
        <v>138</v>
      </c>
      <c r="E78" s="97">
        <v>58500.0</v>
      </c>
      <c r="F78" s="103">
        <v>0.0726</v>
      </c>
      <c r="G78" s="95">
        <v>0.0581</v>
      </c>
      <c r="H78" s="105">
        <v>3.0425986047599997E7</v>
      </c>
      <c r="I78" s="95">
        <v>1767749.7893655598</v>
      </c>
      <c r="J78" s="95">
        <v>2208926.58705576</v>
      </c>
      <c r="K78" s="81"/>
    </row>
    <row r="79" ht="13.5" hidden="1" customHeight="1">
      <c r="A79" s="95" t="s">
        <v>67</v>
      </c>
      <c r="B79" s="95" t="s">
        <v>9</v>
      </c>
      <c r="C79" s="95" t="s">
        <v>187</v>
      </c>
      <c r="D79" s="96" t="s">
        <v>136</v>
      </c>
      <c r="E79" s="98">
        <v>6007123.561</v>
      </c>
      <c r="F79" s="100">
        <v>0.35</v>
      </c>
      <c r="G79" s="100">
        <v>0.1339</v>
      </c>
      <c r="H79" s="101">
        <v>2.9796394813877355E7</v>
      </c>
      <c r="I79" s="100">
        <v>3989737.2655781778</v>
      </c>
      <c r="J79" s="100">
        <v>1.0428738184857074E7</v>
      </c>
      <c r="K79" s="81"/>
    </row>
    <row r="80" ht="13.5" hidden="1" customHeight="1">
      <c r="A80" s="95" t="s">
        <v>55</v>
      </c>
      <c r="B80" s="95" t="s">
        <v>9</v>
      </c>
      <c r="C80" s="95" t="s">
        <v>188</v>
      </c>
      <c r="D80" s="96" t="s">
        <v>143</v>
      </c>
      <c r="E80" s="98">
        <v>2.791796104E7</v>
      </c>
      <c r="F80" s="100">
        <v>0.0</v>
      </c>
      <c r="G80" s="100">
        <v>0.0959</v>
      </c>
      <c r="H80" s="101">
        <v>2.791796104E7</v>
      </c>
      <c r="I80" s="100">
        <v>2677332.463736</v>
      </c>
      <c r="J80" s="100">
        <v>0.0</v>
      </c>
      <c r="K80" s="81"/>
    </row>
    <row r="81" ht="13.5" customHeight="1">
      <c r="A81" s="95" t="s">
        <v>55</v>
      </c>
      <c r="B81" s="95" t="s">
        <v>132</v>
      </c>
      <c r="C81" s="95" t="s">
        <v>189</v>
      </c>
      <c r="D81" s="96" t="s">
        <v>136</v>
      </c>
      <c r="E81" s="98">
        <v>2.777839669E7</v>
      </c>
      <c r="F81" s="99">
        <v>0.0</v>
      </c>
      <c r="G81" s="100">
        <v>0.0959</v>
      </c>
      <c r="H81" s="101">
        <v>2.777839669E7</v>
      </c>
      <c r="I81" s="100">
        <v>2663948.242571</v>
      </c>
      <c r="J81" s="100">
        <v>0.0</v>
      </c>
      <c r="K81" s="81"/>
    </row>
    <row r="82" ht="13.5" hidden="1" customHeight="1">
      <c r="A82" s="95" t="s">
        <v>70</v>
      </c>
      <c r="B82" s="95" t="s">
        <v>190</v>
      </c>
      <c r="C82" s="95" t="s">
        <v>191</v>
      </c>
      <c r="D82" s="96" t="s">
        <v>136</v>
      </c>
      <c r="E82" s="98">
        <v>157800.1506</v>
      </c>
      <c r="F82" s="100">
        <v>0.0643</v>
      </c>
      <c r="G82" s="95">
        <v>0.0385</v>
      </c>
      <c r="H82" s="101">
        <v>2.732527933615364E7</v>
      </c>
      <c r="I82" s="95">
        <v>1052023.254441915</v>
      </c>
      <c r="J82" s="100">
        <v>1757015.4613146791</v>
      </c>
      <c r="K82" s="81"/>
    </row>
    <row r="83" ht="13.5" hidden="1" customHeight="1">
      <c r="A83" s="95" t="s">
        <v>53</v>
      </c>
      <c r="B83" s="95" t="s">
        <v>9</v>
      </c>
      <c r="C83" s="95" t="s">
        <v>192</v>
      </c>
      <c r="D83" s="96" t="s">
        <v>143</v>
      </c>
      <c r="E83" s="98">
        <v>587.73</v>
      </c>
      <c r="F83" s="100">
        <v>0.0197</v>
      </c>
      <c r="G83" s="100">
        <v>0.0298</v>
      </c>
      <c r="H83" s="104">
        <v>2.7220497654464398E7</v>
      </c>
      <c r="I83" s="100">
        <v>811170.830103039</v>
      </c>
      <c r="J83" s="100">
        <v>536243.8037929486</v>
      </c>
      <c r="K83" s="81"/>
    </row>
    <row r="84" ht="13.5" hidden="1" customHeight="1">
      <c r="A84" s="95" t="s">
        <v>57</v>
      </c>
      <c r="B84" s="95" t="s">
        <v>134</v>
      </c>
      <c r="C84" s="95" t="s">
        <v>193</v>
      </c>
      <c r="D84" s="95" t="s">
        <v>156</v>
      </c>
      <c r="E84" s="98">
        <v>1.295637413E7</v>
      </c>
      <c r="F84" s="100" t="s">
        <v>134</v>
      </c>
      <c r="G84" s="95">
        <v>0.0818</v>
      </c>
      <c r="H84" s="106">
        <v>2.7177388765793145E7</v>
      </c>
      <c r="I84" s="95">
        <v>2223110.4010418793</v>
      </c>
      <c r="J84" s="100" t="s">
        <v>134</v>
      </c>
      <c r="K84" s="81"/>
    </row>
    <row r="85" ht="13.5" hidden="1" customHeight="1">
      <c r="A85" s="95" t="s">
        <v>57</v>
      </c>
      <c r="B85" s="95" t="s">
        <v>8</v>
      </c>
      <c r="C85" s="95" t="s">
        <v>137</v>
      </c>
      <c r="D85" s="96" t="s">
        <v>138</v>
      </c>
      <c r="E85" s="97">
        <v>1.257011165E7</v>
      </c>
      <c r="F85" s="95">
        <v>0.079</v>
      </c>
      <c r="G85" s="95">
        <v>0.0818</v>
      </c>
      <c r="H85" s="104">
        <v>2.636716165446787E7</v>
      </c>
      <c r="I85" s="95">
        <v>2156833.8233354716</v>
      </c>
      <c r="J85" s="95">
        <v>2083005.7707029616</v>
      </c>
      <c r="K85" s="81"/>
    </row>
    <row r="86" ht="13.5" hidden="1" customHeight="1">
      <c r="A86" s="95" t="s">
        <v>146</v>
      </c>
      <c r="B86" s="95" t="s">
        <v>190</v>
      </c>
      <c r="C86" s="95" t="s">
        <v>194</v>
      </c>
      <c r="D86" s="96" t="s">
        <v>143</v>
      </c>
      <c r="E86" s="98">
        <v>550.4159619</v>
      </c>
      <c r="F86" s="99">
        <v>0.0151</v>
      </c>
      <c r="G86" s="100">
        <v>0.0298</v>
      </c>
      <c r="H86" s="101">
        <v>2.548691935593449E7</v>
      </c>
      <c r="I86" s="100">
        <v>759510.1968068478</v>
      </c>
      <c r="J86" s="100">
        <v>384852.4822746108</v>
      </c>
      <c r="K86" s="81"/>
    </row>
    <row r="87" ht="13.5" hidden="1" customHeight="1">
      <c r="A87" s="95" t="s">
        <v>56</v>
      </c>
      <c r="B87" s="95" t="s">
        <v>132</v>
      </c>
      <c r="C87" s="95" t="s">
        <v>195</v>
      </c>
      <c r="D87" s="96" t="s">
        <v>143</v>
      </c>
      <c r="E87" s="98">
        <v>5779333.465</v>
      </c>
      <c r="F87" s="99">
        <v>0.0</v>
      </c>
      <c r="G87" s="100">
        <v>0.0</v>
      </c>
      <c r="H87" s="101">
        <v>2.2635466536211275E7</v>
      </c>
      <c r="I87" s="100">
        <v>0.0</v>
      </c>
      <c r="J87" s="100">
        <v>0.0</v>
      </c>
      <c r="K87" s="81"/>
    </row>
    <row r="88" ht="13.5" hidden="1" customHeight="1">
      <c r="A88" s="95" t="s">
        <v>196</v>
      </c>
      <c r="B88" s="95" t="s">
        <v>190</v>
      </c>
      <c r="C88" s="95" t="s">
        <v>197</v>
      </c>
      <c r="D88" s="96" t="s">
        <v>143</v>
      </c>
      <c r="E88" s="98">
        <v>2.167103676E7</v>
      </c>
      <c r="F88" s="100">
        <v>0.0</v>
      </c>
      <c r="G88" s="100" t="s">
        <v>134</v>
      </c>
      <c r="H88" s="101">
        <v>2.21044574952E7</v>
      </c>
      <c r="I88" s="100" t="s">
        <v>134</v>
      </c>
      <c r="J88" s="100">
        <v>0.0</v>
      </c>
      <c r="K88" s="81"/>
    </row>
    <row r="89" ht="13.5" hidden="1" customHeight="1">
      <c r="A89" s="95" t="s">
        <v>146</v>
      </c>
      <c r="B89" s="95" t="s">
        <v>9</v>
      </c>
      <c r="C89" s="95" t="s">
        <v>198</v>
      </c>
      <c r="D89" s="96" t="s">
        <v>143</v>
      </c>
      <c r="E89" s="98">
        <v>461.2321962</v>
      </c>
      <c r="F89" s="100">
        <v>0.0</v>
      </c>
      <c r="G89" s="100">
        <v>0.0298</v>
      </c>
      <c r="H89" s="101">
        <v>2.135727995302157E7</v>
      </c>
      <c r="I89" s="100">
        <v>636446.9426000428</v>
      </c>
      <c r="J89" s="100">
        <v>0.0</v>
      </c>
      <c r="K89" s="81"/>
    </row>
    <row r="90" ht="13.5" hidden="1" customHeight="1">
      <c r="A90" s="95" t="s">
        <v>54</v>
      </c>
      <c r="B90" s="95" t="s">
        <v>9</v>
      </c>
      <c r="C90" s="95" t="s">
        <v>199</v>
      </c>
      <c r="D90" s="96" t="s">
        <v>138</v>
      </c>
      <c r="E90" s="98">
        <v>5576.381547</v>
      </c>
      <c r="F90" s="99">
        <v>0.0495</v>
      </c>
      <c r="G90" s="100">
        <v>0.0384</v>
      </c>
      <c r="H90" s="101">
        <v>2.1299968152172208E7</v>
      </c>
      <c r="I90" s="100">
        <v>817918.7770434127</v>
      </c>
      <c r="J90" s="100">
        <v>1054348.4235325244</v>
      </c>
      <c r="K90" s="81"/>
    </row>
    <row r="91" ht="13.5" hidden="1" customHeight="1">
      <c r="A91" s="95" t="s">
        <v>54</v>
      </c>
      <c r="B91" s="95" t="s">
        <v>15</v>
      </c>
      <c r="C91" s="95" t="s">
        <v>200</v>
      </c>
      <c r="D91" s="96" t="s">
        <v>143</v>
      </c>
      <c r="E91" s="98">
        <v>5500.0</v>
      </c>
      <c r="F91" s="100">
        <v>0.003</v>
      </c>
      <c r="G91" s="100">
        <v>0.0384</v>
      </c>
      <c r="H91" s="101">
        <v>2.1008215426000003E7</v>
      </c>
      <c r="I91" s="100">
        <v>806715.4723584</v>
      </c>
      <c r="J91" s="100">
        <v>63024.64627800001</v>
      </c>
      <c r="K91" s="81"/>
    </row>
    <row r="92" ht="13.5" hidden="1" customHeight="1">
      <c r="A92" s="95" t="s">
        <v>146</v>
      </c>
      <c r="B92" s="95" t="s">
        <v>9</v>
      </c>
      <c r="C92" s="95" t="s">
        <v>201</v>
      </c>
      <c r="D92" s="96" t="s">
        <v>143</v>
      </c>
      <c r="E92" s="98">
        <v>451.9591969</v>
      </c>
      <c r="F92" s="100">
        <v>0.0151</v>
      </c>
      <c r="G92" s="100">
        <v>0.0298</v>
      </c>
      <c r="H92" s="101">
        <v>2.0927895266336784E7</v>
      </c>
      <c r="I92" s="100">
        <v>623651.2789368362</v>
      </c>
      <c r="J92" s="100">
        <v>316011.21852168546</v>
      </c>
      <c r="K92" s="81"/>
    </row>
    <row r="93" ht="13.5" hidden="1" customHeight="1">
      <c r="A93" s="95" t="s">
        <v>63</v>
      </c>
      <c r="B93" s="95" t="s">
        <v>132</v>
      </c>
      <c r="C93" s="95" t="s">
        <v>144</v>
      </c>
      <c r="D93" s="96" t="s">
        <v>139</v>
      </c>
      <c r="E93" s="98">
        <v>271630.69</v>
      </c>
      <c r="F93" s="100">
        <v>0.0</v>
      </c>
      <c r="G93" s="95">
        <v>0.0488</v>
      </c>
      <c r="H93" s="101">
        <v>2.051759709571913E7</v>
      </c>
      <c r="I93" s="95">
        <v>1001258.7382710936</v>
      </c>
      <c r="J93" s="100">
        <v>0.0</v>
      </c>
      <c r="K93" s="81"/>
    </row>
    <row r="94" ht="13.5" hidden="1" customHeight="1">
      <c r="A94" s="95" t="s">
        <v>61</v>
      </c>
      <c r="B94" s="95" t="s">
        <v>9</v>
      </c>
      <c r="C94" s="95" t="s">
        <v>202</v>
      </c>
      <c r="D94" s="96" t="s">
        <v>143</v>
      </c>
      <c r="E94" s="98">
        <v>1058751.413</v>
      </c>
      <c r="F94" s="95">
        <v>0.0063</v>
      </c>
      <c r="G94" s="100">
        <v>0.0251</v>
      </c>
      <c r="H94" s="101">
        <v>1.9600756935541816E7</v>
      </c>
      <c r="I94" s="100">
        <v>491978.9990820996</v>
      </c>
      <c r="J94" s="95">
        <v>123484.76869391344</v>
      </c>
      <c r="K94" s="81"/>
    </row>
    <row r="95" ht="13.5" hidden="1" customHeight="1">
      <c r="A95" s="95" t="s">
        <v>53</v>
      </c>
      <c r="B95" s="95" t="s">
        <v>132</v>
      </c>
      <c r="C95" s="95" t="s">
        <v>189</v>
      </c>
      <c r="D95" s="96" t="s">
        <v>136</v>
      </c>
      <c r="E95" s="98">
        <v>419.2</v>
      </c>
      <c r="F95" s="100">
        <v>0.0</v>
      </c>
      <c r="G95" s="100">
        <v>0.0298</v>
      </c>
      <c r="H95" s="101">
        <v>1.9415093013375998E7</v>
      </c>
      <c r="I95" s="100">
        <v>578569.7717986048</v>
      </c>
      <c r="J95" s="100">
        <v>0.0</v>
      </c>
      <c r="K95" s="81"/>
    </row>
    <row r="96" ht="13.5" hidden="1" customHeight="1">
      <c r="A96" s="95" t="s">
        <v>54</v>
      </c>
      <c r="B96" s="95" t="s">
        <v>9</v>
      </c>
      <c r="C96" s="95" t="s">
        <v>203</v>
      </c>
      <c r="D96" s="96" t="s">
        <v>143</v>
      </c>
      <c r="E96" s="97">
        <v>5009.458685</v>
      </c>
      <c r="F96" s="103">
        <v>0.0108</v>
      </c>
      <c r="G96" s="100">
        <v>0.0384</v>
      </c>
      <c r="H96" s="104">
        <v>1.9134506767659396E7</v>
      </c>
      <c r="I96" s="95">
        <v>734765.0598781208</v>
      </c>
      <c r="J96" s="95">
        <v>206652.67309072148</v>
      </c>
      <c r="K96" s="81"/>
    </row>
    <row r="97" ht="13.5" hidden="1" customHeight="1">
      <c r="A97" s="95" t="s">
        <v>146</v>
      </c>
      <c r="B97" s="95" t="s">
        <v>134</v>
      </c>
      <c r="C97" s="95" t="s">
        <v>204</v>
      </c>
      <c r="D97" s="95" t="s">
        <v>156</v>
      </c>
      <c r="E97" s="98">
        <v>404.7513815</v>
      </c>
      <c r="F97" s="100" t="s">
        <v>134</v>
      </c>
      <c r="G97" s="100">
        <v>0.0298</v>
      </c>
      <c r="H97" s="101">
        <v>1.874194524425469E7</v>
      </c>
      <c r="I97" s="100">
        <v>558509.9682787898</v>
      </c>
      <c r="J97" s="100" t="s">
        <v>134</v>
      </c>
      <c r="K97" s="81"/>
    </row>
    <row r="98" ht="13.5" hidden="1" customHeight="1">
      <c r="A98" s="95" t="s">
        <v>196</v>
      </c>
      <c r="B98" s="95" t="s">
        <v>9</v>
      </c>
      <c r="C98" s="95" t="s">
        <v>188</v>
      </c>
      <c r="D98" s="96" t="s">
        <v>143</v>
      </c>
      <c r="E98" s="98">
        <v>1.836389357E7</v>
      </c>
      <c r="F98" s="100">
        <v>0.0</v>
      </c>
      <c r="G98" s="100" t="s">
        <v>134</v>
      </c>
      <c r="H98" s="106">
        <v>1.87311714414E7</v>
      </c>
      <c r="I98" s="95" t="s">
        <v>134</v>
      </c>
      <c r="J98" s="100">
        <v>0.0</v>
      </c>
      <c r="K98" s="81"/>
    </row>
    <row r="99" ht="13.5" hidden="1" customHeight="1">
      <c r="A99" s="95" t="s">
        <v>146</v>
      </c>
      <c r="B99" s="95" t="s">
        <v>134</v>
      </c>
      <c r="C99" s="95" t="s">
        <v>205</v>
      </c>
      <c r="D99" s="95" t="s">
        <v>156</v>
      </c>
      <c r="E99" s="98">
        <v>399.1293011</v>
      </c>
      <c r="F99" s="100" t="s">
        <v>134</v>
      </c>
      <c r="G99" s="100">
        <v>0.0298</v>
      </c>
      <c r="H99" s="106">
        <v>1.8481615748589717E7</v>
      </c>
      <c r="I99" s="100">
        <v>550752.1493079736</v>
      </c>
      <c r="J99" s="100" t="s">
        <v>134</v>
      </c>
      <c r="K99" s="81"/>
    </row>
    <row r="100" ht="13.5" hidden="1" customHeight="1">
      <c r="A100" s="95" t="s">
        <v>63</v>
      </c>
      <c r="B100" s="95" t="s">
        <v>132</v>
      </c>
      <c r="C100" s="95" t="s">
        <v>158</v>
      </c>
      <c r="D100" s="96" t="s">
        <v>139</v>
      </c>
      <c r="E100" s="98">
        <v>244372.4811</v>
      </c>
      <c r="F100" s="100">
        <v>0.0</v>
      </c>
      <c r="G100" s="100">
        <v>0.0488</v>
      </c>
      <c r="H100" s="101">
        <v>1.845865100328331E7</v>
      </c>
      <c r="I100" s="100">
        <v>900782.1689602257</v>
      </c>
      <c r="J100" s="100">
        <v>0.0</v>
      </c>
      <c r="K100" s="81"/>
    </row>
    <row r="101" ht="13.5" hidden="1" customHeight="1">
      <c r="A101" s="95" t="s">
        <v>146</v>
      </c>
      <c r="B101" s="95" t="s">
        <v>9</v>
      </c>
      <c r="C101" s="95" t="s">
        <v>206</v>
      </c>
      <c r="D101" s="96" t="s">
        <v>138</v>
      </c>
      <c r="E101" s="97">
        <v>396.9518294</v>
      </c>
      <c r="F101" s="95">
        <v>0.0081</v>
      </c>
      <c r="G101" s="95">
        <v>0.0298</v>
      </c>
      <c r="H101" s="104">
        <v>1.838078828452752E7</v>
      </c>
      <c r="I101" s="95">
        <v>547747.4908789202</v>
      </c>
      <c r="J101" s="95">
        <v>148884.38510467293</v>
      </c>
      <c r="K101" s="81"/>
    </row>
    <row r="102" ht="13.5" hidden="1" customHeight="1">
      <c r="A102" s="95" t="s">
        <v>55</v>
      </c>
      <c r="B102" s="95" t="s">
        <v>190</v>
      </c>
      <c r="C102" s="95" t="s">
        <v>197</v>
      </c>
      <c r="D102" s="96" t="s">
        <v>143</v>
      </c>
      <c r="E102" s="98">
        <v>1.78646205E7</v>
      </c>
      <c r="F102" s="100">
        <v>0.0</v>
      </c>
      <c r="G102" s="100">
        <v>0.0959</v>
      </c>
      <c r="H102" s="104">
        <v>1.78646205E7</v>
      </c>
      <c r="I102" s="100">
        <v>1713217.10595</v>
      </c>
      <c r="J102" s="100">
        <v>0.0</v>
      </c>
      <c r="K102" s="81"/>
    </row>
    <row r="103" ht="13.5" hidden="1" customHeight="1">
      <c r="A103" s="95" t="s">
        <v>55</v>
      </c>
      <c r="B103" s="95" t="s">
        <v>9</v>
      </c>
      <c r="C103" s="95" t="s">
        <v>207</v>
      </c>
      <c r="D103" s="96" t="s">
        <v>143</v>
      </c>
      <c r="E103" s="98">
        <v>1.779836888E7</v>
      </c>
      <c r="F103" s="100">
        <v>0.0</v>
      </c>
      <c r="G103" s="100">
        <v>0.0959</v>
      </c>
      <c r="H103" s="101">
        <v>1.779836888E7</v>
      </c>
      <c r="I103" s="100">
        <v>1706863.5755919998</v>
      </c>
      <c r="J103" s="100">
        <v>0.0</v>
      </c>
      <c r="K103" s="81"/>
    </row>
    <row r="104" ht="13.5" hidden="1" customHeight="1">
      <c r="A104" s="95" t="s">
        <v>62</v>
      </c>
      <c r="B104" s="95" t="s">
        <v>132</v>
      </c>
      <c r="C104" s="95" t="s">
        <v>144</v>
      </c>
      <c r="D104" s="96" t="s">
        <v>139</v>
      </c>
      <c r="E104" s="98">
        <v>2.009704043E7</v>
      </c>
      <c r="F104" s="100">
        <v>0.0</v>
      </c>
      <c r="G104" s="100">
        <v>0.0127</v>
      </c>
      <c r="H104" s="101">
        <v>1.7414757525374673E7</v>
      </c>
      <c r="I104" s="100">
        <v>221167.42057225833</v>
      </c>
      <c r="J104" s="100">
        <v>0.0</v>
      </c>
      <c r="K104" s="81"/>
    </row>
    <row r="105" ht="13.5" hidden="1" customHeight="1">
      <c r="A105" s="95" t="s">
        <v>54</v>
      </c>
      <c r="B105" s="95" t="s">
        <v>190</v>
      </c>
      <c r="C105" s="95" t="s">
        <v>208</v>
      </c>
      <c r="D105" s="96" t="s">
        <v>143</v>
      </c>
      <c r="E105" s="98">
        <v>4269.387396</v>
      </c>
      <c r="F105" s="100">
        <v>0.1682</v>
      </c>
      <c r="G105" s="100">
        <v>0.0384</v>
      </c>
      <c r="H105" s="101">
        <v>1.6307674573130395E7</v>
      </c>
      <c r="I105" s="100">
        <v>626214.7036082072</v>
      </c>
      <c r="J105" s="100">
        <v>2742950.8632005323</v>
      </c>
      <c r="K105" s="81"/>
    </row>
    <row r="106" ht="13.5" hidden="1" customHeight="1">
      <c r="A106" s="95" t="s">
        <v>71</v>
      </c>
      <c r="B106" s="95" t="s">
        <v>7</v>
      </c>
      <c r="C106" s="95" t="s">
        <v>147</v>
      </c>
      <c r="D106" s="96" t="s">
        <v>138</v>
      </c>
      <c r="E106" s="98">
        <v>5100000.48</v>
      </c>
      <c r="F106" s="100">
        <v>0.0</v>
      </c>
      <c r="G106" s="100">
        <v>0.0</v>
      </c>
      <c r="H106" s="101">
        <v>1.613001640481905E7</v>
      </c>
      <c r="I106" s="100">
        <v>0.0</v>
      </c>
      <c r="J106" s="100">
        <v>0.0</v>
      </c>
      <c r="K106" s="81"/>
    </row>
    <row r="107" ht="13.5" hidden="1" customHeight="1">
      <c r="A107" s="95" t="s">
        <v>209</v>
      </c>
      <c r="B107" s="95" t="s">
        <v>10</v>
      </c>
      <c r="C107" s="95" t="s">
        <v>159</v>
      </c>
      <c r="D107" s="96" t="s">
        <v>138</v>
      </c>
      <c r="E107" s="98">
        <v>90001.57117</v>
      </c>
      <c r="F107" s="100">
        <v>0.04294812889</v>
      </c>
      <c r="G107" s="100" t="s">
        <v>134</v>
      </c>
      <c r="H107" s="101">
        <v>1.580604152127474E7</v>
      </c>
      <c r="I107" s="95" t="s">
        <v>134</v>
      </c>
      <c r="J107" s="100">
        <v>678839.9084963992</v>
      </c>
      <c r="K107" s="81"/>
    </row>
    <row r="108" ht="13.5" hidden="1" customHeight="1">
      <c r="A108" s="95" t="s">
        <v>77</v>
      </c>
      <c r="B108" s="95" t="s">
        <v>162</v>
      </c>
      <c r="C108" s="95" t="s">
        <v>163</v>
      </c>
      <c r="D108" s="96" t="s">
        <v>136</v>
      </c>
      <c r="E108" s="98">
        <v>6666666.66</v>
      </c>
      <c r="F108" s="100">
        <v>0.0</v>
      </c>
      <c r="G108" s="100">
        <v>0.04</v>
      </c>
      <c r="H108" s="101">
        <v>1.5724100724275902E7</v>
      </c>
      <c r="I108" s="100">
        <v>628964.0289710361</v>
      </c>
      <c r="J108" s="100">
        <v>0.0</v>
      </c>
      <c r="K108" s="81"/>
    </row>
    <row r="109" ht="13.5" hidden="1" customHeight="1">
      <c r="A109" s="95" t="s">
        <v>146</v>
      </c>
      <c r="B109" s="95" t="s">
        <v>9</v>
      </c>
      <c r="C109" s="95" t="s">
        <v>210</v>
      </c>
      <c r="D109" s="96" t="s">
        <v>143</v>
      </c>
      <c r="E109" s="98">
        <v>333.1071844</v>
      </c>
      <c r="F109" s="100">
        <v>0.1383</v>
      </c>
      <c r="G109" s="100">
        <v>0.0298</v>
      </c>
      <c r="H109" s="100">
        <v>1.542447264134329E7</v>
      </c>
      <c r="I109" s="100">
        <v>459649.28471203</v>
      </c>
      <c r="J109" s="100">
        <v>2133204.566297777</v>
      </c>
      <c r="K109" s="81"/>
    </row>
    <row r="110" ht="13.5" hidden="1" customHeight="1">
      <c r="A110" s="95" t="s">
        <v>75</v>
      </c>
      <c r="B110" s="95" t="s">
        <v>132</v>
      </c>
      <c r="C110" s="95" t="s">
        <v>158</v>
      </c>
      <c r="D110" s="96" t="s">
        <v>139</v>
      </c>
      <c r="E110" s="98">
        <v>93748.89346</v>
      </c>
      <c r="F110" s="100">
        <v>0.0</v>
      </c>
      <c r="G110" s="100">
        <v>0.0155</v>
      </c>
      <c r="H110" s="101">
        <v>1.4953421620035734E7</v>
      </c>
      <c r="I110" s="100">
        <v>231778.03511055387</v>
      </c>
      <c r="J110" s="100">
        <v>0.0</v>
      </c>
      <c r="K110" s="81"/>
    </row>
    <row r="111" ht="13.5" hidden="1" customHeight="1">
      <c r="A111" s="95" t="s">
        <v>73</v>
      </c>
      <c r="B111" s="95" t="s">
        <v>8</v>
      </c>
      <c r="C111" s="95" t="s">
        <v>137</v>
      </c>
      <c r="D111" s="96" t="s">
        <v>138</v>
      </c>
      <c r="E111" s="98">
        <v>4577123.9</v>
      </c>
      <c r="F111" s="99">
        <v>0.0643</v>
      </c>
      <c r="G111" s="100">
        <v>0.0288</v>
      </c>
      <c r="H111" s="101">
        <v>1.4760283420129435E7</v>
      </c>
      <c r="I111" s="100">
        <v>425096.16249972774</v>
      </c>
      <c r="J111" s="100">
        <v>949086.2239143227</v>
      </c>
      <c r="K111" s="81"/>
    </row>
    <row r="112" ht="13.5" hidden="1" customHeight="1">
      <c r="A112" s="95" t="s">
        <v>146</v>
      </c>
      <c r="B112" s="95" t="s">
        <v>190</v>
      </c>
      <c r="C112" s="95" t="s">
        <v>208</v>
      </c>
      <c r="D112" s="96" t="s">
        <v>143</v>
      </c>
      <c r="E112" s="98">
        <v>314.4706543</v>
      </c>
      <c r="F112" s="99">
        <v>0.1682</v>
      </c>
      <c r="G112" s="100">
        <v>0.0298</v>
      </c>
      <c r="H112" s="101">
        <v>1.4561511221958721E7</v>
      </c>
      <c r="I112" s="100">
        <v>433933.0344143699</v>
      </c>
      <c r="J112" s="100">
        <v>2449246.187533457</v>
      </c>
      <c r="K112" s="81"/>
    </row>
    <row r="113" ht="13.5" hidden="1" customHeight="1">
      <c r="A113" s="95" t="s">
        <v>54</v>
      </c>
      <c r="B113" s="95" t="s">
        <v>132</v>
      </c>
      <c r="C113" s="95" t="s">
        <v>189</v>
      </c>
      <c r="D113" s="96" t="s">
        <v>136</v>
      </c>
      <c r="E113" s="98">
        <v>3812.224816</v>
      </c>
      <c r="F113" s="99">
        <v>0.0</v>
      </c>
      <c r="G113" s="99">
        <v>0.0384</v>
      </c>
      <c r="H113" s="101">
        <v>1.4561461852158403E7</v>
      </c>
      <c r="I113" s="95">
        <v>559160.1351228827</v>
      </c>
      <c r="J113" s="100">
        <v>0.0</v>
      </c>
      <c r="K113" s="81"/>
    </row>
    <row r="114" ht="13.5" hidden="1" customHeight="1">
      <c r="A114" s="95" t="s">
        <v>68</v>
      </c>
      <c r="B114" s="95" t="s">
        <v>132</v>
      </c>
      <c r="C114" s="95" t="s">
        <v>158</v>
      </c>
      <c r="D114" s="96" t="s">
        <v>139</v>
      </c>
      <c r="E114" s="98">
        <v>5.357216403E7</v>
      </c>
      <c r="F114" s="100">
        <v>0.0</v>
      </c>
      <c r="G114" s="95">
        <v>0.0091</v>
      </c>
      <c r="H114" s="101">
        <v>1.447128795293181E7</v>
      </c>
      <c r="I114" s="95">
        <v>131688.7203716795</v>
      </c>
      <c r="J114" s="100">
        <v>0.0</v>
      </c>
      <c r="K114" s="81"/>
    </row>
    <row r="115" ht="13.5" hidden="1" customHeight="1">
      <c r="A115" s="95" t="s">
        <v>55</v>
      </c>
      <c r="B115" s="95" t="s">
        <v>190</v>
      </c>
      <c r="C115" s="95" t="s">
        <v>208</v>
      </c>
      <c r="D115" s="96" t="s">
        <v>143</v>
      </c>
      <c r="E115" s="97">
        <v>1.436692427E7</v>
      </c>
      <c r="F115" s="95">
        <v>0.1682</v>
      </c>
      <c r="G115" s="95">
        <v>0.0959</v>
      </c>
      <c r="H115" s="104">
        <v>1.436692427E7</v>
      </c>
      <c r="I115" s="95">
        <v>1377788.037493</v>
      </c>
      <c r="J115" s="95">
        <v>2416516.662214</v>
      </c>
      <c r="K115" s="81"/>
    </row>
    <row r="116" ht="13.5" hidden="1" customHeight="1">
      <c r="A116" s="95" t="s">
        <v>56</v>
      </c>
      <c r="B116" s="95" t="s">
        <v>132</v>
      </c>
      <c r="C116" s="95" t="s">
        <v>144</v>
      </c>
      <c r="D116" s="96" t="s">
        <v>139</v>
      </c>
      <c r="E116" s="97">
        <v>3647403.527</v>
      </c>
      <c r="F116" s="103">
        <v>0.0</v>
      </c>
      <c r="G116" s="95">
        <v>0.0415</v>
      </c>
      <c r="H116" s="95">
        <v>1.4285502122253379E7</v>
      </c>
      <c r="I116" s="95">
        <v>592848.3380735152</v>
      </c>
      <c r="J116" s="95">
        <v>0.0</v>
      </c>
      <c r="K116" s="81"/>
    </row>
    <row r="117" ht="13.5" hidden="1" customHeight="1">
      <c r="A117" s="95" t="s">
        <v>61</v>
      </c>
      <c r="B117" s="95" t="s">
        <v>13</v>
      </c>
      <c r="C117" s="95" t="s">
        <v>161</v>
      </c>
      <c r="D117" s="96" t="s">
        <v>138</v>
      </c>
      <c r="E117" s="97">
        <v>769435.3858</v>
      </c>
      <c r="F117" s="103">
        <v>0.1183699524</v>
      </c>
      <c r="G117" s="95">
        <v>0.0251</v>
      </c>
      <c r="H117" s="104">
        <v>1.4244624176639134E7</v>
      </c>
      <c r="I117" s="95">
        <v>357540.06683364225</v>
      </c>
      <c r="J117" s="95">
        <v>1686135.4857446635</v>
      </c>
      <c r="K117" s="81"/>
    </row>
    <row r="118" ht="13.5" hidden="1" customHeight="1">
      <c r="A118" s="95" t="s">
        <v>69</v>
      </c>
      <c r="B118" s="95" t="s">
        <v>8</v>
      </c>
      <c r="C118" s="95" t="s">
        <v>137</v>
      </c>
      <c r="D118" s="96" t="s">
        <v>138</v>
      </c>
      <c r="E118" s="98">
        <v>977708.87</v>
      </c>
      <c r="F118" s="100">
        <v>0.0707</v>
      </c>
      <c r="G118" s="100">
        <v>0.0228</v>
      </c>
      <c r="H118" s="102">
        <v>1.411833471805751E7</v>
      </c>
      <c r="I118" s="100">
        <v>321898.03157171124</v>
      </c>
      <c r="J118" s="100">
        <v>998166.2645666659</v>
      </c>
      <c r="K118" s="81"/>
    </row>
    <row r="119" ht="13.5" hidden="1" customHeight="1">
      <c r="A119" s="95" t="s">
        <v>60</v>
      </c>
      <c r="B119" s="95" t="s">
        <v>132</v>
      </c>
      <c r="C119" s="95" t="s">
        <v>158</v>
      </c>
      <c r="D119" s="96" t="s">
        <v>139</v>
      </c>
      <c r="E119" s="97">
        <v>1.149205632E7</v>
      </c>
      <c r="F119" s="103">
        <v>0.0</v>
      </c>
      <c r="G119" s="99">
        <v>0.0205</v>
      </c>
      <c r="H119" s="104">
        <v>1.4076930612015286E7</v>
      </c>
      <c r="I119" s="100">
        <v>288577.0775463134</v>
      </c>
      <c r="J119" s="95">
        <v>0.0</v>
      </c>
      <c r="K119" s="81"/>
    </row>
    <row r="120" ht="13.5" hidden="1" customHeight="1">
      <c r="A120" s="95" t="s">
        <v>72</v>
      </c>
      <c r="B120" s="95" t="s">
        <v>8</v>
      </c>
      <c r="C120" s="95" t="s">
        <v>137</v>
      </c>
      <c r="D120" s="96" t="s">
        <v>138</v>
      </c>
      <c r="E120" s="97">
        <v>577277.78</v>
      </c>
      <c r="F120" s="103">
        <v>0.0904</v>
      </c>
      <c r="G120" s="95">
        <v>0.0668</v>
      </c>
      <c r="H120" s="105">
        <v>1.4000384932152051E7</v>
      </c>
      <c r="I120" s="95">
        <v>935225.713467757</v>
      </c>
      <c r="J120" s="95">
        <v>1265634.7978665454</v>
      </c>
      <c r="K120" s="81"/>
    </row>
    <row r="121" ht="13.5" hidden="1" customHeight="1">
      <c r="A121" s="95" t="s">
        <v>69</v>
      </c>
      <c r="B121" s="95" t="s">
        <v>7</v>
      </c>
      <c r="C121" s="95" t="s">
        <v>7</v>
      </c>
      <c r="D121" s="96" t="s">
        <v>136</v>
      </c>
      <c r="E121" s="98">
        <v>944849.0</v>
      </c>
      <c r="F121" s="100">
        <v>0.0</v>
      </c>
      <c r="G121" s="100">
        <v>0.0</v>
      </c>
      <c r="H121" s="101">
        <v>1.364383084713338E7</v>
      </c>
      <c r="I121" s="100">
        <v>0.0</v>
      </c>
      <c r="J121" s="100">
        <v>0.0</v>
      </c>
      <c r="K121" s="81"/>
    </row>
    <row r="122" ht="13.5" hidden="1" customHeight="1">
      <c r="A122" s="95" t="s">
        <v>146</v>
      </c>
      <c r="B122" s="95" t="s">
        <v>9</v>
      </c>
      <c r="C122" s="95" t="s">
        <v>168</v>
      </c>
      <c r="D122" s="96" t="s">
        <v>136</v>
      </c>
      <c r="E122" s="97">
        <v>291.9900269</v>
      </c>
      <c r="F122" s="95">
        <v>0.0801</v>
      </c>
      <c r="G122" s="95">
        <v>0.0298</v>
      </c>
      <c r="H122" s="104">
        <v>1.3520549517947115E7</v>
      </c>
      <c r="I122" s="95">
        <v>402912.37563482404</v>
      </c>
      <c r="J122" s="95">
        <v>1082996.016387564</v>
      </c>
      <c r="K122" s="81"/>
    </row>
    <row r="123" ht="13.5" hidden="1" customHeight="1">
      <c r="A123" s="95" t="s">
        <v>60</v>
      </c>
      <c r="B123" s="95" t="s">
        <v>132</v>
      </c>
      <c r="C123" s="95" t="s">
        <v>144</v>
      </c>
      <c r="D123" s="96" t="s">
        <v>139</v>
      </c>
      <c r="E123" s="98">
        <v>1.10149051E7</v>
      </c>
      <c r="F123" s="100">
        <v>0.0</v>
      </c>
      <c r="G123" s="95">
        <v>0.0205</v>
      </c>
      <c r="H123" s="101">
        <v>1.3492455177128239E7</v>
      </c>
      <c r="I123" s="95">
        <v>276595.3311311289</v>
      </c>
      <c r="J123" s="100">
        <v>0.0</v>
      </c>
      <c r="K123" s="81"/>
    </row>
    <row r="124" ht="13.5" hidden="1" customHeight="1">
      <c r="A124" s="95" t="s">
        <v>211</v>
      </c>
      <c r="B124" s="95" t="s">
        <v>10</v>
      </c>
      <c r="C124" s="95" t="s">
        <v>159</v>
      </c>
      <c r="D124" s="96" t="s">
        <v>138</v>
      </c>
      <c r="E124" s="98">
        <v>125000.0498</v>
      </c>
      <c r="F124" s="100">
        <v>0.04294812889</v>
      </c>
      <c r="G124" s="100" t="s">
        <v>134</v>
      </c>
      <c r="H124" s="101">
        <v>1.3021316625190476E7</v>
      </c>
      <c r="I124" s="100" t="s">
        <v>134</v>
      </c>
      <c r="J124" s="100">
        <v>559241.1847361804</v>
      </c>
      <c r="K124" s="81"/>
    </row>
    <row r="125" ht="13.5" hidden="1" customHeight="1">
      <c r="A125" s="95" t="s">
        <v>68</v>
      </c>
      <c r="B125" s="95" t="s">
        <v>8</v>
      </c>
      <c r="C125" s="95" t="s">
        <v>137</v>
      </c>
      <c r="D125" s="96" t="s">
        <v>138</v>
      </c>
      <c r="E125" s="98">
        <v>4.65E7</v>
      </c>
      <c r="F125" s="99">
        <v>0.0503</v>
      </c>
      <c r="G125" s="95">
        <v>0.0091</v>
      </c>
      <c r="H125" s="101">
        <v>1.25609055E7</v>
      </c>
      <c r="I125" s="95">
        <v>114304.24005000001</v>
      </c>
      <c r="J125" s="100">
        <v>631813.5466499999</v>
      </c>
      <c r="K125" s="81"/>
    </row>
    <row r="126" ht="13.5" hidden="1" customHeight="1">
      <c r="A126" s="95" t="s">
        <v>53</v>
      </c>
      <c r="B126" s="95" t="s">
        <v>9</v>
      </c>
      <c r="C126" s="95" t="s">
        <v>212</v>
      </c>
      <c r="D126" s="96" t="s">
        <v>143</v>
      </c>
      <c r="E126" s="98">
        <v>268.25</v>
      </c>
      <c r="F126" s="100">
        <v>0.0068</v>
      </c>
      <c r="G126" s="95">
        <v>0.0298</v>
      </c>
      <c r="H126" s="101">
        <v>1.242389957261E7</v>
      </c>
      <c r="I126" s="100">
        <v>370232.207263778</v>
      </c>
      <c r="J126" s="100">
        <v>84482.517093748</v>
      </c>
      <c r="K126" s="81"/>
    </row>
    <row r="127" ht="13.5" hidden="1" customHeight="1">
      <c r="A127" s="95" t="s">
        <v>53</v>
      </c>
      <c r="B127" s="95" t="s">
        <v>9</v>
      </c>
      <c r="C127" s="95" t="s">
        <v>198</v>
      </c>
      <c r="D127" s="96" t="s">
        <v>143</v>
      </c>
      <c r="E127" s="98">
        <v>252.73</v>
      </c>
      <c r="F127" s="100">
        <v>0.0</v>
      </c>
      <c r="G127" s="95">
        <v>0.0298</v>
      </c>
      <c r="H127" s="102">
        <v>1.17050965106644E7</v>
      </c>
      <c r="I127" s="100">
        <v>348811.87601779914</v>
      </c>
      <c r="J127" s="100">
        <v>0.0</v>
      </c>
      <c r="K127" s="81"/>
    </row>
    <row r="128" ht="13.5" hidden="1" customHeight="1">
      <c r="A128" s="95" t="s">
        <v>146</v>
      </c>
      <c r="B128" s="95" t="s">
        <v>9</v>
      </c>
      <c r="C128" s="95" t="s">
        <v>171</v>
      </c>
      <c r="D128" s="96" t="s">
        <v>143</v>
      </c>
      <c r="E128" s="98">
        <v>251.54881</v>
      </c>
      <c r="F128" s="100">
        <v>0.0322</v>
      </c>
      <c r="G128" s="95">
        <v>0.0298</v>
      </c>
      <c r="H128" s="101">
        <v>1.1647925711347885E7</v>
      </c>
      <c r="I128" s="100">
        <v>347108.186198167</v>
      </c>
      <c r="J128" s="100">
        <v>375063.2079054019</v>
      </c>
      <c r="K128" s="81"/>
    </row>
    <row r="129" ht="13.5" hidden="1" customHeight="1">
      <c r="A129" s="95" t="s">
        <v>64</v>
      </c>
      <c r="B129" s="95" t="s">
        <v>132</v>
      </c>
      <c r="C129" s="95" t="s">
        <v>158</v>
      </c>
      <c r="D129" s="96" t="s">
        <v>139</v>
      </c>
      <c r="E129" s="98">
        <v>76806.06444</v>
      </c>
      <c r="F129" s="99">
        <v>0.0</v>
      </c>
      <c r="G129" s="100">
        <v>0.0285</v>
      </c>
      <c r="H129" s="101">
        <v>1.1537686514503513E7</v>
      </c>
      <c r="I129" s="100">
        <v>328824.0656633501</v>
      </c>
      <c r="J129" s="100">
        <v>0.0</v>
      </c>
      <c r="K129" s="81"/>
    </row>
    <row r="130" ht="13.5" hidden="1" customHeight="1">
      <c r="A130" s="95" t="s">
        <v>53</v>
      </c>
      <c r="B130" s="95" t="s">
        <v>22</v>
      </c>
      <c r="C130" s="95" t="s">
        <v>22</v>
      </c>
      <c r="D130" s="96" t="s">
        <v>136</v>
      </c>
      <c r="E130" s="98">
        <v>236.47</v>
      </c>
      <c r="F130" s="100">
        <v>0.3</v>
      </c>
      <c r="G130" s="99">
        <v>0.0298</v>
      </c>
      <c r="H130" s="101">
        <v>1.09520206223116E7</v>
      </c>
      <c r="I130" s="95">
        <v>326370.2145448857</v>
      </c>
      <c r="J130" s="100">
        <v>3285606.18669348</v>
      </c>
      <c r="K130" s="81"/>
    </row>
    <row r="131" ht="13.5" hidden="1" customHeight="1">
      <c r="A131" s="95" t="s">
        <v>53</v>
      </c>
      <c r="B131" s="95" t="s">
        <v>132</v>
      </c>
      <c r="C131" s="95" t="s">
        <v>213</v>
      </c>
      <c r="D131" s="96" t="s">
        <v>143</v>
      </c>
      <c r="E131" s="98">
        <v>233.0504122</v>
      </c>
      <c r="F131" s="100">
        <v>0.0</v>
      </c>
      <c r="G131" s="100">
        <v>0.0298</v>
      </c>
      <c r="H131" s="101">
        <v>1.0793643677644601E7</v>
      </c>
      <c r="I131" s="100">
        <v>321650.5815938091</v>
      </c>
      <c r="J131" s="100">
        <v>0.0</v>
      </c>
      <c r="K131" s="81"/>
    </row>
    <row r="132" ht="13.5" hidden="1" customHeight="1">
      <c r="A132" s="95" t="s">
        <v>55</v>
      </c>
      <c r="B132" s="95" t="s">
        <v>190</v>
      </c>
      <c r="C132" s="95" t="s">
        <v>214</v>
      </c>
      <c r="D132" s="96" t="s">
        <v>143</v>
      </c>
      <c r="E132" s="98">
        <v>1.0E7</v>
      </c>
      <c r="F132" s="99">
        <v>0.0</v>
      </c>
      <c r="G132" s="100">
        <v>0.0959</v>
      </c>
      <c r="H132" s="101">
        <v>1.0E7</v>
      </c>
      <c r="I132" s="100">
        <v>959000.0</v>
      </c>
      <c r="J132" s="100">
        <v>0.0</v>
      </c>
      <c r="K132" s="81"/>
    </row>
    <row r="133" ht="13.5" hidden="1" customHeight="1">
      <c r="A133" s="95" t="s">
        <v>62</v>
      </c>
      <c r="B133" s="95" t="s">
        <v>132</v>
      </c>
      <c r="C133" s="95" t="s">
        <v>158</v>
      </c>
      <c r="D133" s="96" t="s">
        <v>139</v>
      </c>
      <c r="E133" s="97">
        <v>1.150043527E7</v>
      </c>
      <c r="F133" s="95">
        <v>0.0</v>
      </c>
      <c r="G133" s="95">
        <v>0.0127</v>
      </c>
      <c r="H133" s="95">
        <v>9965511.706109297</v>
      </c>
      <c r="I133" s="95">
        <v>126561.99866758806</v>
      </c>
      <c r="J133" s="95">
        <v>0.0</v>
      </c>
      <c r="K133" s="81"/>
    </row>
    <row r="134" ht="13.5" hidden="1" customHeight="1">
      <c r="A134" s="95" t="s">
        <v>53</v>
      </c>
      <c r="B134" s="95" t="s">
        <v>9</v>
      </c>
      <c r="C134" s="95" t="s">
        <v>210</v>
      </c>
      <c r="D134" s="96" t="s">
        <v>143</v>
      </c>
      <c r="E134" s="98">
        <v>212.88</v>
      </c>
      <c r="F134" s="100">
        <v>0.1383</v>
      </c>
      <c r="G134" s="100">
        <v>0.0298</v>
      </c>
      <c r="H134" s="100">
        <v>9859458.494006399</v>
      </c>
      <c r="I134" s="95">
        <v>293811.8631213907</v>
      </c>
      <c r="J134" s="100">
        <v>1363563.109721085</v>
      </c>
      <c r="K134" s="81"/>
    </row>
    <row r="135" ht="13.5" hidden="1" customHeight="1">
      <c r="A135" s="95" t="s">
        <v>54</v>
      </c>
      <c r="B135" s="95" t="s">
        <v>9</v>
      </c>
      <c r="C135" s="95" t="s">
        <v>215</v>
      </c>
      <c r="D135" s="96" t="s">
        <v>143</v>
      </c>
      <c r="E135" s="98">
        <v>2559.568597</v>
      </c>
      <c r="F135" s="100">
        <v>0.1682</v>
      </c>
      <c r="G135" s="95">
        <v>0.0384</v>
      </c>
      <c r="H135" s="101">
        <v>9776721.54243647</v>
      </c>
      <c r="I135" s="95">
        <v>375426.1072295604</v>
      </c>
      <c r="J135" s="100">
        <v>1644444.5634378141</v>
      </c>
      <c r="K135" s="81"/>
    </row>
    <row r="136" ht="13.5" hidden="1" customHeight="1">
      <c r="A136" s="95" t="s">
        <v>54</v>
      </c>
      <c r="B136" s="95" t="s">
        <v>10</v>
      </c>
      <c r="C136" s="95" t="s">
        <v>216</v>
      </c>
      <c r="D136" s="96" t="s">
        <v>136</v>
      </c>
      <c r="E136" s="98">
        <v>2498.335195</v>
      </c>
      <c r="F136" s="100">
        <v>0.0</v>
      </c>
      <c r="G136" s="100">
        <v>0.0384</v>
      </c>
      <c r="H136" s="102">
        <v>9542829.815075949</v>
      </c>
      <c r="I136" s="100">
        <v>366444.6648989164</v>
      </c>
      <c r="J136" s="100">
        <v>0.0</v>
      </c>
      <c r="K136" s="81"/>
    </row>
    <row r="137" ht="13.5" hidden="1" customHeight="1">
      <c r="A137" s="95" t="s">
        <v>54</v>
      </c>
      <c r="B137" s="95" t="s">
        <v>11</v>
      </c>
      <c r="C137" s="95" t="s">
        <v>217</v>
      </c>
      <c r="D137" s="96" t="s">
        <v>136</v>
      </c>
      <c r="E137" s="98">
        <v>2494.203193</v>
      </c>
      <c r="F137" s="99">
        <v>0.0</v>
      </c>
      <c r="G137" s="100">
        <v>0.0384</v>
      </c>
      <c r="H137" s="101">
        <v>9527046.908138374</v>
      </c>
      <c r="I137" s="100">
        <v>365838.6012725135</v>
      </c>
      <c r="J137" s="100">
        <v>0.0</v>
      </c>
      <c r="K137" s="81"/>
    </row>
    <row r="138" ht="12.75" hidden="1" customHeight="1">
      <c r="A138" s="95" t="s">
        <v>55</v>
      </c>
      <c r="B138" s="95" t="s">
        <v>9</v>
      </c>
      <c r="C138" s="95" t="s">
        <v>215</v>
      </c>
      <c r="D138" s="96" t="s">
        <v>143</v>
      </c>
      <c r="E138" s="97">
        <v>9466996.452</v>
      </c>
      <c r="F138" s="95">
        <v>0.1682</v>
      </c>
      <c r="G138" s="95">
        <v>0.0959</v>
      </c>
      <c r="H138" s="95">
        <v>9466996.452</v>
      </c>
      <c r="I138" s="95">
        <v>907884.9597467999</v>
      </c>
      <c r="J138" s="95">
        <v>1592348.8032264</v>
      </c>
      <c r="K138" s="81"/>
    </row>
    <row r="139" ht="13.5" hidden="1" customHeight="1">
      <c r="A139" s="95" t="s">
        <v>146</v>
      </c>
      <c r="B139" s="95" t="s">
        <v>9</v>
      </c>
      <c r="C139" s="95" t="s">
        <v>215</v>
      </c>
      <c r="D139" s="96" t="s">
        <v>143</v>
      </c>
      <c r="E139" s="98">
        <v>204.429853</v>
      </c>
      <c r="F139" s="100">
        <v>0.1682</v>
      </c>
      <c r="G139" s="100">
        <v>0.0298</v>
      </c>
      <c r="H139" s="101">
        <v>9466090.262664206</v>
      </c>
      <c r="I139" s="100">
        <v>282089.4898273933</v>
      </c>
      <c r="J139" s="100">
        <v>1592196.3821801194</v>
      </c>
      <c r="K139" s="81"/>
    </row>
    <row r="140" ht="13.5" hidden="1" customHeight="1">
      <c r="A140" s="95" t="s">
        <v>53</v>
      </c>
      <c r="B140" s="95" t="s">
        <v>9</v>
      </c>
      <c r="C140" s="95" t="s">
        <v>218</v>
      </c>
      <c r="D140" s="96" t="s">
        <v>143</v>
      </c>
      <c r="E140" s="98">
        <v>204.28</v>
      </c>
      <c r="F140" s="99">
        <v>0.0376</v>
      </c>
      <c r="G140" s="100">
        <v>0.0298</v>
      </c>
      <c r="H140" s="101">
        <v>9461152.6735984</v>
      </c>
      <c r="I140" s="100">
        <v>281942.3496732323</v>
      </c>
      <c r="J140" s="100">
        <v>355739.34052729985</v>
      </c>
      <c r="K140" s="81"/>
    </row>
    <row r="141" ht="13.5" hidden="1" customHeight="1">
      <c r="A141" s="95" t="s">
        <v>76</v>
      </c>
      <c r="B141" s="95" t="s">
        <v>11</v>
      </c>
      <c r="C141" s="95" t="s">
        <v>149</v>
      </c>
      <c r="D141" s="96" t="s">
        <v>136</v>
      </c>
      <c r="E141" s="98">
        <v>73106.58843</v>
      </c>
      <c r="F141" s="99">
        <v>0.02</v>
      </c>
      <c r="G141" s="100">
        <v>0.041</v>
      </c>
      <c r="H141" s="101">
        <v>9313673.15673033</v>
      </c>
      <c r="I141" s="100">
        <v>381860.5994259435</v>
      </c>
      <c r="J141" s="100">
        <v>186273.4631346066</v>
      </c>
      <c r="K141" s="81"/>
    </row>
    <row r="142" ht="13.5" hidden="1" customHeight="1">
      <c r="A142" s="95" t="s">
        <v>61</v>
      </c>
      <c r="B142" s="95" t="s">
        <v>10</v>
      </c>
      <c r="C142" s="95" t="s">
        <v>152</v>
      </c>
      <c r="D142" s="96" t="s">
        <v>138</v>
      </c>
      <c r="E142" s="98">
        <v>500092.2799</v>
      </c>
      <c r="F142" s="100">
        <v>0.0555</v>
      </c>
      <c r="G142" s="95">
        <v>0.0251</v>
      </c>
      <c r="H142" s="101">
        <v>9258251.845809668</v>
      </c>
      <c r="I142" s="95">
        <v>232382.1213298227</v>
      </c>
      <c r="J142" s="100">
        <v>513832.9774424366</v>
      </c>
      <c r="K142" s="81"/>
    </row>
    <row r="143" ht="13.5" hidden="1" customHeight="1">
      <c r="A143" s="95" t="s">
        <v>146</v>
      </c>
      <c r="B143" s="95" t="s">
        <v>8</v>
      </c>
      <c r="C143" s="95" t="s">
        <v>137</v>
      </c>
      <c r="D143" s="96" t="s">
        <v>138</v>
      </c>
      <c r="E143" s="98">
        <v>199.57</v>
      </c>
      <c r="F143" s="100">
        <v>0.01</v>
      </c>
      <c r="G143" s="95">
        <v>0.0298</v>
      </c>
      <c r="H143" s="101">
        <v>9241055.5796853</v>
      </c>
      <c r="I143" s="100">
        <v>275383.45627462195</v>
      </c>
      <c r="J143" s="95">
        <v>92410.555796853</v>
      </c>
      <c r="K143" s="81"/>
    </row>
    <row r="144" ht="13.5" hidden="1" customHeight="1">
      <c r="A144" s="95" t="s">
        <v>78</v>
      </c>
      <c r="B144" s="95" t="s">
        <v>132</v>
      </c>
      <c r="C144" s="95" t="s">
        <v>158</v>
      </c>
      <c r="D144" s="96" t="s">
        <v>139</v>
      </c>
      <c r="E144" s="98">
        <v>5091.428493</v>
      </c>
      <c r="F144" s="100">
        <v>0.0</v>
      </c>
      <c r="G144" s="95">
        <v>0.0526</v>
      </c>
      <c r="H144" s="101">
        <v>9195828.849958507</v>
      </c>
      <c r="I144" s="95">
        <v>483700.5975078175</v>
      </c>
      <c r="J144" s="95">
        <v>0.0</v>
      </c>
      <c r="K144" s="81"/>
    </row>
    <row r="145" ht="13.5" hidden="1" customHeight="1">
      <c r="A145" s="95" t="s">
        <v>61</v>
      </c>
      <c r="B145" s="95" t="s">
        <v>8</v>
      </c>
      <c r="C145" s="95" t="s">
        <v>137</v>
      </c>
      <c r="D145" s="96" t="s">
        <v>138</v>
      </c>
      <c r="E145" s="98">
        <v>485283.17</v>
      </c>
      <c r="F145" s="100">
        <v>0.0541</v>
      </c>
      <c r="G145" s="103">
        <v>0.0251</v>
      </c>
      <c r="H145" s="101">
        <v>8984089.507023135</v>
      </c>
      <c r="I145" s="95">
        <v>225500.6466262807</v>
      </c>
      <c r="J145" s="100">
        <v>486039.2423299516</v>
      </c>
      <c r="K145" s="81"/>
    </row>
    <row r="146" ht="13.5" hidden="1" customHeight="1">
      <c r="A146" s="95" t="s">
        <v>54</v>
      </c>
      <c r="B146" s="95" t="s">
        <v>190</v>
      </c>
      <c r="C146" s="95" t="s">
        <v>219</v>
      </c>
      <c r="D146" s="96" t="s">
        <v>143</v>
      </c>
      <c r="E146" s="98">
        <v>2250.900859</v>
      </c>
      <c r="F146" s="99">
        <v>0.1053</v>
      </c>
      <c r="G146" s="95">
        <v>0.0384</v>
      </c>
      <c r="H146" s="101">
        <v>8597710.936080081</v>
      </c>
      <c r="I146" s="95">
        <v>330152.0999454751</v>
      </c>
      <c r="J146" s="100">
        <v>905338.9615692326</v>
      </c>
      <c r="K146" s="81"/>
    </row>
    <row r="147" ht="13.5" hidden="1" customHeight="1">
      <c r="A147" s="95" t="s">
        <v>64</v>
      </c>
      <c r="B147" s="95" t="s">
        <v>10</v>
      </c>
      <c r="C147" s="95" t="s">
        <v>152</v>
      </c>
      <c r="D147" s="96" t="s">
        <v>138</v>
      </c>
      <c r="E147" s="98">
        <v>56714.09836</v>
      </c>
      <c r="F147" s="99">
        <v>0.0</v>
      </c>
      <c r="G147" s="100">
        <v>0.0285</v>
      </c>
      <c r="H147" s="101">
        <v>8519502.888233103</v>
      </c>
      <c r="I147" s="100">
        <v>242805.83231464343</v>
      </c>
      <c r="J147" s="100">
        <v>0.0</v>
      </c>
      <c r="K147" s="81"/>
    </row>
    <row r="148" ht="13.5" hidden="1" customHeight="1">
      <c r="A148" s="95" t="s">
        <v>62</v>
      </c>
      <c r="B148" s="95" t="s">
        <v>7</v>
      </c>
      <c r="C148" s="95" t="s">
        <v>7</v>
      </c>
      <c r="D148" s="96" t="s">
        <v>136</v>
      </c>
      <c r="E148" s="97">
        <v>9694696.0</v>
      </c>
      <c r="F148" s="103">
        <v>0.0</v>
      </c>
      <c r="G148" s="95">
        <v>0.0</v>
      </c>
      <c r="H148" s="104">
        <v>8400778.24942803</v>
      </c>
      <c r="I148" s="95">
        <v>0.0</v>
      </c>
      <c r="J148" s="95">
        <v>0.0</v>
      </c>
      <c r="K148" s="81"/>
    </row>
    <row r="149" ht="13.5" hidden="1" customHeight="1">
      <c r="A149" s="95" t="s">
        <v>74</v>
      </c>
      <c r="B149" s="95" t="s">
        <v>9</v>
      </c>
      <c r="C149" s="95" t="s">
        <v>168</v>
      </c>
      <c r="D149" s="96" t="s">
        <v>136</v>
      </c>
      <c r="E149" s="98">
        <v>7764281.0</v>
      </c>
      <c r="F149" s="99">
        <v>0.0139</v>
      </c>
      <c r="G149" s="100">
        <v>0.0097</v>
      </c>
      <c r="H149" s="101">
        <v>8374575.995250619</v>
      </c>
      <c r="I149" s="100">
        <v>81233.387153931</v>
      </c>
      <c r="J149" s="100">
        <v>116406.6063339836</v>
      </c>
      <c r="K149" s="81"/>
    </row>
    <row r="150" ht="13.5" hidden="1" customHeight="1">
      <c r="A150" s="95" t="s">
        <v>61</v>
      </c>
      <c r="B150" s="95" t="s">
        <v>132</v>
      </c>
      <c r="C150" s="95" t="s">
        <v>158</v>
      </c>
      <c r="D150" s="96" t="s">
        <v>139</v>
      </c>
      <c r="E150" s="97">
        <v>447233.0038</v>
      </c>
      <c r="F150" s="103">
        <v>0.0</v>
      </c>
      <c r="G150" s="95">
        <v>0.0251</v>
      </c>
      <c r="H150" s="104">
        <v>8279663.47284209</v>
      </c>
      <c r="I150" s="95">
        <v>207819.55316833645</v>
      </c>
      <c r="J150" s="95">
        <v>0.0</v>
      </c>
      <c r="K150" s="81"/>
    </row>
    <row r="151" ht="13.5" hidden="1" customHeight="1">
      <c r="A151" s="95" t="s">
        <v>68</v>
      </c>
      <c r="B151" s="95" t="s">
        <v>10</v>
      </c>
      <c r="C151" s="95" t="s">
        <v>152</v>
      </c>
      <c r="D151" s="96" t="s">
        <v>138</v>
      </c>
      <c r="E151" s="98">
        <v>3.001777164E7</v>
      </c>
      <c r="F151" s="99">
        <v>0.0413</v>
      </c>
      <c r="G151" s="100">
        <v>0.0091</v>
      </c>
      <c r="H151" s="101">
        <v>8108610.599798281</v>
      </c>
      <c r="I151" s="100">
        <v>73788.35645816436</v>
      </c>
      <c r="J151" s="100">
        <v>334885.617771669</v>
      </c>
      <c r="K151" s="81"/>
    </row>
    <row r="152" ht="13.5" hidden="1" customHeight="1">
      <c r="A152" s="95" t="s">
        <v>79</v>
      </c>
      <c r="B152" s="95" t="s">
        <v>8</v>
      </c>
      <c r="C152" s="95" t="s">
        <v>137</v>
      </c>
      <c r="D152" s="96" t="s">
        <v>138</v>
      </c>
      <c r="E152" s="98">
        <v>2557740.95</v>
      </c>
      <c r="F152" s="99">
        <v>0.0716</v>
      </c>
      <c r="G152" s="100">
        <v>0.0595</v>
      </c>
      <c r="H152" s="101">
        <v>8097729.849389731</v>
      </c>
      <c r="I152" s="100">
        <v>481814.926038689</v>
      </c>
      <c r="J152" s="100">
        <v>579797.4572163047</v>
      </c>
      <c r="K152" s="81"/>
    </row>
    <row r="153" ht="13.5" hidden="1" customHeight="1">
      <c r="A153" s="95" t="s">
        <v>55</v>
      </c>
      <c r="B153" s="95" t="s">
        <v>9</v>
      </c>
      <c r="C153" s="95" t="s">
        <v>220</v>
      </c>
      <c r="D153" s="96" t="s">
        <v>143</v>
      </c>
      <c r="E153" s="98">
        <v>8078994.4290000005</v>
      </c>
      <c r="F153" s="99">
        <v>0.03783649775931787</v>
      </c>
      <c r="G153" s="100">
        <v>0.0959</v>
      </c>
      <c r="H153" s="101">
        <v>8078994.4290000005</v>
      </c>
      <c r="I153" s="100">
        <v>774775.5657411</v>
      </c>
      <c r="J153" s="100">
        <v>305680.85461040004</v>
      </c>
      <c r="K153" s="81"/>
    </row>
    <row r="154" ht="13.5" hidden="1" customHeight="1">
      <c r="A154" s="95" t="s">
        <v>59</v>
      </c>
      <c r="B154" s="95" t="s">
        <v>10</v>
      </c>
      <c r="C154" s="95" t="s">
        <v>221</v>
      </c>
      <c r="D154" s="96" t="s">
        <v>138</v>
      </c>
      <c r="E154" s="97">
        <v>200000.0</v>
      </c>
      <c r="F154" s="103">
        <v>-0.0295482322</v>
      </c>
      <c r="G154" s="95" t="s">
        <v>134</v>
      </c>
      <c r="H154" s="105">
        <v>7903723.254000001</v>
      </c>
      <c r="I154" s="95" t="s">
        <v>134</v>
      </c>
      <c r="J154" s="95">
        <v>-233541.0499537316</v>
      </c>
      <c r="K154" s="81"/>
    </row>
    <row r="155" ht="13.5" hidden="1" customHeight="1">
      <c r="A155" s="95" t="s">
        <v>56</v>
      </c>
      <c r="B155" s="95" t="s">
        <v>8</v>
      </c>
      <c r="C155" s="95" t="s">
        <v>137</v>
      </c>
      <c r="D155" s="96" t="s">
        <v>138</v>
      </c>
      <c r="E155" s="98">
        <v>2000000.0</v>
      </c>
      <c r="F155" s="99">
        <v>0.0</v>
      </c>
      <c r="G155" s="100">
        <v>0.0415</v>
      </c>
      <c r="H155" s="101">
        <v>7833244.672</v>
      </c>
      <c r="I155" s="100">
        <v>325079.653888</v>
      </c>
      <c r="J155" s="100">
        <v>0.0</v>
      </c>
      <c r="K155" s="81"/>
    </row>
    <row r="156" ht="13.5" hidden="1" customHeight="1">
      <c r="A156" s="95" t="s">
        <v>61</v>
      </c>
      <c r="B156" s="95" t="s">
        <v>7</v>
      </c>
      <c r="C156" s="95" t="s">
        <v>7</v>
      </c>
      <c r="D156" s="96" t="s">
        <v>136</v>
      </c>
      <c r="E156" s="98">
        <v>419218.0</v>
      </c>
      <c r="F156" s="100">
        <v>0.0</v>
      </c>
      <c r="G156" s="100">
        <v>0.0</v>
      </c>
      <c r="H156" s="101">
        <v>7761019.27242856</v>
      </c>
      <c r="I156" s="100">
        <v>0.0</v>
      </c>
      <c r="J156" s="100">
        <v>0.0</v>
      </c>
      <c r="K156" s="81"/>
    </row>
    <row r="157" ht="13.5" hidden="1" customHeight="1">
      <c r="A157" s="95" t="s">
        <v>64</v>
      </c>
      <c r="B157" s="95" t="s">
        <v>15</v>
      </c>
      <c r="C157" s="95" t="s">
        <v>142</v>
      </c>
      <c r="D157" s="96" t="s">
        <v>143</v>
      </c>
      <c r="E157" s="98">
        <v>50095.39805</v>
      </c>
      <c r="F157" s="100">
        <v>0.09742215</v>
      </c>
      <c r="G157" s="100">
        <v>0.0285</v>
      </c>
      <c r="H157" s="101">
        <v>7525252.110420079</v>
      </c>
      <c r="I157" s="100">
        <v>214469.68514697225</v>
      </c>
      <c r="J157" s="100">
        <v>733126.2398891615</v>
      </c>
      <c r="K157" s="81"/>
    </row>
    <row r="158" ht="13.5" hidden="1" customHeight="1">
      <c r="A158" s="95" t="s">
        <v>66</v>
      </c>
      <c r="B158" s="95" t="s">
        <v>7</v>
      </c>
      <c r="C158" s="95" t="s">
        <v>7</v>
      </c>
      <c r="D158" s="96" t="s">
        <v>136</v>
      </c>
      <c r="E158" s="97">
        <v>17101.0</v>
      </c>
      <c r="F158" s="95">
        <v>0.0</v>
      </c>
      <c r="G158" s="95">
        <v>0.0</v>
      </c>
      <c r="H158" s="95">
        <v>7317119.417628299</v>
      </c>
      <c r="I158" s="95">
        <v>0.0</v>
      </c>
      <c r="J158" s="95">
        <v>0.0</v>
      </c>
      <c r="K158" s="81"/>
    </row>
    <row r="159" ht="13.5" hidden="1" customHeight="1">
      <c r="A159" s="95" t="s">
        <v>54</v>
      </c>
      <c r="B159" s="95" t="s">
        <v>10</v>
      </c>
      <c r="C159" s="95" t="s">
        <v>222</v>
      </c>
      <c r="D159" s="96" t="s">
        <v>138</v>
      </c>
      <c r="E159" s="98">
        <v>1825.40445</v>
      </c>
      <c r="F159" s="100">
        <v>0.0</v>
      </c>
      <c r="G159" s="100">
        <v>0.0384</v>
      </c>
      <c r="H159" s="101">
        <v>6972452.713668917</v>
      </c>
      <c r="I159" s="100">
        <v>267742.1842048864</v>
      </c>
      <c r="J159" s="100">
        <v>0.0</v>
      </c>
      <c r="K159" s="81"/>
    </row>
    <row r="160" ht="13.5" hidden="1" customHeight="1">
      <c r="A160" s="95" t="s">
        <v>54</v>
      </c>
      <c r="B160" s="95" t="s">
        <v>9</v>
      </c>
      <c r="C160" s="95" t="s">
        <v>223</v>
      </c>
      <c r="D160" s="96" t="s">
        <v>143</v>
      </c>
      <c r="E160" s="98">
        <v>1797.228218</v>
      </c>
      <c r="F160" s="100">
        <v>0.0257</v>
      </c>
      <c r="G160" s="100">
        <v>0.0384</v>
      </c>
      <c r="H160" s="101">
        <v>6864828.649714562</v>
      </c>
      <c r="I160" s="100">
        <v>263609.4201490392</v>
      </c>
      <c r="J160" s="100">
        <v>176426.09629766425</v>
      </c>
      <c r="K160" s="81"/>
    </row>
    <row r="161" ht="13.5" hidden="1" customHeight="1">
      <c r="A161" s="95" t="s">
        <v>71</v>
      </c>
      <c r="B161" s="95" t="s">
        <v>10</v>
      </c>
      <c r="C161" s="95" t="s">
        <v>224</v>
      </c>
      <c r="D161" s="96" t="s">
        <v>138</v>
      </c>
      <c r="E161" s="98">
        <v>2000032.712</v>
      </c>
      <c r="F161" s="100" t="s">
        <v>134</v>
      </c>
      <c r="G161" s="100">
        <v>0.0042</v>
      </c>
      <c r="H161" s="101">
        <v>6325599.493813133</v>
      </c>
      <c r="I161" s="100">
        <v>26567.517874015157</v>
      </c>
      <c r="J161" s="100" t="s">
        <v>134</v>
      </c>
      <c r="K161" s="81"/>
    </row>
    <row r="162" ht="13.5" hidden="1" customHeight="1">
      <c r="A162" s="95" t="s">
        <v>83</v>
      </c>
      <c r="B162" s="95" t="s">
        <v>9</v>
      </c>
      <c r="C162" s="95" t="s">
        <v>160</v>
      </c>
      <c r="D162" s="96" t="s">
        <v>143</v>
      </c>
      <c r="E162" s="97">
        <v>207479.1726</v>
      </c>
      <c r="F162" s="95">
        <v>0.0</v>
      </c>
      <c r="G162" s="95" t="s">
        <v>134</v>
      </c>
      <c r="H162" s="107">
        <v>6288693.721506</v>
      </c>
      <c r="I162" s="95" t="s">
        <v>134</v>
      </c>
      <c r="J162" s="95">
        <v>0.0</v>
      </c>
      <c r="K162" s="81"/>
    </row>
    <row r="163" ht="13.5" hidden="1" customHeight="1">
      <c r="A163" s="95" t="s">
        <v>55</v>
      </c>
      <c r="B163" s="95" t="s">
        <v>10</v>
      </c>
      <c r="C163" s="95" t="s">
        <v>152</v>
      </c>
      <c r="D163" s="96" t="s">
        <v>138</v>
      </c>
      <c r="E163" s="98">
        <v>6231446.03109264</v>
      </c>
      <c r="F163" s="99">
        <v>0.07908036597435694</v>
      </c>
      <c r="G163" s="100">
        <v>0.0959</v>
      </c>
      <c r="H163" s="101">
        <v>6231446.03109264</v>
      </c>
      <c r="I163" s="100">
        <v>597595.6743817842</v>
      </c>
      <c r="J163" s="100">
        <v>492785.03268826</v>
      </c>
      <c r="K163" s="81"/>
    </row>
    <row r="164" ht="13.5" hidden="1" customHeight="1">
      <c r="A164" s="95" t="s">
        <v>84</v>
      </c>
      <c r="B164" s="95" t="s">
        <v>132</v>
      </c>
      <c r="C164" s="95" t="s">
        <v>158</v>
      </c>
      <c r="D164" s="96" t="s">
        <v>139</v>
      </c>
      <c r="E164" s="98">
        <v>4323764.658</v>
      </c>
      <c r="F164" s="100">
        <v>0.0</v>
      </c>
      <c r="G164" s="95" t="s">
        <v>134</v>
      </c>
      <c r="H164" s="102">
        <v>5710395.9838205995</v>
      </c>
      <c r="I164" s="95" t="s">
        <v>134</v>
      </c>
      <c r="J164" s="100">
        <v>0.0</v>
      </c>
      <c r="K164" s="81"/>
    </row>
    <row r="165" ht="13.5" hidden="1" customHeight="1">
      <c r="A165" s="95" t="s">
        <v>61</v>
      </c>
      <c r="B165" s="95" t="s">
        <v>14</v>
      </c>
      <c r="C165" s="95" t="s">
        <v>167</v>
      </c>
      <c r="D165" s="96" t="s">
        <v>139</v>
      </c>
      <c r="E165" s="98">
        <v>300011.9038</v>
      </c>
      <c r="F165" s="99">
        <v>0.0</v>
      </c>
      <c r="G165" s="100">
        <v>0.0251</v>
      </c>
      <c r="H165" s="102">
        <v>5554146.4520840775</v>
      </c>
      <c r="I165" s="100">
        <v>139409.07594731034</v>
      </c>
      <c r="J165" s="100">
        <v>0.0</v>
      </c>
      <c r="K165" s="81"/>
    </row>
    <row r="166" ht="13.5" hidden="1" customHeight="1">
      <c r="A166" s="95" t="s">
        <v>146</v>
      </c>
      <c r="B166" s="95" t="s">
        <v>10</v>
      </c>
      <c r="C166" s="95" t="s">
        <v>224</v>
      </c>
      <c r="D166" s="96" t="s">
        <v>138</v>
      </c>
      <c r="E166" s="97">
        <v>116.0559399</v>
      </c>
      <c r="F166" s="95" t="s">
        <v>134</v>
      </c>
      <c r="G166" s="95">
        <v>0.0298</v>
      </c>
      <c r="H166" s="104">
        <v>5373950.94938376</v>
      </c>
      <c r="I166" s="95">
        <v>160143.73829163605</v>
      </c>
      <c r="J166" s="95" t="s">
        <v>134</v>
      </c>
      <c r="K166" s="81"/>
    </row>
    <row r="167" ht="13.5" hidden="1" customHeight="1">
      <c r="A167" s="95" t="s">
        <v>78</v>
      </c>
      <c r="B167" s="95" t="s">
        <v>132</v>
      </c>
      <c r="C167" s="95" t="s">
        <v>144</v>
      </c>
      <c r="D167" s="96" t="s">
        <v>139</v>
      </c>
      <c r="E167" s="98">
        <v>2946.983626</v>
      </c>
      <c r="F167" s="100">
        <v>0.0</v>
      </c>
      <c r="G167" s="95">
        <v>0.0526</v>
      </c>
      <c r="H167" s="101">
        <v>5322662.801919888</v>
      </c>
      <c r="I167" s="95">
        <v>279972.0633809861</v>
      </c>
      <c r="J167" s="100">
        <v>0.0</v>
      </c>
      <c r="K167" s="81"/>
    </row>
    <row r="168" ht="13.5" hidden="1" customHeight="1">
      <c r="A168" s="95" t="s">
        <v>57</v>
      </c>
      <c r="B168" s="95" t="s">
        <v>10</v>
      </c>
      <c r="C168" s="95" t="s">
        <v>159</v>
      </c>
      <c r="D168" s="96" t="s">
        <v>138</v>
      </c>
      <c r="E168" s="98">
        <v>2500059.547</v>
      </c>
      <c r="F168" s="99">
        <v>0.04294812889</v>
      </c>
      <c r="G168" s="100">
        <v>0.0818</v>
      </c>
      <c r="H168" s="102">
        <v>5244143.891239399</v>
      </c>
      <c r="I168" s="100">
        <v>428970.97030338284</v>
      </c>
      <c r="J168" s="100">
        <v>225226.16775865585</v>
      </c>
      <c r="K168" s="81"/>
    </row>
    <row r="169" ht="13.5" hidden="1" customHeight="1">
      <c r="A169" s="95" t="s">
        <v>85</v>
      </c>
      <c r="B169" s="95" t="s">
        <v>132</v>
      </c>
      <c r="C169" s="95" t="s">
        <v>158</v>
      </c>
      <c r="D169" s="96" t="s">
        <v>139</v>
      </c>
      <c r="E169" s="97">
        <v>7171269.6</v>
      </c>
      <c r="F169" s="95">
        <v>0.0</v>
      </c>
      <c r="G169" s="95" t="s">
        <v>134</v>
      </c>
      <c r="H169" s="105">
        <v>5090167.162079999</v>
      </c>
      <c r="I169" s="95" t="s">
        <v>134</v>
      </c>
      <c r="J169" s="95">
        <v>0.0</v>
      </c>
      <c r="K169" s="81"/>
    </row>
    <row r="170" ht="13.5" hidden="1" customHeight="1">
      <c r="A170" s="95" t="s">
        <v>196</v>
      </c>
      <c r="B170" s="95" t="s">
        <v>190</v>
      </c>
      <c r="C170" s="95" t="s">
        <v>225</v>
      </c>
      <c r="D170" s="96" t="s">
        <v>143</v>
      </c>
      <c r="E170" s="98">
        <v>4978842.404</v>
      </c>
      <c r="F170" s="100">
        <v>0.0</v>
      </c>
      <c r="G170" s="100" t="s">
        <v>134</v>
      </c>
      <c r="H170" s="101">
        <v>5078419.25208</v>
      </c>
      <c r="I170" s="95" t="s">
        <v>134</v>
      </c>
      <c r="J170" s="100">
        <v>0.0</v>
      </c>
      <c r="K170" s="81"/>
    </row>
    <row r="171" ht="13.5" hidden="1" customHeight="1">
      <c r="A171" s="95" t="s">
        <v>59</v>
      </c>
      <c r="B171" s="95" t="s">
        <v>132</v>
      </c>
      <c r="C171" s="95" t="s">
        <v>195</v>
      </c>
      <c r="D171" s="96" t="s">
        <v>143</v>
      </c>
      <c r="E171" s="98">
        <v>125000.0</v>
      </c>
      <c r="F171" s="99">
        <v>0.0</v>
      </c>
      <c r="G171" s="100" t="s">
        <v>134</v>
      </c>
      <c r="H171" s="101">
        <v>4939827.03375</v>
      </c>
      <c r="I171" s="100" t="s">
        <v>134</v>
      </c>
      <c r="J171" s="100">
        <v>0.0</v>
      </c>
      <c r="K171" s="81"/>
    </row>
    <row r="172" ht="13.5" hidden="1" customHeight="1">
      <c r="A172" s="95" t="s">
        <v>80</v>
      </c>
      <c r="B172" s="95" t="s">
        <v>10</v>
      </c>
      <c r="C172" s="95" t="s">
        <v>226</v>
      </c>
      <c r="D172" s="96" t="s">
        <v>138</v>
      </c>
      <c r="E172" s="98">
        <v>6062600.284</v>
      </c>
      <c r="F172" s="99">
        <v>0.002526818828</v>
      </c>
      <c r="G172" s="95">
        <v>0.0169</v>
      </c>
      <c r="H172" s="102">
        <v>4536460.786258767</v>
      </c>
      <c r="I172" s="95">
        <v>76666.18728777317</v>
      </c>
      <c r="J172" s="100">
        <v>11462.814527202336</v>
      </c>
      <c r="K172" s="81"/>
    </row>
    <row r="173" ht="13.5" hidden="1" customHeight="1">
      <c r="A173" s="95" t="s">
        <v>74</v>
      </c>
      <c r="B173" s="95" t="s">
        <v>8</v>
      </c>
      <c r="C173" s="95" t="s">
        <v>137</v>
      </c>
      <c r="D173" s="96" t="s">
        <v>138</v>
      </c>
      <c r="E173" s="98">
        <v>3980000.0</v>
      </c>
      <c r="F173" s="99">
        <v>0.064</v>
      </c>
      <c r="G173" s="100">
        <v>0.0097</v>
      </c>
      <c r="H173" s="102">
        <v>4292839.53802</v>
      </c>
      <c r="I173" s="100">
        <v>41640.543518794</v>
      </c>
      <c r="J173" s="100">
        <v>274741.73043328</v>
      </c>
      <c r="K173" s="81"/>
    </row>
    <row r="174" ht="13.5" hidden="1" customHeight="1">
      <c r="A174" s="95" t="s">
        <v>65</v>
      </c>
      <c r="B174" s="95" t="s">
        <v>132</v>
      </c>
      <c r="C174" s="95" t="s">
        <v>158</v>
      </c>
      <c r="D174" s="96" t="s">
        <v>139</v>
      </c>
      <c r="E174" s="98">
        <v>8165.822522</v>
      </c>
      <c r="F174" s="100">
        <v>0.0</v>
      </c>
      <c r="G174" s="100">
        <v>0.0581</v>
      </c>
      <c r="H174" s="101">
        <v>4247063.284129057</v>
      </c>
      <c r="I174" s="100">
        <v>246754.37680789822</v>
      </c>
      <c r="J174" s="100">
        <v>0.0</v>
      </c>
      <c r="K174" s="81"/>
    </row>
    <row r="175" ht="13.5" hidden="1" customHeight="1">
      <c r="A175" s="95" t="s">
        <v>53</v>
      </c>
      <c r="B175" s="95" t="s">
        <v>10</v>
      </c>
      <c r="C175" s="95" t="s">
        <v>152</v>
      </c>
      <c r="D175" s="96" t="s">
        <v>138</v>
      </c>
      <c r="E175" s="97">
        <v>91.41831511</v>
      </c>
      <c r="F175" s="95">
        <v>0.0</v>
      </c>
      <c r="G175" s="95">
        <v>0.0298</v>
      </c>
      <c r="H175" s="104">
        <v>4234005.465140187</v>
      </c>
      <c r="I175" s="95">
        <v>126173.36286117758</v>
      </c>
      <c r="J175" s="95">
        <v>0.0</v>
      </c>
      <c r="K175" s="81"/>
    </row>
    <row r="176" ht="13.5" hidden="1" customHeight="1">
      <c r="A176" s="95" t="s">
        <v>82</v>
      </c>
      <c r="B176" s="95" t="s">
        <v>18</v>
      </c>
      <c r="C176" s="95" t="s">
        <v>153</v>
      </c>
      <c r="D176" s="96" t="s">
        <v>136</v>
      </c>
      <c r="E176" s="98">
        <v>119512.1601</v>
      </c>
      <c r="F176" s="99">
        <v>0.0</v>
      </c>
      <c r="G176" s="95">
        <v>0.0298</v>
      </c>
      <c r="H176" s="101">
        <v>4098621.3600582494</v>
      </c>
      <c r="I176" s="95">
        <v>122138.91652973583</v>
      </c>
      <c r="J176" s="100">
        <v>0.0</v>
      </c>
      <c r="K176" s="81"/>
    </row>
    <row r="177" ht="13.5" hidden="1" customHeight="1">
      <c r="A177" s="95" t="s">
        <v>59</v>
      </c>
      <c r="B177" s="95" t="s">
        <v>10</v>
      </c>
      <c r="C177" s="95" t="s">
        <v>226</v>
      </c>
      <c r="D177" s="96" t="s">
        <v>138</v>
      </c>
      <c r="E177" s="98">
        <v>100000.0</v>
      </c>
      <c r="F177" s="99">
        <v>0.002526818828</v>
      </c>
      <c r="G177" s="95" t="s">
        <v>134</v>
      </c>
      <c r="H177" s="102">
        <v>3951861.6270000003</v>
      </c>
      <c r="I177" s="95" t="s">
        <v>134</v>
      </c>
      <c r="J177" s="100">
        <v>9985.638364754313</v>
      </c>
      <c r="K177" s="81"/>
    </row>
    <row r="178" ht="13.5" hidden="1" customHeight="1">
      <c r="A178" s="95" t="s">
        <v>71</v>
      </c>
      <c r="B178" s="95" t="s">
        <v>7</v>
      </c>
      <c r="C178" s="95" t="s">
        <v>140</v>
      </c>
      <c r="D178" s="96" t="s">
        <v>136</v>
      </c>
      <c r="E178" s="97">
        <v>1229425.454</v>
      </c>
      <c r="F178" s="103">
        <v>5.0E-4</v>
      </c>
      <c r="G178" s="95">
        <v>0.0</v>
      </c>
      <c r="H178" s="95">
        <v>3888362.9166878248</v>
      </c>
      <c r="I178" s="95">
        <v>0.0</v>
      </c>
      <c r="J178" s="95">
        <v>1944.1814583439125</v>
      </c>
      <c r="K178" s="81"/>
    </row>
    <row r="179" ht="13.5" hidden="1" customHeight="1">
      <c r="A179" s="95" t="s">
        <v>75</v>
      </c>
      <c r="B179" s="95" t="s">
        <v>8</v>
      </c>
      <c r="C179" s="95" t="s">
        <v>137</v>
      </c>
      <c r="D179" s="96" t="s">
        <v>138</v>
      </c>
      <c r="E179" s="98">
        <v>24000.0</v>
      </c>
      <c r="F179" s="99">
        <v>0.0386</v>
      </c>
      <c r="G179" s="95">
        <v>0.0155</v>
      </c>
      <c r="H179" s="100">
        <v>3828121.1183999996</v>
      </c>
      <c r="I179" s="95">
        <v>59335.87733519999</v>
      </c>
      <c r="J179" s="100">
        <v>147765.47517023998</v>
      </c>
      <c r="K179" s="81"/>
    </row>
    <row r="180" ht="13.5" hidden="1" customHeight="1">
      <c r="A180" s="95" t="s">
        <v>76</v>
      </c>
      <c r="B180" s="95" t="s">
        <v>10</v>
      </c>
      <c r="C180" s="95" t="s">
        <v>152</v>
      </c>
      <c r="D180" s="96" t="s">
        <v>138</v>
      </c>
      <c r="E180" s="98">
        <v>30021.2821</v>
      </c>
      <c r="F180" s="100">
        <v>0.0635</v>
      </c>
      <c r="G180" s="100">
        <v>0.041</v>
      </c>
      <c r="H180" s="101">
        <v>3824667.724621365</v>
      </c>
      <c r="I180" s="100">
        <v>156811.37670947597</v>
      </c>
      <c r="J180" s="100">
        <v>242866.40051345667</v>
      </c>
      <c r="K180" s="81"/>
    </row>
    <row r="181" ht="13.5" hidden="1" customHeight="1">
      <c r="A181" s="95" t="s">
        <v>81</v>
      </c>
      <c r="B181" s="95" t="s">
        <v>132</v>
      </c>
      <c r="C181" s="95" t="s">
        <v>158</v>
      </c>
      <c r="D181" s="96" t="s">
        <v>139</v>
      </c>
      <c r="E181" s="97">
        <v>20374.71191</v>
      </c>
      <c r="F181" s="103">
        <v>0.0</v>
      </c>
      <c r="G181" s="95">
        <v>0.0453</v>
      </c>
      <c r="H181" s="95">
        <v>3821888.460077801</v>
      </c>
      <c r="I181" s="95">
        <v>173131.5472415244</v>
      </c>
      <c r="J181" s="95">
        <v>0.0</v>
      </c>
      <c r="K181" s="81"/>
    </row>
    <row r="182" ht="13.5" hidden="1" customHeight="1">
      <c r="A182" s="95" t="s">
        <v>64</v>
      </c>
      <c r="B182" s="95" t="s">
        <v>18</v>
      </c>
      <c r="C182" s="95" t="s">
        <v>153</v>
      </c>
      <c r="D182" s="96" t="s">
        <v>136</v>
      </c>
      <c r="E182" s="98">
        <v>25208.55608</v>
      </c>
      <c r="F182" s="99">
        <v>0.0</v>
      </c>
      <c r="G182" s="100">
        <v>0.0285</v>
      </c>
      <c r="H182" s="101">
        <v>3786789.7496756767</v>
      </c>
      <c r="I182" s="95">
        <v>107923.5078657568</v>
      </c>
      <c r="J182" s="100">
        <v>0.0</v>
      </c>
      <c r="K182" s="81"/>
    </row>
    <row r="183" ht="13.5" hidden="1" customHeight="1">
      <c r="A183" s="95" t="s">
        <v>88</v>
      </c>
      <c r="B183" s="95" t="s">
        <v>8</v>
      </c>
      <c r="C183" s="95" t="s">
        <v>137</v>
      </c>
      <c r="D183" s="96" t="s">
        <v>138</v>
      </c>
      <c r="E183" s="98">
        <v>946377.72</v>
      </c>
      <c r="F183" s="99">
        <v>0.1264</v>
      </c>
      <c r="G183" s="100" t="s">
        <v>134</v>
      </c>
      <c r="H183" s="101">
        <v>3777688.5201915</v>
      </c>
      <c r="I183" s="100" t="s">
        <v>134</v>
      </c>
      <c r="J183" s="100">
        <v>477499.82895220566</v>
      </c>
      <c r="K183" s="81"/>
    </row>
    <row r="184" ht="13.5" hidden="1" customHeight="1">
      <c r="A184" s="95" t="s">
        <v>56</v>
      </c>
      <c r="B184" s="95" t="s">
        <v>227</v>
      </c>
      <c r="C184" s="95" t="s">
        <v>228</v>
      </c>
      <c r="D184" s="96" t="s">
        <v>138</v>
      </c>
      <c r="E184" s="97">
        <v>952130.7943</v>
      </c>
      <c r="F184" s="95">
        <v>0.0</v>
      </c>
      <c r="G184" s="95">
        <v>0.0415</v>
      </c>
      <c r="H184" s="105">
        <v>3729136.7357488014</v>
      </c>
      <c r="I184" s="95">
        <v>154759.17453357528</v>
      </c>
      <c r="J184" s="95">
        <v>0.0</v>
      </c>
      <c r="K184" s="81"/>
    </row>
    <row r="185" ht="13.5" hidden="1" customHeight="1">
      <c r="A185" s="95" t="s">
        <v>61</v>
      </c>
      <c r="B185" s="95" t="s">
        <v>132</v>
      </c>
      <c r="C185" s="95" t="s">
        <v>144</v>
      </c>
      <c r="D185" s="96" t="s">
        <v>139</v>
      </c>
      <c r="E185" s="97">
        <v>201331.9213</v>
      </c>
      <c r="F185" s="103">
        <v>0.0</v>
      </c>
      <c r="G185" s="95">
        <v>0.0251</v>
      </c>
      <c r="H185" s="104">
        <v>3727275.358797499</v>
      </c>
      <c r="I185" s="95">
        <v>93554.61150581723</v>
      </c>
      <c r="J185" s="95">
        <v>0.0</v>
      </c>
      <c r="K185" s="81"/>
    </row>
    <row r="186" ht="13.5" hidden="1" customHeight="1">
      <c r="A186" s="95" t="s">
        <v>72</v>
      </c>
      <c r="B186" s="95" t="s">
        <v>132</v>
      </c>
      <c r="C186" s="95" t="s">
        <v>158</v>
      </c>
      <c r="D186" s="96" t="s">
        <v>139</v>
      </c>
      <c r="E186" s="98">
        <v>149219.182</v>
      </c>
      <c r="F186" s="99">
        <v>0.0</v>
      </c>
      <c r="G186" s="95">
        <v>0.0668</v>
      </c>
      <c r="H186" s="102">
        <v>3618926.7275467534</v>
      </c>
      <c r="I186" s="95">
        <v>241744.30540012312</v>
      </c>
      <c r="J186" s="100">
        <v>0.0</v>
      </c>
      <c r="K186" s="81"/>
    </row>
    <row r="187" ht="13.5" customHeight="1">
      <c r="A187" s="95" t="s">
        <v>55</v>
      </c>
      <c r="B187" s="95" t="s">
        <v>132</v>
      </c>
      <c r="C187" s="95" t="s">
        <v>213</v>
      </c>
      <c r="D187" s="96" t="s">
        <v>143</v>
      </c>
      <c r="E187" s="98">
        <v>3612221.334</v>
      </c>
      <c r="F187" s="100">
        <v>0.0</v>
      </c>
      <c r="G187" s="95">
        <v>0.0959</v>
      </c>
      <c r="H187" s="100">
        <v>3612221.334</v>
      </c>
      <c r="I187" s="95">
        <v>346412.02593059995</v>
      </c>
      <c r="J187" s="100">
        <v>0.0</v>
      </c>
      <c r="K187" s="81"/>
    </row>
    <row r="188" ht="13.5" hidden="1" customHeight="1">
      <c r="A188" s="95" t="s">
        <v>53</v>
      </c>
      <c r="B188" s="95" t="s">
        <v>10</v>
      </c>
      <c r="C188" s="95" t="s">
        <v>229</v>
      </c>
      <c r="D188" s="96" t="s">
        <v>136</v>
      </c>
      <c r="E188" s="98">
        <v>76.87174454</v>
      </c>
      <c r="F188" s="99">
        <v>0.0</v>
      </c>
      <c r="G188" s="100">
        <v>0.0298</v>
      </c>
      <c r="H188" s="101">
        <v>3560286.4273487083</v>
      </c>
      <c r="I188" s="100">
        <v>106096.5355349915</v>
      </c>
      <c r="J188" s="100">
        <v>0.0</v>
      </c>
      <c r="K188" s="81"/>
    </row>
    <row r="189" ht="13.5" hidden="1" customHeight="1">
      <c r="A189" s="95" t="s">
        <v>74</v>
      </c>
      <c r="B189" s="95" t="s">
        <v>132</v>
      </c>
      <c r="C189" s="95" t="s">
        <v>158</v>
      </c>
      <c r="D189" s="96" t="s">
        <v>139</v>
      </c>
      <c r="E189" s="98">
        <v>3278572.989</v>
      </c>
      <c r="F189" s="100">
        <v>0.0</v>
      </c>
      <c r="G189" s="95">
        <v>0.0097</v>
      </c>
      <c r="H189" s="104">
        <v>3536278.3305184953</v>
      </c>
      <c r="I189" s="95">
        <v>34301.8998060294</v>
      </c>
      <c r="J189" s="100">
        <v>0.0</v>
      </c>
      <c r="K189" s="81"/>
    </row>
    <row r="190" ht="13.5" hidden="1" customHeight="1">
      <c r="A190" s="95" t="s">
        <v>70</v>
      </c>
      <c r="B190" s="95" t="s">
        <v>8</v>
      </c>
      <c r="C190" s="95" t="s">
        <v>137</v>
      </c>
      <c r="D190" s="96" t="s">
        <v>138</v>
      </c>
      <c r="E190" s="97">
        <v>19620.65</v>
      </c>
      <c r="F190" s="95">
        <v>0.0659</v>
      </c>
      <c r="G190" s="95">
        <v>0.0385</v>
      </c>
      <c r="H190" s="95">
        <v>3397587.01096514</v>
      </c>
      <c r="I190" s="95">
        <v>130807.0999221579</v>
      </c>
      <c r="J190" s="95">
        <v>223900.98402260273</v>
      </c>
      <c r="K190" s="81"/>
    </row>
    <row r="191" ht="13.5" hidden="1" customHeight="1">
      <c r="A191" s="95" t="s">
        <v>73</v>
      </c>
      <c r="B191" s="95" t="s">
        <v>10</v>
      </c>
      <c r="C191" s="95" t="s">
        <v>152</v>
      </c>
      <c r="D191" s="96" t="s">
        <v>138</v>
      </c>
      <c r="E191" s="98">
        <v>1040591.646</v>
      </c>
      <c r="F191" s="100">
        <v>0.0662</v>
      </c>
      <c r="G191" s="100">
        <v>0.0288</v>
      </c>
      <c r="H191" s="101">
        <v>3355694.089814566</v>
      </c>
      <c r="I191" s="100">
        <v>96643.9897866595</v>
      </c>
      <c r="J191" s="100">
        <v>222146.94874572425</v>
      </c>
      <c r="K191" s="81"/>
    </row>
    <row r="192" ht="13.5" customHeight="1">
      <c r="A192" s="95" t="s">
        <v>55</v>
      </c>
      <c r="B192" s="95" t="s">
        <v>132</v>
      </c>
      <c r="C192" s="95" t="s">
        <v>195</v>
      </c>
      <c r="D192" s="96" t="s">
        <v>143</v>
      </c>
      <c r="E192" s="98">
        <v>3330333.198</v>
      </c>
      <c r="F192" s="100">
        <v>0.0</v>
      </c>
      <c r="G192" s="95">
        <v>0.0959</v>
      </c>
      <c r="H192" s="101">
        <v>3330333.198</v>
      </c>
      <c r="I192" s="95">
        <v>319378.9536882</v>
      </c>
      <c r="J192" s="100">
        <v>0.0</v>
      </c>
      <c r="K192" s="81"/>
    </row>
    <row r="193" ht="13.5" hidden="1" customHeight="1">
      <c r="A193" s="95" t="s">
        <v>146</v>
      </c>
      <c r="B193" s="95" t="s">
        <v>9</v>
      </c>
      <c r="C193" s="95" t="s">
        <v>186</v>
      </c>
      <c r="D193" s="96" t="s">
        <v>143</v>
      </c>
      <c r="E193" s="97">
        <v>70.07313539</v>
      </c>
      <c r="F193" s="103">
        <v>0.029</v>
      </c>
      <c r="G193" s="95">
        <v>0.0298</v>
      </c>
      <c r="H193" s="95">
        <v>3244724.8523415495</v>
      </c>
      <c r="I193" s="95">
        <v>96692.80059977817</v>
      </c>
      <c r="J193" s="95">
        <v>94097.02071790495</v>
      </c>
      <c r="K193" s="81"/>
    </row>
    <row r="194" ht="13.5" hidden="1" customHeight="1">
      <c r="A194" s="95" t="s">
        <v>70</v>
      </c>
      <c r="B194" s="95" t="s">
        <v>7</v>
      </c>
      <c r="C194" s="95" t="s">
        <v>140</v>
      </c>
      <c r="D194" s="96" t="s">
        <v>136</v>
      </c>
      <c r="E194" s="98">
        <v>18071.99252</v>
      </c>
      <c r="F194" s="99">
        <v>0.001</v>
      </c>
      <c r="G194" s="100">
        <v>0.0</v>
      </c>
      <c r="H194" s="101">
        <v>3129415.54169771</v>
      </c>
      <c r="I194" s="100">
        <v>0.0</v>
      </c>
      <c r="J194" s="100">
        <v>3129.41554169771</v>
      </c>
      <c r="K194" s="81"/>
    </row>
    <row r="195" ht="13.5" hidden="1" customHeight="1">
      <c r="A195" s="95" t="s">
        <v>87</v>
      </c>
      <c r="B195" s="95" t="s">
        <v>190</v>
      </c>
      <c r="C195" s="95" t="s">
        <v>230</v>
      </c>
      <c r="D195" s="96" t="s">
        <v>143</v>
      </c>
      <c r="E195" s="98">
        <v>581551.654</v>
      </c>
      <c r="F195" s="99">
        <v>0.0909</v>
      </c>
      <c r="G195" s="100">
        <v>0.0396</v>
      </c>
      <c r="H195" s="101">
        <v>3045238.0173037625</v>
      </c>
      <c r="I195" s="100">
        <v>120591.425485229</v>
      </c>
      <c r="J195" s="100">
        <v>276812.135772912</v>
      </c>
      <c r="K195" s="81"/>
    </row>
    <row r="196" ht="13.5" hidden="1" customHeight="1">
      <c r="A196" s="95" t="s">
        <v>89</v>
      </c>
      <c r="B196" s="95" t="s">
        <v>10</v>
      </c>
      <c r="C196" s="95" t="s">
        <v>152</v>
      </c>
      <c r="D196" s="96" t="s">
        <v>138</v>
      </c>
      <c r="E196" s="98">
        <v>24942.14147</v>
      </c>
      <c r="F196" s="100">
        <v>0.0489</v>
      </c>
      <c r="G196" s="100">
        <v>0.0183</v>
      </c>
      <c r="H196" s="101">
        <v>3034959.7740696</v>
      </c>
      <c r="I196" s="100">
        <v>55539.76386547368</v>
      </c>
      <c r="J196" s="100">
        <v>148409.5329520034</v>
      </c>
      <c r="K196" s="81"/>
    </row>
    <row r="197" ht="13.5" hidden="1" customHeight="1">
      <c r="A197" s="95" t="s">
        <v>90</v>
      </c>
      <c r="B197" s="95" t="s">
        <v>9</v>
      </c>
      <c r="C197" s="95" t="s">
        <v>186</v>
      </c>
      <c r="D197" s="96" t="s">
        <v>143</v>
      </c>
      <c r="E197" s="98">
        <v>209687.8748</v>
      </c>
      <c r="F197" s="100">
        <v>0.0</v>
      </c>
      <c r="G197" s="95" t="s">
        <v>134</v>
      </c>
      <c r="H197" s="101">
        <v>3028293.074161632</v>
      </c>
      <c r="I197" s="95" t="s">
        <v>134</v>
      </c>
      <c r="J197" s="100">
        <v>0.0</v>
      </c>
      <c r="K197" s="81"/>
    </row>
    <row r="198" ht="13.5" hidden="1" customHeight="1">
      <c r="A198" s="95" t="s">
        <v>69</v>
      </c>
      <c r="B198" s="95" t="s">
        <v>15</v>
      </c>
      <c r="C198" s="95" t="s">
        <v>142</v>
      </c>
      <c r="D198" s="96" t="s">
        <v>143</v>
      </c>
      <c r="E198" s="98">
        <v>205145.3176</v>
      </c>
      <c r="F198" s="100">
        <v>0.00876</v>
      </c>
      <c r="G198" s="100">
        <v>0.0228</v>
      </c>
      <c r="H198" s="101">
        <v>2962344.2607399216</v>
      </c>
      <c r="I198" s="100">
        <v>67541.44914487022</v>
      </c>
      <c r="J198" s="100">
        <v>25950.135724081716</v>
      </c>
      <c r="K198" s="81"/>
    </row>
    <row r="199" ht="13.5" hidden="1" customHeight="1">
      <c r="A199" s="95" t="s">
        <v>86</v>
      </c>
      <c r="B199" s="95" t="s">
        <v>8</v>
      </c>
      <c r="C199" s="95" t="s">
        <v>137</v>
      </c>
      <c r="D199" s="96" t="s">
        <v>138</v>
      </c>
      <c r="E199" s="97">
        <v>490000.0</v>
      </c>
      <c r="F199" s="103">
        <v>0.0694</v>
      </c>
      <c r="G199" s="95">
        <v>0.0042</v>
      </c>
      <c r="H199" s="104">
        <v>2823468.26566</v>
      </c>
      <c r="I199" s="95">
        <v>11858.566715772</v>
      </c>
      <c r="J199" s="95">
        <v>195948.69763680402</v>
      </c>
      <c r="K199" s="81"/>
    </row>
    <row r="200" ht="13.5" hidden="1" customHeight="1">
      <c r="A200" s="95" t="s">
        <v>74</v>
      </c>
      <c r="B200" s="95" t="s">
        <v>7</v>
      </c>
      <c r="C200" s="95" t="s">
        <v>140</v>
      </c>
      <c r="D200" s="96" t="s">
        <v>136</v>
      </c>
      <c r="E200" s="98">
        <v>2500000.0</v>
      </c>
      <c r="F200" s="100">
        <v>0.022</v>
      </c>
      <c r="G200" s="100">
        <v>0.0</v>
      </c>
      <c r="H200" s="101">
        <v>2696507.2475</v>
      </c>
      <c r="I200" s="100">
        <v>0.0</v>
      </c>
      <c r="J200" s="100">
        <v>59323.159445</v>
      </c>
      <c r="K200" s="81"/>
    </row>
    <row r="201" ht="13.5" hidden="1" customHeight="1">
      <c r="A201" s="95" t="s">
        <v>73</v>
      </c>
      <c r="B201" s="95" t="s">
        <v>132</v>
      </c>
      <c r="C201" s="95" t="s">
        <v>158</v>
      </c>
      <c r="D201" s="96" t="s">
        <v>139</v>
      </c>
      <c r="E201" s="98">
        <v>833608.7767</v>
      </c>
      <c r="F201" s="99">
        <v>0.0</v>
      </c>
      <c r="G201" s="100">
        <v>0.0288</v>
      </c>
      <c r="H201" s="101">
        <v>2688216.8965536174</v>
      </c>
      <c r="I201" s="100">
        <v>77420.64662074418</v>
      </c>
      <c r="J201" s="100">
        <v>0.0</v>
      </c>
      <c r="K201" s="81"/>
    </row>
    <row r="202" ht="13.5" hidden="1" customHeight="1">
      <c r="A202" s="95" t="s">
        <v>65</v>
      </c>
      <c r="B202" s="95" t="s">
        <v>15</v>
      </c>
      <c r="C202" s="95" t="s">
        <v>142</v>
      </c>
      <c r="D202" s="96" t="s">
        <v>143</v>
      </c>
      <c r="E202" s="98">
        <v>5134.872147</v>
      </c>
      <c r="F202" s="100" t="s">
        <v>134</v>
      </c>
      <c r="G202" s="100">
        <v>0.0581</v>
      </c>
      <c r="H202" s="101">
        <v>2670658.9453133647</v>
      </c>
      <c r="I202" s="100">
        <v>155165.28472270648</v>
      </c>
      <c r="J202" s="100" t="s">
        <v>134</v>
      </c>
      <c r="K202" s="81"/>
    </row>
    <row r="203" ht="13.5" hidden="1" customHeight="1">
      <c r="A203" s="95" t="s">
        <v>79</v>
      </c>
      <c r="B203" s="95" t="s">
        <v>9</v>
      </c>
      <c r="C203" s="95" t="s">
        <v>174</v>
      </c>
      <c r="D203" s="96" t="s">
        <v>143</v>
      </c>
      <c r="E203" s="98">
        <v>842690.4509</v>
      </c>
      <c r="F203" s="100">
        <v>0.4801</v>
      </c>
      <c r="G203" s="100">
        <v>0.0595</v>
      </c>
      <c r="H203" s="102">
        <v>2667932.2697041</v>
      </c>
      <c r="I203" s="95">
        <v>158741.97004739396</v>
      </c>
      <c r="J203" s="100">
        <v>1280874.2826849385</v>
      </c>
      <c r="K203" s="81"/>
    </row>
    <row r="204" ht="13.5" hidden="1" customHeight="1">
      <c r="A204" s="95" t="s">
        <v>80</v>
      </c>
      <c r="B204" s="95" t="s">
        <v>8</v>
      </c>
      <c r="C204" s="95" t="s">
        <v>137</v>
      </c>
      <c r="D204" s="96" t="s">
        <v>138</v>
      </c>
      <c r="E204" s="98">
        <v>3500000.0</v>
      </c>
      <c r="F204" s="100">
        <v>0.0557</v>
      </c>
      <c r="G204" s="95">
        <v>0.0169</v>
      </c>
      <c r="H204" s="101">
        <v>2618944.34865</v>
      </c>
      <c r="I204" s="100">
        <v>44260.159492185</v>
      </c>
      <c r="J204" s="100">
        <v>145875.200219805</v>
      </c>
      <c r="K204" s="81"/>
    </row>
    <row r="205" ht="13.5" hidden="1" customHeight="1">
      <c r="A205" s="95" t="s">
        <v>63</v>
      </c>
      <c r="B205" s="95" t="s">
        <v>10</v>
      </c>
      <c r="C205" s="95" t="s">
        <v>152</v>
      </c>
      <c r="D205" s="96" t="s">
        <v>138</v>
      </c>
      <c r="E205" s="98">
        <v>34627.44661</v>
      </c>
      <c r="F205" s="100">
        <v>0.076</v>
      </c>
      <c r="G205" s="99">
        <v>0.0488</v>
      </c>
      <c r="H205" s="100">
        <v>2615580.728368746</v>
      </c>
      <c r="I205" s="95">
        <v>127640.33954439482</v>
      </c>
      <c r="J205" s="100">
        <v>198784.1353560247</v>
      </c>
      <c r="K205" s="81"/>
    </row>
    <row r="206" ht="13.5" hidden="1" customHeight="1">
      <c r="A206" s="95" t="s">
        <v>91</v>
      </c>
      <c r="B206" s="95" t="s">
        <v>132</v>
      </c>
      <c r="C206" s="95" t="s">
        <v>158</v>
      </c>
      <c r="D206" s="96" t="s">
        <v>139</v>
      </c>
      <c r="E206" s="97">
        <v>3317320.317</v>
      </c>
      <c r="F206" s="103">
        <v>0.0</v>
      </c>
      <c r="G206" s="95" t="s">
        <v>134</v>
      </c>
      <c r="H206" s="104">
        <v>2566942.4612946</v>
      </c>
      <c r="I206" s="95" t="s">
        <v>134</v>
      </c>
      <c r="J206" s="108">
        <v>0.0</v>
      </c>
      <c r="K206" s="81"/>
    </row>
    <row r="207" ht="13.5" hidden="1" customHeight="1">
      <c r="A207" s="95" t="s">
        <v>76</v>
      </c>
      <c r="B207" s="95" t="s">
        <v>132</v>
      </c>
      <c r="C207" s="95" t="s">
        <v>158</v>
      </c>
      <c r="D207" s="96" t="s">
        <v>139</v>
      </c>
      <c r="E207" s="98">
        <v>19628.22645</v>
      </c>
      <c r="F207" s="100">
        <v>0.0</v>
      </c>
      <c r="G207" s="100">
        <v>0.041</v>
      </c>
      <c r="H207" s="100">
        <v>2500607.533842613</v>
      </c>
      <c r="I207" s="100">
        <v>102524.90888754714</v>
      </c>
      <c r="J207" s="100">
        <v>0.0</v>
      </c>
      <c r="K207" s="81"/>
    </row>
    <row r="208" ht="13.5" hidden="1" customHeight="1">
      <c r="A208" s="95" t="s">
        <v>209</v>
      </c>
      <c r="B208" s="95" t="s">
        <v>10</v>
      </c>
      <c r="C208" s="95" t="s">
        <v>221</v>
      </c>
      <c r="D208" s="96" t="s">
        <v>138</v>
      </c>
      <c r="E208" s="97">
        <v>14166.48839</v>
      </c>
      <c r="F208" s="103">
        <v>-0.0295482322</v>
      </c>
      <c r="G208" s="95" t="s">
        <v>134</v>
      </c>
      <c r="H208" s="104">
        <v>2487913.2752032885</v>
      </c>
      <c r="I208" s="95" t="s">
        <v>134</v>
      </c>
      <c r="J208" s="108">
        <v>-73513.43914916927</v>
      </c>
      <c r="K208" s="81"/>
    </row>
    <row r="209" ht="13.5" hidden="1" customHeight="1">
      <c r="A209" s="95" t="s">
        <v>72</v>
      </c>
      <c r="B209" s="95" t="s">
        <v>18</v>
      </c>
      <c r="C209" s="95" t="s">
        <v>183</v>
      </c>
      <c r="D209" s="96" t="s">
        <v>136</v>
      </c>
      <c r="E209" s="97">
        <v>100000.0</v>
      </c>
      <c r="F209" s="103">
        <v>0.0</v>
      </c>
      <c r="G209" s="95">
        <v>0.0668</v>
      </c>
      <c r="H209" s="95">
        <v>2425242.304</v>
      </c>
      <c r="I209" s="95">
        <v>162006.1859072</v>
      </c>
      <c r="J209" s="95">
        <v>0.0</v>
      </c>
      <c r="K209" s="81"/>
      <c r="L209" s="109"/>
      <c r="M209" s="110"/>
    </row>
    <row r="210" ht="13.5" hidden="1" customHeight="1">
      <c r="A210" s="95" t="s">
        <v>80</v>
      </c>
      <c r="B210" s="95" t="s">
        <v>7</v>
      </c>
      <c r="C210" s="95" t="s">
        <v>140</v>
      </c>
      <c r="D210" s="96" t="s">
        <v>136</v>
      </c>
      <c r="E210" s="98">
        <v>3238004.484</v>
      </c>
      <c r="F210" s="99">
        <v>0.02</v>
      </c>
      <c r="G210" s="95">
        <v>0.0</v>
      </c>
      <c r="H210" s="101">
        <v>2422901.0126500456</v>
      </c>
      <c r="I210" s="95">
        <v>0.0</v>
      </c>
      <c r="J210" s="100">
        <v>48458.02025300091</v>
      </c>
      <c r="K210" s="81"/>
    </row>
    <row r="211" ht="13.5" customHeight="1">
      <c r="A211" s="95" t="s">
        <v>55</v>
      </c>
      <c r="B211" s="95" t="s">
        <v>132</v>
      </c>
      <c r="C211" s="95" t="s">
        <v>166</v>
      </c>
      <c r="D211" s="96" t="s">
        <v>139</v>
      </c>
      <c r="E211" s="98">
        <v>2394915.4669000003</v>
      </c>
      <c r="F211" s="99">
        <v>0.0</v>
      </c>
      <c r="G211" s="95">
        <v>0.0959</v>
      </c>
      <c r="H211" s="101">
        <v>2394915.4669000003</v>
      </c>
      <c r="I211" s="95">
        <v>229672.39327571003</v>
      </c>
      <c r="J211" s="100">
        <v>0.0</v>
      </c>
      <c r="K211" s="81"/>
    </row>
    <row r="212" ht="13.5" hidden="1" customHeight="1">
      <c r="A212" s="95" t="s">
        <v>53</v>
      </c>
      <c r="B212" s="95" t="s">
        <v>9</v>
      </c>
      <c r="C212" s="95" t="s">
        <v>231</v>
      </c>
      <c r="D212" s="96" t="s">
        <v>143</v>
      </c>
      <c r="E212" s="97">
        <v>51.26</v>
      </c>
      <c r="F212" s="103">
        <v>0.0357</v>
      </c>
      <c r="G212" s="95">
        <v>0.0298</v>
      </c>
      <c r="H212" s="104">
        <v>2374087.9481527996</v>
      </c>
      <c r="I212" s="95">
        <v>70747.82085495343</v>
      </c>
      <c r="J212" s="95">
        <v>84754.93974905496</v>
      </c>
      <c r="K212" s="81"/>
    </row>
    <row r="213" ht="13.5" hidden="1" customHeight="1">
      <c r="A213" s="95" t="s">
        <v>92</v>
      </c>
      <c r="B213" s="95" t="s">
        <v>132</v>
      </c>
      <c r="C213" s="95" t="s">
        <v>158</v>
      </c>
      <c r="D213" s="96" t="s">
        <v>139</v>
      </c>
      <c r="E213" s="98">
        <v>1.731940548E7</v>
      </c>
      <c r="F213" s="100">
        <v>0.0</v>
      </c>
      <c r="G213" s="100" t="s">
        <v>134</v>
      </c>
      <c r="H213" s="101">
        <v>2220347.782536</v>
      </c>
      <c r="I213" s="100" t="s">
        <v>134</v>
      </c>
      <c r="J213" s="100">
        <v>0.0</v>
      </c>
      <c r="K213" s="81"/>
    </row>
    <row r="214" ht="13.5" hidden="1" customHeight="1">
      <c r="A214" s="95" t="s">
        <v>67</v>
      </c>
      <c r="B214" s="95" t="s">
        <v>132</v>
      </c>
      <c r="C214" s="95" t="s">
        <v>158</v>
      </c>
      <c r="D214" s="96" t="s">
        <v>139</v>
      </c>
      <c r="E214" s="98">
        <v>441526.5654</v>
      </c>
      <c r="F214" s="99">
        <v>0.0</v>
      </c>
      <c r="G214" s="100">
        <v>0.1339</v>
      </c>
      <c r="H214" s="102">
        <v>2190049.8183332845</v>
      </c>
      <c r="I214" s="100">
        <v>293247.6706748268</v>
      </c>
      <c r="J214" s="100">
        <v>0.0</v>
      </c>
      <c r="K214" s="81"/>
    </row>
    <row r="215" ht="13.5" hidden="1" customHeight="1">
      <c r="A215" s="95" t="s">
        <v>196</v>
      </c>
      <c r="B215" s="95" t="s">
        <v>9</v>
      </c>
      <c r="C215" s="95" t="s">
        <v>220</v>
      </c>
      <c r="D215" s="96" t="s">
        <v>143</v>
      </c>
      <c r="E215" s="98">
        <v>1889324.636</v>
      </c>
      <c r="F215" s="100">
        <v>0.0</v>
      </c>
      <c r="G215" s="100" t="s">
        <v>134</v>
      </c>
      <c r="H215" s="101">
        <v>1927111.12872</v>
      </c>
      <c r="I215" s="100" t="s">
        <v>134</v>
      </c>
      <c r="J215" s="100">
        <v>0.0</v>
      </c>
      <c r="K215" s="81"/>
    </row>
    <row r="216" ht="13.5" hidden="1" customHeight="1">
      <c r="A216" s="95" t="s">
        <v>54</v>
      </c>
      <c r="B216" s="95" t="s">
        <v>10</v>
      </c>
      <c r="C216" s="95" t="s">
        <v>226</v>
      </c>
      <c r="D216" s="96" t="s">
        <v>138</v>
      </c>
      <c r="E216" s="97">
        <v>496.1742353</v>
      </c>
      <c r="F216" s="95">
        <v>0.002526818828</v>
      </c>
      <c r="G216" s="95">
        <v>0.0384</v>
      </c>
      <c r="H216" s="104">
        <v>1895224.5861842209</v>
      </c>
      <c r="I216" s="95">
        <v>72776.62410947407</v>
      </c>
      <c r="J216" s="95">
        <v>4788.889167658797</v>
      </c>
      <c r="K216" s="81"/>
    </row>
    <row r="217" ht="13.5" hidden="1" customHeight="1">
      <c r="A217" s="95" t="s">
        <v>82</v>
      </c>
      <c r="B217" s="95" t="s">
        <v>8</v>
      </c>
      <c r="C217" s="95" t="s">
        <v>137</v>
      </c>
      <c r="D217" s="96" t="s">
        <v>138</v>
      </c>
      <c r="E217" s="98">
        <v>55000.0</v>
      </c>
      <c r="F217" s="99">
        <v>0.05</v>
      </c>
      <c r="G217" s="99">
        <v>0.0298</v>
      </c>
      <c r="H217" s="102">
        <v>1886202.8317</v>
      </c>
      <c r="I217" s="95">
        <v>56208.84438466</v>
      </c>
      <c r="J217" s="100">
        <v>94310.141585</v>
      </c>
      <c r="K217" s="81"/>
    </row>
    <row r="218" ht="13.5" hidden="1" customHeight="1">
      <c r="A218" s="95" t="s">
        <v>71</v>
      </c>
      <c r="B218" s="95" t="s">
        <v>132</v>
      </c>
      <c r="C218" s="95" t="s">
        <v>158</v>
      </c>
      <c r="D218" s="96" t="s">
        <v>139</v>
      </c>
      <c r="E218" s="98">
        <v>584694.2197</v>
      </c>
      <c r="F218" s="100">
        <v>0.0</v>
      </c>
      <c r="G218" s="95">
        <v>0.0042</v>
      </c>
      <c r="H218" s="101">
        <v>1849240.4839075375</v>
      </c>
      <c r="I218" s="95">
        <v>7766.810032411657</v>
      </c>
      <c r="J218" s="100">
        <v>0.0</v>
      </c>
      <c r="K218" s="81"/>
    </row>
    <row r="219" ht="13.5" hidden="1" customHeight="1">
      <c r="A219" s="95" t="s">
        <v>232</v>
      </c>
      <c r="B219" s="95" t="s">
        <v>10</v>
      </c>
      <c r="C219" s="95" t="s">
        <v>159</v>
      </c>
      <c r="D219" s="96" t="s">
        <v>138</v>
      </c>
      <c r="E219" s="98">
        <v>553246.6943</v>
      </c>
      <c r="F219" s="100">
        <v>0.04294812889</v>
      </c>
      <c r="G219" s="100" t="s">
        <v>134</v>
      </c>
      <c r="H219" s="101">
        <v>1839722.127089694</v>
      </c>
      <c r="I219" s="100" t="s">
        <v>134</v>
      </c>
      <c r="J219" s="100">
        <v>79012.62303603314</v>
      </c>
      <c r="K219" s="81"/>
    </row>
    <row r="220" ht="13.5" hidden="1" customHeight="1">
      <c r="A220" s="95" t="s">
        <v>54</v>
      </c>
      <c r="B220" s="95" t="s">
        <v>10</v>
      </c>
      <c r="C220" s="95" t="s">
        <v>229</v>
      </c>
      <c r="D220" s="96" t="s">
        <v>136</v>
      </c>
      <c r="E220" s="97">
        <v>476.836941</v>
      </c>
      <c r="F220" s="103">
        <v>0.0</v>
      </c>
      <c r="G220" s="95">
        <v>0.0384</v>
      </c>
      <c r="H220" s="95">
        <v>1821362.3962914278</v>
      </c>
      <c r="I220" s="95">
        <v>69940.31601759083</v>
      </c>
      <c r="J220" s="95">
        <v>0.0</v>
      </c>
      <c r="K220" s="81"/>
    </row>
    <row r="221" ht="13.5" hidden="1" customHeight="1">
      <c r="A221" s="95" t="s">
        <v>96</v>
      </c>
      <c r="B221" s="95" t="s">
        <v>8</v>
      </c>
      <c r="C221" s="95" t="s">
        <v>137</v>
      </c>
      <c r="D221" s="96" t="s">
        <v>138</v>
      </c>
      <c r="E221" s="98">
        <v>50.86</v>
      </c>
      <c r="F221" s="100">
        <v>0.0831</v>
      </c>
      <c r="G221" s="95" t="s">
        <v>134</v>
      </c>
      <c r="H221" s="101">
        <v>1798275.6444234</v>
      </c>
      <c r="I221" s="95" t="s">
        <v>134</v>
      </c>
      <c r="J221" s="100">
        <v>149436.70605158454</v>
      </c>
      <c r="K221" s="81"/>
    </row>
    <row r="222" ht="13.5" hidden="1" customHeight="1">
      <c r="A222" s="95" t="s">
        <v>76</v>
      </c>
      <c r="B222" s="95" t="s">
        <v>8</v>
      </c>
      <c r="C222" s="95" t="s">
        <v>137</v>
      </c>
      <c r="D222" s="96" t="s">
        <v>138</v>
      </c>
      <c r="E222" s="97">
        <v>14000.0</v>
      </c>
      <c r="F222" s="95">
        <v>0.0425</v>
      </c>
      <c r="G222" s="100">
        <v>0.041</v>
      </c>
      <c r="H222" s="104">
        <v>1783579.6608</v>
      </c>
      <c r="I222" s="95">
        <v>73126.7660928</v>
      </c>
      <c r="J222" s="95">
        <v>75802.135584</v>
      </c>
      <c r="K222" s="81"/>
    </row>
    <row r="223" ht="13.5" hidden="1" customHeight="1">
      <c r="A223" s="95" t="s">
        <v>81</v>
      </c>
      <c r="B223" s="95" t="s">
        <v>8</v>
      </c>
      <c r="C223" s="95" t="s">
        <v>137</v>
      </c>
      <c r="D223" s="96" t="s">
        <v>138</v>
      </c>
      <c r="E223" s="97">
        <v>9413.3</v>
      </c>
      <c r="F223" s="95">
        <v>0.0704</v>
      </c>
      <c r="G223" s="95">
        <v>0.0453</v>
      </c>
      <c r="H223" s="104">
        <v>1765746.814</v>
      </c>
      <c r="I223" s="95">
        <v>79988.3306742</v>
      </c>
      <c r="J223" s="95">
        <v>124308.57570560001</v>
      </c>
      <c r="K223" s="81"/>
    </row>
    <row r="224" ht="13.5" hidden="1" customHeight="1">
      <c r="A224" s="95" t="s">
        <v>146</v>
      </c>
      <c r="B224" s="95" t="s">
        <v>132</v>
      </c>
      <c r="C224" s="95" t="s">
        <v>158</v>
      </c>
      <c r="D224" s="96" t="s">
        <v>139</v>
      </c>
      <c r="E224" s="98">
        <v>37.83624189</v>
      </c>
      <c r="F224" s="100">
        <v>0.0</v>
      </c>
      <c r="G224" s="100">
        <v>0.0298</v>
      </c>
      <c r="H224" s="101">
        <v>1752000.8730365646</v>
      </c>
      <c r="I224" s="100">
        <v>52209.62601648962</v>
      </c>
      <c r="J224" s="100">
        <v>0.0</v>
      </c>
      <c r="K224" s="81"/>
    </row>
    <row r="225" ht="13.5" hidden="1" customHeight="1">
      <c r="A225" s="95" t="s">
        <v>70</v>
      </c>
      <c r="B225" s="95" t="s">
        <v>132</v>
      </c>
      <c r="C225" s="95" t="s">
        <v>158</v>
      </c>
      <c r="D225" s="96" t="s">
        <v>139</v>
      </c>
      <c r="E225" s="98">
        <v>9992.236972</v>
      </c>
      <c r="F225" s="99">
        <v>0.0</v>
      </c>
      <c r="G225" s="95">
        <v>0.0385</v>
      </c>
      <c r="H225" s="102">
        <v>1730294.0802956498</v>
      </c>
      <c r="I225" s="95">
        <v>66616.32209138252</v>
      </c>
      <c r="J225" s="100">
        <v>0.0</v>
      </c>
      <c r="K225" s="81"/>
    </row>
    <row r="226" ht="13.5" hidden="1" customHeight="1">
      <c r="A226" s="95" t="s">
        <v>72</v>
      </c>
      <c r="B226" s="95" t="s">
        <v>11</v>
      </c>
      <c r="C226" s="95" t="s">
        <v>164</v>
      </c>
      <c r="D226" s="96" t="s">
        <v>136</v>
      </c>
      <c r="E226" s="98">
        <v>70714.33604</v>
      </c>
      <c r="F226" s="99">
        <v>0.1</v>
      </c>
      <c r="G226" s="100">
        <v>0.0668</v>
      </c>
      <c r="H226" s="102">
        <v>1714993.9926347982</v>
      </c>
      <c r="I226" s="100">
        <v>114561.59870800452</v>
      </c>
      <c r="J226" s="100">
        <v>171499.39926347983</v>
      </c>
      <c r="K226" s="81"/>
    </row>
    <row r="227" ht="13.5" hidden="1" customHeight="1">
      <c r="A227" s="95" t="s">
        <v>55</v>
      </c>
      <c r="B227" s="95" t="s">
        <v>10</v>
      </c>
      <c r="C227" s="95" t="s">
        <v>224</v>
      </c>
      <c r="D227" s="96" t="s">
        <v>138</v>
      </c>
      <c r="E227" s="98">
        <v>1691244.926</v>
      </c>
      <c r="F227" s="99">
        <v>0.0</v>
      </c>
      <c r="G227" s="100">
        <v>0.0959</v>
      </c>
      <c r="H227" s="101">
        <v>1691244.926</v>
      </c>
      <c r="I227" s="100">
        <v>162190.3884034</v>
      </c>
      <c r="J227" s="100">
        <v>0.0</v>
      </c>
      <c r="K227" s="81"/>
    </row>
    <row r="228" ht="13.5" hidden="1" customHeight="1">
      <c r="A228" s="95" t="s">
        <v>71</v>
      </c>
      <c r="B228" s="95" t="s">
        <v>10</v>
      </c>
      <c r="C228" s="95" t="s">
        <v>159</v>
      </c>
      <c r="D228" s="96" t="s">
        <v>138</v>
      </c>
      <c r="E228" s="97">
        <v>500014.1404</v>
      </c>
      <c r="F228" s="103">
        <v>0.04294812889</v>
      </c>
      <c r="G228" s="95">
        <v>0.0042</v>
      </c>
      <c r="H228" s="104">
        <v>1581418.7310220597</v>
      </c>
      <c r="I228" s="95">
        <v>6641.95867029265</v>
      </c>
      <c r="J228" s="95">
        <v>67918.97548899565</v>
      </c>
      <c r="K228" s="81"/>
    </row>
    <row r="229" ht="13.5" hidden="1" customHeight="1">
      <c r="A229" s="95" t="s">
        <v>69</v>
      </c>
      <c r="B229" s="95" t="s">
        <v>132</v>
      </c>
      <c r="C229" s="95" t="s">
        <v>158</v>
      </c>
      <c r="D229" s="96" t="s">
        <v>139</v>
      </c>
      <c r="E229" s="98">
        <v>108711.456</v>
      </c>
      <c r="F229" s="99">
        <v>0.0</v>
      </c>
      <c r="G229" s="100">
        <v>0.0228</v>
      </c>
      <c r="H229" s="101">
        <v>1569817.7346957908</v>
      </c>
      <c r="I229" s="95">
        <v>35791.84435106403</v>
      </c>
      <c r="J229" s="100">
        <v>0.0</v>
      </c>
      <c r="K229" s="81"/>
    </row>
    <row r="230" ht="13.5" hidden="1" customHeight="1">
      <c r="A230" s="95" t="s">
        <v>64</v>
      </c>
      <c r="B230" s="95" t="s">
        <v>132</v>
      </c>
      <c r="C230" s="95" t="s">
        <v>144</v>
      </c>
      <c r="D230" s="96" t="s">
        <v>139</v>
      </c>
      <c r="E230" s="98">
        <v>10404.58272</v>
      </c>
      <c r="F230" s="99">
        <v>0.0</v>
      </c>
      <c r="G230" s="99">
        <v>0.0285</v>
      </c>
      <c r="H230" s="101">
        <v>1562960.0945294872</v>
      </c>
      <c r="I230" s="95">
        <v>44544.362694090385</v>
      </c>
      <c r="J230" s="100">
        <v>0.0</v>
      </c>
      <c r="K230" s="81"/>
    </row>
    <row r="231" ht="13.5" hidden="1" customHeight="1">
      <c r="A231" s="95" t="s">
        <v>146</v>
      </c>
      <c r="B231" s="95" t="s">
        <v>9</v>
      </c>
      <c r="C231" s="95" t="s">
        <v>231</v>
      </c>
      <c r="D231" s="96" t="s">
        <v>143</v>
      </c>
      <c r="E231" s="98">
        <v>32.36911551</v>
      </c>
      <c r="F231" s="99">
        <v>0.0357</v>
      </c>
      <c r="G231" s="100">
        <v>0.0298</v>
      </c>
      <c r="H231" s="101">
        <v>1498846.4974353034</v>
      </c>
      <c r="I231" s="100">
        <v>44665.62562357204</v>
      </c>
      <c r="J231" s="100">
        <v>53508.819958440334</v>
      </c>
      <c r="K231" s="81"/>
    </row>
    <row r="232" ht="13.5" hidden="1" customHeight="1">
      <c r="A232" s="95" t="s">
        <v>67</v>
      </c>
      <c r="B232" s="95" t="s">
        <v>15</v>
      </c>
      <c r="C232" s="95" t="s">
        <v>142</v>
      </c>
      <c r="D232" s="96" t="s">
        <v>143</v>
      </c>
      <c r="E232" s="97">
        <v>300616.7953</v>
      </c>
      <c r="F232" s="103">
        <v>0.024966</v>
      </c>
      <c r="G232" s="95">
        <v>0.1339</v>
      </c>
      <c r="H232" s="104">
        <v>1491112.4483263067</v>
      </c>
      <c r="I232" s="95">
        <v>199659.95683089245</v>
      </c>
      <c r="J232" s="95">
        <v>37227.11338491457</v>
      </c>
      <c r="K232" s="81"/>
    </row>
    <row r="233" ht="13.5" hidden="1" customHeight="1">
      <c r="A233" s="95" t="s">
        <v>53</v>
      </c>
      <c r="B233" s="95" t="s">
        <v>10</v>
      </c>
      <c r="C233" s="95" t="s">
        <v>222</v>
      </c>
      <c r="D233" s="96" t="s">
        <v>138</v>
      </c>
      <c r="E233" s="98">
        <v>32.12128647</v>
      </c>
      <c r="F233" s="100">
        <v>0.0</v>
      </c>
      <c r="G233" s="100">
        <v>0.0298</v>
      </c>
      <c r="H233" s="101">
        <v>1487685.5069760163</v>
      </c>
      <c r="I233" s="95">
        <v>44333.028107885286</v>
      </c>
      <c r="J233" s="100">
        <v>0.0</v>
      </c>
      <c r="K233" s="81"/>
    </row>
    <row r="234" ht="13.5" hidden="1" customHeight="1">
      <c r="A234" s="95" t="s">
        <v>146</v>
      </c>
      <c r="B234" s="95" t="s">
        <v>132</v>
      </c>
      <c r="C234" s="95" t="s">
        <v>144</v>
      </c>
      <c r="D234" s="96" t="s">
        <v>139</v>
      </c>
      <c r="E234" s="97">
        <v>31.8346</v>
      </c>
      <c r="F234" s="95">
        <v>0.0</v>
      </c>
      <c r="G234" s="100">
        <v>0.0298</v>
      </c>
      <c r="H234" s="104">
        <v>1474095.845853834</v>
      </c>
      <c r="I234" s="95">
        <v>43928.05620644425</v>
      </c>
      <c r="J234" s="95">
        <v>0.0</v>
      </c>
      <c r="K234" s="81"/>
    </row>
    <row r="235" ht="13.5" hidden="1" customHeight="1">
      <c r="A235" s="95" t="s">
        <v>59</v>
      </c>
      <c r="B235" s="95" t="s">
        <v>8</v>
      </c>
      <c r="C235" s="95" t="s">
        <v>137</v>
      </c>
      <c r="D235" s="96" t="s">
        <v>138</v>
      </c>
      <c r="E235" s="97">
        <v>37267.25</v>
      </c>
      <c r="F235" s="95">
        <v>0.0537</v>
      </c>
      <c r="G235" s="100" t="s">
        <v>134</v>
      </c>
      <c r="H235" s="104">
        <v>1472750.1521881577</v>
      </c>
      <c r="I235" s="95" t="s">
        <v>134</v>
      </c>
      <c r="J235" s="95">
        <v>79086.68317250407</v>
      </c>
      <c r="K235" s="81"/>
    </row>
    <row r="236" ht="13.5" hidden="1" customHeight="1">
      <c r="A236" s="95" t="s">
        <v>81</v>
      </c>
      <c r="B236" s="95" t="s">
        <v>7</v>
      </c>
      <c r="C236" s="95" t="s">
        <v>140</v>
      </c>
      <c r="D236" s="96" t="s">
        <v>136</v>
      </c>
      <c r="E236" s="98">
        <v>7775.277198</v>
      </c>
      <c r="F236" s="100">
        <v>0.031</v>
      </c>
      <c r="G236" s="100">
        <v>0.0</v>
      </c>
      <c r="H236" s="101">
        <v>1458486.4968008401</v>
      </c>
      <c r="I236" s="100">
        <v>0.0</v>
      </c>
      <c r="J236" s="100">
        <v>45213.08140082604</v>
      </c>
      <c r="K236" s="81"/>
    </row>
    <row r="237" ht="13.5" hidden="1" customHeight="1">
      <c r="A237" s="95" t="s">
        <v>64</v>
      </c>
      <c r="B237" s="95" t="s">
        <v>10</v>
      </c>
      <c r="C237" s="95" t="s">
        <v>226</v>
      </c>
      <c r="D237" s="96" t="s">
        <v>138</v>
      </c>
      <c r="E237" s="98">
        <v>9606.778639</v>
      </c>
      <c r="F237" s="99">
        <v>0.002526818828</v>
      </c>
      <c r="G237" s="100">
        <v>0.0285</v>
      </c>
      <c r="H237" s="102">
        <v>1443115.216996929</v>
      </c>
      <c r="I237" s="100">
        <v>41128.783684412476</v>
      </c>
      <c r="J237" s="100">
        <v>3646.4907012811454</v>
      </c>
      <c r="K237" s="81"/>
    </row>
    <row r="238" ht="13.5" hidden="1" customHeight="1">
      <c r="A238" s="95" t="s">
        <v>67</v>
      </c>
      <c r="B238" s="95" t="s">
        <v>8</v>
      </c>
      <c r="C238" s="95" t="s">
        <v>137</v>
      </c>
      <c r="D238" s="96" t="s">
        <v>138</v>
      </c>
      <c r="E238" s="97">
        <v>290225.0</v>
      </c>
      <c r="F238" s="95">
        <v>0.1425</v>
      </c>
      <c r="G238" s="95">
        <v>0.1339</v>
      </c>
      <c r="H238" s="104">
        <v>1439567.3065559499</v>
      </c>
      <c r="I238" s="95">
        <v>192758.06234784168</v>
      </c>
      <c r="J238" s="95">
        <v>205138.34118422284</v>
      </c>
      <c r="K238" s="81"/>
    </row>
    <row r="239" ht="13.5" hidden="1" customHeight="1">
      <c r="A239" s="95" t="s">
        <v>59</v>
      </c>
      <c r="B239" s="95" t="s">
        <v>132</v>
      </c>
      <c r="C239" s="95" t="s">
        <v>184</v>
      </c>
      <c r="D239" s="96" t="s">
        <v>138</v>
      </c>
      <c r="E239" s="98">
        <v>35627.39559</v>
      </c>
      <c r="F239" s="100">
        <v>0.0</v>
      </c>
      <c r="G239" s="95" t="s">
        <v>134</v>
      </c>
      <c r="H239" s="101">
        <v>1407945.3750207003</v>
      </c>
      <c r="I239" s="95" t="s">
        <v>134</v>
      </c>
      <c r="J239" s="100">
        <v>0.0</v>
      </c>
      <c r="K239" s="81"/>
    </row>
    <row r="240" ht="13.5" hidden="1" customHeight="1">
      <c r="A240" s="95" t="s">
        <v>61</v>
      </c>
      <c r="B240" s="95" t="s">
        <v>9</v>
      </c>
      <c r="C240" s="95" t="s">
        <v>174</v>
      </c>
      <c r="D240" s="96" t="s">
        <v>143</v>
      </c>
      <c r="E240" s="98">
        <v>75000.0</v>
      </c>
      <c r="F240" s="100">
        <v>0.08</v>
      </c>
      <c r="G240" s="100">
        <v>0.0251</v>
      </c>
      <c r="H240" s="101">
        <v>1388481.5189999999</v>
      </c>
      <c r="I240" s="100">
        <v>34850.8861269</v>
      </c>
      <c r="J240" s="100">
        <v>111078.52152</v>
      </c>
      <c r="K240" s="81"/>
    </row>
    <row r="241" ht="13.5" hidden="1" customHeight="1">
      <c r="A241" s="95" t="s">
        <v>95</v>
      </c>
      <c r="B241" s="95" t="s">
        <v>9</v>
      </c>
      <c r="C241" s="95" t="s">
        <v>186</v>
      </c>
      <c r="D241" s="96" t="s">
        <v>143</v>
      </c>
      <c r="E241" s="97">
        <v>37.52896005</v>
      </c>
      <c r="F241" s="95">
        <v>0.05</v>
      </c>
      <c r="G241" s="95" t="s">
        <v>134</v>
      </c>
      <c r="H241" s="95">
        <v>1320736.1330506245</v>
      </c>
      <c r="I241" s="95" t="s">
        <v>134</v>
      </c>
      <c r="J241" s="95">
        <v>66036.80665253123</v>
      </c>
      <c r="K241" s="81"/>
    </row>
    <row r="242" ht="13.5" hidden="1" customHeight="1">
      <c r="A242" s="95" t="s">
        <v>233</v>
      </c>
      <c r="B242" s="95" t="s">
        <v>10</v>
      </c>
      <c r="C242" s="95" t="s">
        <v>221</v>
      </c>
      <c r="D242" s="96" t="s">
        <v>138</v>
      </c>
      <c r="E242" s="98">
        <v>213558.8607</v>
      </c>
      <c r="F242" s="100">
        <v>-0.0295482322</v>
      </c>
      <c r="G242" s="100" t="s">
        <v>134</v>
      </c>
      <c r="H242" s="101">
        <v>1283179.0924589848</v>
      </c>
      <c r="I242" s="100" t="s">
        <v>134</v>
      </c>
      <c r="J242" s="100">
        <v>-37915.67377816335</v>
      </c>
      <c r="K242" s="81"/>
    </row>
    <row r="243" ht="13.5" hidden="1" customHeight="1">
      <c r="A243" s="95" t="s">
        <v>56</v>
      </c>
      <c r="B243" s="95" t="s">
        <v>132</v>
      </c>
      <c r="C243" s="95" t="s">
        <v>234</v>
      </c>
      <c r="D243" s="96" t="s">
        <v>138</v>
      </c>
      <c r="E243" s="98">
        <v>325211.9191</v>
      </c>
      <c r="F243" s="100" t="s">
        <v>134</v>
      </c>
      <c r="G243" s="100">
        <v>0.0415</v>
      </c>
      <c r="H243" s="101">
        <v>1273732.266280485</v>
      </c>
      <c r="I243" s="100">
        <v>52859.88905064014</v>
      </c>
      <c r="J243" s="100" t="s">
        <v>134</v>
      </c>
      <c r="K243" s="81"/>
    </row>
    <row r="244" ht="13.5" hidden="1" customHeight="1">
      <c r="A244" s="95" t="s">
        <v>235</v>
      </c>
      <c r="B244" s="95" t="s">
        <v>10</v>
      </c>
      <c r="C244" s="95" t="s">
        <v>159</v>
      </c>
      <c r="D244" s="96" t="s">
        <v>138</v>
      </c>
      <c r="E244" s="98">
        <v>400000.0719</v>
      </c>
      <c r="F244" s="100">
        <v>0.04294812889</v>
      </c>
      <c r="G244" s="100" t="s">
        <v>134</v>
      </c>
      <c r="H244" s="101">
        <v>1204000.216419</v>
      </c>
      <c r="I244" s="100" t="s">
        <v>134</v>
      </c>
      <c r="J244" s="100">
        <v>51709.5564783511</v>
      </c>
      <c r="K244" s="81"/>
    </row>
    <row r="245" ht="13.5" hidden="1" customHeight="1">
      <c r="A245" s="95" t="s">
        <v>94</v>
      </c>
      <c r="B245" s="95" t="s">
        <v>9</v>
      </c>
      <c r="C245" s="95" t="s">
        <v>236</v>
      </c>
      <c r="D245" s="96" t="s">
        <v>136</v>
      </c>
      <c r="E245" s="98">
        <v>456901.4973</v>
      </c>
      <c r="F245" s="100">
        <v>0.0</v>
      </c>
      <c r="G245" s="100" t="s">
        <v>134</v>
      </c>
      <c r="H245" s="101">
        <v>1174236.848061</v>
      </c>
      <c r="I245" s="100" t="s">
        <v>134</v>
      </c>
      <c r="J245" s="100">
        <v>0.0</v>
      </c>
      <c r="K245" s="81"/>
    </row>
    <row r="246" ht="13.5" hidden="1" customHeight="1">
      <c r="A246" s="95" t="s">
        <v>94</v>
      </c>
      <c r="B246" s="95" t="s">
        <v>9</v>
      </c>
      <c r="C246" s="95" t="s">
        <v>148</v>
      </c>
      <c r="D246" s="96" t="s">
        <v>143</v>
      </c>
      <c r="E246" s="98">
        <v>447117.1034</v>
      </c>
      <c r="F246" s="100">
        <v>0.0</v>
      </c>
      <c r="G246" s="95" t="s">
        <v>134</v>
      </c>
      <c r="H246" s="101">
        <v>1149090.9557379999</v>
      </c>
      <c r="I246" s="95" t="s">
        <v>134</v>
      </c>
      <c r="J246" s="100">
        <v>0.0</v>
      </c>
      <c r="K246" s="81"/>
    </row>
    <row r="247" ht="13.5" hidden="1" customHeight="1">
      <c r="A247" s="95" t="s">
        <v>237</v>
      </c>
      <c r="B247" s="95" t="s">
        <v>10</v>
      </c>
      <c r="C247" s="95" t="s">
        <v>221</v>
      </c>
      <c r="D247" s="96" t="s">
        <v>138</v>
      </c>
      <c r="E247" s="98">
        <v>162992.6837</v>
      </c>
      <c r="F247" s="99">
        <v>-0.0295482322</v>
      </c>
      <c r="G247" s="100" t="s">
        <v>134</v>
      </c>
      <c r="H247" s="101">
        <v>1145678.6565709196</v>
      </c>
      <c r="I247" s="100" t="s">
        <v>134</v>
      </c>
      <c r="J247" s="100">
        <v>-33852.77897094159</v>
      </c>
      <c r="K247" s="81"/>
    </row>
    <row r="248" ht="13.5" hidden="1" customHeight="1">
      <c r="A248" s="95" t="s">
        <v>86</v>
      </c>
      <c r="B248" s="95" t="s">
        <v>132</v>
      </c>
      <c r="C248" s="95" t="s">
        <v>158</v>
      </c>
      <c r="D248" s="96" t="s">
        <v>139</v>
      </c>
      <c r="E248" s="98">
        <v>196023.5085</v>
      </c>
      <c r="F248" s="100">
        <v>0.0</v>
      </c>
      <c r="G248" s="100">
        <v>0.0042</v>
      </c>
      <c r="H248" s="101">
        <v>1129522.7664756803</v>
      </c>
      <c r="I248" s="100">
        <v>4743.995619197857</v>
      </c>
      <c r="J248" s="100">
        <v>0.0</v>
      </c>
      <c r="K248" s="81"/>
    </row>
    <row r="249" ht="13.5" hidden="1" customHeight="1">
      <c r="A249" s="95" t="s">
        <v>82</v>
      </c>
      <c r="B249" s="95" t="s">
        <v>132</v>
      </c>
      <c r="C249" s="95" t="s">
        <v>158</v>
      </c>
      <c r="D249" s="96" t="s">
        <v>139</v>
      </c>
      <c r="E249" s="98">
        <v>31977.32347</v>
      </c>
      <c r="F249" s="99">
        <v>0.0</v>
      </c>
      <c r="G249" s="95">
        <v>0.0298</v>
      </c>
      <c r="H249" s="100">
        <v>1096649.419623652</v>
      </c>
      <c r="I249" s="95">
        <v>32680.15270478483</v>
      </c>
      <c r="J249" s="100">
        <v>0.0</v>
      </c>
      <c r="K249" s="81"/>
    </row>
    <row r="250" ht="13.5" hidden="1" customHeight="1">
      <c r="A250" s="95" t="s">
        <v>93</v>
      </c>
      <c r="B250" s="95" t="s">
        <v>9</v>
      </c>
      <c r="C250" s="95" t="s">
        <v>238</v>
      </c>
      <c r="D250" s="96" t="s">
        <v>143</v>
      </c>
      <c r="E250" s="97">
        <v>864174.7337</v>
      </c>
      <c r="F250" s="95">
        <v>0.0</v>
      </c>
      <c r="G250" s="95">
        <v>0.0048</v>
      </c>
      <c r="H250" s="104">
        <v>1067761.3668564807</v>
      </c>
      <c r="I250" s="95">
        <v>5125.254560911107</v>
      </c>
      <c r="J250" s="95">
        <v>0.0</v>
      </c>
      <c r="K250" s="81"/>
    </row>
    <row r="251" ht="13.5" hidden="1" customHeight="1">
      <c r="A251" s="95" t="s">
        <v>55</v>
      </c>
      <c r="B251" s="95" t="s">
        <v>7</v>
      </c>
      <c r="C251" s="95" t="s">
        <v>140</v>
      </c>
      <c r="D251" s="96" t="s">
        <v>136</v>
      </c>
      <c r="E251" s="98">
        <v>1001371.45</v>
      </c>
      <c r="F251" s="100">
        <v>0.0</v>
      </c>
      <c r="G251" s="99">
        <v>0.0</v>
      </c>
      <c r="H251" s="101">
        <v>1001371.45</v>
      </c>
      <c r="I251" s="100">
        <v>0.0</v>
      </c>
      <c r="J251" s="100">
        <v>0.0</v>
      </c>
      <c r="K251" s="81"/>
    </row>
    <row r="252" ht="13.5" hidden="1" customHeight="1">
      <c r="A252" s="95" t="s">
        <v>54</v>
      </c>
      <c r="B252" s="95" t="s">
        <v>132</v>
      </c>
      <c r="C252" s="95" t="s">
        <v>239</v>
      </c>
      <c r="D252" s="96" t="s">
        <v>139</v>
      </c>
      <c r="E252" s="98">
        <v>261.6740739</v>
      </c>
      <c r="F252" s="99">
        <v>0.0</v>
      </c>
      <c r="G252" s="100">
        <v>0.0384</v>
      </c>
      <c r="H252" s="101">
        <v>999510.0574345898</v>
      </c>
      <c r="I252" s="100">
        <v>38381.186205488244</v>
      </c>
      <c r="J252" s="100">
        <v>0.0</v>
      </c>
      <c r="K252" s="81"/>
    </row>
    <row r="253" ht="13.5" hidden="1" customHeight="1">
      <c r="A253" s="95" t="s">
        <v>66</v>
      </c>
      <c r="B253" s="95" t="s">
        <v>132</v>
      </c>
      <c r="C253" s="95" t="s">
        <v>158</v>
      </c>
      <c r="D253" s="96" t="s">
        <v>139</v>
      </c>
      <c r="E253" s="98">
        <v>2282.600945</v>
      </c>
      <c r="F253" s="99">
        <v>0.0</v>
      </c>
      <c r="G253" s="100">
        <v>0.0225</v>
      </c>
      <c r="H253" s="101">
        <v>976671.7558830599</v>
      </c>
      <c r="I253" s="100">
        <v>21975.114507368846</v>
      </c>
      <c r="J253" s="100">
        <v>0.0</v>
      </c>
      <c r="K253" s="81"/>
    </row>
    <row r="254" ht="13.5" hidden="1" customHeight="1">
      <c r="A254" s="95" t="s">
        <v>72</v>
      </c>
      <c r="B254" s="95" t="s">
        <v>132</v>
      </c>
      <c r="C254" s="95" t="s">
        <v>144</v>
      </c>
      <c r="D254" s="96" t="s">
        <v>139</v>
      </c>
      <c r="E254" s="98">
        <v>38903.76195</v>
      </c>
      <c r="F254" s="99">
        <v>0.0</v>
      </c>
      <c r="G254" s="95">
        <v>0.0668</v>
      </c>
      <c r="H254" s="101">
        <v>943510.4926588553</v>
      </c>
      <c r="I254" s="100">
        <v>63026.50090961153</v>
      </c>
      <c r="J254" s="100">
        <v>0.0</v>
      </c>
      <c r="K254" s="81"/>
    </row>
    <row r="255" ht="13.5" hidden="1" customHeight="1">
      <c r="A255" s="95" t="s">
        <v>81</v>
      </c>
      <c r="B255" s="95" t="s">
        <v>10</v>
      </c>
      <c r="C255" s="95" t="s">
        <v>152</v>
      </c>
      <c r="D255" s="96" t="s">
        <v>138</v>
      </c>
      <c r="E255" s="97">
        <v>5000.024689</v>
      </c>
      <c r="F255" s="95">
        <v>0.2426</v>
      </c>
      <c r="G255" s="95">
        <v>0.0453</v>
      </c>
      <c r="H255" s="104">
        <v>937904.63116262</v>
      </c>
      <c r="I255" s="95">
        <v>42487.079791666685</v>
      </c>
      <c r="J255" s="95">
        <v>227535.66352005163</v>
      </c>
      <c r="K255" s="81"/>
    </row>
    <row r="256" ht="13.5" hidden="1" customHeight="1">
      <c r="A256" s="95" t="s">
        <v>53</v>
      </c>
      <c r="B256" s="95" t="s">
        <v>162</v>
      </c>
      <c r="C256" s="95" t="s">
        <v>163</v>
      </c>
      <c r="D256" s="96" t="s">
        <v>136</v>
      </c>
      <c r="E256" s="98">
        <v>19.99</v>
      </c>
      <c r="F256" s="99">
        <v>0.0</v>
      </c>
      <c r="G256" s="100">
        <v>0.0298</v>
      </c>
      <c r="H256" s="101">
        <v>925829.4592971998</v>
      </c>
      <c r="I256" s="100">
        <v>27589.717887056555</v>
      </c>
      <c r="J256" s="100">
        <v>0.0</v>
      </c>
      <c r="K256" s="81"/>
    </row>
    <row r="257" ht="13.5" hidden="1" customHeight="1">
      <c r="A257" s="95" t="s">
        <v>146</v>
      </c>
      <c r="B257" s="95" t="s">
        <v>14</v>
      </c>
      <c r="C257" s="95" t="s">
        <v>167</v>
      </c>
      <c r="D257" s="96" t="s">
        <v>139</v>
      </c>
      <c r="E257" s="98">
        <v>19.75768634</v>
      </c>
      <c r="F257" s="100">
        <v>0.0</v>
      </c>
      <c r="G257" s="100">
        <v>0.0298</v>
      </c>
      <c r="H257" s="101">
        <v>914876.3721698102</v>
      </c>
      <c r="I257" s="100">
        <v>27263.315890660346</v>
      </c>
      <c r="J257" s="100">
        <v>0.0</v>
      </c>
      <c r="K257" s="81"/>
    </row>
    <row r="258" ht="13.5" hidden="1" customHeight="1">
      <c r="A258" s="95" t="s">
        <v>80</v>
      </c>
      <c r="B258" s="95" t="s">
        <v>132</v>
      </c>
      <c r="C258" s="95" t="s">
        <v>158</v>
      </c>
      <c r="D258" s="96" t="s">
        <v>139</v>
      </c>
      <c r="E258" s="97">
        <v>1217864.662</v>
      </c>
      <c r="F258" s="95">
        <v>0.0</v>
      </c>
      <c r="G258" s="95">
        <v>0.0169</v>
      </c>
      <c r="H258" s="104">
        <v>911291.3639901264</v>
      </c>
      <c r="I258" s="95">
        <v>15400.824051433136</v>
      </c>
      <c r="J258" s="95">
        <v>0.0</v>
      </c>
      <c r="K258" s="81"/>
    </row>
    <row r="259" ht="13.5" hidden="1" customHeight="1">
      <c r="A259" s="95" t="s">
        <v>79</v>
      </c>
      <c r="B259" s="95" t="s">
        <v>132</v>
      </c>
      <c r="C259" s="95" t="s">
        <v>158</v>
      </c>
      <c r="D259" s="96" t="s">
        <v>139</v>
      </c>
      <c r="E259" s="98">
        <v>277742.3096</v>
      </c>
      <c r="F259" s="100">
        <v>0.0</v>
      </c>
      <c r="G259" s="100">
        <v>0.0595</v>
      </c>
      <c r="H259" s="101">
        <v>879323.6824418687</v>
      </c>
      <c r="I259" s="100">
        <v>52319.75910529119</v>
      </c>
      <c r="J259" s="100">
        <v>0.0</v>
      </c>
      <c r="K259" s="81"/>
    </row>
    <row r="260" ht="13.5" hidden="1" customHeight="1">
      <c r="A260" s="95" t="s">
        <v>55</v>
      </c>
      <c r="B260" s="95" t="s">
        <v>9</v>
      </c>
      <c r="C260" s="95" t="s">
        <v>240</v>
      </c>
      <c r="D260" s="96" t="s">
        <v>143</v>
      </c>
      <c r="E260" s="98">
        <v>846844.760445</v>
      </c>
      <c r="F260" s="100">
        <v>1.466119984125044E-5</v>
      </c>
      <c r="G260" s="95">
        <v>0.0959</v>
      </c>
      <c r="H260" s="102">
        <v>846844.760445</v>
      </c>
      <c r="I260" s="95">
        <v>81212.4125266755</v>
      </c>
      <c r="J260" s="100">
        <v>12.415760267400001</v>
      </c>
      <c r="K260" s="81"/>
    </row>
    <row r="261" ht="13.5" hidden="1" customHeight="1">
      <c r="A261" s="95" t="s">
        <v>74</v>
      </c>
      <c r="B261" s="95" t="s">
        <v>132</v>
      </c>
      <c r="C261" s="95" t="s">
        <v>184</v>
      </c>
      <c r="D261" s="96" t="s">
        <v>138</v>
      </c>
      <c r="E261" s="98">
        <v>760017.5646</v>
      </c>
      <c r="F261" s="100">
        <v>0.0</v>
      </c>
      <c r="G261" s="100">
        <v>0.0097</v>
      </c>
      <c r="H261" s="102">
        <v>819757.1484684799</v>
      </c>
      <c r="I261" s="100">
        <v>7951.644340144255</v>
      </c>
      <c r="J261" s="100">
        <v>0.0</v>
      </c>
      <c r="K261" s="81"/>
    </row>
    <row r="262" ht="13.5" hidden="1" customHeight="1">
      <c r="A262" s="95" t="s">
        <v>97</v>
      </c>
      <c r="B262" s="95" t="s">
        <v>8</v>
      </c>
      <c r="C262" s="95" t="s">
        <v>137</v>
      </c>
      <c r="D262" s="96" t="s">
        <v>138</v>
      </c>
      <c r="E262" s="98">
        <v>94795.65</v>
      </c>
      <c r="F262" s="99">
        <v>0.0747</v>
      </c>
      <c r="G262" s="100">
        <v>0.0093</v>
      </c>
      <c r="H262" s="101">
        <v>812346.6515245505</v>
      </c>
      <c r="I262" s="100">
        <v>7554.823859178319</v>
      </c>
      <c r="J262" s="100">
        <v>60682.294868883924</v>
      </c>
      <c r="K262" s="81"/>
    </row>
    <row r="263" ht="13.5" hidden="1" customHeight="1">
      <c r="A263" s="95" t="s">
        <v>241</v>
      </c>
      <c r="B263" s="95" t="s">
        <v>8</v>
      </c>
      <c r="C263" s="95" t="s">
        <v>137</v>
      </c>
      <c r="D263" s="96" t="s">
        <v>138</v>
      </c>
      <c r="E263" s="98">
        <v>200000.0</v>
      </c>
      <c r="F263" s="100" t="s">
        <v>134</v>
      </c>
      <c r="G263" s="100" t="s">
        <v>134</v>
      </c>
      <c r="H263" s="101">
        <v>806691.8709999999</v>
      </c>
      <c r="I263" s="100" t="s">
        <v>134</v>
      </c>
      <c r="J263" s="100" t="s">
        <v>134</v>
      </c>
      <c r="K263" s="81"/>
    </row>
    <row r="264" ht="13.5" hidden="1" customHeight="1">
      <c r="A264" s="95" t="s">
        <v>56</v>
      </c>
      <c r="B264" s="95" t="s">
        <v>132</v>
      </c>
      <c r="C264" s="95" t="s">
        <v>189</v>
      </c>
      <c r="D264" s="96" t="s">
        <v>136</v>
      </c>
      <c r="E264" s="98">
        <v>197143.0716</v>
      </c>
      <c r="F264" s="100">
        <v>0.0</v>
      </c>
      <c r="G264" s="100">
        <v>0.0415</v>
      </c>
      <c r="H264" s="101">
        <v>772134.9576162073</v>
      </c>
      <c r="I264" s="100">
        <v>32043.600741072605</v>
      </c>
      <c r="J264" s="100">
        <v>0.0</v>
      </c>
      <c r="K264" s="81"/>
    </row>
    <row r="265" ht="13.5" hidden="1" customHeight="1">
      <c r="A265" s="95" t="s">
        <v>75</v>
      </c>
      <c r="B265" s="95" t="s">
        <v>10</v>
      </c>
      <c r="C265" s="95" t="s">
        <v>152</v>
      </c>
      <c r="D265" s="96" t="s">
        <v>138</v>
      </c>
      <c r="E265" s="98">
        <v>4630.614564</v>
      </c>
      <c r="F265" s="99">
        <v>0.0</v>
      </c>
      <c r="G265" s="95">
        <v>0.0155</v>
      </c>
      <c r="H265" s="101">
        <v>738606.3918174587</v>
      </c>
      <c r="I265" s="95">
        <v>11448.399073170609</v>
      </c>
      <c r="J265" s="100">
        <v>0.0</v>
      </c>
      <c r="K265" s="81"/>
    </row>
    <row r="266" ht="13.5" hidden="1" customHeight="1">
      <c r="A266" s="95" t="s">
        <v>55</v>
      </c>
      <c r="B266" s="95" t="s">
        <v>227</v>
      </c>
      <c r="C266" s="95" t="s">
        <v>228</v>
      </c>
      <c r="D266" s="96" t="s">
        <v>138</v>
      </c>
      <c r="E266" s="98">
        <v>709024.9323</v>
      </c>
      <c r="F266" s="100">
        <v>0.0</v>
      </c>
      <c r="G266" s="100">
        <v>0.0959</v>
      </c>
      <c r="H266" s="101">
        <v>709024.9323</v>
      </c>
      <c r="I266" s="100">
        <v>67995.49100757</v>
      </c>
      <c r="J266" s="100">
        <v>0.0</v>
      </c>
      <c r="K266" s="81"/>
    </row>
    <row r="267" ht="13.5" hidden="1" customHeight="1">
      <c r="A267" s="95" t="s">
        <v>242</v>
      </c>
      <c r="B267" s="95" t="s">
        <v>10</v>
      </c>
      <c r="C267" s="95" t="s">
        <v>221</v>
      </c>
      <c r="D267" s="96" t="s">
        <v>138</v>
      </c>
      <c r="E267" s="98">
        <v>7269608.577</v>
      </c>
      <c r="F267" s="99">
        <v>-0.0295482322</v>
      </c>
      <c r="G267" s="100" t="s">
        <v>134</v>
      </c>
      <c r="H267" s="102">
        <v>696559.354630986</v>
      </c>
      <c r="I267" s="100" t="s">
        <v>134</v>
      </c>
      <c r="J267" s="100">
        <v>-20582.097551718518</v>
      </c>
      <c r="K267" s="81"/>
    </row>
    <row r="268" ht="13.5" hidden="1" customHeight="1">
      <c r="A268" s="95" t="s">
        <v>243</v>
      </c>
      <c r="B268" s="95" t="s">
        <v>10</v>
      </c>
      <c r="C268" s="95" t="s">
        <v>159</v>
      </c>
      <c r="D268" s="96" t="s">
        <v>138</v>
      </c>
      <c r="E268" s="98">
        <v>500013.3005</v>
      </c>
      <c r="F268" s="99">
        <v>0.04294812889</v>
      </c>
      <c r="G268" s="100" t="s">
        <v>134</v>
      </c>
      <c r="H268" s="101">
        <v>681299.1917577165</v>
      </c>
      <c r="I268" s="100" t="s">
        <v>134</v>
      </c>
      <c r="J268" s="100">
        <v>29260.525500263233</v>
      </c>
      <c r="K268" s="81"/>
    </row>
    <row r="269" ht="13.5" customHeight="1">
      <c r="A269" s="95" t="s">
        <v>55</v>
      </c>
      <c r="B269" s="95" t="s">
        <v>132</v>
      </c>
      <c r="C269" s="95" t="s">
        <v>239</v>
      </c>
      <c r="D269" s="96" t="s">
        <v>139</v>
      </c>
      <c r="E269" s="98">
        <v>646020.42283</v>
      </c>
      <c r="F269" s="99">
        <v>0.0</v>
      </c>
      <c r="G269" s="100">
        <v>0.0959</v>
      </c>
      <c r="H269" s="101">
        <v>646020.42283</v>
      </c>
      <c r="I269" s="100">
        <v>61953.358549397</v>
      </c>
      <c r="J269" s="100">
        <v>0.0</v>
      </c>
      <c r="K269" s="81"/>
    </row>
    <row r="270" ht="13.5" hidden="1" customHeight="1">
      <c r="A270" s="95" t="s">
        <v>79</v>
      </c>
      <c r="B270" s="95" t="s">
        <v>9</v>
      </c>
      <c r="C270" s="95" t="s">
        <v>168</v>
      </c>
      <c r="D270" s="96" t="s">
        <v>136</v>
      </c>
      <c r="E270" s="98">
        <v>202900.4084</v>
      </c>
      <c r="F270" s="100">
        <v>0.0</v>
      </c>
      <c r="G270" s="95">
        <v>0.0595</v>
      </c>
      <c r="H270" s="101">
        <v>642376.5055464458</v>
      </c>
      <c r="I270" s="95">
        <v>38221.402080013526</v>
      </c>
      <c r="J270" s="100">
        <v>0.0</v>
      </c>
      <c r="K270" s="81"/>
    </row>
    <row r="271" ht="13.5" hidden="1" customHeight="1">
      <c r="A271" s="95" t="s">
        <v>69</v>
      </c>
      <c r="B271" s="95" t="s">
        <v>132</v>
      </c>
      <c r="C271" s="95" t="s">
        <v>144</v>
      </c>
      <c r="D271" s="96" t="s">
        <v>139</v>
      </c>
      <c r="E271" s="98">
        <v>43552.5023</v>
      </c>
      <c r="F271" s="100">
        <v>0.0</v>
      </c>
      <c r="G271" s="100">
        <v>0.0228</v>
      </c>
      <c r="H271" s="102">
        <v>628907.8724225643</v>
      </c>
      <c r="I271" s="100">
        <v>14339.099491234467</v>
      </c>
      <c r="J271" s="100">
        <v>0.0</v>
      </c>
      <c r="K271" s="81"/>
    </row>
    <row r="272" ht="13.5" hidden="1" customHeight="1">
      <c r="A272" s="95" t="s">
        <v>244</v>
      </c>
      <c r="B272" s="95" t="s">
        <v>14</v>
      </c>
      <c r="C272" s="95" t="s">
        <v>167</v>
      </c>
      <c r="D272" s="96" t="s">
        <v>139</v>
      </c>
      <c r="E272" s="98">
        <v>4271973.7</v>
      </c>
      <c r="F272" s="99">
        <v>0.0</v>
      </c>
      <c r="G272" s="95" t="s">
        <v>134</v>
      </c>
      <c r="H272" s="101">
        <v>623943.1187534999</v>
      </c>
      <c r="I272" s="95" t="s">
        <v>134</v>
      </c>
      <c r="J272" s="100">
        <v>0.0</v>
      </c>
      <c r="K272" s="81"/>
    </row>
    <row r="273" ht="13.5" hidden="1" customHeight="1">
      <c r="A273" s="95" t="s">
        <v>54</v>
      </c>
      <c r="B273" s="95" t="s">
        <v>132</v>
      </c>
      <c r="C273" s="95" t="s">
        <v>166</v>
      </c>
      <c r="D273" s="96" t="s">
        <v>139</v>
      </c>
      <c r="E273" s="98">
        <v>160.3086691</v>
      </c>
      <c r="F273" s="100">
        <v>0.0</v>
      </c>
      <c r="G273" s="100">
        <v>0.0384</v>
      </c>
      <c r="H273" s="101">
        <v>612327.1009287545</v>
      </c>
      <c r="I273" s="95">
        <v>23513.36067566417</v>
      </c>
      <c r="J273" s="100">
        <v>0.0</v>
      </c>
      <c r="K273" s="81"/>
    </row>
    <row r="274" ht="13.5" hidden="1" customHeight="1">
      <c r="A274" s="95" t="s">
        <v>232</v>
      </c>
      <c r="B274" s="95" t="s">
        <v>150</v>
      </c>
      <c r="C274" s="95" t="s">
        <v>151</v>
      </c>
      <c r="D274" s="96" t="s">
        <v>136</v>
      </c>
      <c r="E274" s="98">
        <v>176972.4194</v>
      </c>
      <c r="F274" s="100">
        <v>0.0</v>
      </c>
      <c r="G274" s="100" t="s">
        <v>134</v>
      </c>
      <c r="H274" s="101">
        <v>588489.8711717029</v>
      </c>
      <c r="I274" s="100" t="s">
        <v>134</v>
      </c>
      <c r="J274" s="100">
        <v>0.0</v>
      </c>
      <c r="K274" s="81"/>
    </row>
    <row r="275" ht="13.5" hidden="1" customHeight="1">
      <c r="A275" s="95" t="s">
        <v>83</v>
      </c>
      <c r="B275" s="95" t="s">
        <v>9</v>
      </c>
      <c r="C275" s="95" t="s">
        <v>236</v>
      </c>
      <c r="D275" s="96" t="s">
        <v>136</v>
      </c>
      <c r="E275" s="98">
        <v>17722.88765</v>
      </c>
      <c r="F275" s="100">
        <v>0.0</v>
      </c>
      <c r="G275" s="95" t="s">
        <v>134</v>
      </c>
      <c r="H275" s="101">
        <v>537180.7246715</v>
      </c>
      <c r="I275" s="95" t="s">
        <v>134</v>
      </c>
      <c r="J275" s="100">
        <v>0.0</v>
      </c>
      <c r="K275" s="81"/>
    </row>
    <row r="276" ht="13.5" hidden="1" customHeight="1">
      <c r="A276" s="95" t="s">
        <v>87</v>
      </c>
      <c r="B276" s="95" t="s">
        <v>8</v>
      </c>
      <c r="C276" s="95" t="s">
        <v>137</v>
      </c>
      <c r="D276" s="96" t="s">
        <v>138</v>
      </c>
      <c r="E276" s="98">
        <v>99482.76</v>
      </c>
      <c r="F276" s="99">
        <v>0.1473</v>
      </c>
      <c r="G276" s="100">
        <v>0.0396</v>
      </c>
      <c r="H276" s="102">
        <v>520931.6846312435</v>
      </c>
      <c r="I276" s="95">
        <v>20628.894711397246</v>
      </c>
      <c r="J276" s="100">
        <v>76733.23714618216</v>
      </c>
      <c r="K276" s="81"/>
    </row>
    <row r="277" ht="13.5" hidden="1" customHeight="1">
      <c r="A277" s="95" t="s">
        <v>77</v>
      </c>
      <c r="B277" s="95" t="s">
        <v>132</v>
      </c>
      <c r="C277" s="95" t="s">
        <v>158</v>
      </c>
      <c r="D277" s="96" t="s">
        <v>139</v>
      </c>
      <c r="E277" s="98">
        <v>218413.4035</v>
      </c>
      <c r="F277" s="100">
        <v>0.0</v>
      </c>
      <c r="G277" s="100">
        <v>0.04</v>
      </c>
      <c r="H277" s="102">
        <v>515153.1539400403</v>
      </c>
      <c r="I277" s="100">
        <v>20606.126157601615</v>
      </c>
      <c r="J277" s="100">
        <v>0.0</v>
      </c>
      <c r="K277" s="81"/>
    </row>
    <row r="278" ht="13.5" customHeight="1">
      <c r="A278" s="95" t="s">
        <v>55</v>
      </c>
      <c r="B278" s="95" t="s">
        <v>132</v>
      </c>
      <c r="C278" s="95" t="s">
        <v>245</v>
      </c>
      <c r="D278" s="96" t="s">
        <v>138</v>
      </c>
      <c r="E278" s="98">
        <v>498287.9962</v>
      </c>
      <c r="F278" s="100">
        <v>0.0</v>
      </c>
      <c r="G278" s="95">
        <v>0.0959</v>
      </c>
      <c r="H278" s="101">
        <v>498287.9962</v>
      </c>
      <c r="I278" s="95">
        <v>47785.81883558</v>
      </c>
      <c r="J278" s="100">
        <v>0.0</v>
      </c>
      <c r="K278" s="81"/>
    </row>
    <row r="279" ht="13.5" hidden="1" customHeight="1">
      <c r="A279" s="95" t="s">
        <v>93</v>
      </c>
      <c r="B279" s="95" t="s">
        <v>15</v>
      </c>
      <c r="C279" s="95" t="s">
        <v>142</v>
      </c>
      <c r="D279" s="96" t="s">
        <v>143</v>
      </c>
      <c r="E279" s="98">
        <v>401321.8882</v>
      </c>
      <c r="F279" s="100">
        <v>0.0120012</v>
      </c>
      <c r="G279" s="100">
        <v>0.0048</v>
      </c>
      <c r="H279" s="101">
        <v>495867.3184752193</v>
      </c>
      <c r="I279" s="100">
        <v>2380.1631286810525</v>
      </c>
      <c r="J279" s="100">
        <v>5951.002862484802</v>
      </c>
      <c r="K279" s="81"/>
    </row>
    <row r="280" ht="13.5" hidden="1" customHeight="1">
      <c r="A280" s="95" t="s">
        <v>83</v>
      </c>
      <c r="B280" s="95" t="s">
        <v>9</v>
      </c>
      <c r="C280" s="95" t="s">
        <v>186</v>
      </c>
      <c r="D280" s="96" t="s">
        <v>143</v>
      </c>
      <c r="E280" s="98">
        <v>16284.72508</v>
      </c>
      <c r="F280" s="100">
        <v>0.0</v>
      </c>
      <c r="G280" s="100" t="s">
        <v>134</v>
      </c>
      <c r="H280" s="101">
        <v>493590.0171748</v>
      </c>
      <c r="I280" s="100" t="s">
        <v>134</v>
      </c>
      <c r="J280" s="100">
        <v>0.0</v>
      </c>
      <c r="K280" s="81"/>
    </row>
    <row r="281" ht="13.5" hidden="1" customHeight="1">
      <c r="A281" s="95" t="s">
        <v>88</v>
      </c>
      <c r="B281" s="95" t="s">
        <v>132</v>
      </c>
      <c r="C281" s="95" t="s">
        <v>158</v>
      </c>
      <c r="D281" s="96" t="s">
        <v>139</v>
      </c>
      <c r="E281" s="98">
        <v>112516.8468</v>
      </c>
      <c r="F281" s="99">
        <v>0.0</v>
      </c>
      <c r="G281" s="100" t="s">
        <v>134</v>
      </c>
      <c r="H281" s="101">
        <v>449137.3703139437</v>
      </c>
      <c r="I281" s="95" t="s">
        <v>134</v>
      </c>
      <c r="J281" s="100">
        <v>0.0</v>
      </c>
      <c r="K281" s="81"/>
    </row>
    <row r="282" ht="13.5" hidden="1" customHeight="1">
      <c r="A282" s="95" t="s">
        <v>69</v>
      </c>
      <c r="B282" s="95" t="s">
        <v>10</v>
      </c>
      <c r="C282" s="95" t="s">
        <v>152</v>
      </c>
      <c r="D282" s="96" t="s">
        <v>138</v>
      </c>
      <c r="E282" s="98">
        <v>29930.50131</v>
      </c>
      <c r="F282" s="100">
        <v>0.0535</v>
      </c>
      <c r="G282" s="100">
        <v>0.0228</v>
      </c>
      <c r="H282" s="101">
        <v>432203.13197510294</v>
      </c>
      <c r="I282" s="100">
        <v>9854.231409032347</v>
      </c>
      <c r="J282" s="100">
        <v>23122.867560668008</v>
      </c>
      <c r="K282" s="81"/>
    </row>
    <row r="283" ht="13.5" hidden="1" customHeight="1">
      <c r="A283" s="95" t="s">
        <v>80</v>
      </c>
      <c r="B283" s="95" t="s">
        <v>10</v>
      </c>
      <c r="C283" s="95" t="s">
        <v>152</v>
      </c>
      <c r="D283" s="96" t="s">
        <v>138</v>
      </c>
      <c r="E283" s="98">
        <v>577432.9869</v>
      </c>
      <c r="F283" s="99">
        <v>0.0486</v>
      </c>
      <c r="G283" s="95">
        <v>0.0169</v>
      </c>
      <c r="H283" s="101">
        <v>432075.67364738416</v>
      </c>
      <c r="I283" s="95">
        <v>7302.078884640791</v>
      </c>
      <c r="J283" s="100">
        <v>20998.87773926287</v>
      </c>
      <c r="K283" s="81"/>
    </row>
    <row r="284" ht="13.5" hidden="1" customHeight="1">
      <c r="A284" s="95" t="s">
        <v>98</v>
      </c>
      <c r="B284" s="95" t="s">
        <v>132</v>
      </c>
      <c r="C284" s="95" t="s">
        <v>158</v>
      </c>
      <c r="D284" s="96" t="s">
        <v>139</v>
      </c>
      <c r="E284" s="98">
        <v>236.396921</v>
      </c>
      <c r="F284" s="99">
        <v>0.0</v>
      </c>
      <c r="G284" s="100">
        <v>0.0554</v>
      </c>
      <c r="H284" s="102">
        <v>425839.32815985964</v>
      </c>
      <c r="I284" s="100">
        <v>23591.498780056223</v>
      </c>
      <c r="J284" s="100">
        <v>0.0</v>
      </c>
      <c r="K284" s="81"/>
    </row>
    <row r="285" ht="13.5" hidden="1" customHeight="1">
      <c r="A285" s="95" t="s">
        <v>87</v>
      </c>
      <c r="B285" s="95" t="s">
        <v>132</v>
      </c>
      <c r="C285" s="95" t="s">
        <v>158</v>
      </c>
      <c r="D285" s="96" t="s">
        <v>139</v>
      </c>
      <c r="E285" s="98">
        <v>79489.33921</v>
      </c>
      <c r="F285" s="100">
        <v>0.0</v>
      </c>
      <c r="G285" s="100">
        <v>0.0396</v>
      </c>
      <c r="H285" s="102">
        <v>416238.10381708015</v>
      </c>
      <c r="I285" s="100">
        <v>16483.028911156376</v>
      </c>
      <c r="J285" s="100">
        <v>0.0</v>
      </c>
      <c r="K285" s="81"/>
    </row>
    <row r="286" ht="13.5" hidden="1" customHeight="1">
      <c r="A286" s="95" t="s">
        <v>68</v>
      </c>
      <c r="B286" s="95" t="s">
        <v>132</v>
      </c>
      <c r="C286" s="95" t="s">
        <v>144</v>
      </c>
      <c r="D286" s="96" t="s">
        <v>139</v>
      </c>
      <c r="E286" s="98">
        <v>1525758.443</v>
      </c>
      <c r="F286" s="100">
        <v>0.0</v>
      </c>
      <c r="G286" s="100">
        <v>0.0091</v>
      </c>
      <c r="H286" s="101">
        <v>412148.550932261</v>
      </c>
      <c r="I286" s="100">
        <v>3750.551813483575</v>
      </c>
      <c r="J286" s="100">
        <v>0.0</v>
      </c>
      <c r="K286" s="81"/>
    </row>
    <row r="287" ht="13.5" hidden="1" customHeight="1">
      <c r="A287" s="95" t="s">
        <v>89</v>
      </c>
      <c r="B287" s="95" t="s">
        <v>132</v>
      </c>
      <c r="C287" s="95" t="s">
        <v>158</v>
      </c>
      <c r="D287" s="96" t="s">
        <v>139</v>
      </c>
      <c r="E287" s="98">
        <v>3375.707205</v>
      </c>
      <c r="F287" s="99">
        <v>0.0</v>
      </c>
      <c r="G287" s="100">
        <v>0.0183</v>
      </c>
      <c r="H287" s="102">
        <v>410756.05270440003</v>
      </c>
      <c r="I287" s="100">
        <v>7516.835764490521</v>
      </c>
      <c r="J287" s="100">
        <v>0.0</v>
      </c>
      <c r="K287" s="81"/>
    </row>
    <row r="288" ht="13.5" hidden="1" customHeight="1">
      <c r="A288" s="95" t="s">
        <v>100</v>
      </c>
      <c r="B288" s="95" t="s">
        <v>132</v>
      </c>
      <c r="C288" s="95" t="s">
        <v>158</v>
      </c>
      <c r="D288" s="96" t="s">
        <v>139</v>
      </c>
      <c r="E288" s="97">
        <v>12253.99809</v>
      </c>
      <c r="F288" s="95">
        <v>0.0</v>
      </c>
      <c r="G288" s="95">
        <v>0.0</v>
      </c>
      <c r="H288" s="104">
        <v>410137.74256137694</v>
      </c>
      <c r="I288" s="95">
        <v>0.0</v>
      </c>
      <c r="J288" s="95">
        <v>0.0</v>
      </c>
      <c r="K288" s="81"/>
    </row>
    <row r="289" ht="13.5" hidden="1" customHeight="1">
      <c r="A289" s="95" t="s">
        <v>61</v>
      </c>
      <c r="B289" s="95" t="s">
        <v>10</v>
      </c>
      <c r="C289" s="95" t="s">
        <v>224</v>
      </c>
      <c r="D289" s="96" t="s">
        <v>138</v>
      </c>
      <c r="E289" s="97">
        <v>22035.77544</v>
      </c>
      <c r="F289" s="95" t="s">
        <v>134</v>
      </c>
      <c r="G289" s="95">
        <v>0.0251</v>
      </c>
      <c r="H289" s="105">
        <v>407950.2260703212</v>
      </c>
      <c r="I289" s="95">
        <v>10239.550674365062</v>
      </c>
      <c r="J289" s="95" t="s">
        <v>134</v>
      </c>
      <c r="K289" s="81"/>
    </row>
    <row r="290" ht="13.5" hidden="1" customHeight="1">
      <c r="A290" s="95" t="s">
        <v>93</v>
      </c>
      <c r="B290" s="95" t="s">
        <v>8</v>
      </c>
      <c r="C290" s="95" t="s">
        <v>137</v>
      </c>
      <c r="D290" s="96" t="s">
        <v>138</v>
      </c>
      <c r="E290" s="97">
        <v>330000.0</v>
      </c>
      <c r="F290" s="95">
        <v>0.0686</v>
      </c>
      <c r="G290" s="95">
        <v>0.0048</v>
      </c>
      <c r="H290" s="104">
        <v>407743.06089</v>
      </c>
      <c r="I290" s="95">
        <v>1957.1666922719999</v>
      </c>
      <c r="J290" s="95">
        <v>27971.173977054</v>
      </c>
      <c r="K290" s="81"/>
    </row>
    <row r="291" ht="13.5" hidden="1" customHeight="1">
      <c r="A291" s="95" t="s">
        <v>99</v>
      </c>
      <c r="B291" s="95" t="s">
        <v>8</v>
      </c>
      <c r="C291" s="95" t="s">
        <v>137</v>
      </c>
      <c r="D291" s="96" t="s">
        <v>138</v>
      </c>
      <c r="E291" s="98">
        <v>803656.0</v>
      </c>
      <c r="F291" s="99">
        <v>0.0943</v>
      </c>
      <c r="G291" s="95" t="s">
        <v>134</v>
      </c>
      <c r="H291" s="101">
        <v>386224.1948518688</v>
      </c>
      <c r="I291" s="95" t="s">
        <v>134</v>
      </c>
      <c r="J291" s="100">
        <v>36420.94157453122</v>
      </c>
      <c r="K291" s="81"/>
    </row>
    <row r="292" ht="13.5" hidden="1" customHeight="1">
      <c r="A292" s="95" t="s">
        <v>86</v>
      </c>
      <c r="B292" s="95" t="s">
        <v>132</v>
      </c>
      <c r="C292" s="95" t="s">
        <v>144</v>
      </c>
      <c r="D292" s="96" t="s">
        <v>139</v>
      </c>
      <c r="E292" s="98">
        <v>66728.2399</v>
      </c>
      <c r="F292" s="100">
        <v>0.0</v>
      </c>
      <c r="G292" s="100">
        <v>0.0042</v>
      </c>
      <c r="H292" s="101">
        <v>384500.13832856616</v>
      </c>
      <c r="I292" s="100">
        <v>1614.9005809799778</v>
      </c>
      <c r="J292" s="100">
        <v>0.0</v>
      </c>
      <c r="K292" s="81"/>
    </row>
    <row r="293" ht="13.5" hidden="1" customHeight="1">
      <c r="A293" s="95" t="s">
        <v>241</v>
      </c>
      <c r="B293" s="95" t="s">
        <v>132</v>
      </c>
      <c r="C293" s="95" t="s">
        <v>158</v>
      </c>
      <c r="D293" s="96" t="s">
        <v>139</v>
      </c>
      <c r="E293" s="97">
        <v>94105.93058</v>
      </c>
      <c r="F293" s="103">
        <v>0.0</v>
      </c>
      <c r="G293" s="95" t="s">
        <v>134</v>
      </c>
      <c r="H293" s="105">
        <v>379572.4460588815</v>
      </c>
      <c r="I293" s="95" t="s">
        <v>134</v>
      </c>
      <c r="J293" s="95">
        <v>0.0</v>
      </c>
      <c r="K293" s="81"/>
    </row>
    <row r="294" ht="13.5" hidden="1" customHeight="1">
      <c r="A294" s="95" t="s">
        <v>54</v>
      </c>
      <c r="B294" s="95" t="s">
        <v>9</v>
      </c>
      <c r="C294" s="95" t="s">
        <v>187</v>
      </c>
      <c r="D294" s="96" t="s">
        <v>136</v>
      </c>
      <c r="E294" s="98">
        <v>94.5405518</v>
      </c>
      <c r="F294" s="100">
        <v>0.0</v>
      </c>
      <c r="G294" s="95">
        <v>0.0384</v>
      </c>
      <c r="H294" s="101">
        <v>361114.2324922386</v>
      </c>
      <c r="I294" s="95">
        <v>13866.78652770196</v>
      </c>
      <c r="J294" s="100">
        <v>0.0</v>
      </c>
      <c r="K294" s="81"/>
    </row>
    <row r="295" ht="13.5" hidden="1" customHeight="1">
      <c r="A295" s="95" t="s">
        <v>93</v>
      </c>
      <c r="B295" s="95" t="s">
        <v>132</v>
      </c>
      <c r="C295" s="95" t="s">
        <v>158</v>
      </c>
      <c r="D295" s="96" t="s">
        <v>139</v>
      </c>
      <c r="E295" s="98">
        <v>275687.8975</v>
      </c>
      <c r="F295" s="100">
        <v>0.0</v>
      </c>
      <c r="G295" s="100">
        <v>0.0048</v>
      </c>
      <c r="H295" s="101">
        <v>340635.83993023814</v>
      </c>
      <c r="I295" s="100">
        <v>1635.052031665143</v>
      </c>
      <c r="J295" s="100">
        <v>0.0</v>
      </c>
      <c r="K295" s="81"/>
    </row>
    <row r="296" ht="13.5" hidden="1" customHeight="1">
      <c r="A296" s="95" t="s">
        <v>83</v>
      </c>
      <c r="B296" s="95" t="s">
        <v>9</v>
      </c>
      <c r="C296" s="95" t="s">
        <v>188</v>
      </c>
      <c r="D296" s="96" t="s">
        <v>143</v>
      </c>
      <c r="E296" s="98">
        <v>11025.31503</v>
      </c>
      <c r="F296" s="100">
        <v>0.0</v>
      </c>
      <c r="G296" s="100" t="s">
        <v>134</v>
      </c>
      <c r="H296" s="102">
        <v>334177.29855929996</v>
      </c>
      <c r="I296" s="100" t="s">
        <v>134</v>
      </c>
      <c r="J296" s="100">
        <v>0.0</v>
      </c>
      <c r="K296" s="81"/>
    </row>
    <row r="297" ht="13.5" hidden="1" customHeight="1">
      <c r="A297" s="95" t="s">
        <v>211</v>
      </c>
      <c r="B297" s="95" t="s">
        <v>14</v>
      </c>
      <c r="C297" s="95" t="s">
        <v>167</v>
      </c>
      <c r="D297" s="96" t="s">
        <v>139</v>
      </c>
      <c r="E297" s="98">
        <v>3180.564097</v>
      </c>
      <c r="F297" s="100">
        <v>0.0</v>
      </c>
      <c r="G297" s="100" t="s">
        <v>134</v>
      </c>
      <c r="H297" s="101">
        <v>331320.92523174366</v>
      </c>
      <c r="I297" s="100" t="s">
        <v>134</v>
      </c>
      <c r="J297" s="100">
        <v>0.0</v>
      </c>
      <c r="K297" s="81"/>
    </row>
    <row r="298" ht="13.5" hidden="1" customHeight="1">
      <c r="A298" s="95" t="s">
        <v>232</v>
      </c>
      <c r="B298" s="95" t="s">
        <v>10</v>
      </c>
      <c r="C298" s="95" t="s">
        <v>182</v>
      </c>
      <c r="D298" s="96" t="s">
        <v>138</v>
      </c>
      <c r="E298" s="98">
        <v>93236.86173</v>
      </c>
      <c r="F298" s="100" t="s">
        <v>134</v>
      </c>
      <c r="G298" s="100" t="s">
        <v>134</v>
      </c>
      <c r="H298" s="101">
        <v>310042.37233105017</v>
      </c>
      <c r="I298" s="95" t="s">
        <v>134</v>
      </c>
      <c r="J298" s="100" t="s">
        <v>134</v>
      </c>
      <c r="K298" s="81"/>
    </row>
    <row r="299" ht="13.5" hidden="1" customHeight="1">
      <c r="A299" s="95" t="s">
        <v>90</v>
      </c>
      <c r="B299" s="95" t="s">
        <v>8</v>
      </c>
      <c r="C299" s="95" t="s">
        <v>137</v>
      </c>
      <c r="D299" s="96" t="s">
        <v>138</v>
      </c>
      <c r="E299" s="98">
        <v>20408.0</v>
      </c>
      <c r="F299" s="100">
        <v>0.55</v>
      </c>
      <c r="G299" s="100" t="s">
        <v>134</v>
      </c>
      <c r="H299" s="101">
        <v>294730.46601496</v>
      </c>
      <c r="I299" s="100" t="s">
        <v>134</v>
      </c>
      <c r="J299" s="100">
        <v>162101.75630822804</v>
      </c>
      <c r="K299" s="81"/>
    </row>
    <row r="300" ht="13.5" hidden="1" customHeight="1">
      <c r="A300" s="95" t="s">
        <v>102</v>
      </c>
      <c r="B300" s="95" t="s">
        <v>132</v>
      </c>
      <c r="C300" s="95" t="s">
        <v>158</v>
      </c>
      <c r="D300" s="96" t="s">
        <v>139</v>
      </c>
      <c r="E300" s="98">
        <v>1666.471496</v>
      </c>
      <c r="F300" s="100">
        <v>0.0</v>
      </c>
      <c r="G300" s="100" t="s">
        <v>134</v>
      </c>
      <c r="H300" s="101">
        <v>293232.32443616</v>
      </c>
      <c r="I300" s="100" t="s">
        <v>134</v>
      </c>
      <c r="J300" s="100">
        <v>0.0</v>
      </c>
      <c r="K300" s="81"/>
    </row>
    <row r="301" ht="13.5" hidden="1" customHeight="1">
      <c r="A301" s="95" t="s">
        <v>82</v>
      </c>
      <c r="B301" s="95" t="s">
        <v>10</v>
      </c>
      <c r="C301" s="95" t="s">
        <v>152</v>
      </c>
      <c r="D301" s="96" t="s">
        <v>138</v>
      </c>
      <c r="E301" s="98">
        <v>7934.217191</v>
      </c>
      <c r="F301" s="99">
        <v>0.0236</v>
      </c>
      <c r="G301" s="100">
        <v>0.0298</v>
      </c>
      <c r="H301" s="101">
        <v>272100.78059976397</v>
      </c>
      <c r="I301" s="100">
        <v>8108.603261872966</v>
      </c>
      <c r="J301" s="100">
        <v>6421.578422154429</v>
      </c>
      <c r="K301" s="81"/>
    </row>
    <row r="302" ht="13.5" hidden="1" customHeight="1">
      <c r="A302" s="95" t="s">
        <v>97</v>
      </c>
      <c r="B302" s="95" t="s">
        <v>132</v>
      </c>
      <c r="C302" s="95" t="s">
        <v>158</v>
      </c>
      <c r="D302" s="96" t="s">
        <v>139</v>
      </c>
      <c r="E302" s="98">
        <v>31727.1705</v>
      </c>
      <c r="F302" s="100">
        <v>0.0</v>
      </c>
      <c r="G302" s="100">
        <v>0.0093</v>
      </c>
      <c r="H302" s="101">
        <v>271884.42421169643</v>
      </c>
      <c r="I302" s="100">
        <v>2528.525145168777</v>
      </c>
      <c r="J302" s="100">
        <v>0.0</v>
      </c>
      <c r="K302" s="81"/>
    </row>
    <row r="303" ht="13.5" hidden="1" customHeight="1">
      <c r="A303" s="95" t="s">
        <v>53</v>
      </c>
      <c r="B303" s="95" t="s">
        <v>132</v>
      </c>
      <c r="C303" s="95" t="s">
        <v>166</v>
      </c>
      <c r="D303" s="96" t="s">
        <v>139</v>
      </c>
      <c r="E303" s="98">
        <v>5.75675909</v>
      </c>
      <c r="F303" s="99">
        <v>0.0</v>
      </c>
      <c r="G303" s="95">
        <v>0.0298</v>
      </c>
      <c r="H303" s="101">
        <v>266622.16886437923</v>
      </c>
      <c r="I303" s="100">
        <v>7945.340632158501</v>
      </c>
      <c r="J303" s="100">
        <v>0.0</v>
      </c>
      <c r="K303" s="81"/>
    </row>
    <row r="304" ht="13.5" hidden="1" customHeight="1">
      <c r="A304" s="95" t="s">
        <v>61</v>
      </c>
      <c r="B304" s="95" t="s">
        <v>9</v>
      </c>
      <c r="C304" s="95" t="s">
        <v>168</v>
      </c>
      <c r="D304" s="96" t="s">
        <v>136</v>
      </c>
      <c r="E304" s="98">
        <v>13940.0</v>
      </c>
      <c r="F304" s="99">
        <v>0.1287</v>
      </c>
      <c r="G304" s="100">
        <v>0.0251</v>
      </c>
      <c r="H304" s="101">
        <v>258072.43166479998</v>
      </c>
      <c r="I304" s="100">
        <v>6477.618034786479</v>
      </c>
      <c r="J304" s="100">
        <v>33213.92195525976</v>
      </c>
      <c r="K304" s="81"/>
    </row>
    <row r="305" ht="13.5" hidden="1" customHeight="1">
      <c r="A305" s="95" t="s">
        <v>246</v>
      </c>
      <c r="B305" s="95" t="s">
        <v>9</v>
      </c>
      <c r="C305" s="95" t="s">
        <v>247</v>
      </c>
      <c r="D305" s="96" t="s">
        <v>143</v>
      </c>
      <c r="E305" s="98">
        <v>736281.0581</v>
      </c>
      <c r="F305" s="100">
        <v>0.0</v>
      </c>
      <c r="G305" s="100" t="s">
        <v>134</v>
      </c>
      <c r="H305" s="101">
        <v>251386.2328239087</v>
      </c>
      <c r="I305" s="100" t="s">
        <v>134</v>
      </c>
      <c r="J305" s="100">
        <v>0.0</v>
      </c>
      <c r="K305" s="81"/>
    </row>
    <row r="306" ht="13.5" hidden="1" customHeight="1">
      <c r="A306" s="95" t="s">
        <v>101</v>
      </c>
      <c r="B306" s="95" t="s">
        <v>9</v>
      </c>
      <c r="C306" s="95" t="s">
        <v>207</v>
      </c>
      <c r="D306" s="96" t="s">
        <v>143</v>
      </c>
      <c r="E306" s="98">
        <v>362549.0082</v>
      </c>
      <c r="F306" s="100">
        <v>0.4706</v>
      </c>
      <c r="G306" s="100" t="s">
        <v>134</v>
      </c>
      <c r="H306" s="101">
        <v>242125.074710434</v>
      </c>
      <c r="I306" s="95" t="s">
        <v>134</v>
      </c>
      <c r="J306" s="100">
        <v>113944.06015873025</v>
      </c>
      <c r="K306" s="81"/>
    </row>
    <row r="307" ht="13.5" customHeight="1">
      <c r="A307" s="95" t="s">
        <v>55</v>
      </c>
      <c r="B307" s="95" t="s">
        <v>132</v>
      </c>
      <c r="C307" s="95" t="s">
        <v>234</v>
      </c>
      <c r="D307" s="96" t="s">
        <v>138</v>
      </c>
      <c r="E307" s="98">
        <v>241063.1367</v>
      </c>
      <c r="F307" s="99">
        <v>0.0</v>
      </c>
      <c r="G307" s="95">
        <v>0.0959</v>
      </c>
      <c r="H307" s="101">
        <v>241063.1367</v>
      </c>
      <c r="I307" s="95">
        <v>23117.95480953</v>
      </c>
      <c r="J307" s="100">
        <v>0.0</v>
      </c>
      <c r="K307" s="81"/>
    </row>
    <row r="308" ht="13.5" hidden="1" customHeight="1">
      <c r="A308" s="95" t="s">
        <v>232</v>
      </c>
      <c r="B308" s="95" t="s">
        <v>132</v>
      </c>
      <c r="C308" s="95" t="s">
        <v>169</v>
      </c>
      <c r="D308" s="96" t="s">
        <v>143</v>
      </c>
      <c r="E308" s="98">
        <v>70489.49316</v>
      </c>
      <c r="F308" s="100">
        <v>0.0</v>
      </c>
      <c r="G308" s="100" t="s">
        <v>134</v>
      </c>
      <c r="H308" s="101">
        <v>234400.09968404728</v>
      </c>
      <c r="I308" s="100" t="s">
        <v>134</v>
      </c>
      <c r="J308" s="100">
        <v>0.0</v>
      </c>
      <c r="K308" s="81"/>
    </row>
    <row r="309" ht="13.5" hidden="1" customHeight="1">
      <c r="A309" s="95" t="s">
        <v>89</v>
      </c>
      <c r="B309" s="95" t="s">
        <v>132</v>
      </c>
      <c r="C309" s="95" t="s">
        <v>144</v>
      </c>
      <c r="D309" s="96" t="s">
        <v>139</v>
      </c>
      <c r="E309" s="97">
        <v>1904.472388</v>
      </c>
      <c r="F309" s="95">
        <v>0.0</v>
      </c>
      <c r="G309" s="95">
        <v>0.0183</v>
      </c>
      <c r="H309" s="104">
        <v>231736.20017184</v>
      </c>
      <c r="I309" s="95">
        <v>4240.772463144672</v>
      </c>
      <c r="J309" s="95">
        <v>0.0</v>
      </c>
      <c r="K309" s="81"/>
    </row>
    <row r="310" ht="13.5" hidden="1" customHeight="1">
      <c r="A310" s="95" t="s">
        <v>53</v>
      </c>
      <c r="B310" s="95" t="s">
        <v>132</v>
      </c>
      <c r="C310" s="95" t="s">
        <v>234</v>
      </c>
      <c r="D310" s="96" t="s">
        <v>138</v>
      </c>
      <c r="E310" s="98">
        <v>4.94909041</v>
      </c>
      <c r="F310" s="100" t="s">
        <v>134</v>
      </c>
      <c r="G310" s="100">
        <v>0.0298</v>
      </c>
      <c r="H310" s="101">
        <v>229215.2925614436</v>
      </c>
      <c r="I310" s="100">
        <v>6830.61571833102</v>
      </c>
      <c r="J310" s="100" t="s">
        <v>134</v>
      </c>
      <c r="K310" s="81"/>
    </row>
    <row r="311" ht="13.5" hidden="1" customHeight="1">
      <c r="A311" s="95" t="s">
        <v>79</v>
      </c>
      <c r="B311" s="95" t="s">
        <v>15</v>
      </c>
      <c r="C311" s="95" t="s">
        <v>142</v>
      </c>
      <c r="D311" s="96" t="s">
        <v>143</v>
      </c>
      <c r="E311" s="98">
        <v>70716.24628</v>
      </c>
      <c r="F311" s="100">
        <v>0.24966</v>
      </c>
      <c r="G311" s="95">
        <v>0.0595</v>
      </c>
      <c r="H311" s="101">
        <v>223885.4792305497</v>
      </c>
      <c r="I311" s="95">
        <v>13321.186014217707</v>
      </c>
      <c r="J311" s="100">
        <v>55895.24874469904</v>
      </c>
      <c r="K311" s="81"/>
    </row>
    <row r="312" ht="13.5" hidden="1" customHeight="1">
      <c r="A312" s="95" t="s">
        <v>83</v>
      </c>
      <c r="B312" s="95" t="s">
        <v>9</v>
      </c>
      <c r="C312" s="95" t="s">
        <v>154</v>
      </c>
      <c r="D312" s="96" t="s">
        <v>143</v>
      </c>
      <c r="E312" s="97">
        <v>7246.064741</v>
      </c>
      <c r="F312" s="95">
        <v>0.0</v>
      </c>
      <c r="G312" s="100" t="s">
        <v>134</v>
      </c>
      <c r="H312" s="105">
        <v>219628.22229971</v>
      </c>
      <c r="I312" s="95" t="s">
        <v>134</v>
      </c>
      <c r="J312" s="95">
        <v>0.0</v>
      </c>
      <c r="K312" s="81"/>
    </row>
    <row r="313" ht="13.5" hidden="1" customHeight="1">
      <c r="A313" s="95" t="s">
        <v>248</v>
      </c>
      <c r="B313" s="95" t="s">
        <v>14</v>
      </c>
      <c r="C313" s="95" t="s">
        <v>167</v>
      </c>
      <c r="D313" s="96" t="s">
        <v>139</v>
      </c>
      <c r="E313" s="98">
        <v>1044.03038</v>
      </c>
      <c r="F313" s="99">
        <v>0.0</v>
      </c>
      <c r="G313" s="100" t="s">
        <v>134</v>
      </c>
      <c r="H313" s="101">
        <v>217304.48329319997</v>
      </c>
      <c r="I313" s="100" t="s">
        <v>134</v>
      </c>
      <c r="J313" s="100">
        <v>0.0</v>
      </c>
      <c r="K313" s="81"/>
    </row>
    <row r="314" ht="13.5" hidden="1" customHeight="1">
      <c r="A314" s="95" t="s">
        <v>88</v>
      </c>
      <c r="B314" s="95" t="s">
        <v>9</v>
      </c>
      <c r="C314" s="95" t="s">
        <v>188</v>
      </c>
      <c r="D314" s="96" t="s">
        <v>143</v>
      </c>
      <c r="E314" s="98">
        <v>52018.86432</v>
      </c>
      <c r="F314" s="100">
        <v>0.0</v>
      </c>
      <c r="G314" s="100" t="s">
        <v>134</v>
      </c>
      <c r="H314" s="106">
        <v>207645.49124747276</v>
      </c>
      <c r="I314" s="100" t="s">
        <v>134</v>
      </c>
      <c r="J314" s="100">
        <v>0.0</v>
      </c>
      <c r="K314" s="81"/>
    </row>
    <row r="315" ht="13.5" hidden="1" customHeight="1">
      <c r="A315" s="95" t="s">
        <v>103</v>
      </c>
      <c r="B315" s="95" t="s">
        <v>8</v>
      </c>
      <c r="C315" s="95" t="s">
        <v>137</v>
      </c>
      <c r="D315" s="96" t="s">
        <v>138</v>
      </c>
      <c r="E315" s="98">
        <v>11679.0</v>
      </c>
      <c r="F315" s="100">
        <v>0.1624</v>
      </c>
      <c r="G315" s="95" t="s">
        <v>134</v>
      </c>
      <c r="H315" s="101">
        <v>206240.78061021</v>
      </c>
      <c r="I315" s="95" t="s">
        <v>134</v>
      </c>
      <c r="J315" s="100">
        <v>33493.5027710981</v>
      </c>
      <c r="K315" s="81"/>
    </row>
    <row r="316" ht="13.5" hidden="1" customHeight="1">
      <c r="A316" s="95" t="s">
        <v>98</v>
      </c>
      <c r="B316" s="95" t="s">
        <v>15</v>
      </c>
      <c r="C316" s="95" t="s">
        <v>142</v>
      </c>
      <c r="D316" s="96" t="s">
        <v>143</v>
      </c>
      <c r="E316" s="98">
        <v>101.0048396</v>
      </c>
      <c r="F316" s="100" t="s">
        <v>134</v>
      </c>
      <c r="G316" s="100">
        <v>0.0554</v>
      </c>
      <c r="H316" s="101">
        <v>181947.517988859</v>
      </c>
      <c r="I316" s="100">
        <v>10079.892496582788</v>
      </c>
      <c r="J316" s="100" t="s">
        <v>134</v>
      </c>
      <c r="K316" s="81"/>
    </row>
    <row r="317" ht="13.5" hidden="1" customHeight="1">
      <c r="A317" s="95" t="s">
        <v>53</v>
      </c>
      <c r="B317" s="95" t="s">
        <v>10</v>
      </c>
      <c r="C317" s="95" t="s">
        <v>249</v>
      </c>
      <c r="D317" s="96" t="s">
        <v>136</v>
      </c>
      <c r="E317" s="98">
        <v>3.580941125</v>
      </c>
      <c r="F317" s="100">
        <v>0.0</v>
      </c>
      <c r="G317" s="100">
        <v>0.0298</v>
      </c>
      <c r="H317" s="101">
        <v>165849.96425882226</v>
      </c>
      <c r="I317" s="100">
        <v>4942.328934912904</v>
      </c>
      <c r="J317" s="100">
        <v>0.0</v>
      </c>
      <c r="K317" s="81"/>
    </row>
    <row r="318" ht="13.5" hidden="1" customHeight="1">
      <c r="A318" s="95" t="s">
        <v>246</v>
      </c>
      <c r="B318" s="95" t="s">
        <v>9</v>
      </c>
      <c r="C318" s="95" t="s">
        <v>187</v>
      </c>
      <c r="D318" s="96" t="s">
        <v>136</v>
      </c>
      <c r="E318" s="98">
        <v>474800.388</v>
      </c>
      <c r="F318" s="100">
        <v>0.0</v>
      </c>
      <c r="G318" s="100" t="s">
        <v>134</v>
      </c>
      <c r="H318" s="101">
        <v>162109.672073676</v>
      </c>
      <c r="I318" s="100" t="s">
        <v>134</v>
      </c>
      <c r="J318" s="100">
        <v>0.0</v>
      </c>
      <c r="K318" s="81"/>
    </row>
    <row r="319" ht="13.5" hidden="1" customHeight="1">
      <c r="A319" s="95" t="s">
        <v>57</v>
      </c>
      <c r="B319" s="95" t="s">
        <v>132</v>
      </c>
      <c r="C319" s="95" t="s">
        <v>239</v>
      </c>
      <c r="D319" s="96" t="s">
        <v>139</v>
      </c>
      <c r="E319" s="98">
        <v>77166.652</v>
      </c>
      <c r="F319" s="100">
        <v>0.0</v>
      </c>
      <c r="G319" s="100">
        <v>0.0818</v>
      </c>
      <c r="H319" s="100">
        <v>161865.3552387553</v>
      </c>
      <c r="I319" s="100">
        <v>13240.586058530182</v>
      </c>
      <c r="J319" s="100">
        <v>0.0</v>
      </c>
      <c r="K319" s="81"/>
    </row>
    <row r="320" ht="13.5" hidden="1" customHeight="1">
      <c r="A320" s="95" t="s">
        <v>65</v>
      </c>
      <c r="B320" s="95" t="s">
        <v>132</v>
      </c>
      <c r="C320" s="95" t="s">
        <v>144</v>
      </c>
      <c r="D320" s="96" t="s">
        <v>139</v>
      </c>
      <c r="E320" s="97">
        <v>307.8015911</v>
      </c>
      <c r="F320" s="95">
        <v>0.0</v>
      </c>
      <c r="G320" s="95">
        <v>0.0581</v>
      </c>
      <c r="H320" s="104">
        <v>160088.32335449025</v>
      </c>
      <c r="I320" s="95">
        <v>9301.131586895883</v>
      </c>
      <c r="J320" s="95">
        <v>0.0</v>
      </c>
      <c r="K320" s="81"/>
    </row>
    <row r="321" ht="13.5" hidden="1" customHeight="1">
      <c r="A321" s="95" t="s">
        <v>80</v>
      </c>
      <c r="B321" s="95" t="s">
        <v>132</v>
      </c>
      <c r="C321" s="95" t="s">
        <v>144</v>
      </c>
      <c r="D321" s="96" t="s">
        <v>139</v>
      </c>
      <c r="E321" s="97">
        <v>212857.5452</v>
      </c>
      <c r="F321" s="95">
        <v>0.0</v>
      </c>
      <c r="G321" s="95">
        <v>0.0169</v>
      </c>
      <c r="H321" s="95">
        <v>159274.87573401484</v>
      </c>
      <c r="I321" s="95">
        <v>2691.7453999048507</v>
      </c>
      <c r="J321" s="95">
        <v>0.0</v>
      </c>
      <c r="K321" s="81"/>
    </row>
    <row r="322" ht="13.5" hidden="1" customHeight="1">
      <c r="A322" s="95" t="s">
        <v>54</v>
      </c>
      <c r="B322" s="95" t="s">
        <v>9</v>
      </c>
      <c r="C322" s="95" t="s">
        <v>192</v>
      </c>
      <c r="D322" s="96" t="s">
        <v>143</v>
      </c>
      <c r="E322" s="97">
        <v>40.87861181</v>
      </c>
      <c r="F322" s="103">
        <v>0.0</v>
      </c>
      <c r="G322" s="95">
        <v>0.0384</v>
      </c>
      <c r="H322" s="105">
        <v>156143.03331278326</v>
      </c>
      <c r="I322" s="95">
        <v>5995.892479210876</v>
      </c>
      <c r="J322" s="95">
        <v>0.0</v>
      </c>
      <c r="K322" s="81"/>
    </row>
    <row r="323" ht="13.5" hidden="1" customHeight="1">
      <c r="A323" s="95" t="s">
        <v>104</v>
      </c>
      <c r="B323" s="95" t="s">
        <v>10</v>
      </c>
      <c r="C323" s="95" t="s">
        <v>152</v>
      </c>
      <c r="D323" s="96" t="s">
        <v>138</v>
      </c>
      <c r="E323" s="97">
        <v>3867.471676</v>
      </c>
      <c r="F323" s="95">
        <v>0.071</v>
      </c>
      <c r="G323" s="95">
        <v>0.0</v>
      </c>
      <c r="H323" s="95">
        <v>155308.02368585134</v>
      </c>
      <c r="I323" s="95">
        <v>0.0</v>
      </c>
      <c r="J323" s="95">
        <v>11026.869681695443</v>
      </c>
      <c r="K323" s="81"/>
    </row>
    <row r="324" ht="13.5" hidden="1" customHeight="1">
      <c r="A324" s="95" t="s">
        <v>83</v>
      </c>
      <c r="B324" s="95" t="s">
        <v>9</v>
      </c>
      <c r="C324" s="95" t="s">
        <v>178</v>
      </c>
      <c r="D324" s="96" t="s">
        <v>143</v>
      </c>
      <c r="E324" s="98">
        <v>4877.510645</v>
      </c>
      <c r="F324" s="100">
        <v>0.0</v>
      </c>
      <c r="G324" s="100" t="s">
        <v>134</v>
      </c>
      <c r="H324" s="101">
        <v>147837.34764995</v>
      </c>
      <c r="I324" s="100" t="s">
        <v>134</v>
      </c>
      <c r="J324" s="100">
        <v>0.0</v>
      </c>
      <c r="K324" s="81"/>
    </row>
    <row r="325" ht="13.5" hidden="1" customHeight="1">
      <c r="A325" s="95" t="s">
        <v>60</v>
      </c>
      <c r="B325" s="95" t="s">
        <v>132</v>
      </c>
      <c r="C325" s="95" t="s">
        <v>239</v>
      </c>
      <c r="D325" s="96" t="s">
        <v>139</v>
      </c>
      <c r="E325" s="98">
        <v>120099.4916</v>
      </c>
      <c r="F325" s="100">
        <v>0.0</v>
      </c>
      <c r="G325" s="100">
        <v>0.0205</v>
      </c>
      <c r="H325" s="100">
        <v>147113.1155917893</v>
      </c>
      <c r="I325" s="100">
        <v>3015.818869631681</v>
      </c>
      <c r="J325" s="100">
        <v>0.0</v>
      </c>
      <c r="K325" s="81"/>
    </row>
    <row r="326" ht="13.5" hidden="1" customHeight="1">
      <c r="A326" s="95" t="s">
        <v>54</v>
      </c>
      <c r="B326" s="95" t="s">
        <v>9</v>
      </c>
      <c r="C326" s="95" t="s">
        <v>247</v>
      </c>
      <c r="D326" s="96" t="s">
        <v>143</v>
      </c>
      <c r="E326" s="97">
        <v>37.37072272</v>
      </c>
      <c r="F326" s="103">
        <v>0.0</v>
      </c>
      <c r="G326" s="95">
        <v>0.0384</v>
      </c>
      <c r="H326" s="104">
        <v>142744.0351867405</v>
      </c>
      <c r="I326" s="95">
        <v>5481.370951170835</v>
      </c>
      <c r="J326" s="95">
        <v>0.0</v>
      </c>
      <c r="K326" s="81"/>
    </row>
    <row r="327" ht="13.5" hidden="1" customHeight="1">
      <c r="A327" s="95" t="s">
        <v>88</v>
      </c>
      <c r="B327" s="95" t="s">
        <v>9</v>
      </c>
      <c r="C327" s="95" t="s">
        <v>154</v>
      </c>
      <c r="D327" s="96" t="s">
        <v>143</v>
      </c>
      <c r="E327" s="97">
        <v>34187.87195</v>
      </c>
      <c r="F327" s="103">
        <v>0.0</v>
      </c>
      <c r="G327" s="95" t="s">
        <v>134</v>
      </c>
      <c r="H327" s="95">
        <v>136468.90524355537</v>
      </c>
      <c r="I327" s="95" t="s">
        <v>134</v>
      </c>
      <c r="J327" s="95">
        <v>0.0</v>
      </c>
      <c r="K327" s="81"/>
    </row>
    <row r="328" ht="13.5" hidden="1" customHeight="1">
      <c r="A328" s="95" t="s">
        <v>54</v>
      </c>
      <c r="B328" s="95" t="s">
        <v>10</v>
      </c>
      <c r="C328" s="95" t="s">
        <v>224</v>
      </c>
      <c r="D328" s="96" t="s">
        <v>138</v>
      </c>
      <c r="E328" s="98">
        <v>35.09009168</v>
      </c>
      <c r="F328" s="100" t="s">
        <v>134</v>
      </c>
      <c r="G328" s="100">
        <v>0.0384</v>
      </c>
      <c r="H328" s="102">
        <v>134032.76460573278</v>
      </c>
      <c r="I328" s="100">
        <v>5146.858160860138</v>
      </c>
      <c r="J328" s="100" t="s">
        <v>134</v>
      </c>
      <c r="K328" s="81"/>
    </row>
    <row r="329" ht="13.5" hidden="1" customHeight="1">
      <c r="A329" s="95" t="s">
        <v>146</v>
      </c>
      <c r="B329" s="95" t="s">
        <v>9</v>
      </c>
      <c r="C329" s="95" t="s">
        <v>187</v>
      </c>
      <c r="D329" s="96" t="s">
        <v>136</v>
      </c>
      <c r="E329" s="98">
        <v>2.88</v>
      </c>
      <c r="F329" s="100">
        <v>0.0</v>
      </c>
      <c r="G329" s="100">
        <v>0.0298</v>
      </c>
      <c r="H329" s="101">
        <v>133357.9198752</v>
      </c>
      <c r="I329" s="100">
        <v>3974.06601228096</v>
      </c>
      <c r="J329" s="100">
        <v>0.0</v>
      </c>
      <c r="K329" s="81"/>
    </row>
    <row r="330" ht="13.5" hidden="1" customHeight="1">
      <c r="A330" s="95" t="s">
        <v>101</v>
      </c>
      <c r="B330" s="95" t="s">
        <v>9</v>
      </c>
      <c r="C330" s="95" t="s">
        <v>187</v>
      </c>
      <c r="D330" s="96" t="s">
        <v>136</v>
      </c>
      <c r="E330" s="97">
        <v>190095.1718</v>
      </c>
      <c r="F330" s="95">
        <v>0.0</v>
      </c>
      <c r="G330" s="95" t="s">
        <v>134</v>
      </c>
      <c r="H330" s="104">
        <v>126953.34046749653</v>
      </c>
      <c r="I330" s="95" t="s">
        <v>134</v>
      </c>
      <c r="J330" s="95">
        <v>0.0</v>
      </c>
      <c r="K330" s="81"/>
    </row>
    <row r="331" ht="13.5" hidden="1" customHeight="1">
      <c r="A331" s="95" t="s">
        <v>54</v>
      </c>
      <c r="B331" s="95" t="s">
        <v>9</v>
      </c>
      <c r="C331" s="95" t="s">
        <v>165</v>
      </c>
      <c r="D331" s="96" t="s">
        <v>143</v>
      </c>
      <c r="E331" s="98">
        <v>33.20358483</v>
      </c>
      <c r="F331" s="100">
        <v>0.0</v>
      </c>
      <c r="G331" s="100">
        <v>0.0384</v>
      </c>
      <c r="H331" s="101">
        <v>126826.92054983738</v>
      </c>
      <c r="I331" s="100">
        <v>4870.153749113755</v>
      </c>
      <c r="J331" s="100">
        <v>0.0</v>
      </c>
      <c r="K331" s="81"/>
    </row>
    <row r="332" ht="13.5" hidden="1" customHeight="1">
      <c r="A332" s="95" t="s">
        <v>92</v>
      </c>
      <c r="B332" s="95" t="s">
        <v>132</v>
      </c>
      <c r="C332" s="95" t="s">
        <v>144</v>
      </c>
      <c r="D332" s="96" t="s">
        <v>139</v>
      </c>
      <c r="E332" s="98">
        <v>902267.0</v>
      </c>
      <c r="F332" s="100">
        <v>0.0</v>
      </c>
      <c r="G332" s="100" t="s">
        <v>134</v>
      </c>
      <c r="H332" s="101">
        <v>115670.6294</v>
      </c>
      <c r="I332" s="100" t="s">
        <v>134</v>
      </c>
      <c r="J332" s="100">
        <v>0.0</v>
      </c>
      <c r="K332" s="81"/>
    </row>
    <row r="333" ht="13.5" hidden="1" customHeight="1">
      <c r="A333" s="95" t="s">
        <v>57</v>
      </c>
      <c r="B333" s="95" t="s">
        <v>9</v>
      </c>
      <c r="C333" s="95" t="s">
        <v>187</v>
      </c>
      <c r="D333" s="96" t="s">
        <v>136</v>
      </c>
      <c r="E333" s="98">
        <v>55027.14299</v>
      </c>
      <c r="F333" s="100">
        <v>0.0</v>
      </c>
      <c r="G333" s="100">
        <v>0.0818</v>
      </c>
      <c r="H333" s="101">
        <v>115425.35301194785</v>
      </c>
      <c r="I333" s="100">
        <v>9441.793876377335</v>
      </c>
      <c r="J333" s="100">
        <v>0.0</v>
      </c>
      <c r="K333" s="81"/>
    </row>
    <row r="334" ht="13.5" hidden="1" customHeight="1">
      <c r="A334" s="95" t="s">
        <v>105</v>
      </c>
      <c r="B334" s="95" t="s">
        <v>9</v>
      </c>
      <c r="C334" s="95" t="s">
        <v>250</v>
      </c>
      <c r="D334" s="96" t="s">
        <v>143</v>
      </c>
      <c r="E334" s="98">
        <v>32596.80334</v>
      </c>
      <c r="F334" s="100">
        <v>0.0</v>
      </c>
      <c r="G334" s="95" t="s">
        <v>134</v>
      </c>
      <c r="H334" s="101">
        <v>113110.9075898</v>
      </c>
      <c r="I334" s="95" t="s">
        <v>134</v>
      </c>
      <c r="J334" s="100">
        <v>0.0</v>
      </c>
      <c r="K334" s="81"/>
    </row>
    <row r="335" ht="13.5" hidden="1" customHeight="1">
      <c r="A335" s="95" t="s">
        <v>83</v>
      </c>
      <c r="B335" s="95" t="s">
        <v>190</v>
      </c>
      <c r="C335" s="95" t="s">
        <v>208</v>
      </c>
      <c r="D335" s="96" t="s">
        <v>143</v>
      </c>
      <c r="E335" s="98">
        <v>3687.928963</v>
      </c>
      <c r="F335" s="100">
        <v>0.0</v>
      </c>
      <c r="G335" s="100" t="s">
        <v>134</v>
      </c>
      <c r="H335" s="100">
        <v>111781.12686852999</v>
      </c>
      <c r="I335" s="100" t="s">
        <v>134</v>
      </c>
      <c r="J335" s="100">
        <v>0.0</v>
      </c>
      <c r="K335" s="81"/>
    </row>
    <row r="336" ht="13.5" hidden="1" customHeight="1">
      <c r="A336" s="95" t="s">
        <v>55</v>
      </c>
      <c r="B336" s="95" t="s">
        <v>9</v>
      </c>
      <c r="C336" s="95" t="s">
        <v>251</v>
      </c>
      <c r="D336" s="96" t="s">
        <v>143</v>
      </c>
      <c r="E336" s="97">
        <v>100527.7299</v>
      </c>
      <c r="F336" s="95">
        <v>0.2773</v>
      </c>
      <c r="G336" s="95">
        <v>0.0959</v>
      </c>
      <c r="H336" s="104">
        <v>100527.7299</v>
      </c>
      <c r="I336" s="95">
        <v>9640.609297410001</v>
      </c>
      <c r="J336" s="95">
        <v>27876.339501270002</v>
      </c>
      <c r="K336" s="81"/>
    </row>
    <row r="337" ht="13.5" hidden="1" customHeight="1">
      <c r="A337" s="95" t="s">
        <v>78</v>
      </c>
      <c r="B337" s="95" t="s">
        <v>8</v>
      </c>
      <c r="C337" s="95" t="s">
        <v>137</v>
      </c>
      <c r="D337" s="96" t="s">
        <v>138</v>
      </c>
      <c r="E337" s="97">
        <v>55.0</v>
      </c>
      <c r="F337" s="95">
        <v>0.045</v>
      </c>
      <c r="G337" s="95">
        <v>0.0526</v>
      </c>
      <c r="H337" s="104">
        <v>99337.65886</v>
      </c>
      <c r="I337" s="95">
        <v>5225.160856036</v>
      </c>
      <c r="J337" s="95">
        <v>4470.1946487</v>
      </c>
      <c r="K337" s="81"/>
    </row>
    <row r="338" ht="13.5" hidden="1" customHeight="1">
      <c r="A338" s="95" t="s">
        <v>66</v>
      </c>
      <c r="B338" s="95" t="s">
        <v>10</v>
      </c>
      <c r="C338" s="95" t="s">
        <v>152</v>
      </c>
      <c r="D338" s="96" t="s">
        <v>138</v>
      </c>
      <c r="E338" s="97">
        <v>231.7687075</v>
      </c>
      <c r="F338" s="95">
        <v>0.0</v>
      </c>
      <c r="G338" s="95">
        <v>0.0225</v>
      </c>
      <c r="H338" s="104">
        <v>99168.42933435844</v>
      </c>
      <c r="I338" s="95">
        <v>2231.2896600230647</v>
      </c>
      <c r="J338" s="95">
        <v>0.0</v>
      </c>
      <c r="K338" s="81"/>
    </row>
    <row r="339" ht="13.5" hidden="1" customHeight="1">
      <c r="A339" s="95" t="s">
        <v>83</v>
      </c>
      <c r="B339" s="95" t="s">
        <v>9</v>
      </c>
      <c r="C339" s="95" t="s">
        <v>240</v>
      </c>
      <c r="D339" s="96" t="s">
        <v>143</v>
      </c>
      <c r="E339" s="98">
        <v>3240.348274</v>
      </c>
      <c r="F339" s="100">
        <v>0.0</v>
      </c>
      <c r="G339" s="100" t="s">
        <v>134</v>
      </c>
      <c r="H339" s="101">
        <v>98214.95618493999</v>
      </c>
      <c r="I339" s="100" t="s">
        <v>134</v>
      </c>
      <c r="J339" s="100">
        <v>0.0</v>
      </c>
      <c r="K339" s="81"/>
    </row>
    <row r="340" ht="13.5" hidden="1" customHeight="1">
      <c r="A340" s="95" t="s">
        <v>81</v>
      </c>
      <c r="B340" s="95" t="s">
        <v>132</v>
      </c>
      <c r="C340" s="95" t="s">
        <v>245</v>
      </c>
      <c r="D340" s="96" t="s">
        <v>138</v>
      </c>
      <c r="E340" s="97">
        <v>523.2679416</v>
      </c>
      <c r="F340" s="95">
        <v>0.0</v>
      </c>
      <c r="G340" s="95">
        <v>0.0453</v>
      </c>
      <c r="H340" s="104">
        <v>98154.600485328</v>
      </c>
      <c r="I340" s="95">
        <v>4446.403401985359</v>
      </c>
      <c r="J340" s="95">
        <v>0.0</v>
      </c>
      <c r="K340" s="81"/>
    </row>
    <row r="341" ht="13.5" hidden="1" customHeight="1">
      <c r="A341" s="95" t="s">
        <v>92</v>
      </c>
      <c r="B341" s="95" t="s">
        <v>132</v>
      </c>
      <c r="C341" s="95" t="s">
        <v>166</v>
      </c>
      <c r="D341" s="96" t="s">
        <v>139</v>
      </c>
      <c r="E341" s="98">
        <v>747629.7589</v>
      </c>
      <c r="F341" s="99">
        <v>0.0</v>
      </c>
      <c r="G341" s="100" t="s">
        <v>134</v>
      </c>
      <c r="H341" s="101">
        <v>95846.13509098001</v>
      </c>
      <c r="I341" s="100" t="s">
        <v>134</v>
      </c>
      <c r="J341" s="100">
        <v>0.0</v>
      </c>
      <c r="K341" s="81"/>
    </row>
    <row r="342" ht="13.5" hidden="1" customHeight="1">
      <c r="A342" s="95" t="s">
        <v>88</v>
      </c>
      <c r="B342" s="95" t="s">
        <v>9</v>
      </c>
      <c r="C342" s="95" t="s">
        <v>178</v>
      </c>
      <c r="D342" s="96" t="s">
        <v>143</v>
      </c>
      <c r="E342" s="98">
        <v>23012.72695</v>
      </c>
      <c r="F342" s="99">
        <v>0.0</v>
      </c>
      <c r="G342" s="100" t="s">
        <v>134</v>
      </c>
      <c r="H342" s="101">
        <v>91860.69428738934</v>
      </c>
      <c r="I342" s="100" t="s">
        <v>134</v>
      </c>
      <c r="J342" s="100">
        <v>0.0</v>
      </c>
      <c r="K342" s="81"/>
    </row>
    <row r="343" ht="13.5" hidden="1" customHeight="1">
      <c r="A343" s="95" t="s">
        <v>106</v>
      </c>
      <c r="B343" s="95" t="s">
        <v>9</v>
      </c>
      <c r="C343" s="95" t="s">
        <v>198</v>
      </c>
      <c r="D343" s="96" t="s">
        <v>143</v>
      </c>
      <c r="E343" s="98">
        <v>93674.23001</v>
      </c>
      <c r="F343" s="100">
        <v>0.0</v>
      </c>
      <c r="G343" s="100" t="s">
        <v>134</v>
      </c>
      <c r="H343" s="101">
        <v>86412.02671320505</v>
      </c>
      <c r="I343" s="100" t="s">
        <v>134</v>
      </c>
      <c r="J343" s="100">
        <v>0.0</v>
      </c>
      <c r="K343" s="81"/>
    </row>
    <row r="344" ht="13.5" hidden="1" customHeight="1">
      <c r="A344" s="95" t="s">
        <v>83</v>
      </c>
      <c r="B344" s="95" t="s">
        <v>9</v>
      </c>
      <c r="C344" s="95" t="s">
        <v>165</v>
      </c>
      <c r="D344" s="96" t="s">
        <v>143</v>
      </c>
      <c r="E344" s="98">
        <v>2801.233369</v>
      </c>
      <c r="F344" s="100">
        <v>0.0</v>
      </c>
      <c r="G344" s="100" t="s">
        <v>134</v>
      </c>
      <c r="H344" s="101">
        <v>84905.38341439</v>
      </c>
      <c r="I344" s="100" t="s">
        <v>134</v>
      </c>
      <c r="J344" s="100">
        <v>0.0</v>
      </c>
      <c r="K344" s="81"/>
    </row>
    <row r="345" ht="13.5" hidden="1" customHeight="1">
      <c r="A345" s="95" t="s">
        <v>61</v>
      </c>
      <c r="B345" s="95" t="s">
        <v>132</v>
      </c>
      <c r="C345" s="95" t="s">
        <v>169</v>
      </c>
      <c r="D345" s="96" t="s">
        <v>143</v>
      </c>
      <c r="E345" s="98">
        <v>4506.57832</v>
      </c>
      <c r="F345" s="99">
        <v>0.0</v>
      </c>
      <c r="G345" s="100">
        <v>0.0251</v>
      </c>
      <c r="H345" s="102">
        <v>83430.67614994757</v>
      </c>
      <c r="I345" s="95">
        <v>2094.109971363684</v>
      </c>
      <c r="J345" s="100">
        <v>0.0</v>
      </c>
      <c r="K345" s="81"/>
    </row>
    <row r="346" ht="13.5" hidden="1" customHeight="1">
      <c r="A346" s="95" t="s">
        <v>54</v>
      </c>
      <c r="B346" s="95" t="s">
        <v>10</v>
      </c>
      <c r="C346" s="95" t="s">
        <v>249</v>
      </c>
      <c r="D346" s="96" t="s">
        <v>136</v>
      </c>
      <c r="E346" s="97">
        <v>20.7041482</v>
      </c>
      <c r="F346" s="95">
        <v>0.0</v>
      </c>
      <c r="G346" s="95">
        <v>0.0384</v>
      </c>
      <c r="H346" s="104">
        <v>79083.12829044185</v>
      </c>
      <c r="I346" s="95">
        <v>3036.7921263529665</v>
      </c>
      <c r="J346" s="95">
        <v>0.0</v>
      </c>
      <c r="K346" s="81"/>
    </row>
    <row r="347" ht="13.5" hidden="1" customHeight="1">
      <c r="A347" s="95" t="s">
        <v>83</v>
      </c>
      <c r="B347" s="95" t="s">
        <v>9</v>
      </c>
      <c r="C347" s="95" t="s">
        <v>220</v>
      </c>
      <c r="D347" s="96" t="s">
        <v>143</v>
      </c>
      <c r="E347" s="98">
        <v>2581.69957</v>
      </c>
      <c r="F347" s="100">
        <v>0.0</v>
      </c>
      <c r="G347" s="100" t="s">
        <v>134</v>
      </c>
      <c r="H347" s="101">
        <v>78251.3139667</v>
      </c>
      <c r="I347" s="100" t="s">
        <v>134</v>
      </c>
      <c r="J347" s="100">
        <v>0.0</v>
      </c>
      <c r="K347" s="81"/>
    </row>
    <row r="348" ht="13.5" hidden="1" customHeight="1">
      <c r="A348" s="95" t="s">
        <v>146</v>
      </c>
      <c r="B348" s="95" t="s">
        <v>9</v>
      </c>
      <c r="C348" s="95" t="s">
        <v>247</v>
      </c>
      <c r="D348" s="96" t="s">
        <v>143</v>
      </c>
      <c r="E348" s="98">
        <v>1.64139145</v>
      </c>
      <c r="F348" s="100">
        <v>0.0</v>
      </c>
      <c r="G348" s="100">
        <v>0.0298</v>
      </c>
      <c r="H348" s="101">
        <v>76004.35745588137</v>
      </c>
      <c r="I348" s="100">
        <v>2264.9298521852647</v>
      </c>
      <c r="J348" s="100">
        <v>0.0</v>
      </c>
      <c r="K348" s="81"/>
    </row>
    <row r="349" ht="13.5" hidden="1" customHeight="1">
      <c r="A349" s="95" t="s">
        <v>232</v>
      </c>
      <c r="B349" s="95" t="s">
        <v>10</v>
      </c>
      <c r="C349" s="95" t="s">
        <v>226</v>
      </c>
      <c r="D349" s="96" t="s">
        <v>138</v>
      </c>
      <c r="E349" s="97">
        <v>20918.10705</v>
      </c>
      <c r="F349" s="95">
        <v>0.002526818828</v>
      </c>
      <c r="G349" s="100" t="s">
        <v>134</v>
      </c>
      <c r="H349" s="104">
        <v>69559.39329272902</v>
      </c>
      <c r="I349" s="95" t="s">
        <v>134</v>
      </c>
      <c r="J349" s="95">
        <v>175.76398463632458</v>
      </c>
      <c r="K349" s="81"/>
    </row>
    <row r="350" ht="13.5" hidden="1" customHeight="1">
      <c r="A350" s="95" t="s">
        <v>88</v>
      </c>
      <c r="B350" s="95" t="s">
        <v>190</v>
      </c>
      <c r="C350" s="95" t="s">
        <v>208</v>
      </c>
      <c r="D350" s="96" t="s">
        <v>143</v>
      </c>
      <c r="E350" s="98">
        <v>17400.1265</v>
      </c>
      <c r="F350" s="100">
        <v>0.0</v>
      </c>
      <c r="G350" s="100" t="s">
        <v>134</v>
      </c>
      <c r="H350" s="100">
        <v>69456.68387980424</v>
      </c>
      <c r="I350" s="100" t="s">
        <v>134</v>
      </c>
      <c r="J350" s="100">
        <v>0.0</v>
      </c>
      <c r="K350" s="81"/>
    </row>
    <row r="351" ht="13.5" hidden="1" customHeight="1">
      <c r="A351" s="95" t="s">
        <v>67</v>
      </c>
      <c r="B351" s="95" t="s">
        <v>132</v>
      </c>
      <c r="C351" s="95" t="s">
        <v>166</v>
      </c>
      <c r="D351" s="96" t="s">
        <v>139</v>
      </c>
      <c r="E351" s="98">
        <v>13445.08308</v>
      </c>
      <c r="F351" s="100">
        <v>0.0</v>
      </c>
      <c r="G351" s="100">
        <v>0.1339</v>
      </c>
      <c r="H351" s="101">
        <v>66689.98892547704</v>
      </c>
      <c r="I351" s="100">
        <v>8929.789517121375</v>
      </c>
      <c r="J351" s="100">
        <v>0.0</v>
      </c>
      <c r="K351" s="81"/>
    </row>
    <row r="352" ht="13.5" hidden="1" customHeight="1">
      <c r="A352" s="95" t="s">
        <v>78</v>
      </c>
      <c r="B352" s="95" t="s">
        <v>132</v>
      </c>
      <c r="C352" s="95" t="s">
        <v>166</v>
      </c>
      <c r="D352" s="96" t="s">
        <v>139</v>
      </c>
      <c r="E352" s="98">
        <v>33.55388962</v>
      </c>
      <c r="F352" s="100">
        <v>0.0</v>
      </c>
      <c r="G352" s="100">
        <v>0.0526</v>
      </c>
      <c r="H352" s="101">
        <v>60602.99709995736</v>
      </c>
      <c r="I352" s="100">
        <v>3187.7176474577573</v>
      </c>
      <c r="J352" s="100">
        <v>0.0</v>
      </c>
      <c r="K352" s="81"/>
    </row>
    <row r="353" ht="13.5" hidden="1" customHeight="1">
      <c r="A353" s="95" t="s">
        <v>106</v>
      </c>
      <c r="B353" s="95" t="s">
        <v>9</v>
      </c>
      <c r="C353" s="95" t="s">
        <v>252</v>
      </c>
      <c r="D353" s="96" t="s">
        <v>143</v>
      </c>
      <c r="E353" s="98">
        <v>65473.23876</v>
      </c>
      <c r="F353" s="100">
        <v>0.0</v>
      </c>
      <c r="G353" s="100" t="s">
        <v>134</v>
      </c>
      <c r="H353" s="101">
        <v>60397.35000891066</v>
      </c>
      <c r="I353" s="100" t="s">
        <v>134</v>
      </c>
      <c r="J353" s="100">
        <v>0.0</v>
      </c>
      <c r="K353" s="81"/>
    </row>
    <row r="354" ht="13.5" hidden="1" customHeight="1">
      <c r="A354" s="95" t="s">
        <v>63</v>
      </c>
      <c r="B354" s="95" t="s">
        <v>132</v>
      </c>
      <c r="C354" s="95" t="s">
        <v>166</v>
      </c>
      <c r="D354" s="96" t="s">
        <v>139</v>
      </c>
      <c r="E354" s="98">
        <v>788.868969</v>
      </c>
      <c r="F354" s="100">
        <v>0.0</v>
      </c>
      <c r="G354" s="95">
        <v>0.0488</v>
      </c>
      <c r="H354" s="101">
        <v>59587.13894684486</v>
      </c>
      <c r="I354" s="95">
        <v>2907.8523806060293</v>
      </c>
      <c r="J354" s="100">
        <v>0.0</v>
      </c>
      <c r="K354" s="81"/>
    </row>
    <row r="355" ht="13.5" hidden="1" customHeight="1">
      <c r="A355" s="95" t="s">
        <v>88</v>
      </c>
      <c r="B355" s="95" t="s">
        <v>9</v>
      </c>
      <c r="C355" s="95" t="s">
        <v>168</v>
      </c>
      <c r="D355" s="96" t="s">
        <v>136</v>
      </c>
      <c r="E355" s="98">
        <v>14303.59445</v>
      </c>
      <c r="F355" s="100">
        <v>0.0</v>
      </c>
      <c r="G355" s="100" t="s">
        <v>134</v>
      </c>
      <c r="H355" s="101">
        <v>57096.150310089564</v>
      </c>
      <c r="I355" s="100" t="s">
        <v>134</v>
      </c>
      <c r="J355" s="100">
        <v>0.0</v>
      </c>
      <c r="K355" s="81"/>
    </row>
    <row r="356" ht="13.5" hidden="1" customHeight="1">
      <c r="A356" s="95" t="s">
        <v>99</v>
      </c>
      <c r="B356" s="95" t="s">
        <v>132</v>
      </c>
      <c r="C356" s="95" t="s">
        <v>158</v>
      </c>
      <c r="D356" s="96" t="s">
        <v>139</v>
      </c>
      <c r="E356" s="98">
        <v>105118.1913</v>
      </c>
      <c r="F356" s="100">
        <v>0.0</v>
      </c>
      <c r="G356" s="100" t="s">
        <v>134</v>
      </c>
      <c r="H356" s="101">
        <v>50518.11819874078</v>
      </c>
      <c r="I356" s="100" t="s">
        <v>134</v>
      </c>
      <c r="J356" s="100">
        <v>0.0</v>
      </c>
      <c r="K356" s="81"/>
    </row>
    <row r="357" ht="13.5" hidden="1" customHeight="1">
      <c r="A357" s="95" t="s">
        <v>253</v>
      </c>
      <c r="B357" s="95" t="s">
        <v>9</v>
      </c>
      <c r="C357" s="95" t="s">
        <v>254</v>
      </c>
      <c r="D357" s="96" t="s">
        <v>143</v>
      </c>
      <c r="E357" s="98">
        <v>121.4808271</v>
      </c>
      <c r="F357" s="99">
        <v>0.0</v>
      </c>
      <c r="G357" s="100" t="s">
        <v>134</v>
      </c>
      <c r="H357" s="102">
        <v>49575.110731238994</v>
      </c>
      <c r="I357" s="100" t="s">
        <v>134</v>
      </c>
      <c r="J357" s="100">
        <v>0.0</v>
      </c>
      <c r="K357" s="81"/>
    </row>
    <row r="358" ht="13.5" hidden="1" customHeight="1">
      <c r="A358" s="95" t="s">
        <v>57</v>
      </c>
      <c r="B358" s="95" t="s">
        <v>132</v>
      </c>
      <c r="C358" s="95" t="s">
        <v>144</v>
      </c>
      <c r="D358" s="96" t="s">
        <v>139</v>
      </c>
      <c r="E358" s="98">
        <v>23533.1666</v>
      </c>
      <c r="F358" s="99">
        <v>0.0</v>
      </c>
      <c r="G358" s="100">
        <v>0.0818</v>
      </c>
      <c r="H358" s="101">
        <v>49363.34897102716</v>
      </c>
      <c r="I358" s="100">
        <v>4037.9219458300217</v>
      </c>
      <c r="J358" s="100">
        <v>0.0</v>
      </c>
      <c r="K358" s="81"/>
    </row>
    <row r="359" ht="13.5" hidden="1" customHeight="1">
      <c r="A359" s="95" t="s">
        <v>83</v>
      </c>
      <c r="B359" s="95" t="s">
        <v>9</v>
      </c>
      <c r="C359" s="95" t="s">
        <v>192</v>
      </c>
      <c r="D359" s="96" t="s">
        <v>143</v>
      </c>
      <c r="E359" s="98">
        <v>1627.614434</v>
      </c>
      <c r="F359" s="99">
        <v>0.0</v>
      </c>
      <c r="G359" s="100" t="s">
        <v>134</v>
      </c>
      <c r="H359" s="101">
        <v>49332.99349454</v>
      </c>
      <c r="I359" s="100" t="s">
        <v>134</v>
      </c>
      <c r="J359" s="100">
        <v>0.0</v>
      </c>
      <c r="K359" s="81"/>
    </row>
    <row r="360" ht="13.5" hidden="1" customHeight="1">
      <c r="A360" s="95" t="s">
        <v>55</v>
      </c>
      <c r="B360" s="95" t="s">
        <v>10</v>
      </c>
      <c r="C360" s="95" t="s">
        <v>226</v>
      </c>
      <c r="D360" s="96" t="s">
        <v>138</v>
      </c>
      <c r="E360" s="98">
        <v>48622.90248</v>
      </c>
      <c r="F360" s="100">
        <v>0.002526818828</v>
      </c>
      <c r="G360" s="100">
        <v>0.0959</v>
      </c>
      <c r="H360" s="101">
        <v>48622.90248</v>
      </c>
      <c r="I360" s="100">
        <v>4662.936347831999</v>
      </c>
      <c r="J360" s="100">
        <v>122.86126545847188</v>
      </c>
      <c r="K360" s="81"/>
    </row>
    <row r="361" ht="13.5" hidden="1" customHeight="1">
      <c r="A361" s="95" t="s">
        <v>88</v>
      </c>
      <c r="B361" s="95" t="s">
        <v>9</v>
      </c>
      <c r="C361" s="95" t="s">
        <v>220</v>
      </c>
      <c r="D361" s="96" t="s">
        <v>143</v>
      </c>
      <c r="E361" s="98">
        <v>12180.79295</v>
      </c>
      <c r="F361" s="100">
        <v>0.0</v>
      </c>
      <c r="G361" s="100" t="s">
        <v>134</v>
      </c>
      <c r="H361" s="101">
        <v>48622.490493589125</v>
      </c>
      <c r="I361" s="100" t="s">
        <v>134</v>
      </c>
      <c r="J361" s="100">
        <v>0.0</v>
      </c>
      <c r="K361" s="81"/>
    </row>
    <row r="362" ht="13.5" hidden="1" customHeight="1">
      <c r="A362" s="95" t="s">
        <v>211</v>
      </c>
      <c r="B362" s="95" t="s">
        <v>134</v>
      </c>
      <c r="C362" s="95" t="s">
        <v>205</v>
      </c>
      <c r="D362" s="95" t="s">
        <v>156</v>
      </c>
      <c r="E362" s="97">
        <v>462.7242958</v>
      </c>
      <c r="F362" s="95" t="s">
        <v>134</v>
      </c>
      <c r="G362" s="95" t="s">
        <v>134</v>
      </c>
      <c r="H362" s="107">
        <v>48202.21732247739</v>
      </c>
      <c r="I362" s="95" t="s">
        <v>134</v>
      </c>
      <c r="J362" s="95" t="s">
        <v>134</v>
      </c>
      <c r="K362" s="81"/>
    </row>
    <row r="363" ht="13.5" hidden="1" customHeight="1">
      <c r="A363" s="95" t="s">
        <v>72</v>
      </c>
      <c r="B363" s="95" t="s">
        <v>132</v>
      </c>
      <c r="C363" s="95" t="s">
        <v>239</v>
      </c>
      <c r="D363" s="96" t="s">
        <v>139</v>
      </c>
      <c r="E363" s="98">
        <v>1973.9611</v>
      </c>
      <c r="F363" s="100">
        <v>0.0</v>
      </c>
      <c r="G363" s="95">
        <v>0.0668</v>
      </c>
      <c r="H363" s="104">
        <v>47873.33966170374</v>
      </c>
      <c r="I363" s="95">
        <v>3197.93908940181</v>
      </c>
      <c r="J363" s="100">
        <v>0.0</v>
      </c>
      <c r="K363" s="81"/>
    </row>
    <row r="364" ht="13.5" hidden="1" customHeight="1">
      <c r="A364" s="95" t="s">
        <v>79</v>
      </c>
      <c r="B364" s="95" t="s">
        <v>132</v>
      </c>
      <c r="C364" s="95" t="s">
        <v>144</v>
      </c>
      <c r="D364" s="96" t="s">
        <v>139</v>
      </c>
      <c r="E364" s="98">
        <v>15096.58574</v>
      </c>
      <c r="F364" s="100">
        <v>0.0</v>
      </c>
      <c r="G364" s="95">
        <v>0.0595</v>
      </c>
      <c r="H364" s="101">
        <v>47795.33008245786</v>
      </c>
      <c r="I364" s="100">
        <v>2843.8221399062427</v>
      </c>
      <c r="J364" s="100">
        <v>0.0</v>
      </c>
      <c r="K364" s="81"/>
    </row>
    <row r="365" ht="13.5" hidden="1" customHeight="1">
      <c r="A365" s="95" t="s">
        <v>55</v>
      </c>
      <c r="B365" s="95" t="s">
        <v>9</v>
      </c>
      <c r="C365" s="95" t="s">
        <v>187</v>
      </c>
      <c r="D365" s="96" t="s">
        <v>136</v>
      </c>
      <c r="E365" s="98">
        <v>44799.914225040004</v>
      </c>
      <c r="F365" s="100">
        <v>0.0</v>
      </c>
      <c r="G365" s="100">
        <v>0.0959</v>
      </c>
      <c r="H365" s="101">
        <v>44799.914225040004</v>
      </c>
      <c r="I365" s="100">
        <v>4296.311774181337</v>
      </c>
      <c r="J365" s="100">
        <v>0.0</v>
      </c>
      <c r="K365" s="81"/>
    </row>
    <row r="366" ht="13.5" hidden="1" customHeight="1">
      <c r="A366" s="95" t="s">
        <v>54</v>
      </c>
      <c r="B366" s="95" t="s">
        <v>9</v>
      </c>
      <c r="C366" s="95" t="s">
        <v>170</v>
      </c>
      <c r="D366" s="96" t="s">
        <v>136</v>
      </c>
      <c r="E366" s="98">
        <v>11.42094867</v>
      </c>
      <c r="F366" s="99">
        <v>0.0</v>
      </c>
      <c r="G366" s="100">
        <v>0.0384</v>
      </c>
      <c r="H366" s="101">
        <v>43624.31818702694</v>
      </c>
      <c r="I366" s="100">
        <v>1675.1738183818343</v>
      </c>
      <c r="J366" s="100">
        <v>0.0</v>
      </c>
      <c r="K366" s="81"/>
    </row>
    <row r="367" ht="13.5" hidden="1" customHeight="1">
      <c r="A367" s="95" t="s">
        <v>88</v>
      </c>
      <c r="B367" s="95" t="s">
        <v>9</v>
      </c>
      <c r="C367" s="95" t="s">
        <v>160</v>
      </c>
      <c r="D367" s="96" t="s">
        <v>143</v>
      </c>
      <c r="E367" s="98">
        <v>10894.54425</v>
      </c>
      <c r="F367" s="100">
        <v>0.0</v>
      </c>
      <c r="G367" s="100" t="s">
        <v>134</v>
      </c>
      <c r="H367" s="101">
        <v>43488.12728383263</v>
      </c>
      <c r="I367" s="100" t="s">
        <v>134</v>
      </c>
      <c r="J367" s="100">
        <v>0.0</v>
      </c>
      <c r="K367" s="81"/>
    </row>
    <row r="368" ht="13.5" hidden="1" customHeight="1">
      <c r="A368" s="95" t="s">
        <v>54</v>
      </c>
      <c r="B368" s="95" t="s">
        <v>9</v>
      </c>
      <c r="C368" s="95" t="s">
        <v>160</v>
      </c>
      <c r="D368" s="96" t="s">
        <v>143</v>
      </c>
      <c r="E368" s="98">
        <v>10.75053277</v>
      </c>
      <c r="F368" s="100">
        <v>0.0</v>
      </c>
      <c r="G368" s="100">
        <v>0.0384</v>
      </c>
      <c r="H368" s="101">
        <v>41063.54697753319</v>
      </c>
      <c r="I368" s="100">
        <v>1576.8402039372743</v>
      </c>
      <c r="J368" s="100">
        <v>0.0</v>
      </c>
      <c r="K368" s="81"/>
    </row>
    <row r="369" ht="13.5" hidden="1" customHeight="1">
      <c r="A369" s="95" t="s">
        <v>253</v>
      </c>
      <c r="B369" s="95" t="s">
        <v>9</v>
      </c>
      <c r="C369" s="95" t="s">
        <v>210</v>
      </c>
      <c r="D369" s="96" t="s">
        <v>143</v>
      </c>
      <c r="E369" s="98">
        <v>99.21249313</v>
      </c>
      <c r="F369" s="100">
        <v>0.0</v>
      </c>
      <c r="G369" s="100" t="s">
        <v>134</v>
      </c>
      <c r="H369" s="101">
        <v>40487.626321421696</v>
      </c>
      <c r="I369" s="100" t="s">
        <v>134</v>
      </c>
      <c r="J369" s="100">
        <v>0.0</v>
      </c>
      <c r="K369" s="81"/>
    </row>
    <row r="370" ht="13.5" hidden="1" customHeight="1">
      <c r="A370" s="95" t="s">
        <v>70</v>
      </c>
      <c r="B370" s="95" t="s">
        <v>9</v>
      </c>
      <c r="C370" s="95" t="s">
        <v>255</v>
      </c>
      <c r="D370" s="96" t="s">
        <v>136</v>
      </c>
      <c r="E370" s="98">
        <v>229.0329328</v>
      </c>
      <c r="F370" s="100">
        <v>0.0676</v>
      </c>
      <c r="G370" s="100">
        <v>0.0385</v>
      </c>
      <c r="H370" s="101">
        <v>39660.221122365045</v>
      </c>
      <c r="I370" s="100">
        <v>1526.9185132110542</v>
      </c>
      <c r="J370" s="100">
        <v>2681.030947871877</v>
      </c>
      <c r="K370" s="81"/>
    </row>
    <row r="371" ht="13.5" hidden="1" customHeight="1">
      <c r="A371" s="95" t="s">
        <v>88</v>
      </c>
      <c r="B371" s="95" t="s">
        <v>132</v>
      </c>
      <c r="C371" s="95" t="s">
        <v>144</v>
      </c>
      <c r="D371" s="96" t="s">
        <v>139</v>
      </c>
      <c r="E371" s="98">
        <v>9829.6791</v>
      </c>
      <c r="F371" s="100">
        <v>0.0</v>
      </c>
      <c r="G371" s="95" t="s">
        <v>134</v>
      </c>
      <c r="H371" s="101">
        <v>39237.4684108543</v>
      </c>
      <c r="I371" s="95" t="s">
        <v>134</v>
      </c>
      <c r="J371" s="100">
        <v>0.0</v>
      </c>
      <c r="K371" s="81"/>
    </row>
    <row r="372" ht="13.5" hidden="1" customHeight="1">
      <c r="A372" s="95" t="s">
        <v>84</v>
      </c>
      <c r="B372" s="95" t="s">
        <v>132</v>
      </c>
      <c r="C372" s="95" t="s">
        <v>166</v>
      </c>
      <c r="D372" s="96" t="s">
        <v>139</v>
      </c>
      <c r="E372" s="98">
        <v>29004.0</v>
      </c>
      <c r="F372" s="100">
        <v>0.0</v>
      </c>
      <c r="G372" s="100" t="s">
        <v>134</v>
      </c>
      <c r="H372" s="101">
        <v>38305.5828</v>
      </c>
      <c r="I372" s="100" t="s">
        <v>134</v>
      </c>
      <c r="J372" s="100">
        <v>0.0</v>
      </c>
      <c r="K372" s="81"/>
    </row>
    <row r="373" ht="13.5" hidden="1" customHeight="1">
      <c r="A373" s="95" t="s">
        <v>232</v>
      </c>
      <c r="B373" s="95" t="s">
        <v>10</v>
      </c>
      <c r="C373" s="95" t="s">
        <v>221</v>
      </c>
      <c r="D373" s="96" t="s">
        <v>138</v>
      </c>
      <c r="E373" s="98">
        <v>10790.76572</v>
      </c>
      <c r="F373" s="100">
        <v>-0.0295482322</v>
      </c>
      <c r="G373" s="100" t="s">
        <v>134</v>
      </c>
      <c r="H373" s="101">
        <v>35882.74574047456</v>
      </c>
      <c r="I373" s="100" t="s">
        <v>134</v>
      </c>
      <c r="J373" s="100">
        <v>-1060.2717031131033</v>
      </c>
      <c r="K373" s="81"/>
    </row>
    <row r="374" ht="13.5" hidden="1" customHeight="1">
      <c r="A374" s="95" t="s">
        <v>53</v>
      </c>
      <c r="B374" s="95" t="s">
        <v>132</v>
      </c>
      <c r="C374" s="95" t="s">
        <v>239</v>
      </c>
      <c r="D374" s="96" t="s">
        <v>139</v>
      </c>
      <c r="E374" s="98">
        <v>0.77342024</v>
      </c>
      <c r="F374" s="100">
        <v>0.0</v>
      </c>
      <c r="G374" s="100">
        <v>0.0298</v>
      </c>
      <c r="H374" s="102">
        <v>35820.67246666887</v>
      </c>
      <c r="I374" s="100">
        <v>1067.4560395067322</v>
      </c>
      <c r="J374" s="100">
        <v>0.0</v>
      </c>
      <c r="K374" s="81"/>
    </row>
    <row r="375" ht="13.5" hidden="1" customHeight="1">
      <c r="A375" s="95" t="s">
        <v>83</v>
      </c>
      <c r="B375" s="95" t="s">
        <v>190</v>
      </c>
      <c r="C375" s="95" t="s">
        <v>219</v>
      </c>
      <c r="D375" s="96" t="s">
        <v>143</v>
      </c>
      <c r="E375" s="98">
        <v>1139.536061</v>
      </c>
      <c r="F375" s="100">
        <v>0.0</v>
      </c>
      <c r="G375" s="100" t="s">
        <v>134</v>
      </c>
      <c r="H375" s="101">
        <v>34539.338008909996</v>
      </c>
      <c r="I375" s="100" t="s">
        <v>134</v>
      </c>
      <c r="J375" s="100">
        <v>0.0</v>
      </c>
      <c r="K375" s="81"/>
    </row>
    <row r="376" ht="13.5" hidden="1" customHeight="1">
      <c r="A376" s="95" t="s">
        <v>88</v>
      </c>
      <c r="B376" s="95" t="s">
        <v>9</v>
      </c>
      <c r="C376" s="95" t="s">
        <v>186</v>
      </c>
      <c r="D376" s="96" t="s">
        <v>143</v>
      </c>
      <c r="E376" s="98">
        <v>8612.384668</v>
      </c>
      <c r="F376" s="100">
        <v>0.0</v>
      </c>
      <c r="G376" s="100" t="s">
        <v>134</v>
      </c>
      <c r="H376" s="101">
        <v>34378.352326148255</v>
      </c>
      <c r="I376" s="100" t="s">
        <v>134</v>
      </c>
      <c r="J376" s="100">
        <v>0.0</v>
      </c>
      <c r="K376" s="81"/>
    </row>
    <row r="377" ht="13.5" hidden="1" customHeight="1">
      <c r="A377" s="95" t="s">
        <v>105</v>
      </c>
      <c r="B377" s="95" t="s">
        <v>9</v>
      </c>
      <c r="C377" s="95" t="s">
        <v>256</v>
      </c>
      <c r="D377" s="96" t="s">
        <v>143</v>
      </c>
      <c r="E377" s="98">
        <v>9870.845289</v>
      </c>
      <c r="F377" s="100">
        <v>0.0</v>
      </c>
      <c r="G377" s="95" t="s">
        <v>134</v>
      </c>
      <c r="H377" s="101">
        <v>34251.833152830004</v>
      </c>
      <c r="I377" s="95" t="s">
        <v>134</v>
      </c>
      <c r="J377" s="100">
        <v>0.0</v>
      </c>
      <c r="K377" s="81"/>
    </row>
    <row r="378" ht="13.5" hidden="1" customHeight="1">
      <c r="A378" s="95" t="s">
        <v>75</v>
      </c>
      <c r="B378" s="95" t="s">
        <v>132</v>
      </c>
      <c r="C378" s="95" t="s">
        <v>144</v>
      </c>
      <c r="D378" s="96" t="s">
        <v>139</v>
      </c>
      <c r="E378" s="98">
        <v>214.6215</v>
      </c>
      <c r="F378" s="100">
        <v>0.0</v>
      </c>
      <c r="G378" s="100">
        <v>0.0155</v>
      </c>
      <c r="H378" s="102">
        <v>34233.2123588619</v>
      </c>
      <c r="I378" s="100">
        <v>530.6147915623594</v>
      </c>
      <c r="J378" s="100">
        <v>0.0</v>
      </c>
      <c r="K378" s="81"/>
    </row>
    <row r="379" ht="13.5" hidden="1" customHeight="1">
      <c r="A379" s="95" t="s">
        <v>64</v>
      </c>
      <c r="B379" s="95" t="s">
        <v>132</v>
      </c>
      <c r="C379" s="95" t="s">
        <v>166</v>
      </c>
      <c r="D379" s="96" t="s">
        <v>139</v>
      </c>
      <c r="E379" s="98">
        <v>222.2742133</v>
      </c>
      <c r="F379" s="100">
        <v>0.0</v>
      </c>
      <c r="G379" s="100">
        <v>0.0285</v>
      </c>
      <c r="H379" s="101">
        <v>33389.6836403676</v>
      </c>
      <c r="I379" s="100">
        <v>951.6059837504766</v>
      </c>
      <c r="J379" s="100">
        <v>0.0</v>
      </c>
      <c r="K379" s="81"/>
    </row>
    <row r="380" ht="13.5" hidden="1" customHeight="1">
      <c r="A380" s="95" t="s">
        <v>83</v>
      </c>
      <c r="B380" s="95" t="s">
        <v>9</v>
      </c>
      <c r="C380" s="95" t="s">
        <v>223</v>
      </c>
      <c r="D380" s="96" t="s">
        <v>143</v>
      </c>
      <c r="E380" s="98">
        <v>1098.214446</v>
      </c>
      <c r="F380" s="100">
        <v>0.0</v>
      </c>
      <c r="G380" s="100" t="s">
        <v>134</v>
      </c>
      <c r="H380" s="102">
        <v>33286.87985826</v>
      </c>
      <c r="I380" s="100" t="s">
        <v>134</v>
      </c>
      <c r="J380" s="100">
        <v>0.0</v>
      </c>
      <c r="K380" s="81"/>
    </row>
    <row r="381" ht="13.5" hidden="1" customHeight="1">
      <c r="A381" s="95" t="s">
        <v>96</v>
      </c>
      <c r="B381" s="95" t="s">
        <v>10</v>
      </c>
      <c r="C381" s="95" t="s">
        <v>152</v>
      </c>
      <c r="D381" s="96" t="s">
        <v>138</v>
      </c>
      <c r="E381" s="98">
        <v>0.91077862</v>
      </c>
      <c r="F381" s="100">
        <v>0.0</v>
      </c>
      <c r="G381" s="100" t="s">
        <v>134</v>
      </c>
      <c r="H381" s="101">
        <v>32202.733185362857</v>
      </c>
      <c r="I381" s="100" t="s">
        <v>134</v>
      </c>
      <c r="J381" s="100">
        <v>0.0</v>
      </c>
      <c r="K381" s="81"/>
    </row>
    <row r="382" ht="13.5" hidden="1" customHeight="1">
      <c r="A382" s="95" t="s">
        <v>108</v>
      </c>
      <c r="B382" s="95" t="s">
        <v>9</v>
      </c>
      <c r="C382" s="95" t="s">
        <v>223</v>
      </c>
      <c r="D382" s="96" t="s">
        <v>143</v>
      </c>
      <c r="E382" s="98">
        <v>28064.87165</v>
      </c>
      <c r="F382" s="100">
        <v>0.0</v>
      </c>
      <c r="G382" s="95" t="s">
        <v>134</v>
      </c>
      <c r="H382" s="101">
        <v>31432.656248000003</v>
      </c>
      <c r="I382" s="95" t="s">
        <v>134</v>
      </c>
      <c r="J382" s="100">
        <v>0.0</v>
      </c>
      <c r="K382" s="81"/>
    </row>
    <row r="383" ht="13.5" hidden="1" customHeight="1">
      <c r="A383" s="95" t="s">
        <v>88</v>
      </c>
      <c r="B383" s="95" t="s">
        <v>9</v>
      </c>
      <c r="C383" s="95" t="s">
        <v>240</v>
      </c>
      <c r="D383" s="96" t="s">
        <v>143</v>
      </c>
      <c r="E383" s="98">
        <v>7769.095758</v>
      </c>
      <c r="F383" s="100">
        <v>0.0982</v>
      </c>
      <c r="G383" s="100" t="s">
        <v>134</v>
      </c>
      <c r="H383" s="101">
        <v>31012.166957253685</v>
      </c>
      <c r="I383" s="100" t="s">
        <v>134</v>
      </c>
      <c r="J383" s="100">
        <v>3045.394795202312</v>
      </c>
      <c r="K383" s="81"/>
    </row>
    <row r="384" ht="13.5" hidden="1" customHeight="1">
      <c r="A384" s="95" t="s">
        <v>88</v>
      </c>
      <c r="B384" s="95" t="s">
        <v>9</v>
      </c>
      <c r="C384" s="95" t="s">
        <v>192</v>
      </c>
      <c r="D384" s="96" t="s">
        <v>143</v>
      </c>
      <c r="E384" s="98">
        <v>7679.295709</v>
      </c>
      <c r="F384" s="99">
        <v>0.0</v>
      </c>
      <c r="G384" s="95" t="s">
        <v>134</v>
      </c>
      <c r="H384" s="101">
        <v>30653.7090106529</v>
      </c>
      <c r="I384" s="100" t="s">
        <v>134</v>
      </c>
      <c r="J384" s="100">
        <v>0.0</v>
      </c>
      <c r="K384" s="81"/>
    </row>
    <row r="385" ht="13.5" hidden="1" customHeight="1">
      <c r="A385" s="95" t="s">
        <v>70</v>
      </c>
      <c r="B385" s="95" t="s">
        <v>132</v>
      </c>
      <c r="C385" s="95" t="s">
        <v>245</v>
      </c>
      <c r="D385" s="96" t="s">
        <v>138</v>
      </c>
      <c r="E385" s="98">
        <v>168.0616328</v>
      </c>
      <c r="F385" s="100">
        <v>0.0</v>
      </c>
      <c r="G385" s="100">
        <v>0.0385</v>
      </c>
      <c r="H385" s="101">
        <v>29102.19695284677</v>
      </c>
      <c r="I385" s="100">
        <v>1120.4345826846006</v>
      </c>
      <c r="J385" s="100">
        <v>0.0</v>
      </c>
      <c r="K385" s="81"/>
    </row>
    <row r="386" ht="13.5" hidden="1" customHeight="1">
      <c r="A386" s="95" t="s">
        <v>85</v>
      </c>
      <c r="B386" s="95" t="s">
        <v>132</v>
      </c>
      <c r="C386" s="95" t="s">
        <v>166</v>
      </c>
      <c r="D386" s="96" t="s">
        <v>139</v>
      </c>
      <c r="E386" s="97">
        <v>37638.0</v>
      </c>
      <c r="F386" s="95">
        <v>0.0</v>
      </c>
      <c r="G386" s="95" t="s">
        <v>134</v>
      </c>
      <c r="H386" s="104">
        <v>26715.4524</v>
      </c>
      <c r="I386" s="95" t="s">
        <v>134</v>
      </c>
      <c r="J386" s="100">
        <v>0.0</v>
      </c>
      <c r="K386" s="81"/>
    </row>
    <row r="387" ht="13.5" hidden="1" customHeight="1">
      <c r="A387" s="95" t="s">
        <v>91</v>
      </c>
      <c r="B387" s="95" t="s">
        <v>132</v>
      </c>
      <c r="C387" s="95" t="s">
        <v>166</v>
      </c>
      <c r="D387" s="96" t="s">
        <v>139</v>
      </c>
      <c r="E387" s="98">
        <v>30800.0</v>
      </c>
      <c r="F387" s="100">
        <v>0.0</v>
      </c>
      <c r="G387" s="100" t="s">
        <v>134</v>
      </c>
      <c r="H387" s="101">
        <v>23833.04</v>
      </c>
      <c r="I387" s="95" t="s">
        <v>134</v>
      </c>
      <c r="J387" s="100">
        <v>0.0</v>
      </c>
      <c r="K387" s="81"/>
    </row>
    <row r="388" ht="13.5" hidden="1" customHeight="1">
      <c r="A388" s="95" t="s">
        <v>257</v>
      </c>
      <c r="B388" s="95" t="s">
        <v>9</v>
      </c>
      <c r="C388" s="95" t="s">
        <v>168</v>
      </c>
      <c r="D388" s="96" t="s">
        <v>136</v>
      </c>
      <c r="E388" s="98">
        <v>10007.23888</v>
      </c>
      <c r="F388" s="100" t="s">
        <v>134</v>
      </c>
      <c r="G388" s="100" t="s">
        <v>134</v>
      </c>
      <c r="H388" s="101">
        <v>23817.2285344</v>
      </c>
      <c r="I388" s="100" t="s">
        <v>134</v>
      </c>
      <c r="J388" s="100" t="s">
        <v>134</v>
      </c>
      <c r="K388" s="81"/>
    </row>
    <row r="389" ht="13.5" hidden="1" customHeight="1">
      <c r="A389" s="95" t="s">
        <v>257</v>
      </c>
      <c r="B389" s="95" t="s">
        <v>9</v>
      </c>
      <c r="C389" s="95" t="s">
        <v>187</v>
      </c>
      <c r="D389" s="96" t="s">
        <v>136</v>
      </c>
      <c r="E389" s="98">
        <v>10000.0</v>
      </c>
      <c r="F389" s="100" t="s">
        <v>134</v>
      </c>
      <c r="G389" s="100" t="s">
        <v>134</v>
      </c>
      <c r="H389" s="101">
        <v>23800.0</v>
      </c>
      <c r="I389" s="100" t="s">
        <v>134</v>
      </c>
      <c r="J389" s="100" t="s">
        <v>134</v>
      </c>
      <c r="K389" s="81"/>
    </row>
    <row r="390" ht="13.5" hidden="1" customHeight="1">
      <c r="A390" s="95" t="s">
        <v>88</v>
      </c>
      <c r="B390" s="95" t="s">
        <v>9</v>
      </c>
      <c r="C390" s="95" t="s">
        <v>148</v>
      </c>
      <c r="D390" s="96" t="s">
        <v>143</v>
      </c>
      <c r="E390" s="98">
        <v>5933.866349</v>
      </c>
      <c r="F390" s="100">
        <v>0.0</v>
      </c>
      <c r="G390" s="100" t="s">
        <v>134</v>
      </c>
      <c r="H390" s="101">
        <v>23686.418554916898</v>
      </c>
      <c r="I390" s="100" t="s">
        <v>134</v>
      </c>
      <c r="J390" s="100">
        <v>0.0</v>
      </c>
      <c r="K390" s="81"/>
    </row>
    <row r="391" ht="13.5" hidden="1" customHeight="1">
      <c r="A391" s="95" t="s">
        <v>55</v>
      </c>
      <c r="B391" s="95" t="s">
        <v>10</v>
      </c>
      <c r="C391" s="95" t="s">
        <v>249</v>
      </c>
      <c r="D391" s="96" t="s">
        <v>136</v>
      </c>
      <c r="E391" s="98">
        <v>23644.3996386</v>
      </c>
      <c r="F391" s="100">
        <v>0.0</v>
      </c>
      <c r="G391" s="100">
        <v>0.0959</v>
      </c>
      <c r="H391" s="101">
        <v>23644.3996386</v>
      </c>
      <c r="I391" s="100">
        <v>2267.49792534174</v>
      </c>
      <c r="J391" s="100">
        <v>0.0</v>
      </c>
      <c r="K391" s="81"/>
    </row>
    <row r="392" ht="13.5" hidden="1" customHeight="1">
      <c r="A392" s="95" t="s">
        <v>232</v>
      </c>
      <c r="B392" s="95" t="s">
        <v>132</v>
      </c>
      <c r="C392" s="95" t="s">
        <v>184</v>
      </c>
      <c r="D392" s="96" t="s">
        <v>138</v>
      </c>
      <c r="E392" s="98">
        <v>7049.410255</v>
      </c>
      <c r="F392" s="100">
        <v>0.0</v>
      </c>
      <c r="G392" s="100" t="s">
        <v>134</v>
      </c>
      <c r="H392" s="101">
        <v>23441.542737938238</v>
      </c>
      <c r="I392" s="100" t="s">
        <v>134</v>
      </c>
      <c r="J392" s="100">
        <v>0.0</v>
      </c>
      <c r="K392" s="81"/>
      <c r="O392" s="38"/>
    </row>
    <row r="393" ht="13.5" hidden="1" customHeight="1">
      <c r="A393" s="95" t="s">
        <v>83</v>
      </c>
      <c r="B393" s="95" t="s">
        <v>9</v>
      </c>
      <c r="C393" s="95" t="s">
        <v>215</v>
      </c>
      <c r="D393" s="96" t="s">
        <v>143</v>
      </c>
      <c r="E393" s="98">
        <v>767.8729144</v>
      </c>
      <c r="F393" s="100">
        <v>0.0</v>
      </c>
      <c r="G393" s="95" t="s">
        <v>134</v>
      </c>
      <c r="H393" s="102">
        <v>23274.228035464</v>
      </c>
      <c r="I393" s="95" t="s">
        <v>134</v>
      </c>
      <c r="J393" s="100">
        <v>0.0</v>
      </c>
      <c r="K393" s="81"/>
    </row>
    <row r="394" ht="13.5" hidden="1" customHeight="1">
      <c r="A394" s="95" t="s">
        <v>53</v>
      </c>
      <c r="B394" s="95" t="s">
        <v>10</v>
      </c>
      <c r="C394" s="95" t="s">
        <v>216</v>
      </c>
      <c r="D394" s="96" t="s">
        <v>136</v>
      </c>
      <c r="E394" s="98">
        <v>0.49208336</v>
      </c>
      <c r="F394" s="100">
        <v>0.0</v>
      </c>
      <c r="G394" s="100">
        <v>0.0298</v>
      </c>
      <c r="H394" s="100">
        <v>22790.65888534014</v>
      </c>
      <c r="I394" s="100">
        <v>679.1616347831362</v>
      </c>
      <c r="J394" s="100">
        <v>0.0</v>
      </c>
      <c r="K394" s="81"/>
    </row>
    <row r="395" ht="13.5" hidden="1" customHeight="1">
      <c r="A395" s="95" t="s">
        <v>74</v>
      </c>
      <c r="B395" s="95" t="s">
        <v>132</v>
      </c>
      <c r="C395" s="95" t="s">
        <v>144</v>
      </c>
      <c r="D395" s="96" t="s">
        <v>139</v>
      </c>
      <c r="E395" s="98">
        <v>20926.0273</v>
      </c>
      <c r="F395" s="100">
        <v>0.0</v>
      </c>
      <c r="G395" s="100">
        <v>0.0097</v>
      </c>
      <c r="H395" s="101">
        <v>22570.873710333144</v>
      </c>
      <c r="I395" s="100">
        <v>218.9374749902315</v>
      </c>
      <c r="J395" s="100">
        <v>0.0</v>
      </c>
      <c r="K395" s="81"/>
    </row>
    <row r="396" ht="13.5" hidden="1" customHeight="1">
      <c r="A396" s="95" t="s">
        <v>88</v>
      </c>
      <c r="B396" s="95" t="s">
        <v>190</v>
      </c>
      <c r="C396" s="95" t="s">
        <v>219</v>
      </c>
      <c r="D396" s="96" t="s">
        <v>143</v>
      </c>
      <c r="E396" s="98">
        <v>5376.478725</v>
      </c>
      <c r="F396" s="100">
        <v>0.0</v>
      </c>
      <c r="G396" s="100" t="s">
        <v>134</v>
      </c>
      <c r="H396" s="101">
        <v>21461.475190356694</v>
      </c>
      <c r="I396" s="100" t="s">
        <v>134</v>
      </c>
      <c r="J396" s="100">
        <v>0.0</v>
      </c>
      <c r="K396" s="81"/>
    </row>
    <row r="397" ht="13.5" hidden="1" customHeight="1">
      <c r="A397" s="95" t="s">
        <v>88</v>
      </c>
      <c r="B397" s="95" t="s">
        <v>9</v>
      </c>
      <c r="C397" s="95" t="s">
        <v>223</v>
      </c>
      <c r="D397" s="96" t="s">
        <v>143</v>
      </c>
      <c r="E397" s="98">
        <v>5181.517996</v>
      </c>
      <c r="F397" s="100">
        <v>0.0</v>
      </c>
      <c r="G397" s="95" t="s">
        <v>134</v>
      </c>
      <c r="H397" s="101">
        <v>20683.24373766414</v>
      </c>
      <c r="I397" s="100" t="s">
        <v>134</v>
      </c>
      <c r="J397" s="100">
        <v>0.0</v>
      </c>
      <c r="K397" s="81"/>
    </row>
    <row r="398" ht="13.5" hidden="1" customHeight="1">
      <c r="A398" s="95" t="s">
        <v>146</v>
      </c>
      <c r="B398" s="95" t="s">
        <v>258</v>
      </c>
      <c r="C398" s="95" t="s">
        <v>259</v>
      </c>
      <c r="D398" s="96" t="s">
        <v>143</v>
      </c>
      <c r="E398" s="98">
        <v>0.44</v>
      </c>
      <c r="F398" s="100">
        <v>0.0</v>
      </c>
      <c r="G398" s="100">
        <v>0.0298</v>
      </c>
      <c r="H398" s="101">
        <v>20374.126647600002</v>
      </c>
      <c r="I398" s="100">
        <v>607.14897409848</v>
      </c>
      <c r="J398" s="100">
        <v>0.0</v>
      </c>
      <c r="K398" s="81"/>
    </row>
    <row r="399" ht="13.5" hidden="1" customHeight="1">
      <c r="A399" s="95" t="s">
        <v>109</v>
      </c>
      <c r="B399" s="95" t="s">
        <v>132</v>
      </c>
      <c r="C399" s="95" t="s">
        <v>158</v>
      </c>
      <c r="D399" s="96" t="s">
        <v>139</v>
      </c>
      <c r="E399" s="98">
        <v>8.501148038</v>
      </c>
      <c r="F399" s="100">
        <v>0.0</v>
      </c>
      <c r="G399" s="95" t="s">
        <v>134</v>
      </c>
      <c r="H399" s="101">
        <v>19505.715127862262</v>
      </c>
      <c r="I399" s="95" t="s">
        <v>134</v>
      </c>
      <c r="J399" s="100">
        <v>0.0</v>
      </c>
      <c r="K399" s="81"/>
    </row>
    <row r="400" ht="13.5" hidden="1" customHeight="1">
      <c r="A400" s="95" t="s">
        <v>54</v>
      </c>
      <c r="B400" s="95" t="s">
        <v>134</v>
      </c>
      <c r="C400" s="95" t="s">
        <v>155</v>
      </c>
      <c r="D400" s="95" t="s">
        <v>156</v>
      </c>
      <c r="E400" s="98">
        <v>4.861639217</v>
      </c>
      <c r="F400" s="100" t="s">
        <v>134</v>
      </c>
      <c r="G400" s="100">
        <v>0.0384</v>
      </c>
      <c r="H400" s="101">
        <v>18569.884362586537</v>
      </c>
      <c r="I400" s="100">
        <v>713.083559523323</v>
      </c>
      <c r="J400" s="100" t="s">
        <v>134</v>
      </c>
      <c r="K400" s="81"/>
    </row>
    <row r="401" ht="13.5" hidden="1" customHeight="1">
      <c r="A401" s="95" t="s">
        <v>54</v>
      </c>
      <c r="B401" s="95" t="s">
        <v>9</v>
      </c>
      <c r="C401" s="95" t="s">
        <v>240</v>
      </c>
      <c r="D401" s="96" t="s">
        <v>143</v>
      </c>
      <c r="E401" s="98">
        <v>4.854503377</v>
      </c>
      <c r="F401" s="100">
        <v>0.0</v>
      </c>
      <c r="G401" s="100">
        <v>0.0384</v>
      </c>
      <c r="H401" s="101">
        <v>18542.627769138275</v>
      </c>
      <c r="I401" s="100">
        <v>712.0369063349096</v>
      </c>
      <c r="J401" s="100">
        <v>0.0</v>
      </c>
      <c r="K401" s="81"/>
    </row>
    <row r="402" ht="13.5" hidden="1" customHeight="1">
      <c r="A402" s="95" t="s">
        <v>70</v>
      </c>
      <c r="B402" s="95" t="s">
        <v>132</v>
      </c>
      <c r="C402" s="95" t="s">
        <v>166</v>
      </c>
      <c r="D402" s="96" t="s">
        <v>139</v>
      </c>
      <c r="E402" s="98">
        <v>106.934225</v>
      </c>
      <c r="F402" s="100">
        <v>0.0</v>
      </c>
      <c r="G402" s="100">
        <v>0.0385</v>
      </c>
      <c r="H402" s="101">
        <v>18517.140557913408</v>
      </c>
      <c r="I402" s="100">
        <v>712.9099114796662</v>
      </c>
      <c r="J402" s="100">
        <v>0.0</v>
      </c>
      <c r="K402" s="81"/>
    </row>
    <row r="403" ht="13.5" hidden="1" customHeight="1">
      <c r="A403" s="95" t="s">
        <v>54</v>
      </c>
      <c r="B403" s="95" t="s">
        <v>11</v>
      </c>
      <c r="C403" s="95" t="s">
        <v>175</v>
      </c>
      <c r="D403" s="96" t="s">
        <v>176</v>
      </c>
      <c r="E403" s="98">
        <v>4.725515096</v>
      </c>
      <c r="F403" s="100">
        <v>0.0</v>
      </c>
      <c r="G403" s="100">
        <v>0.0384</v>
      </c>
      <c r="H403" s="104">
        <v>18049.93438828783</v>
      </c>
      <c r="I403" s="100">
        <v>693.1174805102527</v>
      </c>
      <c r="J403" s="100">
        <v>0.0</v>
      </c>
      <c r="K403" s="81"/>
    </row>
    <row r="404" ht="13.5" hidden="1" customHeight="1">
      <c r="A404" s="95" t="s">
        <v>60</v>
      </c>
      <c r="B404" s="95" t="s">
        <v>132</v>
      </c>
      <c r="C404" s="95" t="s">
        <v>166</v>
      </c>
      <c r="D404" s="96" t="s">
        <v>139</v>
      </c>
      <c r="E404" s="98">
        <v>14728.44519</v>
      </c>
      <c r="F404" s="100">
        <v>0.0</v>
      </c>
      <c r="G404" s="100">
        <v>0.0205</v>
      </c>
      <c r="H404" s="100">
        <v>18041.270873488054</v>
      </c>
      <c r="I404" s="100">
        <v>369.8460529065051</v>
      </c>
      <c r="J404" s="100">
        <v>0.0</v>
      </c>
      <c r="K404" s="81"/>
    </row>
    <row r="405" ht="13.5" hidden="1" customHeight="1">
      <c r="A405" s="95" t="s">
        <v>54</v>
      </c>
      <c r="B405" s="95" t="s">
        <v>9</v>
      </c>
      <c r="C405" s="95" t="s">
        <v>251</v>
      </c>
      <c r="D405" s="96" t="s">
        <v>143</v>
      </c>
      <c r="E405" s="98">
        <v>4.68597365</v>
      </c>
      <c r="F405" s="100">
        <v>0.0</v>
      </c>
      <c r="G405" s="95">
        <v>0.0384</v>
      </c>
      <c r="H405" s="101">
        <v>17898.898894501734</v>
      </c>
      <c r="I405" s="95">
        <v>687.3177175488665</v>
      </c>
      <c r="J405" s="100">
        <v>0.0</v>
      </c>
      <c r="K405" s="81"/>
    </row>
    <row r="406" ht="13.5" hidden="1" customHeight="1">
      <c r="A406" s="95" t="s">
        <v>67</v>
      </c>
      <c r="B406" s="95" t="s">
        <v>132</v>
      </c>
      <c r="C406" s="95" t="s">
        <v>144</v>
      </c>
      <c r="D406" s="96" t="s">
        <v>139</v>
      </c>
      <c r="E406" s="98">
        <v>3603.656203</v>
      </c>
      <c r="F406" s="99">
        <v>0.0</v>
      </c>
      <c r="G406" s="95">
        <v>0.1339</v>
      </c>
      <c r="H406" s="100">
        <v>17874.771828430876</v>
      </c>
      <c r="I406" s="95">
        <v>2393.431947826894</v>
      </c>
      <c r="J406" s="100">
        <v>0.0</v>
      </c>
      <c r="K406" s="81"/>
    </row>
    <row r="407" ht="13.5" hidden="1" customHeight="1">
      <c r="A407" s="95" t="s">
        <v>83</v>
      </c>
      <c r="B407" s="95" t="s">
        <v>9</v>
      </c>
      <c r="C407" s="95" t="s">
        <v>168</v>
      </c>
      <c r="D407" s="96" t="s">
        <v>136</v>
      </c>
      <c r="E407" s="98">
        <v>580.0160529</v>
      </c>
      <c r="F407" s="100">
        <v>0.0</v>
      </c>
      <c r="G407" s="100" t="s">
        <v>134</v>
      </c>
      <c r="H407" s="100">
        <v>17580.286563398997</v>
      </c>
      <c r="I407" s="100" t="s">
        <v>134</v>
      </c>
      <c r="J407" s="100">
        <v>0.0</v>
      </c>
      <c r="K407" s="81"/>
    </row>
    <row r="408" ht="13.5" hidden="1" customHeight="1">
      <c r="A408" s="95" t="s">
        <v>86</v>
      </c>
      <c r="B408" s="95" t="s">
        <v>10</v>
      </c>
      <c r="C408" s="95" t="s">
        <v>152</v>
      </c>
      <c r="D408" s="96" t="s">
        <v>138</v>
      </c>
      <c r="E408" s="98">
        <v>3029.379884</v>
      </c>
      <c r="F408" s="100">
        <v>0.4287</v>
      </c>
      <c r="G408" s="100">
        <v>0.0042</v>
      </c>
      <c r="H408" s="101">
        <v>17455.832585924025</v>
      </c>
      <c r="I408" s="100">
        <v>73.3144968608809</v>
      </c>
      <c r="J408" s="100">
        <v>7483.31542958563</v>
      </c>
      <c r="K408" s="81"/>
    </row>
    <row r="409" ht="13.5" hidden="1" customHeight="1">
      <c r="A409" s="95" t="s">
        <v>87</v>
      </c>
      <c r="B409" s="95" t="s">
        <v>9</v>
      </c>
      <c r="C409" s="95" t="s">
        <v>171</v>
      </c>
      <c r="D409" s="96" t="s">
        <v>143</v>
      </c>
      <c r="E409" s="98">
        <v>3133.302755</v>
      </c>
      <c r="F409" s="100">
        <v>0.0</v>
      </c>
      <c r="G409" s="100">
        <v>0.0396</v>
      </c>
      <c r="H409" s="100">
        <v>16407.231590899435</v>
      </c>
      <c r="I409" s="95">
        <v>649.7263709996176</v>
      </c>
      <c r="J409" s="100">
        <v>0.0</v>
      </c>
      <c r="K409" s="81"/>
    </row>
    <row r="410" ht="13.5" hidden="1" customHeight="1">
      <c r="A410" s="95" t="s">
        <v>110</v>
      </c>
      <c r="B410" s="95" t="s">
        <v>132</v>
      </c>
      <c r="C410" s="95" t="s">
        <v>158</v>
      </c>
      <c r="D410" s="96" t="s">
        <v>139</v>
      </c>
      <c r="E410" s="98">
        <v>186214.4927</v>
      </c>
      <c r="F410" s="100">
        <v>0.0</v>
      </c>
      <c r="G410" s="100">
        <v>0.0</v>
      </c>
      <c r="H410" s="100">
        <v>15917.732370859503</v>
      </c>
      <c r="I410" s="100">
        <v>0.0</v>
      </c>
      <c r="J410" s="100">
        <v>0.0</v>
      </c>
      <c r="K410" s="81"/>
    </row>
    <row r="411" ht="13.5" hidden="1" customHeight="1">
      <c r="A411" s="95" t="s">
        <v>54</v>
      </c>
      <c r="B411" s="95" t="s">
        <v>9</v>
      </c>
      <c r="C411" s="95" t="s">
        <v>260</v>
      </c>
      <c r="D411" s="96" t="s">
        <v>143</v>
      </c>
      <c r="E411" s="98">
        <v>4.097722973</v>
      </c>
      <c r="F411" s="100">
        <v>0.0</v>
      </c>
      <c r="G411" s="95">
        <v>0.0384</v>
      </c>
      <c r="H411" s="101">
        <v>15651.972176882397</v>
      </c>
      <c r="I411" s="95">
        <v>601.0357315922839</v>
      </c>
      <c r="J411" s="100">
        <v>0.0</v>
      </c>
      <c r="K411" s="81"/>
    </row>
    <row r="412" ht="13.5" hidden="1" customHeight="1">
      <c r="A412" s="95" t="s">
        <v>54</v>
      </c>
      <c r="B412" s="95" t="s">
        <v>190</v>
      </c>
      <c r="C412" s="95" t="s">
        <v>191</v>
      </c>
      <c r="D412" s="96" t="s">
        <v>136</v>
      </c>
      <c r="E412" s="98">
        <v>4.052004986</v>
      </c>
      <c r="F412" s="100">
        <v>0.0</v>
      </c>
      <c r="G412" s="100">
        <v>0.0384</v>
      </c>
      <c r="H412" s="101">
        <v>15477.344300566203</v>
      </c>
      <c r="I412" s="100">
        <v>594.3300211417421</v>
      </c>
      <c r="J412" s="100">
        <v>0.0</v>
      </c>
      <c r="K412" s="81"/>
    </row>
    <row r="413" ht="13.5" hidden="1" customHeight="1">
      <c r="A413" s="95" t="s">
        <v>57</v>
      </c>
      <c r="B413" s="95" t="s">
        <v>132</v>
      </c>
      <c r="C413" s="95" t="s">
        <v>166</v>
      </c>
      <c r="D413" s="96" t="s">
        <v>139</v>
      </c>
      <c r="E413" s="98">
        <v>7341.0</v>
      </c>
      <c r="F413" s="100">
        <v>0.0</v>
      </c>
      <c r="G413" s="100">
        <v>0.0818</v>
      </c>
      <c r="H413" s="101">
        <v>15398.537347553998</v>
      </c>
      <c r="I413" s="100">
        <v>1259.600355029917</v>
      </c>
      <c r="J413" s="100">
        <v>0.0</v>
      </c>
      <c r="K413" s="81"/>
    </row>
    <row r="414" ht="13.5" hidden="1" customHeight="1">
      <c r="A414" s="95" t="s">
        <v>83</v>
      </c>
      <c r="B414" s="95" t="s">
        <v>9</v>
      </c>
      <c r="C414" s="95" t="s">
        <v>199</v>
      </c>
      <c r="D414" s="96" t="s">
        <v>138</v>
      </c>
      <c r="E414" s="97">
        <v>505.3300982</v>
      </c>
      <c r="F414" s="95">
        <v>0.0</v>
      </c>
      <c r="G414" s="95" t="s">
        <v>134</v>
      </c>
      <c r="H414" s="104">
        <v>15316.555276441999</v>
      </c>
      <c r="I414" s="95" t="s">
        <v>134</v>
      </c>
      <c r="J414" s="95">
        <v>0.0</v>
      </c>
      <c r="K414" s="81"/>
    </row>
    <row r="415" ht="13.5" hidden="1" customHeight="1">
      <c r="A415" s="95" t="s">
        <v>96</v>
      </c>
      <c r="B415" s="95" t="s">
        <v>9</v>
      </c>
      <c r="C415" s="95" t="s">
        <v>187</v>
      </c>
      <c r="D415" s="96" t="s">
        <v>136</v>
      </c>
      <c r="E415" s="97">
        <v>0.4258424739</v>
      </c>
      <c r="F415" s="95">
        <v>0.0</v>
      </c>
      <c r="G415" s="95" t="s">
        <v>134</v>
      </c>
      <c r="H415" s="95">
        <v>15056.668288937819</v>
      </c>
      <c r="I415" s="95" t="s">
        <v>134</v>
      </c>
      <c r="J415" s="95">
        <v>0.0</v>
      </c>
      <c r="K415" s="81"/>
    </row>
    <row r="416" ht="13.5" hidden="1" customHeight="1">
      <c r="A416" s="95" t="s">
        <v>68</v>
      </c>
      <c r="B416" s="95" t="s">
        <v>132</v>
      </c>
      <c r="C416" s="95" t="s">
        <v>166</v>
      </c>
      <c r="D416" s="96" t="s">
        <v>139</v>
      </c>
      <c r="E416" s="97">
        <v>55012.3375</v>
      </c>
      <c r="F416" s="95">
        <v>0.0</v>
      </c>
      <c r="G416" s="95">
        <v>0.0091</v>
      </c>
      <c r="H416" s="104">
        <v>14860.317691862501</v>
      </c>
      <c r="I416" s="95">
        <v>135.22889099594877</v>
      </c>
      <c r="J416" s="95">
        <v>0.0</v>
      </c>
      <c r="K416" s="81"/>
    </row>
    <row r="417" ht="13.5" hidden="1" customHeight="1">
      <c r="A417" s="95" t="s">
        <v>88</v>
      </c>
      <c r="B417" s="95" t="s">
        <v>9</v>
      </c>
      <c r="C417" s="95" t="s">
        <v>215</v>
      </c>
      <c r="D417" s="96" t="s">
        <v>143</v>
      </c>
      <c r="E417" s="97">
        <v>3622.932406</v>
      </c>
      <c r="F417" s="95">
        <v>0.0</v>
      </c>
      <c r="G417" s="95" t="s">
        <v>134</v>
      </c>
      <c r="H417" s="104">
        <v>14461.783989986547</v>
      </c>
      <c r="I417" s="95" t="s">
        <v>134</v>
      </c>
      <c r="J417" s="95">
        <v>0.0</v>
      </c>
      <c r="K417" s="81"/>
    </row>
    <row r="418" ht="13.5" hidden="1" customHeight="1">
      <c r="A418" s="95" t="s">
        <v>88</v>
      </c>
      <c r="B418" s="95" t="s">
        <v>9</v>
      </c>
      <c r="C418" s="95" t="s">
        <v>199</v>
      </c>
      <c r="D418" s="96" t="s">
        <v>138</v>
      </c>
      <c r="E418" s="97">
        <v>3601.114278</v>
      </c>
      <c r="F418" s="95">
        <v>0.0</v>
      </c>
      <c r="G418" s="95" t="s">
        <v>134</v>
      </c>
      <c r="H418" s="104">
        <v>14374.691817447163</v>
      </c>
      <c r="I418" s="95" t="s">
        <v>134</v>
      </c>
      <c r="J418" s="95">
        <v>0.0</v>
      </c>
      <c r="K418" s="81"/>
    </row>
    <row r="419" ht="13.5" hidden="1" customHeight="1">
      <c r="A419" s="95" t="s">
        <v>54</v>
      </c>
      <c r="B419" s="95" t="s">
        <v>134</v>
      </c>
      <c r="C419" s="95" t="s">
        <v>173</v>
      </c>
      <c r="D419" s="95" t="s">
        <v>156</v>
      </c>
      <c r="E419" s="97">
        <v>3.703136902</v>
      </c>
      <c r="F419" s="95" t="s">
        <v>134</v>
      </c>
      <c r="G419" s="95">
        <v>0.0384</v>
      </c>
      <c r="H419" s="104">
        <v>14144.781416215681</v>
      </c>
      <c r="I419" s="95">
        <v>543.1596063826821</v>
      </c>
      <c r="J419" s="95" t="s">
        <v>134</v>
      </c>
      <c r="K419" s="81"/>
    </row>
    <row r="420" ht="13.5" hidden="1" customHeight="1">
      <c r="A420" s="95" t="s">
        <v>107</v>
      </c>
      <c r="B420" s="95" t="s">
        <v>9</v>
      </c>
      <c r="C420" s="95" t="s">
        <v>218</v>
      </c>
      <c r="D420" s="96" t="s">
        <v>143</v>
      </c>
      <c r="E420" s="97">
        <v>158.5842816</v>
      </c>
      <c r="F420" s="95">
        <v>0.0</v>
      </c>
      <c r="G420" s="95" t="s">
        <v>134</v>
      </c>
      <c r="H420" s="104">
        <v>14073.954457265805</v>
      </c>
      <c r="I420" s="95" t="s">
        <v>134</v>
      </c>
      <c r="J420" s="95">
        <v>0.0</v>
      </c>
      <c r="K420" s="81"/>
    </row>
    <row r="421" ht="13.5" hidden="1" customHeight="1">
      <c r="A421" s="95" t="s">
        <v>73</v>
      </c>
      <c r="B421" s="95" t="s">
        <v>132</v>
      </c>
      <c r="C421" s="95" t="s">
        <v>144</v>
      </c>
      <c r="D421" s="96" t="s">
        <v>139</v>
      </c>
      <c r="E421" s="98">
        <v>4208.9712</v>
      </c>
      <c r="F421" s="100">
        <v>0.0</v>
      </c>
      <c r="G421" s="100">
        <v>0.0288</v>
      </c>
      <c r="H421" s="100">
        <v>13573.066662923913</v>
      </c>
      <c r="I421" s="100">
        <v>390.90431989220866</v>
      </c>
      <c r="J421" s="100">
        <v>0.0</v>
      </c>
      <c r="K421" s="81"/>
    </row>
    <row r="422" ht="13.5" hidden="1" customHeight="1">
      <c r="A422" s="95" t="s">
        <v>90</v>
      </c>
      <c r="B422" s="95" t="s">
        <v>132</v>
      </c>
      <c r="C422" s="95" t="s">
        <v>144</v>
      </c>
      <c r="D422" s="96" t="s">
        <v>139</v>
      </c>
      <c r="E422" s="97">
        <v>932.5534</v>
      </c>
      <c r="F422" s="95">
        <v>0.0</v>
      </c>
      <c r="G422" s="95" t="s">
        <v>134</v>
      </c>
      <c r="H422" s="104">
        <v>13467.850752931958</v>
      </c>
      <c r="I422" s="95" t="s">
        <v>134</v>
      </c>
      <c r="J422" s="95">
        <v>0.0</v>
      </c>
      <c r="K422" s="81"/>
    </row>
    <row r="423" ht="13.5" hidden="1" customHeight="1">
      <c r="A423" s="95" t="s">
        <v>54</v>
      </c>
      <c r="B423" s="95" t="s">
        <v>258</v>
      </c>
      <c r="C423" s="95" t="s">
        <v>259</v>
      </c>
      <c r="D423" s="96" t="s">
        <v>143</v>
      </c>
      <c r="E423" s="97">
        <v>3.49541846</v>
      </c>
      <c r="F423" s="95">
        <v>0.0</v>
      </c>
      <c r="G423" s="95">
        <v>0.0384</v>
      </c>
      <c r="H423" s="95">
        <v>13351.36436576312</v>
      </c>
      <c r="I423" s="95">
        <v>512.6923916453038</v>
      </c>
      <c r="J423" s="95">
        <v>0.0</v>
      </c>
      <c r="K423" s="81"/>
    </row>
    <row r="424" ht="13.5" hidden="1" customHeight="1">
      <c r="A424" s="95" t="s">
        <v>70</v>
      </c>
      <c r="B424" s="95" t="s">
        <v>132</v>
      </c>
      <c r="C424" s="95" t="s">
        <v>144</v>
      </c>
      <c r="D424" s="96" t="s">
        <v>139</v>
      </c>
      <c r="E424" s="97">
        <v>73.0479</v>
      </c>
      <c r="F424" s="95">
        <v>0.0</v>
      </c>
      <c r="G424" s="95">
        <v>0.0385</v>
      </c>
      <c r="H424" s="95">
        <v>12649.254546525239</v>
      </c>
      <c r="I424" s="95">
        <v>486.9963000412217</v>
      </c>
      <c r="J424" s="95">
        <v>0.0</v>
      </c>
      <c r="K424" s="81"/>
    </row>
    <row r="425" ht="13.5" hidden="1" customHeight="1">
      <c r="A425" s="95" t="s">
        <v>107</v>
      </c>
      <c r="B425" s="95" t="s">
        <v>9</v>
      </c>
      <c r="C425" s="95" t="s">
        <v>168</v>
      </c>
      <c r="D425" s="96" t="s">
        <v>136</v>
      </c>
      <c r="E425" s="97">
        <v>137.4747305</v>
      </c>
      <c r="F425" s="95">
        <v>0.0</v>
      </c>
      <c r="G425" s="95" t="s">
        <v>134</v>
      </c>
      <c r="H425" s="95">
        <v>12200.535113322923</v>
      </c>
      <c r="I425" s="95" t="s">
        <v>134</v>
      </c>
      <c r="J425" s="95">
        <v>0.0</v>
      </c>
      <c r="K425" s="81"/>
    </row>
    <row r="426" ht="13.5" hidden="1" customHeight="1">
      <c r="A426" s="95" t="s">
        <v>83</v>
      </c>
      <c r="B426" s="95" t="s">
        <v>190</v>
      </c>
      <c r="C426" s="95" t="s">
        <v>225</v>
      </c>
      <c r="D426" s="96" t="s">
        <v>143</v>
      </c>
      <c r="E426" s="97">
        <v>394.8411609</v>
      </c>
      <c r="F426" s="95">
        <v>0.0</v>
      </c>
      <c r="G426" s="95" t="s">
        <v>134</v>
      </c>
      <c r="H426" s="95">
        <v>11967.635586879</v>
      </c>
      <c r="I426" s="95" t="s">
        <v>134</v>
      </c>
      <c r="J426" s="95">
        <v>0.0</v>
      </c>
      <c r="K426" s="81"/>
    </row>
    <row r="427" ht="13.5" hidden="1" customHeight="1">
      <c r="A427" s="95" t="s">
        <v>99</v>
      </c>
      <c r="B427" s="95" t="s">
        <v>132</v>
      </c>
      <c r="C427" s="95" t="s">
        <v>144</v>
      </c>
      <c r="D427" s="96" t="s">
        <v>139</v>
      </c>
      <c r="E427" s="98">
        <v>24407.9798</v>
      </c>
      <c r="F427" s="100">
        <v>0.0</v>
      </c>
      <c r="G427" s="100" t="s">
        <v>134</v>
      </c>
      <c r="H427" s="101">
        <v>11730.083949122109</v>
      </c>
      <c r="I427" s="100" t="s">
        <v>134</v>
      </c>
      <c r="J427" s="100">
        <v>0.0</v>
      </c>
      <c r="K427" s="81"/>
    </row>
    <row r="428" ht="13.5" hidden="1" customHeight="1">
      <c r="A428" s="95" t="s">
        <v>54</v>
      </c>
      <c r="B428" s="95" t="s">
        <v>9</v>
      </c>
      <c r="C428" s="95" t="s">
        <v>261</v>
      </c>
      <c r="D428" s="96" t="s">
        <v>143</v>
      </c>
      <c r="E428" s="98">
        <v>2.944132861</v>
      </c>
      <c r="F428" s="100">
        <v>0.0</v>
      </c>
      <c r="G428" s="100">
        <v>0.0384</v>
      </c>
      <c r="H428" s="101">
        <v>11245.632252118858</v>
      </c>
      <c r="I428" s="100">
        <v>431.8322784813641</v>
      </c>
      <c r="J428" s="100">
        <v>0.0</v>
      </c>
      <c r="K428" s="81"/>
    </row>
    <row r="429" ht="13.5" hidden="1" customHeight="1">
      <c r="A429" s="95" t="s">
        <v>54</v>
      </c>
      <c r="B429" s="95" t="s">
        <v>9</v>
      </c>
      <c r="C429" s="95" t="s">
        <v>181</v>
      </c>
      <c r="D429" s="96" t="s">
        <v>136</v>
      </c>
      <c r="E429" s="98">
        <v>2.936871698</v>
      </c>
      <c r="F429" s="100">
        <v>0.0</v>
      </c>
      <c r="G429" s="100">
        <v>0.0384</v>
      </c>
      <c r="H429" s="101">
        <v>11217.896965473894</v>
      </c>
      <c r="I429" s="100">
        <v>430.76724347419747</v>
      </c>
      <c r="J429" s="100">
        <v>0.0</v>
      </c>
      <c r="K429" s="81"/>
    </row>
    <row r="430" ht="13.5" hidden="1" customHeight="1">
      <c r="A430" s="95" t="s">
        <v>96</v>
      </c>
      <c r="B430" s="95" t="s">
        <v>132</v>
      </c>
      <c r="C430" s="95" t="s">
        <v>158</v>
      </c>
      <c r="D430" s="96" t="s">
        <v>139</v>
      </c>
      <c r="E430" s="98">
        <v>0.30885492</v>
      </c>
      <c r="F430" s="100">
        <v>0.0</v>
      </c>
      <c r="G430" s="95" t="s">
        <v>134</v>
      </c>
      <c r="H430" s="101">
        <v>10920.296506023155</v>
      </c>
      <c r="I430" s="95" t="s">
        <v>134</v>
      </c>
      <c r="J430" s="100">
        <v>0.0</v>
      </c>
      <c r="K430" s="81"/>
    </row>
    <row r="431" ht="13.5" hidden="1" customHeight="1">
      <c r="A431" s="95" t="s">
        <v>103</v>
      </c>
      <c r="B431" s="95" t="s">
        <v>132</v>
      </c>
      <c r="C431" s="95" t="s">
        <v>158</v>
      </c>
      <c r="D431" s="96" t="s">
        <v>139</v>
      </c>
      <c r="E431" s="97">
        <v>617.4475636</v>
      </c>
      <c r="F431" s="95">
        <v>0.0</v>
      </c>
      <c r="G431" s="95" t="s">
        <v>134</v>
      </c>
      <c r="H431" s="104">
        <v>10903.57629101261</v>
      </c>
      <c r="I431" s="95" t="s">
        <v>134</v>
      </c>
      <c r="J431" s="95">
        <v>0.0</v>
      </c>
      <c r="K431" s="81"/>
    </row>
    <row r="432" ht="13.5" hidden="1" customHeight="1">
      <c r="A432" s="95" t="s">
        <v>54</v>
      </c>
      <c r="B432" s="95" t="s">
        <v>9</v>
      </c>
      <c r="C432" s="95" t="s">
        <v>262</v>
      </c>
      <c r="D432" s="96" t="s">
        <v>143</v>
      </c>
      <c r="E432" s="97">
        <v>2.831745528</v>
      </c>
      <c r="F432" s="95">
        <v>0.0</v>
      </c>
      <c r="G432" s="95">
        <v>0.0384</v>
      </c>
      <c r="H432" s="104">
        <v>10816.349106152022</v>
      </c>
      <c r="I432" s="95">
        <v>415.3478056762376</v>
      </c>
      <c r="J432" s="95">
        <v>0.0</v>
      </c>
      <c r="K432" s="81"/>
    </row>
    <row r="433" ht="13.5" hidden="1" customHeight="1">
      <c r="A433" s="95" t="s">
        <v>54</v>
      </c>
      <c r="B433" s="95" t="s">
        <v>9</v>
      </c>
      <c r="C433" s="95" t="s">
        <v>255</v>
      </c>
      <c r="D433" s="96" t="s">
        <v>136</v>
      </c>
      <c r="E433" s="98">
        <v>2.768062859</v>
      </c>
      <c r="F433" s="100">
        <v>0.0</v>
      </c>
      <c r="G433" s="95">
        <v>0.0384</v>
      </c>
      <c r="H433" s="101">
        <v>10573.101973560266</v>
      </c>
      <c r="I433" s="100">
        <v>406.0071157847142</v>
      </c>
      <c r="J433" s="100">
        <v>0.0</v>
      </c>
      <c r="K433" s="81"/>
    </row>
    <row r="434" ht="13.5" hidden="1" customHeight="1">
      <c r="A434" s="95" t="s">
        <v>88</v>
      </c>
      <c r="B434" s="95" t="s">
        <v>9</v>
      </c>
      <c r="C434" s="95" t="s">
        <v>165</v>
      </c>
      <c r="D434" s="96" t="s">
        <v>143</v>
      </c>
      <c r="E434" s="98">
        <v>2614.262526</v>
      </c>
      <c r="F434" s="100">
        <v>0.0</v>
      </c>
      <c r="G434" s="95" t="s">
        <v>134</v>
      </c>
      <c r="H434" s="101">
        <v>10435.441710564606</v>
      </c>
      <c r="I434" s="95" t="s">
        <v>134</v>
      </c>
      <c r="J434" s="100">
        <v>0.0</v>
      </c>
      <c r="K434" s="81"/>
    </row>
    <row r="435" ht="13.5" hidden="1" customHeight="1">
      <c r="A435" s="95" t="s">
        <v>62</v>
      </c>
      <c r="B435" s="95" t="s">
        <v>132</v>
      </c>
      <c r="C435" s="95" t="s">
        <v>239</v>
      </c>
      <c r="D435" s="96" t="s">
        <v>139</v>
      </c>
      <c r="E435" s="98">
        <v>12010.51</v>
      </c>
      <c r="F435" s="100">
        <v>0.0</v>
      </c>
      <c r="G435" s="100">
        <v>0.0127</v>
      </c>
      <c r="H435" s="101">
        <v>10407.508515227075</v>
      </c>
      <c r="I435" s="100">
        <v>132.17535814338385</v>
      </c>
      <c r="J435" s="100">
        <v>0.0</v>
      </c>
      <c r="K435" s="81"/>
    </row>
    <row r="436" ht="13.5" hidden="1" customHeight="1">
      <c r="A436" s="95" t="s">
        <v>55</v>
      </c>
      <c r="B436" s="95" t="s">
        <v>9</v>
      </c>
      <c r="C436" s="95" t="s">
        <v>263</v>
      </c>
      <c r="D436" s="96" t="s">
        <v>143</v>
      </c>
      <c r="E436" s="98">
        <v>9668.723779</v>
      </c>
      <c r="F436" s="100">
        <v>0.0</v>
      </c>
      <c r="G436" s="95">
        <v>0.0959</v>
      </c>
      <c r="H436" s="101">
        <v>9668.723779</v>
      </c>
      <c r="I436" s="95">
        <v>927.2306104061</v>
      </c>
      <c r="J436" s="100">
        <v>0.0</v>
      </c>
      <c r="K436" s="81"/>
    </row>
    <row r="437" ht="13.5" hidden="1" customHeight="1">
      <c r="A437" s="95" t="s">
        <v>54</v>
      </c>
      <c r="B437" s="95" t="s">
        <v>9</v>
      </c>
      <c r="C437" s="95" t="s">
        <v>220</v>
      </c>
      <c r="D437" s="96" t="s">
        <v>143</v>
      </c>
      <c r="E437" s="98">
        <v>2.333698546</v>
      </c>
      <c r="F437" s="100">
        <v>0.0</v>
      </c>
      <c r="G437" s="100">
        <v>0.0384</v>
      </c>
      <c r="H437" s="101">
        <v>8913.971235220177</v>
      </c>
      <c r="I437" s="100">
        <v>342.2964954324548</v>
      </c>
      <c r="J437" s="100">
        <v>0.0</v>
      </c>
      <c r="K437" s="81"/>
    </row>
    <row r="438" ht="13.5" hidden="1" customHeight="1">
      <c r="A438" s="95" t="s">
        <v>56</v>
      </c>
      <c r="B438" s="95" t="s">
        <v>10</v>
      </c>
      <c r="C438" s="95" t="s">
        <v>222</v>
      </c>
      <c r="D438" s="96" t="s">
        <v>138</v>
      </c>
      <c r="E438" s="98">
        <v>2018.259197</v>
      </c>
      <c r="F438" s="100">
        <v>0.0</v>
      </c>
      <c r="G438" s="100">
        <v>0.0415</v>
      </c>
      <c r="H438" s="101">
        <v>7904.759050807625</v>
      </c>
      <c r="I438" s="100">
        <v>328.04750060851643</v>
      </c>
      <c r="J438" s="100">
        <v>0.0</v>
      </c>
      <c r="K438" s="81"/>
    </row>
    <row r="439" ht="13.5" hidden="1" customHeight="1">
      <c r="A439" s="95" t="s">
        <v>109</v>
      </c>
      <c r="B439" s="95" t="s">
        <v>14</v>
      </c>
      <c r="C439" s="95" t="s">
        <v>167</v>
      </c>
      <c r="D439" s="96" t="s">
        <v>139</v>
      </c>
      <c r="E439" s="98">
        <v>3.3725639</v>
      </c>
      <c r="F439" s="100">
        <v>0.0</v>
      </c>
      <c r="G439" s="95" t="s">
        <v>134</v>
      </c>
      <c r="H439" s="100">
        <v>7738.280805116848</v>
      </c>
      <c r="I439" s="95" t="s">
        <v>134</v>
      </c>
      <c r="J439" s="100">
        <v>0.0</v>
      </c>
      <c r="K439" s="81"/>
    </row>
    <row r="440" ht="13.5" hidden="1" customHeight="1">
      <c r="A440" s="95" t="s">
        <v>54</v>
      </c>
      <c r="B440" s="95" t="s">
        <v>258</v>
      </c>
      <c r="C440" s="95" t="s">
        <v>264</v>
      </c>
      <c r="D440" s="96" t="s">
        <v>143</v>
      </c>
      <c r="E440" s="98">
        <v>2.0</v>
      </c>
      <c r="F440" s="100">
        <v>0.0</v>
      </c>
      <c r="G440" s="100">
        <v>0.0384</v>
      </c>
      <c r="H440" s="101">
        <v>7639.351064</v>
      </c>
      <c r="I440" s="100">
        <v>293.3510808576</v>
      </c>
      <c r="J440" s="100">
        <v>0.0</v>
      </c>
      <c r="K440" s="81"/>
    </row>
    <row r="441" ht="13.5" hidden="1" customHeight="1">
      <c r="A441" s="95" t="s">
        <v>54</v>
      </c>
      <c r="B441" s="95" t="s">
        <v>190</v>
      </c>
      <c r="C441" s="95" t="s">
        <v>214</v>
      </c>
      <c r="D441" s="96" t="s">
        <v>143</v>
      </c>
      <c r="E441" s="98">
        <v>2.0</v>
      </c>
      <c r="F441" s="100">
        <v>0.0</v>
      </c>
      <c r="G441" s="95">
        <v>0.0384</v>
      </c>
      <c r="H441" s="101">
        <v>7639.351064</v>
      </c>
      <c r="I441" s="95">
        <v>293.3510808576</v>
      </c>
      <c r="J441" s="100">
        <v>0.0</v>
      </c>
      <c r="K441" s="81"/>
    </row>
    <row r="442" ht="13.5" hidden="1" customHeight="1">
      <c r="A442" s="95" t="s">
        <v>54</v>
      </c>
      <c r="B442" s="95" t="s">
        <v>190</v>
      </c>
      <c r="C442" s="95" t="s">
        <v>265</v>
      </c>
      <c r="D442" s="96" t="s">
        <v>143</v>
      </c>
      <c r="E442" s="98">
        <v>2.0</v>
      </c>
      <c r="F442" s="100">
        <v>0.0</v>
      </c>
      <c r="G442" s="100">
        <v>0.0384</v>
      </c>
      <c r="H442" s="106">
        <v>7639.351064</v>
      </c>
      <c r="I442" s="100">
        <v>293.3510808576</v>
      </c>
      <c r="J442" s="100">
        <v>0.0</v>
      </c>
      <c r="K442" s="81"/>
    </row>
    <row r="443" ht="13.5" hidden="1" customHeight="1">
      <c r="A443" s="95" t="s">
        <v>58</v>
      </c>
      <c r="B443" s="95" t="s">
        <v>10</v>
      </c>
      <c r="C443" s="95" t="s">
        <v>182</v>
      </c>
      <c r="D443" s="96" t="s">
        <v>138</v>
      </c>
      <c r="E443" s="98">
        <v>2283.09827</v>
      </c>
      <c r="F443" s="100" t="s">
        <v>134</v>
      </c>
      <c r="G443" s="100" t="s">
        <v>134</v>
      </c>
      <c r="H443" s="101">
        <v>7592.0316360021325</v>
      </c>
      <c r="I443" s="100" t="s">
        <v>134</v>
      </c>
      <c r="J443" s="100" t="s">
        <v>134</v>
      </c>
      <c r="K443" s="81"/>
    </row>
    <row r="444" ht="13.5" hidden="1" customHeight="1">
      <c r="A444" s="95" t="s">
        <v>54</v>
      </c>
      <c r="B444" s="95" t="s">
        <v>9</v>
      </c>
      <c r="C444" s="95" t="s">
        <v>231</v>
      </c>
      <c r="D444" s="96" t="s">
        <v>143</v>
      </c>
      <c r="E444" s="98">
        <v>1.98304017</v>
      </c>
      <c r="F444" s="100">
        <v>0.0</v>
      </c>
      <c r="G444" s="100">
        <v>0.0384</v>
      </c>
      <c r="H444" s="101">
        <v>7574.570016322121</v>
      </c>
      <c r="I444" s="100">
        <v>290.8634886267694</v>
      </c>
      <c r="J444" s="100">
        <v>0.0</v>
      </c>
      <c r="K444" s="81"/>
    </row>
    <row r="445" ht="13.5" hidden="1" customHeight="1">
      <c r="A445" s="95" t="s">
        <v>54</v>
      </c>
      <c r="B445" s="95" t="s">
        <v>190</v>
      </c>
      <c r="C445" s="95" t="s">
        <v>266</v>
      </c>
      <c r="D445" s="96" t="s">
        <v>143</v>
      </c>
      <c r="E445" s="98">
        <v>1.979747497</v>
      </c>
      <c r="F445" s="100">
        <v>0.0</v>
      </c>
      <c r="G445" s="100">
        <v>0.0384</v>
      </c>
      <c r="H445" s="101">
        <v>7561.993073829144</v>
      </c>
      <c r="I445" s="100">
        <v>290.3805340350391</v>
      </c>
      <c r="J445" s="100">
        <v>0.0</v>
      </c>
      <c r="K445" s="81"/>
    </row>
    <row r="446" ht="13.5" hidden="1" customHeight="1">
      <c r="A446" s="95" t="s">
        <v>82</v>
      </c>
      <c r="B446" s="95" t="s">
        <v>132</v>
      </c>
      <c r="C446" s="95" t="s">
        <v>144</v>
      </c>
      <c r="D446" s="96" t="s">
        <v>139</v>
      </c>
      <c r="E446" s="97">
        <v>220.4994377</v>
      </c>
      <c r="F446" s="95">
        <v>0.0</v>
      </c>
      <c r="G446" s="95">
        <v>0.0298</v>
      </c>
      <c r="H446" s="104">
        <v>7561.9393414181395</v>
      </c>
      <c r="I446" s="95">
        <v>225.34579237426055</v>
      </c>
      <c r="J446" s="95">
        <v>0.0</v>
      </c>
      <c r="K446" s="81"/>
    </row>
    <row r="447" ht="13.5" hidden="1" customHeight="1">
      <c r="A447" s="95" t="s">
        <v>54</v>
      </c>
      <c r="B447" s="95" t="s">
        <v>190</v>
      </c>
      <c r="C447" s="95" t="s">
        <v>230</v>
      </c>
      <c r="D447" s="96" t="s">
        <v>143</v>
      </c>
      <c r="E447" s="98">
        <v>1.977453151</v>
      </c>
      <c r="F447" s="100">
        <v>0.0</v>
      </c>
      <c r="G447" s="100">
        <v>0.0384</v>
      </c>
      <c r="H447" s="101">
        <v>7553.229416551002</v>
      </c>
      <c r="I447" s="95">
        <v>290.04400959555846</v>
      </c>
      <c r="J447" s="100">
        <v>0.0</v>
      </c>
      <c r="K447" s="81"/>
    </row>
    <row r="448" ht="13.5" hidden="1" customHeight="1">
      <c r="A448" s="95" t="s">
        <v>54</v>
      </c>
      <c r="B448" s="95" t="s">
        <v>190</v>
      </c>
      <c r="C448" s="95" t="s">
        <v>194</v>
      </c>
      <c r="D448" s="96" t="s">
        <v>143</v>
      </c>
      <c r="E448" s="98">
        <v>1.972525403</v>
      </c>
      <c r="F448" s="100">
        <v>0.0</v>
      </c>
      <c r="G448" s="100">
        <v>0.0384</v>
      </c>
      <c r="H448" s="101">
        <v>7534.40701808754</v>
      </c>
      <c r="I448" s="100">
        <v>289.3212294945615</v>
      </c>
      <c r="J448" s="100">
        <v>0.0</v>
      </c>
      <c r="K448" s="81"/>
    </row>
    <row r="449" ht="13.5" hidden="1" customHeight="1">
      <c r="A449" s="95" t="s">
        <v>107</v>
      </c>
      <c r="B449" s="95" t="s">
        <v>9</v>
      </c>
      <c r="C449" s="95" t="s">
        <v>212</v>
      </c>
      <c r="D449" s="96" t="s">
        <v>143</v>
      </c>
      <c r="E449" s="98">
        <v>84.71522966</v>
      </c>
      <c r="F449" s="100">
        <v>0.0</v>
      </c>
      <c r="G449" s="100" t="s">
        <v>134</v>
      </c>
      <c r="H449" s="102">
        <v>7518.262667916601</v>
      </c>
      <c r="I449" s="100" t="s">
        <v>134</v>
      </c>
      <c r="J449" s="100">
        <v>0.0</v>
      </c>
      <c r="K449" s="81"/>
    </row>
    <row r="450" ht="13.5" hidden="1" customHeight="1">
      <c r="A450" s="95" t="s">
        <v>54</v>
      </c>
      <c r="B450" s="95" t="s">
        <v>134</v>
      </c>
      <c r="C450" s="95" t="s">
        <v>193</v>
      </c>
      <c r="D450" s="95" t="s">
        <v>156</v>
      </c>
      <c r="E450" s="98">
        <v>1.96540325</v>
      </c>
      <c r="F450" s="100" t="s">
        <v>134</v>
      </c>
      <c r="G450" s="95">
        <v>0.0384</v>
      </c>
      <c r="H450" s="104">
        <v>7507.202704538279</v>
      </c>
      <c r="I450" s="95">
        <v>288.2765838542699</v>
      </c>
      <c r="J450" s="100" t="s">
        <v>134</v>
      </c>
      <c r="K450" s="81"/>
    </row>
    <row r="451" ht="13.5" hidden="1" customHeight="1">
      <c r="A451" s="95" t="s">
        <v>88</v>
      </c>
      <c r="B451" s="95" t="s">
        <v>190</v>
      </c>
      <c r="C451" s="95" t="s">
        <v>225</v>
      </c>
      <c r="D451" s="96" t="s">
        <v>143</v>
      </c>
      <c r="E451" s="98">
        <v>1862.911736</v>
      </c>
      <c r="F451" s="100">
        <v>0.0</v>
      </c>
      <c r="G451" s="95" t="s">
        <v>134</v>
      </c>
      <c r="H451" s="101">
        <v>7436.248899876065</v>
      </c>
      <c r="I451" s="95" t="s">
        <v>134</v>
      </c>
      <c r="J451" s="100">
        <v>0.0</v>
      </c>
      <c r="K451" s="81"/>
    </row>
    <row r="452" ht="13.5" hidden="1" customHeight="1">
      <c r="A452" s="95" t="s">
        <v>54</v>
      </c>
      <c r="B452" s="95" t="s">
        <v>190</v>
      </c>
      <c r="C452" s="95" t="s">
        <v>197</v>
      </c>
      <c r="D452" s="96" t="s">
        <v>143</v>
      </c>
      <c r="E452" s="98">
        <v>1.920730971</v>
      </c>
      <c r="F452" s="100">
        <v>0.0</v>
      </c>
      <c r="G452" s="100">
        <v>0.0384</v>
      </c>
      <c r="H452" s="101">
        <v>7336.569093483302</v>
      </c>
      <c r="I452" s="100">
        <v>281.72425318975877</v>
      </c>
      <c r="J452" s="100">
        <v>0.0</v>
      </c>
      <c r="K452" s="81"/>
    </row>
    <row r="453" ht="13.5" hidden="1" customHeight="1">
      <c r="A453" s="95" t="s">
        <v>54</v>
      </c>
      <c r="B453" s="95" t="s">
        <v>190</v>
      </c>
      <c r="C453" s="95" t="s">
        <v>267</v>
      </c>
      <c r="D453" s="96" t="s">
        <v>143</v>
      </c>
      <c r="E453" s="98">
        <v>1.919185054</v>
      </c>
      <c r="F453" s="100">
        <v>0.0</v>
      </c>
      <c r="G453" s="100">
        <v>0.0384</v>
      </c>
      <c r="H453" s="101">
        <v>7330.664192143899</v>
      </c>
      <c r="I453" s="100">
        <v>281.4975049783257</v>
      </c>
      <c r="J453" s="100">
        <v>0.0</v>
      </c>
      <c r="K453" s="81"/>
    </row>
    <row r="454" ht="13.5" hidden="1" customHeight="1">
      <c r="A454" s="95" t="s">
        <v>54</v>
      </c>
      <c r="B454" s="95" t="s">
        <v>9</v>
      </c>
      <c r="C454" s="95" t="s">
        <v>186</v>
      </c>
      <c r="D454" s="96" t="s">
        <v>143</v>
      </c>
      <c r="E454" s="98">
        <v>1.909283894</v>
      </c>
      <c r="F454" s="100">
        <v>0.0</v>
      </c>
      <c r="G454" s="100">
        <v>0.0384</v>
      </c>
      <c r="H454" s="101">
        <v>7292.844973553482</v>
      </c>
      <c r="I454" s="100">
        <v>280.0452469844537</v>
      </c>
      <c r="J454" s="100">
        <v>0.0</v>
      </c>
      <c r="K454" s="81"/>
    </row>
    <row r="455" ht="13.5" hidden="1" customHeight="1">
      <c r="A455" s="95" t="s">
        <v>54</v>
      </c>
      <c r="B455" s="95" t="s">
        <v>9</v>
      </c>
      <c r="C455" s="95" t="s">
        <v>206</v>
      </c>
      <c r="D455" s="96" t="s">
        <v>138</v>
      </c>
      <c r="E455" s="98">
        <v>1.890935786</v>
      </c>
      <c r="F455" s="100">
        <v>0.0</v>
      </c>
      <c r="G455" s="100">
        <v>0.0384</v>
      </c>
      <c r="H455" s="101">
        <v>7222.761154367388</v>
      </c>
      <c r="I455" s="100">
        <v>277.3540283277077</v>
      </c>
      <c r="J455" s="100">
        <v>0.0</v>
      </c>
      <c r="K455" s="81"/>
    </row>
    <row r="456" ht="13.5" hidden="1" customHeight="1">
      <c r="A456" s="95" t="s">
        <v>54</v>
      </c>
      <c r="B456" s="95" t="s">
        <v>190</v>
      </c>
      <c r="C456" s="95" t="s">
        <v>268</v>
      </c>
      <c r="D456" s="96" t="s">
        <v>143</v>
      </c>
      <c r="E456" s="98">
        <v>1.885905674</v>
      </c>
      <c r="F456" s="100">
        <v>0.0</v>
      </c>
      <c r="G456" s="100">
        <v>0.0384</v>
      </c>
      <c r="H456" s="101">
        <v>7203.547758637769</v>
      </c>
      <c r="I456" s="100">
        <v>276.6162339316903</v>
      </c>
      <c r="J456" s="100">
        <v>0.0</v>
      </c>
      <c r="K456" s="81"/>
    </row>
    <row r="457" ht="13.5" hidden="1" customHeight="1">
      <c r="A457" s="95" t="s">
        <v>54</v>
      </c>
      <c r="B457" s="95" t="s">
        <v>9</v>
      </c>
      <c r="C457" s="95" t="s">
        <v>198</v>
      </c>
      <c r="D457" s="96" t="s">
        <v>143</v>
      </c>
      <c r="E457" s="98">
        <v>1.884235506</v>
      </c>
      <c r="F457" s="100">
        <v>0.0</v>
      </c>
      <c r="G457" s="100">
        <v>0.0384</v>
      </c>
      <c r="H457" s="101">
        <v>7197.168258793839</v>
      </c>
      <c r="I457" s="100">
        <v>276.3712611376834</v>
      </c>
      <c r="J457" s="100">
        <v>0.0</v>
      </c>
      <c r="K457" s="81"/>
    </row>
    <row r="458" ht="13.5" hidden="1" customHeight="1">
      <c r="A458" s="95" t="s">
        <v>54</v>
      </c>
      <c r="B458" s="95" t="s">
        <v>190</v>
      </c>
      <c r="C458" s="95" t="s">
        <v>269</v>
      </c>
      <c r="D458" s="96" t="s">
        <v>143</v>
      </c>
      <c r="E458" s="98">
        <v>1.872737197</v>
      </c>
      <c r="F458" s="100">
        <v>0.0</v>
      </c>
      <c r="G458" s="95">
        <v>0.0384</v>
      </c>
      <c r="H458" s="101">
        <v>7153.248449247164</v>
      </c>
      <c r="I458" s="95">
        <v>274.68474045109105</v>
      </c>
      <c r="J458" s="100">
        <v>0.0</v>
      </c>
      <c r="K458" s="81"/>
    </row>
    <row r="459" ht="13.5" hidden="1" customHeight="1">
      <c r="A459" s="95" t="s">
        <v>54</v>
      </c>
      <c r="B459" s="95" t="s">
        <v>9</v>
      </c>
      <c r="C459" s="95" t="s">
        <v>188</v>
      </c>
      <c r="D459" s="96" t="s">
        <v>143</v>
      </c>
      <c r="E459" s="98">
        <v>1.846413215</v>
      </c>
      <c r="F459" s="100">
        <v>0.0</v>
      </c>
      <c r="G459" s="95">
        <v>0.0384</v>
      </c>
      <c r="H459" s="101">
        <v>7052.699379296956</v>
      </c>
      <c r="I459" s="95">
        <v>270.8236561650031</v>
      </c>
      <c r="J459" s="100">
        <v>0.0</v>
      </c>
      <c r="K459" s="81"/>
    </row>
    <row r="460" ht="13.5" hidden="1" customHeight="1">
      <c r="A460" s="95" t="s">
        <v>64</v>
      </c>
      <c r="B460" s="95" t="s">
        <v>10</v>
      </c>
      <c r="C460" s="95" t="s">
        <v>249</v>
      </c>
      <c r="D460" s="96" t="s">
        <v>136</v>
      </c>
      <c r="E460" s="98">
        <v>46.70824113</v>
      </c>
      <c r="F460" s="100">
        <v>0.0</v>
      </c>
      <c r="G460" s="100">
        <v>0.0285</v>
      </c>
      <c r="H460" s="101">
        <v>7016.438711330738</v>
      </c>
      <c r="I460" s="100">
        <v>199.96850327292606</v>
      </c>
      <c r="J460" s="100">
        <v>0.0</v>
      </c>
      <c r="K460" s="81"/>
    </row>
    <row r="461" ht="13.5" hidden="1" customHeight="1">
      <c r="A461" s="95" t="s">
        <v>54</v>
      </c>
      <c r="B461" s="95" t="s">
        <v>190</v>
      </c>
      <c r="C461" s="95" t="s">
        <v>225</v>
      </c>
      <c r="D461" s="96" t="s">
        <v>143</v>
      </c>
      <c r="E461" s="98">
        <v>1.830090018</v>
      </c>
      <c r="F461" s="100">
        <v>0.0</v>
      </c>
      <c r="G461" s="95">
        <v>0.0384</v>
      </c>
      <c r="H461" s="101">
        <v>6990.35006311204</v>
      </c>
      <c r="I461" s="95">
        <v>268.4294424235023</v>
      </c>
      <c r="J461" s="100">
        <v>0.0</v>
      </c>
      <c r="K461" s="81"/>
    </row>
    <row r="462" ht="13.5" hidden="1" customHeight="1">
      <c r="A462" s="95" t="s">
        <v>54</v>
      </c>
      <c r="B462" s="95" t="s">
        <v>9</v>
      </c>
      <c r="C462" s="95" t="s">
        <v>270</v>
      </c>
      <c r="D462" s="96" t="s">
        <v>143</v>
      </c>
      <c r="E462" s="98">
        <v>1.794768604</v>
      </c>
      <c r="F462" s="100">
        <v>0.0</v>
      </c>
      <c r="G462" s="100">
        <v>0.0384</v>
      </c>
      <c r="H462" s="100">
        <v>6855.433722300598</v>
      </c>
      <c r="I462" s="100">
        <v>263.2486549363429</v>
      </c>
      <c r="J462" s="100">
        <v>0.0</v>
      </c>
      <c r="K462" s="81"/>
    </row>
    <row r="463" ht="13.5" hidden="1" customHeight="1">
      <c r="A463" s="95" t="s">
        <v>54</v>
      </c>
      <c r="B463" s="95" t="s">
        <v>9</v>
      </c>
      <c r="C463" s="95" t="s">
        <v>201</v>
      </c>
      <c r="D463" s="96" t="s">
        <v>143</v>
      </c>
      <c r="E463" s="98">
        <v>1.732783428</v>
      </c>
      <c r="F463" s="100">
        <v>0.0</v>
      </c>
      <c r="G463" s="95">
        <v>0.0384</v>
      </c>
      <c r="H463" s="101">
        <v>6618.670462186685</v>
      </c>
      <c r="I463" s="95">
        <v>254.15694574796868</v>
      </c>
      <c r="J463" s="100">
        <v>0.0</v>
      </c>
      <c r="K463" s="81"/>
    </row>
    <row r="464" ht="13.5" hidden="1" customHeight="1">
      <c r="A464" s="95" t="s">
        <v>80</v>
      </c>
      <c r="B464" s="95" t="s">
        <v>10</v>
      </c>
      <c r="C464" s="95" t="s">
        <v>249</v>
      </c>
      <c r="D464" s="96" t="s">
        <v>136</v>
      </c>
      <c r="E464" s="98">
        <v>8735.95141</v>
      </c>
      <c r="F464" s="100">
        <v>0.0</v>
      </c>
      <c r="G464" s="100">
        <v>0.0169</v>
      </c>
      <c r="H464" s="100">
        <v>6536.848735800143</v>
      </c>
      <c r="I464" s="100">
        <v>110.47274363502241</v>
      </c>
      <c r="J464" s="100">
        <v>0.0</v>
      </c>
      <c r="K464" s="81"/>
    </row>
    <row r="465" ht="13.5" hidden="1" customHeight="1">
      <c r="A465" s="95" t="s">
        <v>62</v>
      </c>
      <c r="B465" s="95" t="s">
        <v>132</v>
      </c>
      <c r="C465" s="95" t="s">
        <v>166</v>
      </c>
      <c r="D465" s="96" t="s">
        <v>139</v>
      </c>
      <c r="E465" s="98">
        <v>7536.163032</v>
      </c>
      <c r="F465" s="100">
        <v>0.0</v>
      </c>
      <c r="G465" s="95">
        <v>0.0127</v>
      </c>
      <c r="H465" s="101">
        <v>6530.337256925766</v>
      </c>
      <c r="I465" s="95">
        <v>82.93528316295723</v>
      </c>
      <c r="J465" s="100">
        <v>0.0</v>
      </c>
      <c r="K465" s="81"/>
    </row>
    <row r="466" ht="13.5" hidden="1" customHeight="1">
      <c r="A466" s="95" t="s">
        <v>54</v>
      </c>
      <c r="B466" s="95" t="s">
        <v>9</v>
      </c>
      <c r="C466" s="95" t="s">
        <v>202</v>
      </c>
      <c r="D466" s="96" t="s">
        <v>143</v>
      </c>
      <c r="E466" s="98">
        <v>1.708714717</v>
      </c>
      <c r="F466" s="100">
        <v>0.0</v>
      </c>
      <c r="G466" s="100">
        <v>0.0384</v>
      </c>
      <c r="H466" s="101">
        <v>6526.735795693206</v>
      </c>
      <c r="I466" s="100">
        <v>250.62665455461908</v>
      </c>
      <c r="J466" s="100">
        <v>0.0</v>
      </c>
      <c r="K466" s="81"/>
      <c r="O466" s="38"/>
    </row>
    <row r="467" ht="13.5" hidden="1" customHeight="1">
      <c r="A467" s="95" t="s">
        <v>87</v>
      </c>
      <c r="B467" s="95" t="s">
        <v>132</v>
      </c>
      <c r="C467" s="95" t="s">
        <v>144</v>
      </c>
      <c r="D467" s="96" t="s">
        <v>139</v>
      </c>
      <c r="E467" s="98">
        <v>1208.343</v>
      </c>
      <c r="F467" s="100">
        <v>0.0</v>
      </c>
      <c r="G467" s="95">
        <v>0.0396</v>
      </c>
      <c r="H467" s="101">
        <v>6327.36923063223</v>
      </c>
      <c r="I467" s="95">
        <v>250.56382153303633</v>
      </c>
      <c r="J467" s="100">
        <v>0.0</v>
      </c>
      <c r="K467" s="81"/>
    </row>
    <row r="468" ht="13.5" hidden="1" customHeight="1">
      <c r="A468" s="95" t="s">
        <v>243</v>
      </c>
      <c r="B468" s="95" t="s">
        <v>132</v>
      </c>
      <c r="C468" s="95" t="s">
        <v>158</v>
      </c>
      <c r="D468" s="96" t="s">
        <v>139</v>
      </c>
      <c r="E468" s="98">
        <v>4604.600531</v>
      </c>
      <c r="F468" s="99">
        <v>0.0</v>
      </c>
      <c r="G468" s="100" t="s">
        <v>134</v>
      </c>
      <c r="H468" s="101">
        <v>6274.054344155295</v>
      </c>
      <c r="I468" s="100" t="s">
        <v>134</v>
      </c>
      <c r="J468" s="100">
        <v>0.0</v>
      </c>
      <c r="K468" s="81"/>
    </row>
    <row r="469" ht="13.5" hidden="1" customHeight="1">
      <c r="A469" s="95" t="s">
        <v>54</v>
      </c>
      <c r="B469" s="95" t="s">
        <v>9</v>
      </c>
      <c r="C469" s="95" t="s">
        <v>236</v>
      </c>
      <c r="D469" s="96" t="s">
        <v>136</v>
      </c>
      <c r="E469" s="98">
        <v>1.585166889</v>
      </c>
      <c r="F469" s="100">
        <v>0.0</v>
      </c>
      <c r="G469" s="95">
        <v>0.0384</v>
      </c>
      <c r="H469" s="101">
        <v>6054.82318004986</v>
      </c>
      <c r="I469" s="100">
        <v>232.5052101139146</v>
      </c>
      <c r="J469" s="100">
        <v>0.0</v>
      </c>
      <c r="K469" s="81"/>
    </row>
    <row r="470" ht="13.5" hidden="1" customHeight="1">
      <c r="A470" s="95" t="s">
        <v>54</v>
      </c>
      <c r="B470" s="95" t="s">
        <v>9</v>
      </c>
      <c r="C470" s="95" t="s">
        <v>254</v>
      </c>
      <c r="D470" s="96" t="s">
        <v>143</v>
      </c>
      <c r="E470" s="98">
        <v>1.564902046</v>
      </c>
      <c r="F470" s="100">
        <v>0.0</v>
      </c>
      <c r="G470" s="95">
        <v>0.0384</v>
      </c>
      <c r="H470" s="101">
        <v>5977.418055082939</v>
      </c>
      <c r="I470" s="95">
        <v>229.53285331518484</v>
      </c>
      <c r="J470" s="100">
        <v>0.0</v>
      </c>
      <c r="K470" s="81"/>
    </row>
    <row r="471" ht="13.5" hidden="1" customHeight="1">
      <c r="A471" s="95" t="s">
        <v>54</v>
      </c>
      <c r="B471" s="95" t="s">
        <v>9</v>
      </c>
      <c r="C471" s="95" t="s">
        <v>252</v>
      </c>
      <c r="D471" s="96" t="s">
        <v>143</v>
      </c>
      <c r="E471" s="98">
        <v>1.556730541</v>
      </c>
      <c r="F471" s="100">
        <v>0.0</v>
      </c>
      <c r="G471" s="100">
        <v>0.0384</v>
      </c>
      <c r="H471" s="101">
        <v>5946.205557374823</v>
      </c>
      <c r="I471" s="100">
        <v>228.3342934031932</v>
      </c>
      <c r="J471" s="100">
        <v>0.0</v>
      </c>
      <c r="K471" s="81"/>
    </row>
    <row r="472" ht="13.5" customHeight="1">
      <c r="A472" s="95" t="s">
        <v>55</v>
      </c>
      <c r="B472" s="95" t="s">
        <v>132</v>
      </c>
      <c r="C472" s="95" t="s">
        <v>169</v>
      </c>
      <c r="D472" s="96" t="s">
        <v>143</v>
      </c>
      <c r="E472" s="98">
        <v>5882.986855</v>
      </c>
      <c r="F472" s="100">
        <v>0.0</v>
      </c>
      <c r="G472" s="100">
        <v>0.0959</v>
      </c>
      <c r="H472" s="101">
        <v>5882.986855</v>
      </c>
      <c r="I472" s="100">
        <v>564.1784393945001</v>
      </c>
      <c r="J472" s="100">
        <v>0.0</v>
      </c>
      <c r="K472" s="81"/>
    </row>
    <row r="473" ht="13.5" hidden="1" customHeight="1">
      <c r="A473" s="95" t="s">
        <v>76</v>
      </c>
      <c r="B473" s="95" t="s">
        <v>132</v>
      </c>
      <c r="C473" s="95" t="s">
        <v>144</v>
      </c>
      <c r="D473" s="96" t="s">
        <v>139</v>
      </c>
      <c r="E473" s="98">
        <v>42.01181</v>
      </c>
      <c r="F473" s="100">
        <v>0.0</v>
      </c>
      <c r="G473" s="95">
        <v>0.041</v>
      </c>
      <c r="H473" s="101">
        <v>5352.243559242432</v>
      </c>
      <c r="I473" s="95">
        <v>219.44198592893972</v>
      </c>
      <c r="J473" s="100">
        <v>0.0</v>
      </c>
      <c r="K473" s="81"/>
    </row>
    <row r="474" ht="13.5" hidden="1" customHeight="1">
      <c r="A474" s="95" t="s">
        <v>76</v>
      </c>
      <c r="B474" s="95" t="s">
        <v>10</v>
      </c>
      <c r="C474" s="95" t="s">
        <v>249</v>
      </c>
      <c r="D474" s="96" t="s">
        <v>136</v>
      </c>
      <c r="E474" s="98">
        <v>41.77390513</v>
      </c>
      <c r="F474" s="100">
        <v>0.0</v>
      </c>
      <c r="G474" s="95">
        <v>0.041</v>
      </c>
      <c r="H474" s="101">
        <v>5321.9348244326275</v>
      </c>
      <c r="I474" s="95">
        <v>218.19932780173772</v>
      </c>
      <c r="J474" s="100">
        <v>0.0</v>
      </c>
      <c r="K474" s="81"/>
    </row>
    <row r="475" ht="13.5" hidden="1" customHeight="1">
      <c r="A475" s="95" t="s">
        <v>61</v>
      </c>
      <c r="B475" s="95" t="s">
        <v>132</v>
      </c>
      <c r="C475" s="95" t="s">
        <v>239</v>
      </c>
      <c r="D475" s="96" t="s">
        <v>139</v>
      </c>
      <c r="E475" s="97">
        <v>279.3309</v>
      </c>
      <c r="F475" s="95">
        <v>0.0</v>
      </c>
      <c r="G475" s="95">
        <v>0.0251</v>
      </c>
      <c r="H475" s="104">
        <v>5171.2772311418275</v>
      </c>
      <c r="I475" s="95">
        <v>129.79905850165989</v>
      </c>
      <c r="J475" s="95">
        <v>0.0</v>
      </c>
      <c r="K475" s="81"/>
    </row>
    <row r="476" ht="13.5" hidden="1" customHeight="1">
      <c r="A476" s="95" t="s">
        <v>90</v>
      </c>
      <c r="B476" s="95" t="s">
        <v>9</v>
      </c>
      <c r="C476" s="95" t="s">
        <v>160</v>
      </c>
      <c r="D476" s="96" t="s">
        <v>143</v>
      </c>
      <c r="E476" s="98">
        <v>352.2801091</v>
      </c>
      <c r="F476" s="100">
        <v>0.0</v>
      </c>
      <c r="G476" s="100" t="s">
        <v>134</v>
      </c>
      <c r="H476" s="101">
        <v>5087.597056195803</v>
      </c>
      <c r="I476" s="100" t="s">
        <v>134</v>
      </c>
      <c r="J476" s="100">
        <v>0.0</v>
      </c>
      <c r="K476" s="81"/>
    </row>
    <row r="477" ht="13.5" hidden="1" customHeight="1">
      <c r="A477" s="95" t="s">
        <v>246</v>
      </c>
      <c r="B477" s="95" t="s">
        <v>132</v>
      </c>
      <c r="C477" s="95" t="s">
        <v>158</v>
      </c>
      <c r="D477" s="96" t="s">
        <v>139</v>
      </c>
      <c r="E477" s="98">
        <v>14759.54926</v>
      </c>
      <c r="F477" s="100">
        <v>0.0</v>
      </c>
      <c r="G477" s="100" t="s">
        <v>134</v>
      </c>
      <c r="H477" s="101">
        <v>5039.308625194019</v>
      </c>
      <c r="I477" s="100" t="s">
        <v>134</v>
      </c>
      <c r="J477" s="100">
        <v>0.0</v>
      </c>
      <c r="K477" s="81"/>
    </row>
    <row r="478" ht="13.5" hidden="1" customHeight="1">
      <c r="A478" s="95" t="s">
        <v>54</v>
      </c>
      <c r="B478" s="95" t="s">
        <v>7</v>
      </c>
      <c r="C478" s="95" t="s">
        <v>147</v>
      </c>
      <c r="D478" s="96" t="s">
        <v>138</v>
      </c>
      <c r="E478" s="98">
        <v>1.288325242</v>
      </c>
      <c r="F478" s="100">
        <v>0.0</v>
      </c>
      <c r="G478" s="100">
        <v>0.0</v>
      </c>
      <c r="H478" s="101">
        <v>4920.984404125379</v>
      </c>
      <c r="I478" s="100">
        <v>0.0</v>
      </c>
      <c r="J478" s="100">
        <v>0.0</v>
      </c>
      <c r="K478" s="81"/>
    </row>
    <row r="479" ht="13.5" hidden="1" customHeight="1">
      <c r="A479" s="95" t="s">
        <v>107</v>
      </c>
      <c r="B479" s="95" t="s">
        <v>9</v>
      </c>
      <c r="C479" s="95" t="s">
        <v>260</v>
      </c>
      <c r="D479" s="96" t="s">
        <v>143</v>
      </c>
      <c r="E479" s="98">
        <v>53.66588928</v>
      </c>
      <c r="F479" s="100">
        <v>0.0</v>
      </c>
      <c r="G479" s="100" t="s">
        <v>134</v>
      </c>
      <c r="H479" s="101">
        <v>4762.712130200104</v>
      </c>
      <c r="I479" s="100" t="s">
        <v>134</v>
      </c>
      <c r="J479" s="100">
        <v>0.0</v>
      </c>
      <c r="K479" s="81"/>
    </row>
    <row r="480" ht="13.5" hidden="1" customHeight="1">
      <c r="A480" s="95" t="s">
        <v>54</v>
      </c>
      <c r="B480" s="95" t="s">
        <v>9</v>
      </c>
      <c r="C480" s="95" t="s">
        <v>271</v>
      </c>
      <c r="D480" s="96" t="s">
        <v>143</v>
      </c>
      <c r="E480" s="98">
        <v>1.24168406</v>
      </c>
      <c r="F480" s="100">
        <v>0.0</v>
      </c>
      <c r="G480" s="100">
        <v>0.0384</v>
      </c>
      <c r="H480" s="100">
        <v>4742.83022245642</v>
      </c>
      <c r="I480" s="100">
        <v>182.12468054232653</v>
      </c>
      <c r="J480" s="100">
        <v>0.0</v>
      </c>
      <c r="K480" s="81"/>
    </row>
    <row r="481" ht="13.5" hidden="1" customHeight="1">
      <c r="A481" s="95" t="s">
        <v>61</v>
      </c>
      <c r="B481" s="95" t="s">
        <v>132</v>
      </c>
      <c r="C481" s="95" t="s">
        <v>166</v>
      </c>
      <c r="D481" s="96" t="s">
        <v>139</v>
      </c>
      <c r="E481" s="98">
        <v>248.1804742</v>
      </c>
      <c r="F481" s="100">
        <v>0.0</v>
      </c>
      <c r="G481" s="100">
        <v>0.0251</v>
      </c>
      <c r="H481" s="101">
        <v>4594.586690711417</v>
      </c>
      <c r="I481" s="100">
        <v>115.32412593685656</v>
      </c>
      <c r="J481" s="100">
        <v>0.0</v>
      </c>
      <c r="K481" s="81"/>
    </row>
    <row r="482" ht="13.5" hidden="1" customHeight="1">
      <c r="A482" s="95" t="s">
        <v>54</v>
      </c>
      <c r="B482" s="95" t="s">
        <v>9</v>
      </c>
      <c r="C482" s="95" t="s">
        <v>178</v>
      </c>
      <c r="D482" s="96" t="s">
        <v>143</v>
      </c>
      <c r="E482" s="97">
        <v>1.192901436</v>
      </c>
      <c r="F482" s="95">
        <v>0.0</v>
      </c>
      <c r="G482" s="95">
        <v>0.0384</v>
      </c>
      <c r="H482" s="107">
        <v>4556.496427176865</v>
      </c>
      <c r="I482" s="95">
        <v>174.9694628035916</v>
      </c>
      <c r="J482" s="100">
        <v>0.0</v>
      </c>
      <c r="K482" s="81"/>
    </row>
    <row r="483" ht="13.5" hidden="1" customHeight="1">
      <c r="A483" s="95" t="s">
        <v>66</v>
      </c>
      <c r="B483" s="95" t="s">
        <v>10</v>
      </c>
      <c r="C483" s="95" t="s">
        <v>249</v>
      </c>
      <c r="D483" s="96" t="s">
        <v>136</v>
      </c>
      <c r="E483" s="97">
        <v>10.08214514</v>
      </c>
      <c r="F483" s="95">
        <v>0.0</v>
      </c>
      <c r="G483" s="95">
        <v>0.0225</v>
      </c>
      <c r="H483" s="104">
        <v>4313.914974284591</v>
      </c>
      <c r="I483" s="95">
        <v>97.0630869214033</v>
      </c>
      <c r="J483" s="95">
        <v>0.0</v>
      </c>
      <c r="K483" s="81"/>
    </row>
    <row r="484" ht="13.5" hidden="1" customHeight="1">
      <c r="A484" s="95" t="s">
        <v>54</v>
      </c>
      <c r="B484" s="95" t="s">
        <v>9</v>
      </c>
      <c r="C484" s="95" t="s">
        <v>207</v>
      </c>
      <c r="D484" s="96" t="s">
        <v>143</v>
      </c>
      <c r="E484" s="98">
        <v>1.080372911</v>
      </c>
      <c r="F484" s="100">
        <v>0.014</v>
      </c>
      <c r="G484" s="100">
        <v>0.0384</v>
      </c>
      <c r="H484" s="101">
        <v>4126.673973582314</v>
      </c>
      <c r="I484" s="95">
        <v>158.46428058556083</v>
      </c>
      <c r="J484" s="100">
        <v>57.7734356301524</v>
      </c>
      <c r="K484" s="81"/>
    </row>
    <row r="485" ht="13.5" hidden="1" customHeight="1">
      <c r="A485" s="95" t="s">
        <v>113</v>
      </c>
      <c r="B485" s="95" t="s">
        <v>9</v>
      </c>
      <c r="C485" s="95" t="s">
        <v>187</v>
      </c>
      <c r="D485" s="96" t="s">
        <v>136</v>
      </c>
      <c r="E485" s="98">
        <v>273.6056234</v>
      </c>
      <c r="F485" s="100">
        <v>0.0</v>
      </c>
      <c r="G485" s="95" t="s">
        <v>134</v>
      </c>
      <c r="H485" s="101">
        <v>4120.500688404</v>
      </c>
      <c r="I485" s="100" t="s">
        <v>134</v>
      </c>
      <c r="J485" s="100">
        <v>0.0</v>
      </c>
      <c r="K485" s="81"/>
    </row>
    <row r="486" ht="13.5" hidden="1" customHeight="1">
      <c r="A486" s="95" t="s">
        <v>69</v>
      </c>
      <c r="B486" s="95" t="s">
        <v>132</v>
      </c>
      <c r="C486" s="95" t="s">
        <v>166</v>
      </c>
      <c r="D486" s="96" t="s">
        <v>139</v>
      </c>
      <c r="E486" s="98">
        <v>284.7042971</v>
      </c>
      <c r="F486" s="100">
        <v>0.0</v>
      </c>
      <c r="G486" s="95">
        <v>0.0228</v>
      </c>
      <c r="H486" s="101">
        <v>4111.193715698918</v>
      </c>
      <c r="I486" s="95">
        <v>93.73521671793533</v>
      </c>
      <c r="J486" s="100">
        <v>0.0</v>
      </c>
      <c r="K486" s="81"/>
    </row>
    <row r="487" ht="13.5" hidden="1" customHeight="1">
      <c r="A487" s="95" t="s">
        <v>54</v>
      </c>
      <c r="B487" s="95" t="s">
        <v>190</v>
      </c>
      <c r="C487" s="95" t="s">
        <v>272</v>
      </c>
      <c r="D487" s="96" t="s">
        <v>143</v>
      </c>
      <c r="E487" s="98">
        <v>1.068972428</v>
      </c>
      <c r="F487" s="100">
        <v>0.01</v>
      </c>
      <c r="G487" s="95">
        <v>0.0384</v>
      </c>
      <c r="H487" s="101">
        <v>4083.1278276142316</v>
      </c>
      <c r="I487" s="95">
        <v>156.79210858038647</v>
      </c>
      <c r="J487" s="100">
        <v>40.831278276142314</v>
      </c>
      <c r="K487" s="81"/>
    </row>
    <row r="488" ht="13.5" hidden="1" customHeight="1">
      <c r="A488" s="95" t="s">
        <v>112</v>
      </c>
      <c r="B488" s="95" t="s">
        <v>14</v>
      </c>
      <c r="C488" s="95" t="s">
        <v>167</v>
      </c>
      <c r="D488" s="96" t="s">
        <v>139</v>
      </c>
      <c r="E488" s="98">
        <v>4454.85878</v>
      </c>
      <c r="F488" s="100">
        <v>0.0</v>
      </c>
      <c r="G488" s="100" t="s">
        <v>134</v>
      </c>
      <c r="H488" s="102">
        <v>4048.0252293867475</v>
      </c>
      <c r="I488" s="100" t="s">
        <v>134</v>
      </c>
      <c r="J488" s="100">
        <v>0.0</v>
      </c>
      <c r="K488" s="81"/>
    </row>
    <row r="489" ht="13.5" hidden="1" customHeight="1">
      <c r="A489" s="95" t="s">
        <v>54</v>
      </c>
      <c r="B489" s="95" t="s">
        <v>134</v>
      </c>
      <c r="C489" s="95" t="s">
        <v>273</v>
      </c>
      <c r="D489" s="95" t="s">
        <v>156</v>
      </c>
      <c r="E489" s="98">
        <v>0.9975832312</v>
      </c>
      <c r="F489" s="100" t="s">
        <v>134</v>
      </c>
      <c r="G489" s="100">
        <v>0.0384</v>
      </c>
      <c r="H489" s="101">
        <v>3810.4442593481394</v>
      </c>
      <c r="I489" s="100">
        <v>146.32105955896853</v>
      </c>
      <c r="J489" s="100" t="s">
        <v>134</v>
      </c>
      <c r="K489" s="81"/>
    </row>
    <row r="490" ht="13.5" hidden="1" customHeight="1">
      <c r="A490" s="95" t="s">
        <v>54</v>
      </c>
      <c r="B490" s="95" t="s">
        <v>9</v>
      </c>
      <c r="C490" s="95" t="s">
        <v>218</v>
      </c>
      <c r="D490" s="96" t="s">
        <v>143</v>
      </c>
      <c r="E490" s="98">
        <v>0.9889371981</v>
      </c>
      <c r="F490" s="100">
        <v>0.0</v>
      </c>
      <c r="G490" s="95">
        <v>0.0384</v>
      </c>
      <c r="H490" s="104">
        <v>3777.4192182672073</v>
      </c>
      <c r="I490" s="95">
        <v>145.05289798146075</v>
      </c>
      <c r="J490" s="100">
        <v>0.0</v>
      </c>
      <c r="K490" s="81"/>
    </row>
    <row r="491" ht="13.5" hidden="1" customHeight="1">
      <c r="A491" s="95" t="s">
        <v>58</v>
      </c>
      <c r="B491" s="95" t="s">
        <v>10</v>
      </c>
      <c r="C491" s="95" t="s">
        <v>159</v>
      </c>
      <c r="D491" s="96" t="s">
        <v>138</v>
      </c>
      <c r="E491" s="98">
        <v>1074.787167</v>
      </c>
      <c r="F491" s="100">
        <v>0.04294812889</v>
      </c>
      <c r="G491" s="100" t="s">
        <v>134</v>
      </c>
      <c r="H491" s="104">
        <v>3574.0109311339925</v>
      </c>
      <c r="I491" s="100" t="s">
        <v>134</v>
      </c>
      <c r="J491" s="100">
        <v>153.4970821246116</v>
      </c>
      <c r="K491" s="81"/>
    </row>
    <row r="492" ht="13.5" hidden="1" customHeight="1">
      <c r="A492" s="95" t="s">
        <v>107</v>
      </c>
      <c r="B492" s="95" t="s">
        <v>9</v>
      </c>
      <c r="C492" s="95" t="s">
        <v>187</v>
      </c>
      <c r="D492" s="96" t="s">
        <v>136</v>
      </c>
      <c r="E492" s="97">
        <v>39.83084336</v>
      </c>
      <c r="F492" s="95">
        <v>0.0</v>
      </c>
      <c r="G492" s="95" t="s">
        <v>134</v>
      </c>
      <c r="H492" s="104">
        <v>3534.8867478372345</v>
      </c>
      <c r="I492" s="95" t="s">
        <v>134</v>
      </c>
      <c r="J492" s="95">
        <v>0.0</v>
      </c>
      <c r="K492" s="81"/>
    </row>
    <row r="493" ht="13.5" hidden="1" customHeight="1">
      <c r="A493" s="95" t="s">
        <v>54</v>
      </c>
      <c r="B493" s="95" t="s">
        <v>9</v>
      </c>
      <c r="C493" s="95" t="s">
        <v>263</v>
      </c>
      <c r="D493" s="96" t="s">
        <v>143</v>
      </c>
      <c r="E493" s="98">
        <v>0.8667594492</v>
      </c>
      <c r="F493" s="100">
        <v>0.0</v>
      </c>
      <c r="G493" s="100">
        <v>0.0384</v>
      </c>
      <c r="H493" s="101">
        <v>3310.739860239037</v>
      </c>
      <c r="I493" s="100">
        <v>127.13241063317902</v>
      </c>
      <c r="J493" s="100">
        <v>0.0</v>
      </c>
      <c r="K493" s="81"/>
    </row>
    <row r="494" ht="13.5" hidden="1" customHeight="1">
      <c r="A494" s="95" t="s">
        <v>55</v>
      </c>
      <c r="B494" s="95" t="s">
        <v>9</v>
      </c>
      <c r="C494" s="95" t="s">
        <v>168</v>
      </c>
      <c r="D494" s="96" t="s">
        <v>136</v>
      </c>
      <c r="E494" s="98">
        <v>3290.8045291000003</v>
      </c>
      <c r="F494" s="100">
        <v>0.0</v>
      </c>
      <c r="G494" s="100">
        <v>0.0959</v>
      </c>
      <c r="H494" s="101">
        <v>3290.8045291000003</v>
      </c>
      <c r="I494" s="100">
        <v>315.58815434069004</v>
      </c>
      <c r="J494" s="100">
        <v>0.0</v>
      </c>
      <c r="K494" s="81"/>
    </row>
    <row r="495" ht="13.5" hidden="1" customHeight="1">
      <c r="A495" s="95" t="s">
        <v>54</v>
      </c>
      <c r="B495" s="95" t="s">
        <v>9</v>
      </c>
      <c r="C495" s="95" t="s">
        <v>212</v>
      </c>
      <c r="D495" s="96" t="s">
        <v>143</v>
      </c>
      <c r="E495" s="98">
        <v>0.8455380009</v>
      </c>
      <c r="F495" s="100">
        <v>0.0</v>
      </c>
      <c r="G495" s="100">
        <v>0.0384</v>
      </c>
      <c r="H495" s="101">
        <v>3229.680813413924</v>
      </c>
      <c r="I495" s="100">
        <v>124.01974323509468</v>
      </c>
      <c r="J495" s="100">
        <v>0.0</v>
      </c>
      <c r="K495" s="81"/>
    </row>
    <row r="496" ht="13.5" hidden="1" customHeight="1">
      <c r="A496" s="95" t="s">
        <v>62</v>
      </c>
      <c r="B496" s="95" t="s">
        <v>10</v>
      </c>
      <c r="C496" s="95" t="s">
        <v>249</v>
      </c>
      <c r="D496" s="96" t="s">
        <v>136</v>
      </c>
      <c r="E496" s="98">
        <v>3578.0</v>
      </c>
      <c r="F496" s="100">
        <v>0.0</v>
      </c>
      <c r="G496" s="100">
        <v>0.0127</v>
      </c>
      <c r="H496" s="101">
        <v>3100.4566390172</v>
      </c>
      <c r="I496" s="100">
        <v>39.375799315518435</v>
      </c>
      <c r="J496" s="100">
        <v>0.0</v>
      </c>
      <c r="K496" s="81"/>
    </row>
    <row r="497" ht="13.5" hidden="1" customHeight="1">
      <c r="A497" s="95" t="s">
        <v>54</v>
      </c>
      <c r="B497" s="95" t="s">
        <v>9</v>
      </c>
      <c r="C497" s="95" t="s">
        <v>274</v>
      </c>
      <c r="D497" s="96" t="s">
        <v>136</v>
      </c>
      <c r="E497" s="98">
        <v>0.8075380515</v>
      </c>
      <c r="F497" s="100">
        <v>0.0</v>
      </c>
      <c r="G497" s="100">
        <v>0.0384</v>
      </c>
      <c r="H497" s="101">
        <v>3084.533336473506</v>
      </c>
      <c r="I497" s="100">
        <v>118.44608012058262</v>
      </c>
      <c r="J497" s="100">
        <v>0.0</v>
      </c>
      <c r="K497" s="81"/>
    </row>
    <row r="498" ht="13.5" hidden="1" customHeight="1">
      <c r="A498" s="95" t="s">
        <v>54</v>
      </c>
      <c r="B498" s="95" t="s">
        <v>9</v>
      </c>
      <c r="C498" s="95" t="s">
        <v>250</v>
      </c>
      <c r="D498" s="96" t="s">
        <v>143</v>
      </c>
      <c r="E498" s="97">
        <v>0.7518112033</v>
      </c>
      <c r="F498" s="95">
        <v>0.0</v>
      </c>
      <c r="G498" s="95">
        <v>0.0384</v>
      </c>
      <c r="H498" s="104">
        <v>2871.6748579284877</v>
      </c>
      <c r="I498" s="95">
        <v>110.27231454445392</v>
      </c>
      <c r="J498" s="95">
        <v>0.0</v>
      </c>
      <c r="K498" s="81"/>
    </row>
    <row r="499" ht="13.5" hidden="1" customHeight="1">
      <c r="A499" s="95" t="s">
        <v>232</v>
      </c>
      <c r="B499" s="95" t="s">
        <v>132</v>
      </c>
      <c r="C499" s="95" t="s">
        <v>195</v>
      </c>
      <c r="D499" s="96" t="s">
        <v>143</v>
      </c>
      <c r="E499" s="98">
        <v>852.9287791</v>
      </c>
      <c r="F499" s="100">
        <v>0.0</v>
      </c>
      <c r="G499" s="100" t="s">
        <v>134</v>
      </c>
      <c r="H499" s="101">
        <v>2836.260865014748</v>
      </c>
      <c r="I499" s="100" t="s">
        <v>134</v>
      </c>
      <c r="J499" s="100">
        <v>0.0</v>
      </c>
      <c r="K499" s="81"/>
    </row>
    <row r="500" ht="13.5" hidden="1" customHeight="1">
      <c r="A500" s="95" t="s">
        <v>69</v>
      </c>
      <c r="B500" s="95" t="s">
        <v>132</v>
      </c>
      <c r="C500" s="95" t="s">
        <v>239</v>
      </c>
      <c r="D500" s="96" t="s">
        <v>139</v>
      </c>
      <c r="E500" s="98">
        <v>173.4913528</v>
      </c>
      <c r="F500" s="100">
        <v>0.0</v>
      </c>
      <c r="G500" s="100">
        <v>0.0228</v>
      </c>
      <c r="H500" s="101">
        <v>2505.2539305683126</v>
      </c>
      <c r="I500" s="100">
        <v>57.11978961695753</v>
      </c>
      <c r="J500" s="100">
        <v>0.0</v>
      </c>
      <c r="K500" s="81"/>
    </row>
    <row r="501" ht="13.5" hidden="1" customHeight="1">
      <c r="A501" s="95" t="s">
        <v>211</v>
      </c>
      <c r="B501" s="95" t="s">
        <v>190</v>
      </c>
      <c r="C501" s="95" t="s">
        <v>272</v>
      </c>
      <c r="D501" s="96" t="s">
        <v>143</v>
      </c>
      <c r="E501" s="98">
        <v>23.93425888</v>
      </c>
      <c r="F501" s="100">
        <v>0.0</v>
      </c>
      <c r="G501" s="100" t="s">
        <v>134</v>
      </c>
      <c r="H501" s="101">
        <v>2493.2435112178396</v>
      </c>
      <c r="I501" s="100" t="s">
        <v>134</v>
      </c>
      <c r="J501" s="100">
        <v>0.0</v>
      </c>
      <c r="K501" s="81"/>
    </row>
    <row r="502" ht="13.5" hidden="1" customHeight="1">
      <c r="A502" s="95" t="s">
        <v>93</v>
      </c>
      <c r="B502" s="95" t="s">
        <v>132</v>
      </c>
      <c r="C502" s="95" t="s">
        <v>144</v>
      </c>
      <c r="D502" s="96" t="s">
        <v>139</v>
      </c>
      <c r="E502" s="98">
        <v>1999.6439</v>
      </c>
      <c r="F502" s="100">
        <v>0.0</v>
      </c>
      <c r="G502" s="100">
        <v>0.0048</v>
      </c>
      <c r="H502" s="101">
        <v>2470.7300741697486</v>
      </c>
      <c r="I502" s="100">
        <v>11.859504356014792</v>
      </c>
      <c r="J502" s="100">
        <v>0.0</v>
      </c>
      <c r="K502" s="81"/>
    </row>
    <row r="503" ht="13.5" hidden="1" customHeight="1">
      <c r="A503" s="95" t="s">
        <v>111</v>
      </c>
      <c r="B503" s="95" t="s">
        <v>132</v>
      </c>
      <c r="C503" s="95" t="s">
        <v>158</v>
      </c>
      <c r="D503" s="96" t="s">
        <v>139</v>
      </c>
      <c r="E503" s="98">
        <v>24004.58859</v>
      </c>
      <c r="F503" s="100">
        <v>0.0</v>
      </c>
      <c r="G503" s="100" t="s">
        <v>134</v>
      </c>
      <c r="H503" s="101">
        <v>2324.8615802246363</v>
      </c>
      <c r="I503" s="95" t="s">
        <v>134</v>
      </c>
      <c r="J503" s="100">
        <v>0.0</v>
      </c>
      <c r="K503" s="81"/>
    </row>
    <row r="504" ht="13.5" hidden="1" customHeight="1">
      <c r="A504" s="95" t="s">
        <v>55</v>
      </c>
      <c r="B504" s="95" t="s">
        <v>10</v>
      </c>
      <c r="C504" s="95" t="s">
        <v>222</v>
      </c>
      <c r="D504" s="96" t="s">
        <v>138</v>
      </c>
      <c r="E504" s="98">
        <v>2238.796118</v>
      </c>
      <c r="F504" s="100">
        <v>0.0</v>
      </c>
      <c r="G504" s="100">
        <v>0.0959</v>
      </c>
      <c r="H504" s="101">
        <v>2238.796118</v>
      </c>
      <c r="I504" s="100">
        <v>214.70054771620002</v>
      </c>
      <c r="J504" s="100">
        <v>0.0</v>
      </c>
      <c r="K504" s="81"/>
    </row>
    <row r="505" ht="13.5" hidden="1" customHeight="1">
      <c r="A505" s="95" t="s">
        <v>196</v>
      </c>
      <c r="B505" s="95" t="s">
        <v>9</v>
      </c>
      <c r="C505" s="95" t="s">
        <v>168</v>
      </c>
      <c r="D505" s="96" t="s">
        <v>136</v>
      </c>
      <c r="E505" s="97">
        <v>2178.938753</v>
      </c>
      <c r="F505" s="103">
        <v>0.0</v>
      </c>
      <c r="G505" s="100" t="s">
        <v>134</v>
      </c>
      <c r="H505" s="104">
        <v>2222.51752806</v>
      </c>
      <c r="I505" s="95" t="s">
        <v>134</v>
      </c>
      <c r="J505" s="95">
        <v>0.0</v>
      </c>
      <c r="K505" s="81"/>
    </row>
    <row r="506" ht="13.5" hidden="1" customHeight="1">
      <c r="A506" s="95" t="s">
        <v>111</v>
      </c>
      <c r="B506" s="95" t="s">
        <v>9</v>
      </c>
      <c r="C506" s="95" t="s">
        <v>199</v>
      </c>
      <c r="D506" s="96" t="s">
        <v>138</v>
      </c>
      <c r="E506" s="98">
        <v>19795.72053</v>
      </c>
      <c r="F506" s="100">
        <v>0.0</v>
      </c>
      <c r="G506" s="95" t="s">
        <v>134</v>
      </c>
      <c r="H506" s="101">
        <v>1917.2296971685391</v>
      </c>
      <c r="I506" s="95" t="s">
        <v>134</v>
      </c>
      <c r="J506" s="100">
        <v>0.0</v>
      </c>
      <c r="K506" s="81"/>
    </row>
    <row r="507" ht="13.5" hidden="1" customHeight="1">
      <c r="A507" s="95" t="s">
        <v>54</v>
      </c>
      <c r="B507" s="95" t="s">
        <v>9</v>
      </c>
      <c r="C507" s="95" t="s">
        <v>238</v>
      </c>
      <c r="D507" s="96" t="s">
        <v>143</v>
      </c>
      <c r="E507" s="98">
        <v>0.498706405</v>
      </c>
      <c r="F507" s="100">
        <v>0.0</v>
      </c>
      <c r="G507" s="100">
        <v>0.0384</v>
      </c>
      <c r="H507" s="101">
        <v>1904.8966528301826</v>
      </c>
      <c r="I507" s="100">
        <v>73.14803146867901</v>
      </c>
      <c r="J507" s="100">
        <v>0.0</v>
      </c>
      <c r="K507" s="81"/>
    </row>
    <row r="508" ht="13.5" hidden="1" customHeight="1">
      <c r="A508" s="95" t="s">
        <v>196</v>
      </c>
      <c r="B508" s="95" t="s">
        <v>9</v>
      </c>
      <c r="C508" s="95" t="s">
        <v>187</v>
      </c>
      <c r="D508" s="96" t="s">
        <v>136</v>
      </c>
      <c r="E508" s="98">
        <v>1825.481511</v>
      </c>
      <c r="F508" s="100">
        <v>0.0</v>
      </c>
      <c r="G508" s="100" t="s">
        <v>134</v>
      </c>
      <c r="H508" s="101">
        <v>1861.99114122</v>
      </c>
      <c r="I508" s="100" t="s">
        <v>134</v>
      </c>
      <c r="J508" s="100">
        <v>0.0</v>
      </c>
      <c r="K508" s="81"/>
    </row>
    <row r="509" ht="13.5" hidden="1" customHeight="1">
      <c r="A509" s="95" t="s">
        <v>98</v>
      </c>
      <c r="B509" s="95" t="s">
        <v>132</v>
      </c>
      <c r="C509" s="95" t="s">
        <v>144</v>
      </c>
      <c r="D509" s="96" t="s">
        <v>139</v>
      </c>
      <c r="E509" s="98">
        <v>1.0</v>
      </c>
      <c r="F509" s="100">
        <v>0.0</v>
      </c>
      <c r="G509" s="95">
        <v>0.0554</v>
      </c>
      <c r="H509" s="101">
        <v>1801.374258</v>
      </c>
      <c r="I509" s="95">
        <v>99.7961338932</v>
      </c>
      <c r="J509" s="100">
        <v>0.0</v>
      </c>
      <c r="K509" s="81"/>
    </row>
    <row r="510" ht="13.5" hidden="1" customHeight="1">
      <c r="A510" s="95" t="s">
        <v>71</v>
      </c>
      <c r="B510" s="95" t="s">
        <v>132</v>
      </c>
      <c r="C510" s="95" t="s">
        <v>239</v>
      </c>
      <c r="D510" s="96" t="s">
        <v>139</v>
      </c>
      <c r="E510" s="98">
        <v>519.25</v>
      </c>
      <c r="F510" s="100">
        <v>0.0</v>
      </c>
      <c r="G510" s="95">
        <v>0.0042</v>
      </c>
      <c r="H510" s="100">
        <v>1642.2569078272502</v>
      </c>
      <c r="I510" s="95">
        <v>6.8974790128744505</v>
      </c>
      <c r="J510" s="100">
        <v>0.0</v>
      </c>
      <c r="K510" s="81"/>
    </row>
    <row r="511" ht="13.5" hidden="1" customHeight="1">
      <c r="A511" s="95" t="s">
        <v>81</v>
      </c>
      <c r="B511" s="95" t="s">
        <v>9</v>
      </c>
      <c r="C511" s="95" t="s">
        <v>187</v>
      </c>
      <c r="D511" s="96" t="s">
        <v>136</v>
      </c>
      <c r="E511" s="98">
        <v>8.299791983</v>
      </c>
      <c r="F511" s="100">
        <v>0.0</v>
      </c>
      <c r="G511" s="95">
        <v>0.0453</v>
      </c>
      <c r="H511" s="100">
        <v>1556.8749801711401</v>
      </c>
      <c r="I511" s="95">
        <v>70.52643660175265</v>
      </c>
      <c r="J511" s="100">
        <v>0.0</v>
      </c>
      <c r="K511" s="81"/>
    </row>
    <row r="512" ht="13.5" hidden="1" customHeight="1">
      <c r="A512" s="95" t="s">
        <v>54</v>
      </c>
      <c r="B512" s="95" t="s">
        <v>9</v>
      </c>
      <c r="C512" s="95" t="s">
        <v>210</v>
      </c>
      <c r="D512" s="96" t="s">
        <v>143</v>
      </c>
      <c r="E512" s="98">
        <v>0.3935120432</v>
      </c>
      <c r="F512" s="100">
        <v>0.0</v>
      </c>
      <c r="G512" s="100">
        <v>0.0384</v>
      </c>
      <c r="H512" s="100">
        <v>1503.0883229583671</v>
      </c>
      <c r="I512" s="100">
        <v>57.7185916016013</v>
      </c>
      <c r="J512" s="100">
        <v>0.0</v>
      </c>
      <c r="K512" s="81"/>
    </row>
    <row r="513" ht="13.5" hidden="1" customHeight="1">
      <c r="A513" s="95" t="s">
        <v>90</v>
      </c>
      <c r="B513" s="95" t="s">
        <v>9</v>
      </c>
      <c r="C513" s="95" t="s">
        <v>165</v>
      </c>
      <c r="D513" s="96" t="s">
        <v>143</v>
      </c>
      <c r="E513" s="97">
        <v>102.1348077</v>
      </c>
      <c r="F513" s="103">
        <v>0.0</v>
      </c>
      <c r="G513" s="95" t="s">
        <v>134</v>
      </c>
      <c r="H513" s="95">
        <v>1475.0215341909704</v>
      </c>
      <c r="I513" s="95" t="s">
        <v>134</v>
      </c>
      <c r="J513" s="95">
        <v>0.0</v>
      </c>
      <c r="K513" s="81"/>
    </row>
    <row r="514" ht="13.5" hidden="1" customHeight="1">
      <c r="A514" s="95" t="s">
        <v>103</v>
      </c>
      <c r="B514" s="95" t="s">
        <v>132</v>
      </c>
      <c r="C514" s="95" t="s">
        <v>144</v>
      </c>
      <c r="D514" s="96" t="s">
        <v>139</v>
      </c>
      <c r="E514" s="98">
        <v>79.62533354</v>
      </c>
      <c r="F514" s="100">
        <v>0.0</v>
      </c>
      <c r="G514" s="95" t="s">
        <v>134</v>
      </c>
      <c r="H514" s="101">
        <v>1406.1127618492967</v>
      </c>
      <c r="I514" s="95" t="s">
        <v>134</v>
      </c>
      <c r="J514" s="100">
        <v>0.0</v>
      </c>
      <c r="K514" s="81"/>
    </row>
    <row r="515" ht="13.5" hidden="1" customHeight="1">
      <c r="A515" s="95" t="s">
        <v>54</v>
      </c>
      <c r="B515" s="95" t="s">
        <v>9</v>
      </c>
      <c r="C515" s="95" t="s">
        <v>256</v>
      </c>
      <c r="D515" s="96" t="s">
        <v>143</v>
      </c>
      <c r="E515" s="97">
        <v>0.3324087312</v>
      </c>
      <c r="F515" s="95">
        <v>0.0</v>
      </c>
      <c r="G515" s="95">
        <v>0.0384</v>
      </c>
      <c r="H515" s="104">
        <v>1269.693497187805</v>
      </c>
      <c r="I515" s="95">
        <v>48.75623029201171</v>
      </c>
      <c r="J515" s="95">
        <v>0.0</v>
      </c>
      <c r="K515" s="81"/>
    </row>
    <row r="516" ht="13.5" hidden="1" customHeight="1">
      <c r="A516" s="95" t="s">
        <v>67</v>
      </c>
      <c r="B516" s="95" t="s">
        <v>132</v>
      </c>
      <c r="C516" s="95" t="s">
        <v>239</v>
      </c>
      <c r="D516" s="96" t="s">
        <v>139</v>
      </c>
      <c r="E516" s="98">
        <v>238.284</v>
      </c>
      <c r="F516" s="100">
        <v>0.0</v>
      </c>
      <c r="G516" s="100">
        <v>0.1339</v>
      </c>
      <c r="H516" s="101">
        <v>1181.930764322088</v>
      </c>
      <c r="I516" s="100">
        <v>158.26052934272758</v>
      </c>
      <c r="J516" s="100">
        <v>0.0</v>
      </c>
      <c r="K516" s="81"/>
    </row>
    <row r="517" ht="13.5" hidden="1" customHeight="1">
      <c r="A517" s="95" t="s">
        <v>62</v>
      </c>
      <c r="B517" s="95" t="s">
        <v>10</v>
      </c>
      <c r="C517" s="95" t="s">
        <v>152</v>
      </c>
      <c r="D517" s="96" t="s">
        <v>138</v>
      </c>
      <c r="E517" s="98">
        <v>1311.810617</v>
      </c>
      <c r="F517" s="100">
        <v>0.0066</v>
      </c>
      <c r="G517" s="100">
        <v>0.0127</v>
      </c>
      <c r="H517" s="101">
        <v>1136.7277631668248</v>
      </c>
      <c r="I517" s="100">
        <v>14.436442592218675</v>
      </c>
      <c r="J517" s="100">
        <v>7.502403236901044</v>
      </c>
      <c r="K517" s="81"/>
    </row>
    <row r="518" ht="13.5" hidden="1" customHeight="1">
      <c r="A518" s="95" t="s">
        <v>241</v>
      </c>
      <c r="B518" s="95" t="s">
        <v>10</v>
      </c>
      <c r="C518" s="95" t="s">
        <v>249</v>
      </c>
      <c r="D518" s="96" t="s">
        <v>136</v>
      </c>
      <c r="E518" s="98">
        <v>274.11</v>
      </c>
      <c r="F518" s="100">
        <v>0.0</v>
      </c>
      <c r="G518" s="100" t="s">
        <v>134</v>
      </c>
      <c r="H518" s="101">
        <v>1105.61154379905</v>
      </c>
      <c r="I518" s="100" t="s">
        <v>134</v>
      </c>
      <c r="J518" s="100">
        <v>0.0</v>
      </c>
      <c r="K518" s="81"/>
    </row>
    <row r="519" ht="13.5" hidden="1" customHeight="1">
      <c r="A519" s="95" t="s">
        <v>81</v>
      </c>
      <c r="B519" s="95" t="s">
        <v>132</v>
      </c>
      <c r="C519" s="95" t="s">
        <v>239</v>
      </c>
      <c r="D519" s="96" t="s">
        <v>139</v>
      </c>
      <c r="E519" s="98">
        <v>5.841</v>
      </c>
      <c r="F519" s="100">
        <v>0.0</v>
      </c>
      <c r="G519" s="100">
        <v>0.0453</v>
      </c>
      <c r="H519" s="101">
        <v>1095.65478</v>
      </c>
      <c r="I519" s="100">
        <v>49.633161534</v>
      </c>
      <c r="J519" s="100">
        <v>0.0</v>
      </c>
      <c r="K519" s="81"/>
    </row>
    <row r="520" ht="13.5" hidden="1" customHeight="1">
      <c r="A520" s="95" t="s">
        <v>74</v>
      </c>
      <c r="B520" s="95" t="s">
        <v>132</v>
      </c>
      <c r="C520" s="95" t="s">
        <v>166</v>
      </c>
      <c r="D520" s="96" t="s">
        <v>139</v>
      </c>
      <c r="E520" s="98">
        <v>1001.0</v>
      </c>
      <c r="F520" s="100">
        <v>0.0</v>
      </c>
      <c r="G520" s="100">
        <v>0.0097</v>
      </c>
      <c r="H520" s="101">
        <v>1079.681501899</v>
      </c>
      <c r="I520" s="100">
        <v>10.472910568420302</v>
      </c>
      <c r="J520" s="100">
        <v>0.0</v>
      </c>
      <c r="K520" s="81"/>
    </row>
    <row r="521" ht="13.5" hidden="1" customHeight="1">
      <c r="A521" s="95" t="s">
        <v>55</v>
      </c>
      <c r="B521" s="95" t="s">
        <v>9</v>
      </c>
      <c r="C521" s="95" t="s">
        <v>255</v>
      </c>
      <c r="D521" s="96" t="s">
        <v>136</v>
      </c>
      <c r="E521" s="98">
        <v>953.309609</v>
      </c>
      <c r="F521" s="99">
        <v>0.0</v>
      </c>
      <c r="G521" s="100">
        <v>0.0959</v>
      </c>
      <c r="H521" s="102">
        <v>953.309609</v>
      </c>
      <c r="I521" s="100">
        <v>91.4223915031</v>
      </c>
      <c r="J521" s="100">
        <v>0.0</v>
      </c>
      <c r="K521" s="81"/>
    </row>
    <row r="522" ht="13.5" hidden="1" customHeight="1">
      <c r="A522" s="95" t="s">
        <v>97</v>
      </c>
      <c r="B522" s="95" t="s">
        <v>132</v>
      </c>
      <c r="C522" s="95" t="s">
        <v>144</v>
      </c>
      <c r="D522" s="96" t="s">
        <v>139</v>
      </c>
      <c r="E522" s="98">
        <v>100.64</v>
      </c>
      <c r="F522" s="100">
        <v>0.0</v>
      </c>
      <c r="G522" s="100">
        <v>0.0093</v>
      </c>
      <c r="H522" s="102">
        <v>862.4295208633599</v>
      </c>
      <c r="I522" s="100">
        <v>8.020594544029247</v>
      </c>
      <c r="J522" s="100">
        <v>0.0</v>
      </c>
      <c r="K522" s="81"/>
    </row>
    <row r="523" ht="13.5" hidden="1" customHeight="1">
      <c r="A523" s="95" t="s">
        <v>66</v>
      </c>
      <c r="B523" s="95" t="s">
        <v>132</v>
      </c>
      <c r="C523" s="95" t="s">
        <v>166</v>
      </c>
      <c r="D523" s="96" t="s">
        <v>139</v>
      </c>
      <c r="E523" s="98">
        <v>2.006492</v>
      </c>
      <c r="F523" s="100">
        <v>0.0</v>
      </c>
      <c r="G523" s="100">
        <v>0.0225</v>
      </c>
      <c r="H523" s="101">
        <v>858.5311721253637</v>
      </c>
      <c r="I523" s="100">
        <v>19.316951372820682</v>
      </c>
      <c r="J523" s="100">
        <v>0.0</v>
      </c>
      <c r="K523" s="81"/>
    </row>
    <row r="524" ht="13.5" hidden="1" customHeight="1">
      <c r="A524" s="95" t="s">
        <v>56</v>
      </c>
      <c r="B524" s="95" t="s">
        <v>132</v>
      </c>
      <c r="C524" s="95" t="s">
        <v>239</v>
      </c>
      <c r="D524" s="96" t="s">
        <v>139</v>
      </c>
      <c r="E524" s="98">
        <v>207.2071</v>
      </c>
      <c r="F524" s="99">
        <v>0.0</v>
      </c>
      <c r="G524" s="100">
        <v>0.0415</v>
      </c>
      <c r="H524" s="101">
        <v>811.5519560377857</v>
      </c>
      <c r="I524" s="100">
        <v>33.679406175568104</v>
      </c>
      <c r="J524" s="100">
        <v>0.0</v>
      </c>
      <c r="K524" s="81"/>
    </row>
    <row r="525" ht="13.5" hidden="1" customHeight="1">
      <c r="A525" s="95" t="s">
        <v>97</v>
      </c>
      <c r="B525" s="95" t="s">
        <v>132</v>
      </c>
      <c r="C525" s="95" t="s">
        <v>239</v>
      </c>
      <c r="D525" s="96" t="s">
        <v>139</v>
      </c>
      <c r="E525" s="98">
        <v>92.911</v>
      </c>
      <c r="F525" s="103">
        <v>0.0</v>
      </c>
      <c r="G525" s="100">
        <v>0.0093</v>
      </c>
      <c r="H525" s="102">
        <v>796.196236217564</v>
      </c>
      <c r="I525" s="100">
        <v>7.404624996823344</v>
      </c>
      <c r="J525" s="95">
        <v>0.0</v>
      </c>
      <c r="K525" s="81"/>
    </row>
    <row r="526" ht="13.5" hidden="1" customHeight="1">
      <c r="A526" s="95" t="s">
        <v>70</v>
      </c>
      <c r="B526" s="95" t="s">
        <v>132</v>
      </c>
      <c r="C526" s="95" t="s">
        <v>239</v>
      </c>
      <c r="D526" s="96" t="s">
        <v>139</v>
      </c>
      <c r="E526" s="98">
        <v>4.32075</v>
      </c>
      <c r="F526" s="100">
        <v>0.0</v>
      </c>
      <c r="G526" s="100">
        <v>0.0385</v>
      </c>
      <c r="H526" s="101">
        <v>748.1976426687</v>
      </c>
      <c r="I526" s="100">
        <v>28.80560924274495</v>
      </c>
      <c r="J526" s="100">
        <v>0.0</v>
      </c>
      <c r="K526" s="81"/>
    </row>
    <row r="527" ht="13.5" hidden="1" customHeight="1">
      <c r="A527" s="95" t="s">
        <v>54</v>
      </c>
      <c r="B527" s="95" t="s">
        <v>190</v>
      </c>
      <c r="C527" s="95" t="s">
        <v>275</v>
      </c>
      <c r="D527" s="96" t="s">
        <v>139</v>
      </c>
      <c r="E527" s="98">
        <v>0.1939812108</v>
      </c>
      <c r="F527" s="99">
        <v>0.0</v>
      </c>
      <c r="G527" s="100">
        <v>0.0384</v>
      </c>
      <c r="H527" s="101">
        <v>740.9452845604942</v>
      </c>
      <c r="I527" s="100">
        <v>28.452298927122975</v>
      </c>
      <c r="J527" s="100">
        <v>0.0</v>
      </c>
      <c r="K527" s="81"/>
      <c r="O527" s="38"/>
    </row>
    <row r="528" ht="13.5" hidden="1" customHeight="1">
      <c r="A528" s="95" t="s">
        <v>62</v>
      </c>
      <c r="B528" s="95" t="s">
        <v>7</v>
      </c>
      <c r="C528" s="95" t="s">
        <v>276</v>
      </c>
      <c r="D528" s="96" t="s">
        <v>138</v>
      </c>
      <c r="E528" s="97">
        <v>829.393288</v>
      </c>
      <c r="F528" s="103">
        <v>0.0</v>
      </c>
      <c r="G528" s="95">
        <v>0.0</v>
      </c>
      <c r="H528" s="104">
        <v>718.6970168071282</v>
      </c>
      <c r="I528" s="95">
        <v>0.0</v>
      </c>
      <c r="J528" s="95">
        <v>0.0</v>
      </c>
      <c r="K528" s="81"/>
    </row>
    <row r="529" ht="13.5" hidden="1" customHeight="1">
      <c r="A529" s="95" t="s">
        <v>66</v>
      </c>
      <c r="B529" s="95" t="s">
        <v>132</v>
      </c>
      <c r="C529" s="95" t="s">
        <v>144</v>
      </c>
      <c r="D529" s="96" t="s">
        <v>139</v>
      </c>
      <c r="E529" s="98">
        <v>1.65245083</v>
      </c>
      <c r="F529" s="100">
        <v>0.0</v>
      </c>
      <c r="G529" s="99">
        <v>0.0225</v>
      </c>
      <c r="H529" s="101">
        <v>707.0452052434946</v>
      </c>
      <c r="I529" s="95">
        <v>15.908517117978628</v>
      </c>
      <c r="J529" s="100">
        <v>0.0</v>
      </c>
      <c r="K529" s="81"/>
    </row>
    <row r="530" ht="13.5" hidden="1" customHeight="1">
      <c r="A530" s="95" t="s">
        <v>57</v>
      </c>
      <c r="B530" s="95" t="s">
        <v>258</v>
      </c>
      <c r="C530" s="95" t="s">
        <v>259</v>
      </c>
      <c r="D530" s="96" t="s">
        <v>143</v>
      </c>
      <c r="E530" s="98">
        <v>318.2610703</v>
      </c>
      <c r="F530" s="100">
        <v>0.0</v>
      </c>
      <c r="G530" s="100">
        <v>0.0818</v>
      </c>
      <c r="H530" s="101">
        <v>667.5868379358477</v>
      </c>
      <c r="I530" s="100">
        <v>54.60860334315234</v>
      </c>
      <c r="J530" s="100">
        <v>0.0</v>
      </c>
      <c r="K530" s="81"/>
    </row>
    <row r="531" ht="13.5" hidden="1" customHeight="1">
      <c r="A531" s="95" t="s">
        <v>74</v>
      </c>
      <c r="B531" s="95" t="s">
        <v>132</v>
      </c>
      <c r="C531" s="95" t="s">
        <v>245</v>
      </c>
      <c r="D531" s="96" t="s">
        <v>138</v>
      </c>
      <c r="E531" s="98">
        <v>549.5233</v>
      </c>
      <c r="F531" s="100">
        <v>0.0</v>
      </c>
      <c r="G531" s="95">
        <v>0.0097</v>
      </c>
      <c r="H531" s="101">
        <v>592.7174244480467</v>
      </c>
      <c r="I531" s="95">
        <v>5.749359017146054</v>
      </c>
      <c r="J531" s="100">
        <v>0.0</v>
      </c>
      <c r="K531" s="81"/>
    </row>
    <row r="532" ht="13.5" hidden="1" customHeight="1">
      <c r="A532" s="95" t="s">
        <v>54</v>
      </c>
      <c r="B532" s="95" t="s">
        <v>9</v>
      </c>
      <c r="C532" s="95" t="s">
        <v>180</v>
      </c>
      <c r="D532" s="96" t="s">
        <v>143</v>
      </c>
      <c r="E532" s="98">
        <v>0.1388031627</v>
      </c>
      <c r="F532" s="100">
        <v>0.0</v>
      </c>
      <c r="G532" s="100">
        <v>0.0384</v>
      </c>
      <c r="H532" s="101">
        <v>530.1830443294051</v>
      </c>
      <c r="I532" s="100">
        <v>20.359028902249154</v>
      </c>
      <c r="J532" s="100">
        <v>0.0</v>
      </c>
      <c r="K532" s="81"/>
    </row>
    <row r="533" ht="13.5" hidden="1" customHeight="1">
      <c r="A533" s="95" t="s">
        <v>58</v>
      </c>
      <c r="B533" s="95" t="s">
        <v>10</v>
      </c>
      <c r="C533" s="95" t="s">
        <v>221</v>
      </c>
      <c r="D533" s="96" t="s">
        <v>138</v>
      </c>
      <c r="E533" s="98">
        <v>153.2342775</v>
      </c>
      <c r="F533" s="100">
        <v>-0.0295482322</v>
      </c>
      <c r="G533" s="95" t="s">
        <v>134</v>
      </c>
      <c r="H533" s="101">
        <v>509.55296046014246</v>
      </c>
      <c r="I533" s="95" t="s">
        <v>134</v>
      </c>
      <c r="J533" s="100">
        <v>-15.056389193873708</v>
      </c>
      <c r="K533" s="81"/>
    </row>
    <row r="534" ht="13.5" hidden="1" customHeight="1">
      <c r="A534" s="95" t="s">
        <v>111</v>
      </c>
      <c r="B534" s="95" t="s">
        <v>9</v>
      </c>
      <c r="C534" s="95" t="s">
        <v>236</v>
      </c>
      <c r="D534" s="96" t="s">
        <v>136</v>
      </c>
      <c r="E534" s="98">
        <v>4802.086241</v>
      </c>
      <c r="F534" s="100">
        <v>0.0</v>
      </c>
      <c r="G534" s="100" t="s">
        <v>134</v>
      </c>
      <c r="H534" s="101">
        <v>465.0854883335555</v>
      </c>
      <c r="I534" s="100" t="s">
        <v>134</v>
      </c>
      <c r="J534" s="100">
        <v>0.0</v>
      </c>
      <c r="K534" s="81"/>
    </row>
    <row r="535" ht="13.5" hidden="1" customHeight="1">
      <c r="A535" s="95" t="s">
        <v>81</v>
      </c>
      <c r="B535" s="95" t="s">
        <v>9</v>
      </c>
      <c r="C535" s="95" t="s">
        <v>171</v>
      </c>
      <c r="D535" s="96" t="s">
        <v>143</v>
      </c>
      <c r="E535" s="98">
        <v>2.418082373</v>
      </c>
      <c r="F535" s="100">
        <v>0.0</v>
      </c>
      <c r="G535" s="100">
        <v>0.0453</v>
      </c>
      <c r="H535" s="100">
        <v>453.58389152734</v>
      </c>
      <c r="I535" s="100">
        <v>20.5473502861885</v>
      </c>
      <c r="J535" s="100">
        <v>0.0</v>
      </c>
      <c r="K535" s="81"/>
    </row>
    <row r="536" ht="13.5" hidden="1" customHeight="1">
      <c r="A536" s="95" t="s">
        <v>66</v>
      </c>
      <c r="B536" s="95" t="s">
        <v>132</v>
      </c>
      <c r="C536" s="95" t="s">
        <v>239</v>
      </c>
      <c r="D536" s="96" t="s">
        <v>139</v>
      </c>
      <c r="E536" s="98">
        <v>0.98022394</v>
      </c>
      <c r="F536" s="100">
        <v>0.0</v>
      </c>
      <c r="G536" s="100">
        <v>0.0225</v>
      </c>
      <c r="H536" s="101">
        <v>419.4149830418173</v>
      </c>
      <c r="I536" s="100">
        <v>9.43683711844089</v>
      </c>
      <c r="J536" s="100">
        <v>0.0</v>
      </c>
      <c r="K536" s="81"/>
    </row>
    <row r="537" ht="13.5" hidden="1" customHeight="1">
      <c r="A537" s="95" t="s">
        <v>90</v>
      </c>
      <c r="B537" s="95" t="s">
        <v>132</v>
      </c>
      <c r="C537" s="95" t="s">
        <v>158</v>
      </c>
      <c r="D537" s="96" t="s">
        <v>139</v>
      </c>
      <c r="E537" s="97">
        <v>28.78</v>
      </c>
      <c r="F537" s="95">
        <v>0.0</v>
      </c>
      <c r="G537" s="95" t="s">
        <v>134</v>
      </c>
      <c r="H537" s="104">
        <v>415.63812288860004</v>
      </c>
      <c r="I537" s="95" t="s">
        <v>134</v>
      </c>
      <c r="J537" s="95">
        <v>0.0</v>
      </c>
      <c r="K537" s="81"/>
    </row>
    <row r="538" ht="13.5" hidden="1" customHeight="1">
      <c r="A538" s="95" t="s">
        <v>59</v>
      </c>
      <c r="B538" s="95" t="s">
        <v>132</v>
      </c>
      <c r="C538" s="95" t="s">
        <v>169</v>
      </c>
      <c r="D538" s="96" t="s">
        <v>143</v>
      </c>
      <c r="E538" s="98">
        <v>10.0</v>
      </c>
      <c r="F538" s="100">
        <v>0.0</v>
      </c>
      <c r="G538" s="100" t="s">
        <v>134</v>
      </c>
      <c r="H538" s="106">
        <v>395.1861627</v>
      </c>
      <c r="I538" s="100" t="s">
        <v>134</v>
      </c>
      <c r="J538" s="100">
        <v>0.0</v>
      </c>
      <c r="K538" s="81"/>
    </row>
    <row r="539" ht="13.5" hidden="1" customHeight="1">
      <c r="A539" s="95" t="s">
        <v>54</v>
      </c>
      <c r="B539" s="95" t="s">
        <v>9</v>
      </c>
      <c r="C539" s="95" t="s">
        <v>277</v>
      </c>
      <c r="D539" s="96" t="s">
        <v>143</v>
      </c>
      <c r="E539" s="98">
        <v>0.1</v>
      </c>
      <c r="F539" s="100">
        <v>0.0</v>
      </c>
      <c r="G539" s="95">
        <v>0.0384</v>
      </c>
      <c r="H539" s="106">
        <v>381.96755320000005</v>
      </c>
      <c r="I539" s="95">
        <v>14.66755404288</v>
      </c>
      <c r="J539" s="100">
        <v>0.0</v>
      </c>
      <c r="K539" s="81"/>
    </row>
    <row r="540" ht="13.5" hidden="1" customHeight="1">
      <c r="A540" s="95" t="s">
        <v>54</v>
      </c>
      <c r="B540" s="95" t="s">
        <v>9</v>
      </c>
      <c r="C540" s="95" t="s">
        <v>185</v>
      </c>
      <c r="D540" s="96" t="s">
        <v>136</v>
      </c>
      <c r="E540" s="98">
        <v>0.09644979753</v>
      </c>
      <c r="F540" s="100">
        <v>0.0</v>
      </c>
      <c r="G540" s="100">
        <v>0.0384</v>
      </c>
      <c r="H540" s="106">
        <v>368.4069316916951</v>
      </c>
      <c r="I540" s="100">
        <v>14.14682617696109</v>
      </c>
      <c r="J540" s="100">
        <v>0.0</v>
      </c>
      <c r="K540" s="81"/>
    </row>
    <row r="541" ht="13.5" hidden="1" customHeight="1">
      <c r="A541" s="95" t="s">
        <v>54</v>
      </c>
      <c r="B541" s="95" t="s">
        <v>134</v>
      </c>
      <c r="C541" s="95" t="s">
        <v>204</v>
      </c>
      <c r="D541" s="95" t="s">
        <v>156</v>
      </c>
      <c r="E541" s="98">
        <v>0.09537495077</v>
      </c>
      <c r="F541" s="100" t="s">
        <v>134</v>
      </c>
      <c r="G541" s="100">
        <v>0.0384</v>
      </c>
      <c r="H541" s="106">
        <v>364.30136582187356</v>
      </c>
      <c r="I541" s="100">
        <v>13.989172447559943</v>
      </c>
      <c r="J541" s="100" t="s">
        <v>134</v>
      </c>
      <c r="K541" s="81"/>
    </row>
    <row r="542" ht="13.5" hidden="1" customHeight="1">
      <c r="A542" s="95" t="s">
        <v>54</v>
      </c>
      <c r="B542" s="95" t="s">
        <v>134</v>
      </c>
      <c r="C542" s="95" t="s">
        <v>205</v>
      </c>
      <c r="D542" s="95" t="s">
        <v>156</v>
      </c>
      <c r="E542" s="97">
        <v>0.09219130825</v>
      </c>
      <c r="F542" s="95" t="s">
        <v>134</v>
      </c>
      <c r="G542" s="95">
        <v>0.0384</v>
      </c>
      <c r="H542" s="104">
        <v>352.1408843855948</v>
      </c>
      <c r="I542" s="95">
        <v>13.522209960406839</v>
      </c>
      <c r="J542" s="95" t="s">
        <v>134</v>
      </c>
      <c r="K542" s="81"/>
    </row>
    <row r="543" ht="13.5" hidden="1" customHeight="1">
      <c r="A543" s="95" t="s">
        <v>211</v>
      </c>
      <c r="B543" s="95" t="s">
        <v>9</v>
      </c>
      <c r="C543" s="95" t="s">
        <v>185</v>
      </c>
      <c r="D543" s="96" t="s">
        <v>136</v>
      </c>
      <c r="E543" s="98">
        <v>3.076887737</v>
      </c>
      <c r="F543" s="100">
        <v>0.0</v>
      </c>
      <c r="G543" s="100" t="s">
        <v>134</v>
      </c>
      <c r="H543" s="101">
        <v>320.5209078536127</v>
      </c>
      <c r="I543" s="100" t="s">
        <v>134</v>
      </c>
      <c r="J543" s="100">
        <v>0.0</v>
      </c>
      <c r="K543" s="81"/>
    </row>
    <row r="544" ht="13.5" hidden="1" customHeight="1">
      <c r="A544" s="95" t="s">
        <v>55</v>
      </c>
      <c r="B544" s="95" t="s">
        <v>134</v>
      </c>
      <c r="C544" s="95" t="s">
        <v>179</v>
      </c>
      <c r="D544" s="95" t="s">
        <v>156</v>
      </c>
      <c r="E544" s="98">
        <v>300.0</v>
      </c>
      <c r="F544" s="100">
        <v>0.0</v>
      </c>
      <c r="G544" s="100">
        <v>0.0959</v>
      </c>
      <c r="H544" s="104">
        <v>300.0</v>
      </c>
      <c r="I544" s="100">
        <v>28.77</v>
      </c>
      <c r="J544" s="100">
        <v>0.0</v>
      </c>
      <c r="K544" s="81"/>
    </row>
    <row r="545" ht="13.5" hidden="1" customHeight="1">
      <c r="A545" s="95" t="s">
        <v>54</v>
      </c>
      <c r="B545" s="95" t="s">
        <v>134</v>
      </c>
      <c r="C545" s="95" t="s">
        <v>278</v>
      </c>
      <c r="D545" s="95" t="s">
        <v>156</v>
      </c>
      <c r="E545" s="98">
        <v>0.0771551735</v>
      </c>
      <c r="F545" s="100" t="s">
        <v>134</v>
      </c>
      <c r="G545" s="100">
        <v>0.0384</v>
      </c>
      <c r="H545" s="104">
        <v>294.7077283851648</v>
      </c>
      <c r="I545" s="100">
        <v>11.316776769990327</v>
      </c>
      <c r="J545" s="100" t="s">
        <v>134</v>
      </c>
      <c r="K545" s="81"/>
    </row>
    <row r="546" ht="13.5" hidden="1" customHeight="1">
      <c r="A546" s="95" t="s">
        <v>114</v>
      </c>
      <c r="B546" s="95" t="s">
        <v>9</v>
      </c>
      <c r="C546" s="95" t="s">
        <v>168</v>
      </c>
      <c r="D546" s="96" t="s">
        <v>136</v>
      </c>
      <c r="E546" s="98">
        <v>648.8711784</v>
      </c>
      <c r="F546" s="100">
        <v>0.0</v>
      </c>
      <c r="G546" s="100" t="s">
        <v>134</v>
      </c>
      <c r="H546" s="101">
        <v>265.05887040014574</v>
      </c>
      <c r="I546" s="100" t="s">
        <v>134</v>
      </c>
      <c r="J546" s="100">
        <v>0.0</v>
      </c>
      <c r="K546" s="81"/>
    </row>
    <row r="547" ht="13.5" hidden="1" customHeight="1">
      <c r="A547" s="95" t="s">
        <v>81</v>
      </c>
      <c r="B547" s="95" t="s">
        <v>9</v>
      </c>
      <c r="C547" s="95" t="s">
        <v>271</v>
      </c>
      <c r="D547" s="96" t="s">
        <v>143</v>
      </c>
      <c r="E547" s="97">
        <v>1.088615274</v>
      </c>
      <c r="F547" s="95">
        <v>0.0</v>
      </c>
      <c r="G547" s="95">
        <v>0.0453</v>
      </c>
      <c r="H547" s="104">
        <v>204.20245309692</v>
      </c>
      <c r="I547" s="95">
        <v>9.250371125290476</v>
      </c>
      <c r="J547" s="95">
        <v>0.0</v>
      </c>
      <c r="K547" s="81"/>
    </row>
    <row r="548" ht="13.5" hidden="1" customHeight="1">
      <c r="A548" s="95" t="s">
        <v>80</v>
      </c>
      <c r="B548" s="95" t="s">
        <v>132</v>
      </c>
      <c r="C548" s="95" t="s">
        <v>239</v>
      </c>
      <c r="D548" s="96" t="s">
        <v>139</v>
      </c>
      <c r="E548" s="98">
        <v>272.88</v>
      </c>
      <c r="F548" s="100">
        <v>0.0</v>
      </c>
      <c r="G548" s="100">
        <v>0.0169</v>
      </c>
      <c r="H548" s="104">
        <v>204.18786681703202</v>
      </c>
      <c r="I548" s="100">
        <v>3.450774949207841</v>
      </c>
      <c r="J548" s="100">
        <v>0.0</v>
      </c>
      <c r="K548" s="81"/>
    </row>
    <row r="549" ht="13.5" hidden="1" customHeight="1">
      <c r="A549" s="95" t="s">
        <v>55</v>
      </c>
      <c r="B549" s="95" t="s">
        <v>9</v>
      </c>
      <c r="C549" s="95" t="s">
        <v>148</v>
      </c>
      <c r="D549" s="96" t="s">
        <v>143</v>
      </c>
      <c r="E549" s="97">
        <v>200.0</v>
      </c>
      <c r="F549" s="95">
        <v>0.0</v>
      </c>
      <c r="G549" s="95">
        <v>0.0959</v>
      </c>
      <c r="H549" s="95">
        <v>200.0</v>
      </c>
      <c r="I549" s="95">
        <v>19.18</v>
      </c>
      <c r="J549" s="95">
        <v>0.0</v>
      </c>
      <c r="K549" s="81"/>
    </row>
    <row r="550" ht="13.5" hidden="1" customHeight="1">
      <c r="A550" s="95" t="s">
        <v>72</v>
      </c>
      <c r="B550" s="95" t="s">
        <v>132</v>
      </c>
      <c r="C550" s="95" t="s">
        <v>166</v>
      </c>
      <c r="D550" s="96" t="s">
        <v>139</v>
      </c>
      <c r="E550" s="97">
        <v>8.194274018</v>
      </c>
      <c r="F550" s="95">
        <v>0.0</v>
      </c>
      <c r="G550" s="95">
        <v>0.0668</v>
      </c>
      <c r="H550" s="104">
        <v>198.73099999021656</v>
      </c>
      <c r="I550" s="95">
        <v>13.275230799346465</v>
      </c>
      <c r="J550" s="95">
        <v>0.0</v>
      </c>
      <c r="K550" s="81"/>
    </row>
    <row r="551" ht="13.5" hidden="1" customHeight="1">
      <c r="A551" s="95" t="s">
        <v>86</v>
      </c>
      <c r="B551" s="95" t="s">
        <v>132</v>
      </c>
      <c r="C551" s="95" t="s">
        <v>239</v>
      </c>
      <c r="D551" s="96" t="s">
        <v>139</v>
      </c>
      <c r="E551" s="98">
        <v>33.702</v>
      </c>
      <c r="F551" s="100">
        <v>0.0</v>
      </c>
      <c r="G551" s="100">
        <v>0.0042</v>
      </c>
      <c r="H551" s="101">
        <v>194.196994876068</v>
      </c>
      <c r="I551" s="100">
        <v>0.8156273784794855</v>
      </c>
      <c r="J551" s="100">
        <v>0.0</v>
      </c>
      <c r="K551" s="81"/>
    </row>
    <row r="552" ht="13.5" hidden="1" customHeight="1">
      <c r="A552" s="95" t="s">
        <v>112</v>
      </c>
      <c r="B552" s="95" t="s">
        <v>132</v>
      </c>
      <c r="C552" s="95" t="s">
        <v>158</v>
      </c>
      <c r="D552" s="96" t="s">
        <v>139</v>
      </c>
      <c r="E552" s="97">
        <v>204.1783296</v>
      </c>
      <c r="F552" s="95">
        <v>0.0</v>
      </c>
      <c r="G552" s="100" t="s">
        <v>134</v>
      </c>
      <c r="H552" s="95">
        <v>185.53203823777397</v>
      </c>
      <c r="I552" s="95" t="s">
        <v>134</v>
      </c>
      <c r="J552" s="95">
        <v>0.0</v>
      </c>
      <c r="K552" s="81"/>
    </row>
    <row r="553" ht="13.5" hidden="1" customHeight="1">
      <c r="A553" s="95" t="s">
        <v>64</v>
      </c>
      <c r="B553" s="95" t="s">
        <v>132</v>
      </c>
      <c r="C553" s="95" t="s">
        <v>239</v>
      </c>
      <c r="D553" s="96" t="s">
        <v>139</v>
      </c>
      <c r="E553" s="98">
        <v>1.0842951</v>
      </c>
      <c r="F553" s="100">
        <v>0.0</v>
      </c>
      <c r="G553" s="95">
        <v>0.0285</v>
      </c>
      <c r="H553" s="101">
        <v>162.88110898827662</v>
      </c>
      <c r="I553" s="95">
        <v>4.642111606165884</v>
      </c>
      <c r="J553" s="100">
        <v>0.0</v>
      </c>
      <c r="K553" s="81"/>
    </row>
    <row r="554" ht="13.5" hidden="1" customHeight="1">
      <c r="A554" s="95" t="s">
        <v>58</v>
      </c>
      <c r="B554" s="95" t="s">
        <v>132</v>
      </c>
      <c r="C554" s="95" t="s">
        <v>184</v>
      </c>
      <c r="D554" s="96" t="s">
        <v>138</v>
      </c>
      <c r="E554" s="97">
        <v>40.24974515</v>
      </c>
      <c r="F554" s="103">
        <v>0.0</v>
      </c>
      <c r="G554" s="95" t="s">
        <v>134</v>
      </c>
      <c r="H554" s="105">
        <v>133.8432701452765</v>
      </c>
      <c r="I554" s="95" t="s">
        <v>134</v>
      </c>
      <c r="J554" s="95">
        <v>0.0</v>
      </c>
      <c r="K554" s="81"/>
    </row>
    <row r="555" ht="13.5" hidden="1" customHeight="1">
      <c r="A555" s="95" t="s">
        <v>81</v>
      </c>
      <c r="B555" s="95" t="s">
        <v>132</v>
      </c>
      <c r="C555" s="95" t="s">
        <v>144</v>
      </c>
      <c r="D555" s="96" t="s">
        <v>139</v>
      </c>
      <c r="E555" s="98">
        <v>0.67903</v>
      </c>
      <c r="F555" s="100">
        <v>0.0</v>
      </c>
      <c r="G555" s="100">
        <v>0.0453</v>
      </c>
      <c r="H555" s="101">
        <v>127.37244740000001</v>
      </c>
      <c r="I555" s="100">
        <v>5.769971867220001</v>
      </c>
      <c r="J555" s="100">
        <v>0.0</v>
      </c>
      <c r="K555" s="81"/>
    </row>
    <row r="556" ht="13.5" hidden="1" customHeight="1">
      <c r="A556" s="95" t="s">
        <v>93</v>
      </c>
      <c r="B556" s="95" t="s">
        <v>132</v>
      </c>
      <c r="C556" s="95" t="s">
        <v>239</v>
      </c>
      <c r="D556" s="96" t="s">
        <v>139</v>
      </c>
      <c r="E556" s="97">
        <v>97.067</v>
      </c>
      <c r="F556" s="103">
        <v>0.0</v>
      </c>
      <c r="G556" s="95">
        <v>0.0048</v>
      </c>
      <c r="H556" s="95">
        <v>119.93453239821099</v>
      </c>
      <c r="I556" s="95">
        <v>0.5756857555114127</v>
      </c>
      <c r="J556" s="95">
        <v>0.0</v>
      </c>
      <c r="K556" s="81"/>
    </row>
    <row r="557" ht="13.5" hidden="1" customHeight="1">
      <c r="A557" s="95" t="s">
        <v>95</v>
      </c>
      <c r="B557" s="95" t="s">
        <v>9</v>
      </c>
      <c r="C557" s="95" t="s">
        <v>187</v>
      </c>
      <c r="D557" s="96" t="s">
        <v>136</v>
      </c>
      <c r="E557" s="97">
        <v>0.003183924</v>
      </c>
      <c r="F557" s="95">
        <v>0.0</v>
      </c>
      <c r="G557" s="95" t="s">
        <v>134</v>
      </c>
      <c r="H557" s="104">
        <v>112.05009321027204</v>
      </c>
      <c r="I557" s="95" t="s">
        <v>134</v>
      </c>
      <c r="J557" s="95">
        <v>0.0</v>
      </c>
      <c r="K557" s="81"/>
    </row>
    <row r="558" ht="13.5" hidden="1" customHeight="1">
      <c r="A558" s="95" t="s">
        <v>115</v>
      </c>
      <c r="B558" s="95" t="s">
        <v>132</v>
      </c>
      <c r="C558" s="95" t="s">
        <v>158</v>
      </c>
      <c r="D558" s="96" t="s">
        <v>139</v>
      </c>
      <c r="E558" s="98">
        <v>92.04084298</v>
      </c>
      <c r="F558" s="100">
        <v>0.0</v>
      </c>
      <c r="G558" s="100">
        <v>0.0</v>
      </c>
      <c r="H558" s="101">
        <v>111.79682537426324</v>
      </c>
      <c r="I558" s="95">
        <v>0.0</v>
      </c>
      <c r="J558" s="100">
        <v>0.0</v>
      </c>
      <c r="K558" s="81"/>
    </row>
    <row r="559" ht="13.5" hidden="1" customHeight="1">
      <c r="A559" s="95" t="s">
        <v>211</v>
      </c>
      <c r="B559" s="95" t="s">
        <v>132</v>
      </c>
      <c r="C559" s="95" t="s">
        <v>144</v>
      </c>
      <c r="D559" s="96" t="s">
        <v>139</v>
      </c>
      <c r="E559" s="98">
        <v>0.9963049322</v>
      </c>
      <c r="F559" s="100">
        <v>0.0</v>
      </c>
      <c r="G559" s="100" t="s">
        <v>134</v>
      </c>
      <c r="H559" s="101">
        <v>103.78557447114818</v>
      </c>
      <c r="I559" s="100" t="s">
        <v>134</v>
      </c>
      <c r="J559" s="100">
        <v>0.0</v>
      </c>
      <c r="K559" s="81"/>
    </row>
    <row r="560" ht="13.5" hidden="1" customHeight="1">
      <c r="A560" s="95" t="s">
        <v>116</v>
      </c>
      <c r="B560" s="95" t="s">
        <v>132</v>
      </c>
      <c r="C560" s="95" t="s">
        <v>245</v>
      </c>
      <c r="D560" s="96" t="s">
        <v>138</v>
      </c>
      <c r="E560" s="98">
        <v>0.70342021</v>
      </c>
      <c r="F560" s="100">
        <v>0.0</v>
      </c>
      <c r="G560" s="100" t="s">
        <v>134</v>
      </c>
      <c r="H560" s="101">
        <v>101.53391477092524</v>
      </c>
      <c r="I560" s="100" t="s">
        <v>134</v>
      </c>
      <c r="J560" s="100">
        <v>0.0</v>
      </c>
      <c r="K560" s="81"/>
    </row>
    <row r="561" ht="13.5" hidden="1" customHeight="1">
      <c r="A561" s="95" t="s">
        <v>58</v>
      </c>
      <c r="B561" s="95" t="s">
        <v>10</v>
      </c>
      <c r="C561" s="95" t="s">
        <v>226</v>
      </c>
      <c r="D561" s="96" t="s">
        <v>138</v>
      </c>
      <c r="E561" s="98">
        <v>30.47805786</v>
      </c>
      <c r="F561" s="100">
        <v>0.002526818828</v>
      </c>
      <c r="G561" s="100" t="s">
        <v>134</v>
      </c>
      <c r="H561" s="101">
        <v>101.34928597577337</v>
      </c>
      <c r="I561" s="100" t="s">
        <v>134</v>
      </c>
      <c r="J561" s="100">
        <v>0.2560912840079405</v>
      </c>
      <c r="K561" s="81"/>
    </row>
    <row r="562" ht="13.5" hidden="1" customHeight="1">
      <c r="A562" s="95" t="s">
        <v>55</v>
      </c>
      <c r="B562" s="95" t="s">
        <v>9</v>
      </c>
      <c r="C562" s="95" t="s">
        <v>274</v>
      </c>
      <c r="D562" s="96" t="s">
        <v>136</v>
      </c>
      <c r="E562" s="98">
        <v>100.0</v>
      </c>
      <c r="F562" s="99">
        <v>0.0</v>
      </c>
      <c r="G562" s="100">
        <v>0.0959</v>
      </c>
      <c r="H562" s="101">
        <v>100.0</v>
      </c>
      <c r="I562" s="100">
        <v>9.59</v>
      </c>
      <c r="J562" s="100">
        <v>0.0</v>
      </c>
      <c r="K562" s="81"/>
    </row>
    <row r="563" ht="13.5" hidden="1" customHeight="1">
      <c r="A563" s="95" t="s">
        <v>74</v>
      </c>
      <c r="B563" s="95" t="s">
        <v>132</v>
      </c>
      <c r="C563" s="95" t="s">
        <v>239</v>
      </c>
      <c r="D563" s="96" t="s">
        <v>139</v>
      </c>
      <c r="E563" s="98">
        <v>86.74</v>
      </c>
      <c r="F563" s="100">
        <v>0.0</v>
      </c>
      <c r="G563" s="95">
        <v>0.0097</v>
      </c>
      <c r="H563" s="101">
        <v>93.55801545926</v>
      </c>
      <c r="I563" s="95">
        <v>0.9075127499548221</v>
      </c>
      <c r="J563" s="100">
        <v>0.0</v>
      </c>
      <c r="K563" s="81"/>
    </row>
    <row r="564" ht="13.5" hidden="1" customHeight="1">
      <c r="A564" s="95" t="s">
        <v>279</v>
      </c>
      <c r="B564" s="95" t="s">
        <v>132</v>
      </c>
      <c r="C564" s="95" t="s">
        <v>158</v>
      </c>
      <c r="D564" s="96" t="s">
        <v>139</v>
      </c>
      <c r="E564" s="98">
        <v>2.592</v>
      </c>
      <c r="F564" s="100">
        <v>0.0</v>
      </c>
      <c r="G564" s="100" t="s">
        <v>134</v>
      </c>
      <c r="H564" s="101">
        <v>79.93728</v>
      </c>
      <c r="I564" s="100" t="s">
        <v>134</v>
      </c>
      <c r="J564" s="100">
        <v>0.0</v>
      </c>
      <c r="K564" s="81"/>
    </row>
    <row r="565" ht="13.5" hidden="1" customHeight="1">
      <c r="A565" s="95" t="s">
        <v>279</v>
      </c>
      <c r="B565" s="95" t="s">
        <v>132</v>
      </c>
      <c r="C565" s="95" t="s">
        <v>239</v>
      </c>
      <c r="D565" s="96" t="s">
        <v>139</v>
      </c>
      <c r="E565" s="98">
        <v>2.443944039</v>
      </c>
      <c r="F565" s="100">
        <v>0.0</v>
      </c>
      <c r="G565" s="95" t="s">
        <v>134</v>
      </c>
      <c r="H565" s="101">
        <v>75.37123416275999</v>
      </c>
      <c r="I565" s="95" t="s">
        <v>134</v>
      </c>
      <c r="J565" s="100">
        <v>0.0</v>
      </c>
      <c r="K565" s="81"/>
    </row>
    <row r="566" ht="13.5" hidden="1" customHeight="1">
      <c r="A566" s="95" t="s">
        <v>74</v>
      </c>
      <c r="B566" s="95" t="s">
        <v>10</v>
      </c>
      <c r="C566" s="95" t="s">
        <v>249</v>
      </c>
      <c r="D566" s="96" t="s">
        <v>136</v>
      </c>
      <c r="E566" s="98">
        <v>66.0</v>
      </c>
      <c r="F566" s="100">
        <v>0.0</v>
      </c>
      <c r="G566" s="100">
        <v>0.0097</v>
      </c>
      <c r="H566" s="101">
        <v>71.18779133400001</v>
      </c>
      <c r="I566" s="100">
        <v>0.6905215759398001</v>
      </c>
      <c r="J566" s="100">
        <v>0.0</v>
      </c>
      <c r="K566" s="81"/>
    </row>
    <row r="567" ht="13.5" hidden="1" customHeight="1">
      <c r="A567" s="95" t="s">
        <v>117</v>
      </c>
      <c r="B567" s="95" t="s">
        <v>9</v>
      </c>
      <c r="C567" s="95" t="s">
        <v>263</v>
      </c>
      <c r="D567" s="96" t="s">
        <v>143</v>
      </c>
      <c r="E567" s="98">
        <v>12.86675658</v>
      </c>
      <c r="F567" s="100">
        <v>0.0</v>
      </c>
      <c r="G567" s="100" t="s">
        <v>134</v>
      </c>
      <c r="H567" s="101">
        <v>69.0944828346</v>
      </c>
      <c r="I567" s="100" t="s">
        <v>134</v>
      </c>
      <c r="J567" s="100">
        <v>0.0</v>
      </c>
      <c r="K567" s="81"/>
    </row>
    <row r="568" ht="13.5" hidden="1" customHeight="1">
      <c r="A568" s="95" t="s">
        <v>68</v>
      </c>
      <c r="B568" s="95" t="s">
        <v>132</v>
      </c>
      <c r="C568" s="95" t="s">
        <v>239</v>
      </c>
      <c r="D568" s="96" t="s">
        <v>139</v>
      </c>
      <c r="E568" s="98">
        <v>251.9499726</v>
      </c>
      <c r="F568" s="100">
        <v>0.0</v>
      </c>
      <c r="G568" s="100">
        <v>0.0091</v>
      </c>
      <c r="H568" s="102">
        <v>68.0584902485202</v>
      </c>
      <c r="I568" s="95">
        <v>0.6193322612615338</v>
      </c>
      <c r="J568" s="100">
        <v>0.0</v>
      </c>
      <c r="K568" s="81"/>
    </row>
    <row r="569" ht="13.5" hidden="1" customHeight="1">
      <c r="A569" s="95" t="s">
        <v>59</v>
      </c>
      <c r="B569" s="95" t="s">
        <v>132</v>
      </c>
      <c r="C569" s="95" t="s">
        <v>158</v>
      </c>
      <c r="D569" s="96" t="s">
        <v>139</v>
      </c>
      <c r="E569" s="97">
        <v>0.9993</v>
      </c>
      <c r="F569" s="95">
        <v>0.0</v>
      </c>
      <c r="G569" s="95" t="s">
        <v>134</v>
      </c>
      <c r="H569" s="105">
        <v>39.490953238611</v>
      </c>
      <c r="I569" s="95" t="s">
        <v>134</v>
      </c>
      <c r="J569" s="95">
        <v>0.0</v>
      </c>
      <c r="K569" s="81"/>
    </row>
    <row r="570" ht="13.5" hidden="1" customHeight="1">
      <c r="A570" s="95" t="s">
        <v>81</v>
      </c>
      <c r="B570" s="95" t="s">
        <v>132</v>
      </c>
      <c r="C570" s="95" t="s">
        <v>169</v>
      </c>
      <c r="D570" s="96" t="s">
        <v>143</v>
      </c>
      <c r="E570" s="98">
        <v>0.20155175</v>
      </c>
      <c r="F570" s="100">
        <v>0.0</v>
      </c>
      <c r="G570" s="95">
        <v>0.0453</v>
      </c>
      <c r="H570" s="102">
        <v>37.807077265000004</v>
      </c>
      <c r="I570" s="95">
        <v>1.7126606001045002</v>
      </c>
      <c r="J570" s="100">
        <v>0.0</v>
      </c>
      <c r="K570" s="81"/>
    </row>
    <row r="571" ht="13.5" hidden="1" customHeight="1">
      <c r="A571" s="95" t="s">
        <v>114</v>
      </c>
      <c r="B571" s="95" t="s">
        <v>9</v>
      </c>
      <c r="C571" s="95" t="s">
        <v>199</v>
      </c>
      <c r="D571" s="96" t="s">
        <v>138</v>
      </c>
      <c r="E571" s="98">
        <v>91.89906637</v>
      </c>
      <c r="F571" s="100">
        <v>0.0</v>
      </c>
      <c r="G571" s="100" t="s">
        <v>134</v>
      </c>
      <c r="H571" s="100">
        <v>37.540059620037866</v>
      </c>
      <c r="I571" s="100" t="s">
        <v>134</v>
      </c>
      <c r="J571" s="100">
        <v>0.0</v>
      </c>
      <c r="K571" s="81"/>
    </row>
    <row r="572" ht="13.5" hidden="1" customHeight="1">
      <c r="A572" s="95" t="s">
        <v>211</v>
      </c>
      <c r="B572" s="95" t="s">
        <v>9</v>
      </c>
      <c r="C572" s="95" t="s">
        <v>172</v>
      </c>
      <c r="D572" s="96" t="s">
        <v>138</v>
      </c>
      <c r="E572" s="98">
        <v>0.3085502107</v>
      </c>
      <c r="F572" s="100">
        <v>0.0</v>
      </c>
      <c r="G572" s="100" t="s">
        <v>134</v>
      </c>
      <c r="H572" s="101">
        <v>32.14182710104756</v>
      </c>
      <c r="I572" s="100" t="s">
        <v>134</v>
      </c>
      <c r="J572" s="100">
        <v>0.0</v>
      </c>
      <c r="K572" s="81"/>
    </row>
    <row r="573" ht="13.5" hidden="1" customHeight="1">
      <c r="A573" s="95" t="s">
        <v>241</v>
      </c>
      <c r="B573" s="95" t="s">
        <v>132</v>
      </c>
      <c r="C573" s="95" t="s">
        <v>144</v>
      </c>
      <c r="D573" s="96" t="s">
        <v>139</v>
      </c>
      <c r="E573" s="97">
        <v>7.90205</v>
      </c>
      <c r="F573" s="103">
        <v>0.0</v>
      </c>
      <c r="G573" s="95" t="s">
        <v>134</v>
      </c>
      <c r="H573" s="104">
        <v>31.872597496177747</v>
      </c>
      <c r="I573" s="95" t="s">
        <v>134</v>
      </c>
      <c r="J573" s="95">
        <v>0.0</v>
      </c>
      <c r="K573" s="81"/>
    </row>
    <row r="574" ht="13.5" hidden="1" customHeight="1">
      <c r="A574" s="95" t="s">
        <v>112</v>
      </c>
      <c r="B574" s="95" t="s">
        <v>9</v>
      </c>
      <c r="C574" s="95" t="s">
        <v>168</v>
      </c>
      <c r="D574" s="96" t="s">
        <v>136</v>
      </c>
      <c r="E574" s="98">
        <v>30.59694306</v>
      </c>
      <c r="F574" s="100">
        <v>0.0</v>
      </c>
      <c r="G574" s="100" t="s">
        <v>134</v>
      </c>
      <c r="H574" s="101">
        <v>27.80272138031495</v>
      </c>
      <c r="I574" s="100" t="s">
        <v>134</v>
      </c>
      <c r="J574" s="100">
        <v>0.0</v>
      </c>
      <c r="K574" s="81"/>
    </row>
    <row r="575" ht="13.5" hidden="1" customHeight="1">
      <c r="A575" s="95" t="s">
        <v>211</v>
      </c>
      <c r="B575" s="95" t="s">
        <v>9</v>
      </c>
      <c r="C575" s="95" t="s">
        <v>187</v>
      </c>
      <c r="D575" s="96" t="s">
        <v>136</v>
      </c>
      <c r="E575" s="98">
        <v>0.1817412105</v>
      </c>
      <c r="F575" s="100">
        <v>0.0</v>
      </c>
      <c r="G575" s="100" t="s">
        <v>134</v>
      </c>
      <c r="H575" s="102">
        <v>18.93207122358996</v>
      </c>
      <c r="I575" s="100" t="s">
        <v>134</v>
      </c>
      <c r="J575" s="100">
        <v>0.0</v>
      </c>
      <c r="K575" s="81"/>
    </row>
    <row r="576" ht="13.5" hidden="1" customHeight="1">
      <c r="A576" s="95" t="s">
        <v>62</v>
      </c>
      <c r="B576" s="95" t="s">
        <v>10</v>
      </c>
      <c r="C576" s="95" t="s">
        <v>222</v>
      </c>
      <c r="D576" s="96" t="s">
        <v>138</v>
      </c>
      <c r="E576" s="98">
        <v>20.98311482</v>
      </c>
      <c r="F576" s="100">
        <v>0.0</v>
      </c>
      <c r="G576" s="100">
        <v>0.0127</v>
      </c>
      <c r="H576" s="106">
        <v>18.182570612333482</v>
      </c>
      <c r="I576" s="100">
        <v>0.2309186467766352</v>
      </c>
      <c r="J576" s="100">
        <v>0.0</v>
      </c>
      <c r="K576" s="81"/>
    </row>
    <row r="577" ht="13.5" hidden="1" customHeight="1">
      <c r="A577" s="95" t="s">
        <v>73</v>
      </c>
      <c r="B577" s="95" t="s">
        <v>132</v>
      </c>
      <c r="C577" s="95" t="s">
        <v>239</v>
      </c>
      <c r="D577" s="96" t="s">
        <v>139</v>
      </c>
      <c r="E577" s="98">
        <v>4.8796</v>
      </c>
      <c r="F577" s="100">
        <v>0.0</v>
      </c>
      <c r="G577" s="100">
        <v>0.0288</v>
      </c>
      <c r="H577" s="101">
        <v>15.735706646888799</v>
      </c>
      <c r="I577" s="100">
        <v>0.4531883514303974</v>
      </c>
      <c r="J577" s="100">
        <v>0.0</v>
      </c>
      <c r="K577" s="81"/>
    </row>
    <row r="578" ht="13.5" hidden="1" customHeight="1">
      <c r="A578" s="95" t="s">
        <v>69</v>
      </c>
      <c r="B578" s="95" t="s">
        <v>7</v>
      </c>
      <c r="C578" s="95" t="s">
        <v>140</v>
      </c>
      <c r="D578" s="96" t="s">
        <v>136</v>
      </c>
      <c r="E578" s="98">
        <v>0.9642653094</v>
      </c>
      <c r="F578" s="100">
        <v>4.0E-4</v>
      </c>
      <c r="G578" s="100">
        <v>0.0</v>
      </c>
      <c r="H578" s="102">
        <v>13.924206696744488</v>
      </c>
      <c r="I578" s="100">
        <v>0.0</v>
      </c>
      <c r="J578" s="100">
        <v>0.005569682678697795</v>
      </c>
      <c r="K578" s="81"/>
    </row>
    <row r="579" ht="13.5" hidden="1" customHeight="1">
      <c r="A579" s="95" t="s">
        <v>244</v>
      </c>
      <c r="B579" s="95" t="s">
        <v>9</v>
      </c>
      <c r="C579" s="95" t="s">
        <v>185</v>
      </c>
      <c r="D579" s="96" t="s">
        <v>136</v>
      </c>
      <c r="E579" s="98">
        <v>82.14501761</v>
      </c>
      <c r="F579" s="100">
        <v>0.0</v>
      </c>
      <c r="G579" s="95" t="s">
        <v>134</v>
      </c>
      <c r="H579" s="106">
        <v>11.997690547028549</v>
      </c>
      <c r="I579" s="95" t="s">
        <v>134</v>
      </c>
      <c r="J579" s="100">
        <v>0.0</v>
      </c>
      <c r="K579" s="81"/>
    </row>
    <row r="580" ht="13.5" hidden="1" customHeight="1">
      <c r="A580" s="95" t="s">
        <v>211</v>
      </c>
      <c r="B580" s="95" t="s">
        <v>134</v>
      </c>
      <c r="C580" s="95" t="s">
        <v>273</v>
      </c>
      <c r="D580" s="95" t="s">
        <v>156</v>
      </c>
      <c r="E580" s="98">
        <v>0.1</v>
      </c>
      <c r="F580" s="100" t="s">
        <v>134</v>
      </c>
      <c r="G580" s="100" t="s">
        <v>134</v>
      </c>
      <c r="H580" s="100">
        <v>10.41704915</v>
      </c>
      <c r="I580" s="100" t="s">
        <v>134</v>
      </c>
      <c r="J580" s="100" t="s">
        <v>134</v>
      </c>
      <c r="K580" s="81"/>
    </row>
    <row r="581" ht="13.5" hidden="1" customHeight="1">
      <c r="A581" s="95" t="s">
        <v>109</v>
      </c>
      <c r="B581" s="95" t="s">
        <v>9</v>
      </c>
      <c r="C581" s="95" t="s">
        <v>168</v>
      </c>
      <c r="D581" s="96" t="s">
        <v>136</v>
      </c>
      <c r="E581" s="97">
        <v>0.003721412321</v>
      </c>
      <c r="F581" s="95">
        <v>0.0</v>
      </c>
      <c r="G581" s="100" t="s">
        <v>134</v>
      </c>
      <c r="H581" s="104">
        <v>8.538706570250497</v>
      </c>
      <c r="I581" s="100" t="s">
        <v>134</v>
      </c>
      <c r="J581" s="95">
        <v>0.0</v>
      </c>
      <c r="K581" s="81"/>
    </row>
    <row r="582" ht="13.5" hidden="1" customHeight="1">
      <c r="A582" s="95" t="s">
        <v>55</v>
      </c>
      <c r="B582" s="95" t="s">
        <v>9</v>
      </c>
      <c r="C582" s="95" t="s">
        <v>247</v>
      </c>
      <c r="D582" s="96" t="s">
        <v>143</v>
      </c>
      <c r="E582" s="98">
        <v>8.252240819</v>
      </c>
      <c r="F582" s="100">
        <v>0.0945</v>
      </c>
      <c r="G582" s="100">
        <v>0.0959</v>
      </c>
      <c r="H582" s="100">
        <v>8.252240819</v>
      </c>
      <c r="I582" s="100">
        <v>0.7913898945421001</v>
      </c>
      <c r="J582" s="100">
        <v>0.7798367573955001</v>
      </c>
      <c r="K582" s="81"/>
    </row>
    <row r="583" ht="13.5" hidden="1" customHeight="1">
      <c r="A583" s="95" t="s">
        <v>83</v>
      </c>
      <c r="B583" s="95" t="s">
        <v>190</v>
      </c>
      <c r="C583" s="95" t="s">
        <v>197</v>
      </c>
      <c r="D583" s="96" t="s">
        <v>143</v>
      </c>
      <c r="E583" s="98">
        <v>0.230273057</v>
      </c>
      <c r="F583" s="100">
        <v>0.0</v>
      </c>
      <c r="G583" s="95" t="s">
        <v>134</v>
      </c>
      <c r="H583" s="107">
        <v>6.97957635767</v>
      </c>
      <c r="I583" s="95" t="s">
        <v>134</v>
      </c>
      <c r="J583" s="100">
        <v>0.0</v>
      </c>
      <c r="K583" s="81"/>
    </row>
    <row r="584" ht="13.5" hidden="1" customHeight="1">
      <c r="A584" s="95" t="s">
        <v>58</v>
      </c>
      <c r="B584" s="95" t="s">
        <v>132</v>
      </c>
      <c r="C584" s="95" t="s">
        <v>195</v>
      </c>
      <c r="D584" s="96" t="s">
        <v>143</v>
      </c>
      <c r="E584" s="98">
        <v>2.0712209</v>
      </c>
      <c r="F584" s="100">
        <v>0.0</v>
      </c>
      <c r="G584" s="100" t="s">
        <v>134</v>
      </c>
      <c r="H584" s="100">
        <v>6.887471645251963</v>
      </c>
      <c r="I584" s="100" t="s">
        <v>134</v>
      </c>
      <c r="J584" s="100">
        <v>0.0</v>
      </c>
      <c r="K584" s="81"/>
    </row>
    <row r="585" ht="13.5" hidden="1" customHeight="1">
      <c r="A585" s="95" t="s">
        <v>211</v>
      </c>
      <c r="B585" s="95" t="s">
        <v>134</v>
      </c>
      <c r="C585" s="95" t="s">
        <v>204</v>
      </c>
      <c r="D585" s="95" t="s">
        <v>156</v>
      </c>
      <c r="E585" s="98">
        <v>0.06225085</v>
      </c>
      <c r="F585" s="100" t="s">
        <v>134</v>
      </c>
      <c r="G585" s="100" t="s">
        <v>134</v>
      </c>
      <c r="H585" s="102">
        <v>6.484701640792776</v>
      </c>
      <c r="I585" s="100" t="s">
        <v>134</v>
      </c>
      <c r="J585" s="100" t="s">
        <v>134</v>
      </c>
      <c r="K585" s="81"/>
    </row>
    <row r="586" ht="13.5" hidden="1" customHeight="1">
      <c r="A586" s="95" t="s">
        <v>88</v>
      </c>
      <c r="B586" s="95" t="s">
        <v>132</v>
      </c>
      <c r="C586" s="95" t="s">
        <v>169</v>
      </c>
      <c r="D586" s="96" t="s">
        <v>143</v>
      </c>
      <c r="E586" s="97">
        <v>1.43572791</v>
      </c>
      <c r="F586" s="95">
        <v>0.0</v>
      </c>
      <c r="G586" s="95" t="s">
        <v>134</v>
      </c>
      <c r="H586" s="104">
        <v>5.73104451753739</v>
      </c>
      <c r="I586" s="95" t="s">
        <v>134</v>
      </c>
      <c r="J586" s="95">
        <v>0.0</v>
      </c>
      <c r="K586" s="81"/>
    </row>
    <row r="587" ht="13.5" hidden="1" customHeight="1">
      <c r="A587" s="95" t="s">
        <v>79</v>
      </c>
      <c r="B587" s="95" t="s">
        <v>132</v>
      </c>
      <c r="C587" s="95" t="s">
        <v>245</v>
      </c>
      <c r="D587" s="96" t="s">
        <v>138</v>
      </c>
      <c r="E587" s="97">
        <v>1.55739019</v>
      </c>
      <c r="F587" s="95">
        <v>0.0</v>
      </c>
      <c r="G587" s="95">
        <v>0.0595</v>
      </c>
      <c r="H587" s="107">
        <v>4.930649848926156</v>
      </c>
      <c r="I587" s="95">
        <v>0.29337366601110626</v>
      </c>
      <c r="J587" s="95">
        <v>0.0</v>
      </c>
      <c r="K587" s="81"/>
    </row>
    <row r="588" ht="13.5" hidden="1" customHeight="1">
      <c r="A588" s="95" t="s">
        <v>54</v>
      </c>
      <c r="B588" s="95" t="s">
        <v>190</v>
      </c>
      <c r="C588" s="95" t="s">
        <v>280</v>
      </c>
      <c r="D588" s="96" t="s">
        <v>143</v>
      </c>
      <c r="E588" s="97">
        <v>0.001185964023</v>
      </c>
      <c r="F588" s="95">
        <v>0.0</v>
      </c>
      <c r="G588" s="95">
        <v>0.0384</v>
      </c>
      <c r="H588" s="95">
        <v>4.529997760485386</v>
      </c>
      <c r="I588" s="95">
        <v>0.1739519140026388</v>
      </c>
      <c r="J588" s="95">
        <v>0.0</v>
      </c>
      <c r="K588" s="81"/>
    </row>
    <row r="589" ht="13.5" hidden="1" customHeight="1">
      <c r="A589" s="95" t="s">
        <v>54</v>
      </c>
      <c r="B589" s="95" t="s">
        <v>9</v>
      </c>
      <c r="C589" s="95" t="s">
        <v>281</v>
      </c>
      <c r="D589" s="96" t="s">
        <v>143</v>
      </c>
      <c r="E589" s="97">
        <v>0.001140596191</v>
      </c>
      <c r="F589" s="95">
        <v>0.0</v>
      </c>
      <c r="G589" s="95">
        <v>0.0384</v>
      </c>
      <c r="H589" s="105">
        <v>4.356707362655098</v>
      </c>
      <c r="I589" s="95">
        <v>0.16729756272595575</v>
      </c>
      <c r="J589" s="95">
        <v>0.0</v>
      </c>
      <c r="K589" s="81"/>
    </row>
    <row r="590" ht="13.5" hidden="1" customHeight="1">
      <c r="A590" s="95" t="s">
        <v>88</v>
      </c>
      <c r="B590" s="95" t="s">
        <v>190</v>
      </c>
      <c r="C590" s="95" t="s">
        <v>197</v>
      </c>
      <c r="D590" s="96" t="s">
        <v>143</v>
      </c>
      <c r="E590" s="97">
        <v>1.086438662</v>
      </c>
      <c r="F590" s="95">
        <v>0.0</v>
      </c>
      <c r="G590" s="95" t="s">
        <v>134</v>
      </c>
      <c r="H590" s="105">
        <v>4.336774603410585</v>
      </c>
      <c r="I590" s="95" t="s">
        <v>134</v>
      </c>
      <c r="J590" s="95">
        <v>0.0</v>
      </c>
      <c r="K590" s="81"/>
    </row>
    <row r="591" ht="13.5" hidden="1" customHeight="1">
      <c r="A591" s="95" t="s">
        <v>54</v>
      </c>
      <c r="B591" s="95" t="s">
        <v>9</v>
      </c>
      <c r="C591" s="95" t="s">
        <v>282</v>
      </c>
      <c r="D591" s="96" t="s">
        <v>176</v>
      </c>
      <c r="E591" s="97">
        <v>0.001042798011</v>
      </c>
      <c r="F591" s="95">
        <v>0.0</v>
      </c>
      <c r="G591" s="95">
        <v>0.0384</v>
      </c>
      <c r="H591" s="95">
        <v>3.983150047434967</v>
      </c>
      <c r="I591" s="95">
        <v>0.15295296182150273</v>
      </c>
      <c r="J591" s="95">
        <v>0.0</v>
      </c>
      <c r="K591" s="81"/>
    </row>
    <row r="592" ht="13.5" hidden="1" customHeight="1">
      <c r="A592" s="95" t="s">
        <v>54</v>
      </c>
      <c r="B592" s="95" t="s">
        <v>134</v>
      </c>
      <c r="C592" s="95" t="s">
        <v>283</v>
      </c>
      <c r="D592" s="95" t="s">
        <v>156</v>
      </c>
      <c r="E592" s="97">
        <v>0.001016070629</v>
      </c>
      <c r="F592" s="95" t="s">
        <v>134</v>
      </c>
      <c r="G592" s="95">
        <v>0.0384</v>
      </c>
      <c r="H592" s="95">
        <v>3.88106012037515</v>
      </c>
      <c r="I592" s="95">
        <v>0.14903270862240575</v>
      </c>
      <c r="J592" s="95" t="s">
        <v>134</v>
      </c>
      <c r="K592" s="81"/>
    </row>
    <row r="593" ht="13.5" hidden="1" customHeight="1">
      <c r="A593" s="95" t="s">
        <v>113</v>
      </c>
      <c r="B593" s="95" t="s">
        <v>132</v>
      </c>
      <c r="C593" s="95" t="s">
        <v>158</v>
      </c>
      <c r="D593" s="96" t="s">
        <v>139</v>
      </c>
      <c r="E593" s="97">
        <v>0.24452292</v>
      </c>
      <c r="F593" s="95">
        <v>0.0</v>
      </c>
      <c r="G593" s="95" t="s">
        <v>134</v>
      </c>
      <c r="H593" s="104">
        <v>3.6825151752000003</v>
      </c>
      <c r="I593" s="95" t="s">
        <v>134</v>
      </c>
      <c r="J593" s="95">
        <v>0.0</v>
      </c>
      <c r="K593" s="81"/>
    </row>
    <row r="594" ht="13.5" hidden="1" customHeight="1">
      <c r="A594" s="95" t="s">
        <v>58</v>
      </c>
      <c r="B594" s="95" t="s">
        <v>132</v>
      </c>
      <c r="C594" s="95" t="s">
        <v>144</v>
      </c>
      <c r="D594" s="96" t="s">
        <v>139</v>
      </c>
      <c r="E594" s="97">
        <v>1.0</v>
      </c>
      <c r="F594" s="95">
        <v>0.0</v>
      </c>
      <c r="G594" s="95" t="s">
        <v>134</v>
      </c>
      <c r="H594" s="95">
        <v>3.325319692</v>
      </c>
      <c r="I594" s="95" t="s">
        <v>134</v>
      </c>
      <c r="J594" s="95">
        <v>0.0</v>
      </c>
      <c r="K594" s="81"/>
    </row>
    <row r="595" ht="13.5" hidden="1" customHeight="1">
      <c r="A595" s="95" t="s">
        <v>279</v>
      </c>
      <c r="B595" s="95" t="s">
        <v>132</v>
      </c>
      <c r="C595" s="95" t="s">
        <v>245</v>
      </c>
      <c r="D595" s="96" t="s">
        <v>138</v>
      </c>
      <c r="E595" s="97">
        <v>0.10383514</v>
      </c>
      <c r="F595" s="95">
        <v>0.0</v>
      </c>
      <c r="G595" s="95" t="s">
        <v>134</v>
      </c>
      <c r="H595" s="105">
        <v>3.2022757176</v>
      </c>
      <c r="I595" s="95" t="s">
        <v>134</v>
      </c>
      <c r="J595" s="95">
        <v>0.0</v>
      </c>
      <c r="K595" s="81"/>
    </row>
    <row r="596" ht="13.5" hidden="1" customHeight="1">
      <c r="A596" s="95" t="s">
        <v>105</v>
      </c>
      <c r="B596" s="95" t="s">
        <v>9</v>
      </c>
      <c r="C596" s="95" t="s">
        <v>201</v>
      </c>
      <c r="D596" s="96" t="s">
        <v>143</v>
      </c>
      <c r="E596" s="97">
        <v>0.836963599</v>
      </c>
      <c r="F596" s="95">
        <v>0.0</v>
      </c>
      <c r="G596" s="95" t="s">
        <v>134</v>
      </c>
      <c r="H596" s="105">
        <v>2.90426368853</v>
      </c>
      <c r="I596" s="95" t="s">
        <v>134</v>
      </c>
      <c r="J596" s="95">
        <v>0.0</v>
      </c>
      <c r="K596" s="81"/>
    </row>
    <row r="597" ht="13.5" hidden="1" customHeight="1">
      <c r="A597" s="95" t="s">
        <v>103</v>
      </c>
      <c r="B597" s="95" t="s">
        <v>7</v>
      </c>
      <c r="C597" s="95" t="s">
        <v>140</v>
      </c>
      <c r="D597" s="96" t="s">
        <v>136</v>
      </c>
      <c r="E597" s="97">
        <v>0.1535271229</v>
      </c>
      <c r="F597" s="95">
        <v>0.0</v>
      </c>
      <c r="G597" s="95">
        <v>0.0</v>
      </c>
      <c r="H597" s="104">
        <v>2.7111528103207165</v>
      </c>
      <c r="I597" s="95">
        <v>0.0</v>
      </c>
      <c r="J597" s="95">
        <v>0.0</v>
      </c>
      <c r="K597" s="81"/>
    </row>
    <row r="598" ht="13.5" hidden="1" customHeight="1">
      <c r="A598" s="95" t="s">
        <v>284</v>
      </c>
      <c r="B598" s="95" t="s">
        <v>190</v>
      </c>
      <c r="C598" s="95" t="s">
        <v>197</v>
      </c>
      <c r="D598" s="96" t="s">
        <v>143</v>
      </c>
      <c r="E598" s="97">
        <v>0.01369194501</v>
      </c>
      <c r="F598" s="95">
        <v>0.0</v>
      </c>
      <c r="G598" s="95" t="s">
        <v>134</v>
      </c>
      <c r="H598" s="104">
        <v>2.4689315242032</v>
      </c>
      <c r="I598" s="95" t="s">
        <v>134</v>
      </c>
      <c r="J598" s="95">
        <v>0.0</v>
      </c>
      <c r="K598" s="81"/>
    </row>
    <row r="599" ht="13.5" hidden="1" customHeight="1">
      <c r="A599" s="95" t="s">
        <v>70</v>
      </c>
      <c r="B599" s="95" t="s">
        <v>132</v>
      </c>
      <c r="C599" s="95" t="s">
        <v>169</v>
      </c>
      <c r="D599" s="96" t="s">
        <v>143</v>
      </c>
      <c r="E599" s="97">
        <v>0.0134</v>
      </c>
      <c r="F599" s="95">
        <v>0.0</v>
      </c>
      <c r="G599" s="95">
        <v>0.0385</v>
      </c>
      <c r="H599" s="104">
        <v>2.32039539704</v>
      </c>
      <c r="I599" s="95">
        <v>0.08933522278604</v>
      </c>
      <c r="J599" s="95">
        <v>0.0</v>
      </c>
      <c r="K599" s="81"/>
    </row>
    <row r="600" ht="13.5" hidden="1" customHeight="1">
      <c r="A600" s="95" t="s">
        <v>57</v>
      </c>
      <c r="B600" s="95" t="s">
        <v>14</v>
      </c>
      <c r="C600" s="95" t="s">
        <v>167</v>
      </c>
      <c r="D600" s="96" t="s">
        <v>139</v>
      </c>
      <c r="E600" s="97">
        <v>1.0</v>
      </c>
      <c r="F600" s="95">
        <v>0.0</v>
      </c>
      <c r="G600" s="95">
        <v>0.0818</v>
      </c>
      <c r="H600" s="105">
        <v>2.097607594</v>
      </c>
      <c r="I600" s="95">
        <v>0.17158430118919998</v>
      </c>
      <c r="J600" s="95">
        <v>0.0</v>
      </c>
      <c r="K600" s="81"/>
    </row>
    <row r="601" ht="13.5" hidden="1" customHeight="1">
      <c r="A601" s="95" t="s">
        <v>244</v>
      </c>
      <c r="B601" s="95" t="s">
        <v>9</v>
      </c>
      <c r="C601" s="95" t="s">
        <v>187</v>
      </c>
      <c r="D601" s="96" t="s">
        <v>136</v>
      </c>
      <c r="E601" s="97">
        <v>14.10789104</v>
      </c>
      <c r="F601" s="103">
        <v>0.0</v>
      </c>
      <c r="G601" s="95" t="s">
        <v>134</v>
      </c>
      <c r="H601" s="105">
        <v>2.0605280258472</v>
      </c>
      <c r="I601" s="95" t="s">
        <v>134</v>
      </c>
      <c r="J601" s="95">
        <v>0.0</v>
      </c>
      <c r="K601" s="81"/>
    </row>
    <row r="602" ht="13.5" hidden="1" customHeight="1">
      <c r="A602" s="95" t="s">
        <v>109</v>
      </c>
      <c r="B602" s="95" t="s">
        <v>9</v>
      </c>
      <c r="C602" s="95" t="s">
        <v>187</v>
      </c>
      <c r="D602" s="96" t="s">
        <v>136</v>
      </c>
      <c r="E602" s="97">
        <v>8.031599959E-4</v>
      </c>
      <c r="F602" s="95">
        <v>0.0</v>
      </c>
      <c r="G602" s="95" t="s">
        <v>134</v>
      </c>
      <c r="H602" s="104">
        <v>1.8428346397560313</v>
      </c>
      <c r="I602" s="95" t="s">
        <v>134</v>
      </c>
      <c r="J602" s="95">
        <v>0.0</v>
      </c>
      <c r="K602" s="81"/>
    </row>
    <row r="603" ht="13.5" hidden="1" customHeight="1">
      <c r="A603" s="95" t="s">
        <v>57</v>
      </c>
      <c r="B603" s="95" t="s">
        <v>9</v>
      </c>
      <c r="C603" s="95" t="s">
        <v>282</v>
      </c>
      <c r="D603" s="96" t="s">
        <v>176</v>
      </c>
      <c r="E603" s="97">
        <v>0.7729161446</v>
      </c>
      <c r="F603" s="95">
        <v>0.0</v>
      </c>
      <c r="G603" s="100">
        <v>0.0818</v>
      </c>
      <c r="H603" s="104">
        <v>1.621274774438162</v>
      </c>
      <c r="I603" s="95">
        <v>0.13262027654904165</v>
      </c>
      <c r="J603" s="95">
        <v>0.0</v>
      </c>
      <c r="K603" s="81"/>
    </row>
    <row r="604" ht="13.5" hidden="1" customHeight="1">
      <c r="A604" s="95" t="s">
        <v>211</v>
      </c>
      <c r="B604" s="95" t="s">
        <v>9</v>
      </c>
      <c r="C604" s="95" t="s">
        <v>240</v>
      </c>
      <c r="D604" s="96" t="s">
        <v>143</v>
      </c>
      <c r="E604" s="97">
        <v>0.01</v>
      </c>
      <c r="F604" s="95">
        <v>0.0</v>
      </c>
      <c r="G604" s="95" t="s">
        <v>134</v>
      </c>
      <c r="H604" s="104">
        <v>1.041704915</v>
      </c>
      <c r="I604" s="95" t="s">
        <v>134</v>
      </c>
      <c r="J604" s="95">
        <v>0.0</v>
      </c>
      <c r="K604" s="81"/>
    </row>
    <row r="605" ht="13.5" hidden="1" customHeight="1">
      <c r="A605" s="95" t="s">
        <v>54</v>
      </c>
      <c r="B605" s="95" t="s">
        <v>9</v>
      </c>
      <c r="C605" s="95" t="s">
        <v>172</v>
      </c>
      <c r="D605" s="96" t="s">
        <v>138</v>
      </c>
      <c r="E605" s="97">
        <v>2.396460778E-4</v>
      </c>
      <c r="F605" s="95">
        <v>0.0176</v>
      </c>
      <c r="G605" s="95">
        <v>0.0384</v>
      </c>
      <c r="H605" s="104">
        <v>0.9153702597124284</v>
      </c>
      <c r="I605" s="95">
        <v>0.03515021797295725</v>
      </c>
      <c r="J605" s="95">
        <v>0.01611051657093874</v>
      </c>
      <c r="K605" s="81"/>
    </row>
    <row r="606" ht="13.5" hidden="1" customHeight="1">
      <c r="A606" s="95" t="s">
        <v>73</v>
      </c>
      <c r="B606" s="95" t="s">
        <v>132</v>
      </c>
      <c r="C606" s="95" t="s">
        <v>166</v>
      </c>
      <c r="D606" s="96" t="s">
        <v>139</v>
      </c>
      <c r="E606" s="97">
        <v>0.2012</v>
      </c>
      <c r="F606" s="103">
        <v>0.0</v>
      </c>
      <c r="G606" s="95">
        <v>0.0288</v>
      </c>
      <c r="H606" s="104">
        <v>0.6488286288535999</v>
      </c>
      <c r="I606" s="95">
        <v>0.018686264510983677</v>
      </c>
      <c r="J606" s="108">
        <v>0.0</v>
      </c>
      <c r="K606" s="81"/>
    </row>
    <row r="607" ht="13.5" hidden="1" customHeight="1">
      <c r="A607" s="95" t="s">
        <v>88</v>
      </c>
      <c r="B607" s="95" t="s">
        <v>132</v>
      </c>
      <c r="C607" s="95" t="s">
        <v>245</v>
      </c>
      <c r="D607" s="96" t="s">
        <v>138</v>
      </c>
      <c r="E607" s="97">
        <v>0.13262722</v>
      </c>
      <c r="F607" s="95">
        <v>0.0</v>
      </c>
      <c r="G607" s="95" t="s">
        <v>134</v>
      </c>
      <c r="H607" s="104">
        <v>0.5294126392355396</v>
      </c>
      <c r="I607" s="95" t="s">
        <v>134</v>
      </c>
      <c r="J607" s="95">
        <v>0.0</v>
      </c>
      <c r="K607" s="81"/>
    </row>
    <row r="608" ht="13.5" hidden="1" customHeight="1">
      <c r="A608" s="95" t="s">
        <v>101</v>
      </c>
      <c r="B608" s="95" t="s">
        <v>132</v>
      </c>
      <c r="C608" s="95" t="s">
        <v>245</v>
      </c>
      <c r="D608" s="96" t="s">
        <v>138</v>
      </c>
      <c r="E608" s="97">
        <v>0.75136751</v>
      </c>
      <c r="F608" s="95">
        <v>0.0</v>
      </c>
      <c r="G608" s="95" t="s">
        <v>134</v>
      </c>
      <c r="H608" s="104">
        <v>0.501793993029996</v>
      </c>
      <c r="I608" s="95" t="s">
        <v>134</v>
      </c>
      <c r="J608" s="95">
        <v>0.0</v>
      </c>
      <c r="K608" s="81"/>
    </row>
    <row r="609" ht="13.5" hidden="1" customHeight="1">
      <c r="A609" s="95" t="s">
        <v>55</v>
      </c>
      <c r="B609" s="95" t="s">
        <v>9</v>
      </c>
      <c r="C609" s="95" t="s">
        <v>262</v>
      </c>
      <c r="D609" s="96" t="s">
        <v>143</v>
      </c>
      <c r="E609" s="97">
        <v>0.493151</v>
      </c>
      <c r="F609" s="95">
        <v>0.0</v>
      </c>
      <c r="G609" s="95">
        <v>0.0959</v>
      </c>
      <c r="H609" s="104">
        <v>0.493151</v>
      </c>
      <c r="I609" s="95">
        <v>0.0472931809</v>
      </c>
      <c r="J609" s="95">
        <v>0.0</v>
      </c>
      <c r="K609" s="81"/>
    </row>
    <row r="610" ht="13.5" hidden="1" customHeight="1">
      <c r="A610" s="95" t="s">
        <v>103</v>
      </c>
      <c r="B610" s="95" t="s">
        <v>9</v>
      </c>
      <c r="C610" s="95" t="s">
        <v>187</v>
      </c>
      <c r="D610" s="96" t="s">
        <v>136</v>
      </c>
      <c r="E610" s="97">
        <v>0.02304466604</v>
      </c>
      <c r="F610" s="95">
        <v>0.0</v>
      </c>
      <c r="G610" s="95" t="s">
        <v>134</v>
      </c>
      <c r="H610" s="104">
        <v>0.4069483614171759</v>
      </c>
      <c r="I610" s="95" t="s">
        <v>134</v>
      </c>
      <c r="J610" s="95">
        <v>0.0</v>
      </c>
      <c r="K610" s="81"/>
    </row>
    <row r="611" ht="13.5" hidden="1" customHeight="1">
      <c r="A611" s="95" t="s">
        <v>67</v>
      </c>
      <c r="B611" s="95" t="s">
        <v>132</v>
      </c>
      <c r="C611" s="95" t="s">
        <v>245</v>
      </c>
      <c r="D611" s="96" t="s">
        <v>138</v>
      </c>
      <c r="E611" s="97">
        <v>0.04395388</v>
      </c>
      <c r="F611" s="95">
        <v>0.0</v>
      </c>
      <c r="G611" s="95">
        <v>0.1339</v>
      </c>
      <c r="H611" s="104">
        <v>0.21801901505481414</v>
      </c>
      <c r="I611" s="95">
        <v>0.02919274611583961</v>
      </c>
      <c r="J611" s="95">
        <v>0.0</v>
      </c>
      <c r="K611" s="81"/>
    </row>
    <row r="612" ht="13.5" hidden="1" customHeight="1">
      <c r="A612" s="95" t="s">
        <v>235</v>
      </c>
      <c r="B612" s="95" t="s">
        <v>132</v>
      </c>
      <c r="C612" s="95" t="s">
        <v>184</v>
      </c>
      <c r="D612" s="96" t="s">
        <v>138</v>
      </c>
      <c r="E612" s="97">
        <v>0.05511249</v>
      </c>
      <c r="F612" s="95">
        <v>0.0</v>
      </c>
      <c r="G612" s="95" t="s">
        <v>134</v>
      </c>
      <c r="H612" s="104">
        <v>0.1658885949</v>
      </c>
      <c r="I612" s="95" t="s">
        <v>134</v>
      </c>
      <c r="J612" s="95">
        <v>0.0</v>
      </c>
      <c r="K612" s="81"/>
    </row>
    <row r="613" ht="13.5" hidden="1" customHeight="1">
      <c r="A613" s="95" t="s">
        <v>103</v>
      </c>
      <c r="B613" s="95" t="s">
        <v>132</v>
      </c>
      <c r="C613" s="95" t="s">
        <v>169</v>
      </c>
      <c r="D613" s="96" t="s">
        <v>143</v>
      </c>
      <c r="E613" s="97">
        <v>0.00656934</v>
      </c>
      <c r="F613" s="95">
        <v>0.0</v>
      </c>
      <c r="G613" s="95" t="s">
        <v>134</v>
      </c>
      <c r="H613" s="104">
        <v>0.1160087173297266</v>
      </c>
      <c r="I613" s="95" t="s">
        <v>134</v>
      </c>
      <c r="J613" s="95">
        <v>0.0</v>
      </c>
      <c r="K613" s="81"/>
    </row>
    <row r="614" ht="13.5" hidden="1" customHeight="1">
      <c r="A614" s="95" t="s">
        <v>243</v>
      </c>
      <c r="B614" s="95" t="s">
        <v>9</v>
      </c>
      <c r="C614" s="95" t="s">
        <v>168</v>
      </c>
      <c r="D614" s="96" t="s">
        <v>136</v>
      </c>
      <c r="E614" s="97">
        <v>0.05</v>
      </c>
      <c r="F614" s="95">
        <v>0.0</v>
      </c>
      <c r="G614" s="95" t="s">
        <v>134</v>
      </c>
      <c r="H614" s="104">
        <v>0.0681281069</v>
      </c>
      <c r="I614" s="95" t="s">
        <v>134</v>
      </c>
      <c r="J614" s="95">
        <v>0.0</v>
      </c>
      <c r="K614" s="81"/>
    </row>
    <row r="615" ht="13.5" hidden="1" customHeight="1">
      <c r="A615" s="95" t="s">
        <v>243</v>
      </c>
      <c r="B615" s="95" t="s">
        <v>9</v>
      </c>
      <c r="C615" s="95" t="s">
        <v>187</v>
      </c>
      <c r="D615" s="96" t="s">
        <v>136</v>
      </c>
      <c r="E615" s="97">
        <v>0.05</v>
      </c>
      <c r="F615" s="95">
        <v>0.0</v>
      </c>
      <c r="G615" s="95" t="s">
        <v>134</v>
      </c>
      <c r="H615" s="104">
        <v>0.0681281069</v>
      </c>
      <c r="I615" s="95" t="s">
        <v>134</v>
      </c>
      <c r="J615" s="95">
        <v>0.0</v>
      </c>
      <c r="K615" s="81"/>
    </row>
    <row r="616" ht="13.5" hidden="1" customHeight="1">
      <c r="A616" s="95" t="s">
        <v>243</v>
      </c>
      <c r="B616" s="95" t="s">
        <v>9</v>
      </c>
      <c r="C616" s="95" t="s">
        <v>207</v>
      </c>
      <c r="D616" s="96" t="s">
        <v>143</v>
      </c>
      <c r="E616" s="97">
        <v>0.05</v>
      </c>
      <c r="F616" s="95">
        <v>0.0</v>
      </c>
      <c r="G616" s="100" t="s">
        <v>134</v>
      </c>
      <c r="H616" s="104">
        <v>0.0681281069</v>
      </c>
      <c r="I616" s="100" t="s">
        <v>134</v>
      </c>
      <c r="J616" s="95">
        <v>0.0</v>
      </c>
      <c r="K616" s="81"/>
    </row>
    <row r="617" ht="13.5" hidden="1" customHeight="1">
      <c r="A617" s="95" t="s">
        <v>101</v>
      </c>
      <c r="B617" s="95" t="s">
        <v>10</v>
      </c>
      <c r="C617" s="95" t="s">
        <v>159</v>
      </c>
      <c r="D617" s="96" t="s">
        <v>138</v>
      </c>
      <c r="E617" s="97">
        <v>0.08497212</v>
      </c>
      <c r="F617" s="95">
        <v>0.04294812889</v>
      </c>
      <c r="G617" s="100" t="s">
        <v>134</v>
      </c>
      <c r="H617" s="95">
        <v>0.05674786149726382</v>
      </c>
      <c r="I617" s="95" t="s">
        <v>134</v>
      </c>
      <c r="J617" s="95">
        <v>0.0024372144698163547</v>
      </c>
      <c r="K617" s="81"/>
    </row>
    <row r="618" ht="13.5" hidden="1" customHeight="1">
      <c r="A618" s="95" t="s">
        <v>90</v>
      </c>
      <c r="B618" s="95" t="s">
        <v>132</v>
      </c>
      <c r="C618" s="95" t="s">
        <v>245</v>
      </c>
      <c r="D618" s="96" t="s">
        <v>138</v>
      </c>
      <c r="E618" s="98">
        <v>0.00265175</v>
      </c>
      <c r="F618" s="100">
        <v>0.0</v>
      </c>
      <c r="G618" s="100" t="s">
        <v>134</v>
      </c>
      <c r="H618" s="100">
        <v>0.0382963305201475</v>
      </c>
      <c r="I618" s="100" t="s">
        <v>134</v>
      </c>
      <c r="J618" s="100">
        <v>0.0</v>
      </c>
      <c r="K618" s="81"/>
    </row>
    <row r="619" ht="13.5" hidden="1" customHeight="1">
      <c r="A619" s="95" t="s">
        <v>105</v>
      </c>
      <c r="B619" s="95" t="s">
        <v>9</v>
      </c>
      <c r="C619" s="95" t="s">
        <v>203</v>
      </c>
      <c r="D619" s="96" t="s">
        <v>143</v>
      </c>
      <c r="E619" s="97">
        <v>0.009414062372</v>
      </c>
      <c r="F619" s="95">
        <v>0.0</v>
      </c>
      <c r="G619" s="95" t="s">
        <v>134</v>
      </c>
      <c r="H619" s="95">
        <v>0.03266679643084</v>
      </c>
      <c r="I619" s="95" t="s">
        <v>134</v>
      </c>
      <c r="J619" s="95">
        <v>0.0</v>
      </c>
      <c r="K619" s="81"/>
    </row>
    <row r="620" ht="13.5" hidden="1" customHeight="1">
      <c r="A620" s="95" t="s">
        <v>62</v>
      </c>
      <c r="B620" s="95" t="s">
        <v>132</v>
      </c>
      <c r="C620" s="95" t="s">
        <v>169</v>
      </c>
      <c r="D620" s="96" t="s">
        <v>143</v>
      </c>
      <c r="E620" s="97">
        <v>0.02250599</v>
      </c>
      <c r="F620" s="95">
        <v>0.0</v>
      </c>
      <c r="G620" s="95">
        <v>0.0127</v>
      </c>
      <c r="H620" s="95">
        <v>0.019502192876790028</v>
      </c>
      <c r="I620" s="95">
        <v>2.4767784953523336E-4</v>
      </c>
      <c r="J620" s="95">
        <v>0.0</v>
      </c>
      <c r="K620" s="81"/>
    </row>
    <row r="621" ht="13.5" hidden="1" customHeight="1">
      <c r="A621" s="95" t="s">
        <v>57</v>
      </c>
      <c r="B621" s="95" t="s">
        <v>9</v>
      </c>
      <c r="C621" s="95" t="s">
        <v>271</v>
      </c>
      <c r="D621" s="96" t="s">
        <v>143</v>
      </c>
      <c r="E621" s="97">
        <v>0.001</v>
      </c>
      <c r="F621" s="95">
        <v>0.0</v>
      </c>
      <c r="G621" s="100">
        <v>0.0818</v>
      </c>
      <c r="H621" s="95">
        <v>0.002097607594</v>
      </c>
      <c r="I621" s="95">
        <v>1.7158430118919998E-4</v>
      </c>
      <c r="J621" s="95">
        <v>0.0</v>
      </c>
      <c r="K621" s="81"/>
    </row>
    <row r="622" ht="13.5" hidden="1" customHeight="1">
      <c r="A622" s="95" t="s">
        <v>80</v>
      </c>
      <c r="B622" s="95" t="s">
        <v>9</v>
      </c>
      <c r="C622" s="95" t="s">
        <v>187</v>
      </c>
      <c r="D622" s="96" t="s">
        <v>136</v>
      </c>
      <c r="E622" s="97">
        <v>0.001928072063</v>
      </c>
      <c r="F622" s="95">
        <v>0.0</v>
      </c>
      <c r="G622" s="100">
        <v>0.0169</v>
      </c>
      <c r="H622" s="95">
        <v>0.001442718123766799</v>
      </c>
      <c r="I622" s="100">
        <v>2.4381936291658902E-5</v>
      </c>
      <c r="J622" s="95">
        <v>0.0</v>
      </c>
      <c r="K622" s="81"/>
    </row>
    <row r="623" ht="13.5" hidden="1" customHeight="1">
      <c r="A623" s="95" t="s">
        <v>94</v>
      </c>
      <c r="B623" s="95" t="s">
        <v>9</v>
      </c>
      <c r="C623" s="95" t="s">
        <v>168</v>
      </c>
      <c r="D623" s="96" t="s">
        <v>136</v>
      </c>
      <c r="E623" s="97">
        <v>2.495187968E-4</v>
      </c>
      <c r="F623" s="95">
        <v>0.0</v>
      </c>
      <c r="G623" s="95" t="s">
        <v>134</v>
      </c>
      <c r="H623" s="95">
        <v>6.41263307776E-4</v>
      </c>
      <c r="I623" s="95" t="s">
        <v>134</v>
      </c>
      <c r="J623" s="95">
        <v>0.0</v>
      </c>
      <c r="K623" s="81"/>
    </row>
    <row r="624" ht="13.5" hidden="1" customHeight="1">
      <c r="A624" s="95" t="s">
        <v>285</v>
      </c>
      <c r="B624" s="95" t="s">
        <v>10</v>
      </c>
      <c r="C624" s="95" t="s">
        <v>159</v>
      </c>
      <c r="D624" s="96" t="s">
        <v>138</v>
      </c>
      <c r="E624" s="98">
        <v>60000.04744</v>
      </c>
      <c r="F624" s="100">
        <v>0.04294812889</v>
      </c>
      <c r="G624" s="100" t="s">
        <v>134</v>
      </c>
      <c r="H624" s="100" t="s">
        <v>134</v>
      </c>
      <c r="I624" s="100" t="s">
        <v>134</v>
      </c>
      <c r="J624" s="100" t="s">
        <v>134</v>
      </c>
      <c r="K624" s="81"/>
    </row>
    <row r="625" ht="13.5" hidden="1" customHeight="1">
      <c r="A625" s="95" t="s">
        <v>286</v>
      </c>
      <c r="B625" s="95" t="s">
        <v>10</v>
      </c>
      <c r="C625" s="95" t="s">
        <v>221</v>
      </c>
      <c r="D625" s="96" t="s">
        <v>138</v>
      </c>
      <c r="E625" s="97">
        <v>1.092541385E9</v>
      </c>
      <c r="F625" s="95" t="s">
        <v>134</v>
      </c>
      <c r="G625" s="95" t="s">
        <v>134</v>
      </c>
      <c r="H625" s="95" t="s">
        <v>134</v>
      </c>
      <c r="I625" s="95" t="s">
        <v>134</v>
      </c>
      <c r="J625" s="95" t="s">
        <v>134</v>
      </c>
      <c r="K625" s="81"/>
    </row>
    <row r="626" ht="13.5" customHeight="1">
      <c r="A626" s="95" t="s">
        <v>287</v>
      </c>
      <c r="B626" s="95" t="s">
        <v>10</v>
      </c>
      <c r="C626" s="95" t="s">
        <v>159</v>
      </c>
      <c r="D626" s="96" t="s">
        <v>138</v>
      </c>
      <c r="E626" s="98">
        <v>900021.2306</v>
      </c>
      <c r="F626" s="99">
        <v>0.04294812889</v>
      </c>
      <c r="G626" s="100" t="s">
        <v>134</v>
      </c>
      <c r="H626" s="100" t="s">
        <v>134</v>
      </c>
      <c r="I626" s="100" t="s">
        <v>134</v>
      </c>
      <c r="J626" s="100" t="s">
        <v>134</v>
      </c>
      <c r="K626" s="81"/>
    </row>
    <row r="627" ht="13.5" customHeight="1">
      <c r="A627" s="111"/>
      <c r="B627" s="111"/>
      <c r="C627" s="111"/>
      <c r="D627" s="111"/>
      <c r="E627" s="112"/>
      <c r="F627" s="113"/>
      <c r="G627" s="113"/>
      <c r="H627" s="114"/>
      <c r="I627" s="111"/>
      <c r="J627" s="111"/>
      <c r="K627" s="81"/>
    </row>
    <row r="628" ht="13.5" customHeight="1">
      <c r="A628" s="111"/>
      <c r="B628" s="111"/>
      <c r="C628" s="111"/>
      <c r="D628" s="111"/>
      <c r="E628" s="112"/>
      <c r="F628" s="113"/>
      <c r="G628" s="113"/>
      <c r="H628" s="114"/>
      <c r="I628" s="111"/>
      <c r="J628" s="111"/>
      <c r="K628" s="81"/>
    </row>
    <row r="629" ht="13.5" customHeight="1">
      <c r="A629" s="111"/>
      <c r="B629" s="111"/>
      <c r="C629" s="111"/>
      <c r="D629" s="111"/>
      <c r="E629" s="112"/>
      <c r="F629" s="113"/>
      <c r="G629" s="113"/>
      <c r="H629" s="114"/>
      <c r="I629" s="111"/>
      <c r="J629" s="111"/>
      <c r="K629" s="81"/>
    </row>
    <row r="630" ht="13.5" customHeight="1">
      <c r="A630" s="111"/>
      <c r="B630" s="111"/>
      <c r="C630" s="111"/>
      <c r="D630" s="111"/>
      <c r="E630" s="112"/>
      <c r="F630" s="113"/>
      <c r="G630" s="113"/>
      <c r="H630" s="114"/>
      <c r="I630" s="111"/>
      <c r="J630" s="111"/>
      <c r="K630" s="81"/>
    </row>
    <row r="631" ht="13.5" customHeight="1">
      <c r="A631" s="111"/>
      <c r="B631" s="111"/>
      <c r="C631" s="111"/>
      <c r="D631" s="111"/>
      <c r="E631" s="112"/>
      <c r="F631" s="113"/>
      <c r="G631" s="113"/>
      <c r="H631" s="114"/>
      <c r="I631" s="111"/>
      <c r="J631" s="111"/>
      <c r="K631" s="81"/>
    </row>
    <row r="632" ht="13.5" customHeight="1">
      <c r="A632" s="111"/>
      <c r="B632" s="111"/>
      <c r="C632" s="111"/>
      <c r="D632" s="111"/>
      <c r="E632" s="112"/>
      <c r="F632" s="113"/>
      <c r="G632" s="113"/>
      <c r="H632" s="114"/>
      <c r="I632" s="111"/>
      <c r="J632" s="111"/>
      <c r="K632" s="81"/>
    </row>
    <row r="633" ht="13.5" customHeight="1">
      <c r="A633" s="111"/>
      <c r="B633" s="111"/>
      <c r="C633" s="111"/>
      <c r="D633" s="111"/>
      <c r="E633" s="112"/>
      <c r="F633" s="113"/>
      <c r="G633" s="113"/>
      <c r="H633" s="114"/>
      <c r="I633" s="111"/>
      <c r="J633" s="111"/>
      <c r="K633" s="81"/>
    </row>
    <row r="634" ht="13.5" customHeight="1">
      <c r="A634" s="111"/>
      <c r="B634" s="111"/>
      <c r="C634" s="111"/>
      <c r="D634" s="111"/>
      <c r="E634" s="112"/>
      <c r="F634" s="113"/>
      <c r="G634" s="113"/>
      <c r="H634" s="114"/>
      <c r="I634" s="111"/>
      <c r="J634" s="111"/>
      <c r="K634" s="81"/>
    </row>
    <row r="635" ht="13.5" customHeight="1">
      <c r="A635" s="111"/>
      <c r="B635" s="111"/>
      <c r="C635" s="111"/>
      <c r="D635" s="111"/>
      <c r="E635" s="112"/>
      <c r="F635" s="113"/>
      <c r="G635" s="113"/>
      <c r="H635" s="114"/>
      <c r="I635" s="111"/>
      <c r="J635" s="111"/>
      <c r="K635" s="81"/>
    </row>
    <row r="636" ht="13.5" customHeight="1">
      <c r="A636" s="111"/>
      <c r="B636" s="111"/>
      <c r="C636" s="111"/>
      <c r="D636" s="111"/>
      <c r="E636" s="112"/>
      <c r="F636" s="113"/>
      <c r="G636" s="113"/>
      <c r="H636" s="114"/>
      <c r="I636" s="111"/>
      <c r="J636" s="111"/>
      <c r="K636" s="81"/>
    </row>
    <row r="637" ht="13.5" customHeight="1">
      <c r="A637" s="111"/>
      <c r="B637" s="111"/>
      <c r="C637" s="111"/>
      <c r="D637" s="111"/>
      <c r="E637" s="112"/>
      <c r="F637" s="113"/>
      <c r="G637" s="113"/>
      <c r="H637" s="114"/>
      <c r="I637" s="111"/>
      <c r="J637" s="111"/>
      <c r="K637" s="81"/>
    </row>
    <row r="638" ht="13.5" customHeight="1">
      <c r="A638" s="111"/>
      <c r="B638" s="111"/>
      <c r="C638" s="111"/>
      <c r="D638" s="111"/>
      <c r="E638" s="112"/>
      <c r="F638" s="113"/>
      <c r="G638" s="113"/>
      <c r="H638" s="114"/>
      <c r="I638" s="111"/>
      <c r="J638" s="111"/>
      <c r="K638" s="81"/>
    </row>
    <row r="639" ht="13.5" customHeight="1">
      <c r="A639" s="111"/>
      <c r="B639" s="111"/>
      <c r="C639" s="111"/>
      <c r="D639" s="111"/>
      <c r="E639" s="112"/>
      <c r="F639" s="113"/>
      <c r="G639" s="113"/>
      <c r="H639" s="114"/>
      <c r="I639" s="111"/>
      <c r="J639" s="111"/>
      <c r="K639" s="81"/>
    </row>
    <row r="640" ht="13.5" customHeight="1">
      <c r="A640" s="111"/>
      <c r="B640" s="111"/>
      <c r="C640" s="111"/>
      <c r="D640" s="111"/>
      <c r="E640" s="112"/>
      <c r="F640" s="113"/>
      <c r="G640" s="113"/>
      <c r="H640" s="114"/>
      <c r="I640" s="111"/>
      <c r="J640" s="111"/>
      <c r="K640" s="81"/>
    </row>
    <row r="641" ht="13.5" customHeight="1">
      <c r="A641" s="111"/>
      <c r="B641" s="111"/>
      <c r="C641" s="111"/>
      <c r="D641" s="111"/>
      <c r="E641" s="112"/>
      <c r="F641" s="113"/>
      <c r="G641" s="113"/>
      <c r="H641" s="114"/>
      <c r="I641" s="111"/>
      <c r="J641" s="111"/>
      <c r="K641" s="81"/>
    </row>
    <row r="642" ht="13.5" customHeight="1">
      <c r="A642" s="111"/>
      <c r="B642" s="111"/>
      <c r="C642" s="111"/>
      <c r="D642" s="111"/>
      <c r="E642" s="112"/>
      <c r="F642" s="113"/>
      <c r="G642" s="113"/>
      <c r="H642" s="114"/>
      <c r="I642" s="111"/>
      <c r="J642" s="111"/>
      <c r="K642" s="81"/>
    </row>
    <row r="643" ht="13.5" customHeight="1">
      <c r="A643" s="111"/>
      <c r="B643" s="111"/>
      <c r="C643" s="111"/>
      <c r="D643" s="111"/>
      <c r="E643" s="112"/>
      <c r="F643" s="113"/>
      <c r="G643" s="113"/>
      <c r="H643" s="114"/>
      <c r="I643" s="111"/>
      <c r="J643" s="111"/>
      <c r="K643" s="81"/>
    </row>
    <row r="644" ht="13.5" customHeight="1">
      <c r="A644" s="111"/>
      <c r="B644" s="111"/>
      <c r="C644" s="111"/>
      <c r="D644" s="111"/>
      <c r="E644" s="112"/>
      <c r="F644" s="113"/>
      <c r="G644" s="113"/>
      <c r="H644" s="114"/>
      <c r="I644" s="111"/>
      <c r="J644" s="111"/>
      <c r="K644" s="81"/>
    </row>
    <row r="645" ht="13.5" customHeight="1">
      <c r="A645" s="111"/>
      <c r="B645" s="111"/>
      <c r="C645" s="111"/>
      <c r="D645" s="111"/>
      <c r="E645" s="112"/>
      <c r="F645" s="113"/>
      <c r="G645" s="113"/>
      <c r="H645" s="114"/>
      <c r="I645" s="111"/>
      <c r="J645" s="111"/>
      <c r="K645" s="81"/>
    </row>
    <row r="646" ht="13.5" customHeight="1">
      <c r="A646" s="111"/>
      <c r="B646" s="111"/>
      <c r="C646" s="111"/>
      <c r="D646" s="111"/>
      <c r="E646" s="112"/>
      <c r="F646" s="113"/>
      <c r="G646" s="113"/>
      <c r="H646" s="114"/>
      <c r="I646" s="111"/>
      <c r="J646" s="111"/>
      <c r="K646" s="81"/>
    </row>
    <row r="647" ht="13.5" customHeight="1">
      <c r="A647" s="111"/>
      <c r="B647" s="111"/>
      <c r="C647" s="111"/>
      <c r="D647" s="111"/>
      <c r="E647" s="112"/>
      <c r="F647" s="113"/>
      <c r="G647" s="113"/>
      <c r="H647" s="114"/>
      <c r="I647" s="111"/>
      <c r="J647" s="111"/>
      <c r="K647" s="81"/>
    </row>
    <row r="648" ht="13.5" customHeight="1">
      <c r="A648" s="111"/>
      <c r="B648" s="111"/>
      <c r="C648" s="111"/>
      <c r="D648" s="111"/>
      <c r="E648" s="112"/>
      <c r="F648" s="113"/>
      <c r="G648" s="113"/>
      <c r="H648" s="114"/>
      <c r="I648" s="111"/>
      <c r="J648" s="111"/>
      <c r="K648" s="81"/>
    </row>
    <row r="649" ht="13.5" customHeight="1">
      <c r="A649" s="111"/>
      <c r="B649" s="111"/>
      <c r="C649" s="111"/>
      <c r="D649" s="111"/>
      <c r="E649" s="112"/>
      <c r="F649" s="113"/>
      <c r="G649" s="113"/>
      <c r="H649" s="114"/>
      <c r="I649" s="111"/>
      <c r="J649" s="111"/>
      <c r="K649" s="81"/>
    </row>
    <row r="650" ht="13.5" customHeight="1">
      <c r="A650" s="111"/>
      <c r="B650" s="111"/>
      <c r="C650" s="111"/>
      <c r="D650" s="111"/>
      <c r="E650" s="112"/>
      <c r="F650" s="113"/>
      <c r="G650" s="113"/>
      <c r="H650" s="114"/>
      <c r="I650" s="111"/>
      <c r="J650" s="111"/>
      <c r="K650" s="81"/>
    </row>
    <row r="651" ht="13.5" customHeight="1">
      <c r="A651" s="111"/>
      <c r="B651" s="111"/>
      <c r="C651" s="111"/>
      <c r="D651" s="111"/>
      <c r="E651" s="112"/>
      <c r="F651" s="113"/>
      <c r="G651" s="113"/>
      <c r="H651" s="114"/>
      <c r="I651" s="111"/>
      <c r="J651" s="111"/>
      <c r="K651" s="81"/>
    </row>
    <row r="652" ht="13.5" customHeight="1">
      <c r="A652" s="111"/>
      <c r="B652" s="111"/>
      <c r="C652" s="111"/>
      <c r="D652" s="111"/>
      <c r="E652" s="112"/>
      <c r="F652" s="113"/>
      <c r="G652" s="113"/>
      <c r="H652" s="114"/>
      <c r="I652" s="111"/>
      <c r="J652" s="111"/>
      <c r="K652" s="81"/>
    </row>
    <row r="653" ht="13.5" customHeight="1">
      <c r="A653" s="111"/>
      <c r="B653" s="111"/>
      <c r="C653" s="111"/>
      <c r="D653" s="111"/>
      <c r="E653" s="112"/>
      <c r="F653" s="113"/>
      <c r="G653" s="113"/>
      <c r="H653" s="114"/>
      <c r="I653" s="111"/>
      <c r="J653" s="111"/>
      <c r="K653" s="81"/>
    </row>
    <row r="654" ht="13.5" customHeight="1">
      <c r="A654" s="111"/>
      <c r="B654" s="111"/>
      <c r="C654" s="111"/>
      <c r="D654" s="111"/>
      <c r="E654" s="112"/>
      <c r="F654" s="113"/>
      <c r="G654" s="113"/>
      <c r="H654" s="114"/>
      <c r="I654" s="111"/>
      <c r="J654" s="111"/>
      <c r="K654" s="81"/>
    </row>
    <row r="655" ht="13.5" customHeight="1">
      <c r="A655" s="111"/>
      <c r="B655" s="111"/>
      <c r="C655" s="111"/>
      <c r="D655" s="111"/>
      <c r="E655" s="112"/>
      <c r="F655" s="113"/>
      <c r="G655" s="113"/>
      <c r="H655" s="114"/>
      <c r="I655" s="111"/>
      <c r="J655" s="111"/>
      <c r="K655" s="81"/>
    </row>
    <row r="656" ht="13.5" customHeight="1">
      <c r="A656" s="111"/>
      <c r="B656" s="111"/>
      <c r="C656" s="111"/>
      <c r="D656" s="111"/>
      <c r="E656" s="112"/>
      <c r="F656" s="113"/>
      <c r="G656" s="113"/>
      <c r="H656" s="114"/>
      <c r="I656" s="111"/>
      <c r="J656" s="111"/>
      <c r="K656" s="81"/>
    </row>
    <row r="657" ht="13.5" customHeight="1">
      <c r="A657" s="111"/>
      <c r="B657" s="111"/>
      <c r="C657" s="111"/>
      <c r="D657" s="111"/>
      <c r="E657" s="112"/>
      <c r="F657" s="113"/>
      <c r="G657" s="113"/>
      <c r="H657" s="114"/>
      <c r="I657" s="111"/>
      <c r="J657" s="111"/>
      <c r="K657" s="81"/>
    </row>
    <row r="658" ht="13.5" customHeight="1">
      <c r="A658" s="111"/>
      <c r="B658" s="111"/>
      <c r="C658" s="111"/>
      <c r="D658" s="111"/>
      <c r="E658" s="112"/>
      <c r="F658" s="113"/>
      <c r="G658" s="113"/>
      <c r="H658" s="114"/>
      <c r="I658" s="111"/>
      <c r="J658" s="111"/>
      <c r="K658" s="81"/>
    </row>
    <row r="659" ht="13.5" customHeight="1">
      <c r="A659" s="111"/>
      <c r="B659" s="111"/>
      <c r="C659" s="111"/>
      <c r="D659" s="111"/>
      <c r="E659" s="112"/>
      <c r="F659" s="113"/>
      <c r="G659" s="113"/>
      <c r="H659" s="114"/>
      <c r="I659" s="111"/>
      <c r="J659" s="111"/>
      <c r="K659" s="81"/>
    </row>
    <row r="660" ht="13.5" customHeight="1">
      <c r="A660" s="111"/>
      <c r="B660" s="111"/>
      <c r="C660" s="111"/>
      <c r="D660" s="111"/>
      <c r="E660" s="112"/>
      <c r="F660" s="113"/>
      <c r="G660" s="113"/>
      <c r="H660" s="114"/>
      <c r="I660" s="111"/>
      <c r="J660" s="111"/>
      <c r="K660" s="81"/>
    </row>
    <row r="661" ht="13.5" customHeight="1">
      <c r="A661" s="111"/>
      <c r="B661" s="111"/>
      <c r="C661" s="111"/>
      <c r="D661" s="111"/>
      <c r="E661" s="112"/>
      <c r="F661" s="113"/>
      <c r="G661" s="113"/>
      <c r="H661" s="114"/>
      <c r="I661" s="111"/>
      <c r="J661" s="111"/>
      <c r="K661" s="81"/>
    </row>
    <row r="662" ht="13.5" customHeight="1">
      <c r="A662" s="111"/>
      <c r="B662" s="111"/>
      <c r="C662" s="111"/>
      <c r="D662" s="111"/>
      <c r="E662" s="112"/>
      <c r="F662" s="113"/>
      <c r="G662" s="113"/>
      <c r="H662" s="114"/>
      <c r="I662" s="111"/>
      <c r="J662" s="111"/>
      <c r="K662" s="81"/>
    </row>
    <row r="663" ht="13.5" customHeight="1">
      <c r="A663" s="111"/>
      <c r="B663" s="111"/>
      <c r="C663" s="111"/>
      <c r="D663" s="111"/>
      <c r="E663" s="112"/>
      <c r="F663" s="113"/>
      <c r="G663" s="113"/>
      <c r="H663" s="114"/>
      <c r="I663" s="111"/>
      <c r="J663" s="111"/>
      <c r="K663" s="81"/>
    </row>
    <row r="664" ht="13.5" customHeight="1">
      <c r="A664" s="111"/>
      <c r="B664" s="111"/>
      <c r="C664" s="111"/>
      <c r="D664" s="111"/>
      <c r="E664" s="112"/>
      <c r="F664" s="113"/>
      <c r="G664" s="113"/>
      <c r="H664" s="114"/>
      <c r="I664" s="111"/>
      <c r="J664" s="111"/>
      <c r="K664" s="81"/>
    </row>
    <row r="665" ht="13.5" customHeight="1">
      <c r="A665" s="111"/>
      <c r="B665" s="111"/>
      <c r="C665" s="111"/>
      <c r="D665" s="111"/>
      <c r="E665" s="112"/>
      <c r="F665" s="113"/>
      <c r="G665" s="113"/>
      <c r="H665" s="114"/>
      <c r="I665" s="111"/>
      <c r="J665" s="111"/>
      <c r="K665" s="81"/>
    </row>
    <row r="666" ht="13.5" customHeight="1">
      <c r="A666" s="111"/>
      <c r="B666" s="111"/>
      <c r="C666" s="111"/>
      <c r="D666" s="111"/>
      <c r="E666" s="112"/>
      <c r="F666" s="113"/>
      <c r="G666" s="113"/>
      <c r="H666" s="114"/>
      <c r="I666" s="111"/>
      <c r="J666" s="111"/>
      <c r="K666" s="81"/>
    </row>
    <row r="667" ht="13.5" customHeight="1">
      <c r="A667" s="111"/>
      <c r="B667" s="111"/>
      <c r="C667" s="111"/>
      <c r="D667" s="111"/>
      <c r="E667" s="112"/>
      <c r="F667" s="113"/>
      <c r="G667" s="113"/>
      <c r="H667" s="114"/>
      <c r="I667" s="111"/>
      <c r="J667" s="111"/>
      <c r="K667" s="81"/>
    </row>
    <row r="668" ht="13.5" customHeight="1">
      <c r="A668" s="111"/>
      <c r="B668" s="111"/>
      <c r="C668" s="111"/>
      <c r="D668" s="111"/>
      <c r="E668" s="112"/>
      <c r="F668" s="113"/>
      <c r="G668" s="113"/>
      <c r="H668" s="114"/>
      <c r="I668" s="111"/>
      <c r="J668" s="111"/>
      <c r="K668" s="81"/>
    </row>
    <row r="669" ht="13.5" customHeight="1">
      <c r="A669" s="111"/>
      <c r="B669" s="111"/>
      <c r="C669" s="111"/>
      <c r="D669" s="111"/>
      <c r="E669" s="112"/>
      <c r="F669" s="113"/>
      <c r="G669" s="113"/>
      <c r="H669" s="114"/>
      <c r="I669" s="111"/>
      <c r="J669" s="111"/>
      <c r="K669" s="81"/>
    </row>
    <row r="670" ht="13.5" customHeight="1">
      <c r="A670" s="111"/>
      <c r="B670" s="111"/>
      <c r="C670" s="111"/>
      <c r="D670" s="111"/>
      <c r="E670" s="112"/>
      <c r="F670" s="113"/>
      <c r="G670" s="113"/>
      <c r="H670" s="114"/>
      <c r="I670" s="111"/>
      <c r="J670" s="111"/>
      <c r="K670" s="81"/>
    </row>
    <row r="671" ht="13.5" customHeight="1">
      <c r="A671" s="111"/>
      <c r="B671" s="111"/>
      <c r="C671" s="111"/>
      <c r="D671" s="111"/>
      <c r="E671" s="112"/>
      <c r="F671" s="113"/>
      <c r="G671" s="113"/>
      <c r="H671" s="114"/>
      <c r="I671" s="111"/>
      <c r="J671" s="111"/>
      <c r="K671" s="81"/>
    </row>
    <row r="672" ht="13.5" customHeight="1">
      <c r="A672" s="111"/>
      <c r="B672" s="111"/>
      <c r="C672" s="111"/>
      <c r="D672" s="111"/>
      <c r="E672" s="112"/>
      <c r="F672" s="113"/>
      <c r="G672" s="113"/>
      <c r="H672" s="114"/>
      <c r="I672" s="111"/>
      <c r="J672" s="111"/>
      <c r="K672" s="81"/>
    </row>
    <row r="673" ht="13.5" customHeight="1">
      <c r="A673" s="111"/>
      <c r="B673" s="111"/>
      <c r="C673" s="111"/>
      <c r="D673" s="111"/>
      <c r="E673" s="112"/>
      <c r="F673" s="113"/>
      <c r="G673" s="113"/>
      <c r="H673" s="114"/>
      <c r="I673" s="111"/>
      <c r="J673" s="111"/>
      <c r="K673" s="81"/>
    </row>
    <row r="674" ht="13.5" customHeight="1">
      <c r="A674" s="111"/>
      <c r="B674" s="111"/>
      <c r="C674" s="111"/>
      <c r="D674" s="111"/>
      <c r="E674" s="112"/>
      <c r="F674" s="113"/>
      <c r="G674" s="113"/>
      <c r="H674" s="114"/>
      <c r="I674" s="111"/>
      <c r="J674" s="111"/>
      <c r="K674" s="81"/>
    </row>
    <row r="675" ht="13.5" customHeight="1">
      <c r="A675" s="111"/>
      <c r="B675" s="111"/>
      <c r="C675" s="111"/>
      <c r="D675" s="111"/>
      <c r="E675" s="112"/>
      <c r="F675" s="113"/>
      <c r="G675" s="113"/>
      <c r="H675" s="114"/>
      <c r="I675" s="111"/>
      <c r="J675" s="111"/>
      <c r="K675" s="81"/>
    </row>
    <row r="676" ht="13.5" customHeight="1">
      <c r="A676" s="111"/>
      <c r="B676" s="111"/>
      <c r="C676" s="111"/>
      <c r="D676" s="111"/>
      <c r="E676" s="112"/>
      <c r="F676" s="113"/>
      <c r="G676" s="113"/>
      <c r="H676" s="114"/>
      <c r="I676" s="111"/>
      <c r="J676" s="111"/>
      <c r="K676" s="81"/>
    </row>
    <row r="677" ht="13.5" customHeight="1">
      <c r="A677" s="111"/>
      <c r="B677" s="111"/>
      <c r="C677" s="111"/>
      <c r="D677" s="111"/>
      <c r="E677" s="112"/>
      <c r="F677" s="113"/>
      <c r="G677" s="113"/>
      <c r="H677" s="114"/>
      <c r="I677" s="111"/>
      <c r="J677" s="111"/>
      <c r="K677" s="81"/>
    </row>
    <row r="678" ht="13.5" customHeight="1">
      <c r="A678" s="111"/>
      <c r="B678" s="111"/>
      <c r="C678" s="111"/>
      <c r="D678" s="111"/>
      <c r="E678" s="112"/>
      <c r="F678" s="113"/>
      <c r="G678" s="113"/>
      <c r="H678" s="114"/>
      <c r="I678" s="111"/>
      <c r="J678" s="111"/>
      <c r="K678" s="81"/>
    </row>
    <row r="679" ht="13.5" customHeight="1">
      <c r="A679" s="111"/>
      <c r="B679" s="111"/>
      <c r="C679" s="111"/>
      <c r="D679" s="111"/>
      <c r="E679" s="112"/>
      <c r="F679" s="113"/>
      <c r="G679" s="113"/>
      <c r="H679" s="114"/>
      <c r="I679" s="111"/>
      <c r="J679" s="111"/>
      <c r="K679" s="81"/>
    </row>
    <row r="680" ht="13.5" customHeight="1">
      <c r="A680" s="111"/>
      <c r="B680" s="111"/>
      <c r="C680" s="111"/>
      <c r="D680" s="111"/>
      <c r="E680" s="112"/>
      <c r="F680" s="113"/>
      <c r="G680" s="113"/>
      <c r="H680" s="114"/>
      <c r="I680" s="111"/>
      <c r="J680" s="111"/>
      <c r="K680" s="81"/>
    </row>
    <row r="681" ht="13.5" customHeight="1">
      <c r="A681" s="111"/>
      <c r="B681" s="111"/>
      <c r="C681" s="111"/>
      <c r="D681" s="111"/>
      <c r="E681" s="112"/>
      <c r="F681" s="113"/>
      <c r="G681" s="113"/>
      <c r="H681" s="114"/>
      <c r="I681" s="111"/>
      <c r="J681" s="111"/>
      <c r="K681" s="81"/>
    </row>
    <row r="682" ht="13.5" customHeight="1">
      <c r="A682" s="111"/>
      <c r="B682" s="111"/>
      <c r="C682" s="111"/>
      <c r="D682" s="111"/>
      <c r="E682" s="112"/>
      <c r="F682" s="113"/>
      <c r="G682" s="113"/>
      <c r="H682" s="114"/>
      <c r="I682" s="111"/>
      <c r="J682" s="111"/>
      <c r="K682" s="81"/>
    </row>
    <row r="683" ht="13.5" customHeight="1">
      <c r="A683" s="111"/>
      <c r="B683" s="111"/>
      <c r="C683" s="111"/>
      <c r="D683" s="111"/>
      <c r="E683" s="112"/>
      <c r="F683" s="113"/>
      <c r="G683" s="113"/>
      <c r="H683" s="114"/>
      <c r="I683" s="111"/>
      <c r="J683" s="111"/>
      <c r="K683" s="81"/>
    </row>
    <row r="684" ht="13.5" customHeight="1">
      <c r="A684" s="111"/>
      <c r="B684" s="111"/>
      <c r="C684" s="111"/>
      <c r="D684" s="111"/>
      <c r="E684" s="112"/>
      <c r="F684" s="113"/>
      <c r="G684" s="113"/>
      <c r="H684" s="114"/>
      <c r="I684" s="111"/>
      <c r="J684" s="111"/>
      <c r="K684" s="81"/>
    </row>
    <row r="685" ht="13.5" customHeight="1">
      <c r="A685" s="111"/>
      <c r="B685" s="111"/>
      <c r="C685" s="111"/>
      <c r="D685" s="111"/>
      <c r="E685" s="112"/>
      <c r="F685" s="113"/>
      <c r="G685" s="113"/>
      <c r="H685" s="114"/>
      <c r="I685" s="111"/>
      <c r="J685" s="111"/>
      <c r="K685" s="81"/>
    </row>
    <row r="686" ht="13.5" customHeight="1">
      <c r="A686" s="111"/>
      <c r="B686" s="111"/>
      <c r="C686" s="111"/>
      <c r="D686" s="111"/>
      <c r="E686" s="112"/>
      <c r="F686" s="113"/>
      <c r="G686" s="113"/>
      <c r="H686" s="114"/>
      <c r="I686" s="111"/>
      <c r="J686" s="111"/>
      <c r="K686" s="81"/>
    </row>
    <row r="687" ht="13.5" customHeight="1">
      <c r="A687" s="111"/>
      <c r="B687" s="111"/>
      <c r="C687" s="111"/>
      <c r="D687" s="111"/>
      <c r="E687" s="112"/>
      <c r="F687" s="113"/>
      <c r="G687" s="113"/>
      <c r="H687" s="114"/>
      <c r="I687" s="111"/>
      <c r="J687" s="111"/>
      <c r="K687" s="81"/>
    </row>
    <row r="688" ht="13.5" customHeight="1">
      <c r="A688" s="111"/>
      <c r="B688" s="111"/>
      <c r="C688" s="111"/>
      <c r="D688" s="111"/>
      <c r="E688" s="112"/>
      <c r="F688" s="113"/>
      <c r="G688" s="113"/>
      <c r="H688" s="114"/>
      <c r="I688" s="111"/>
      <c r="J688" s="111"/>
      <c r="K688" s="81"/>
    </row>
    <row r="689" ht="13.5" customHeight="1">
      <c r="A689" s="111"/>
      <c r="B689" s="111"/>
      <c r="C689" s="111"/>
      <c r="D689" s="111"/>
      <c r="E689" s="112"/>
      <c r="F689" s="113"/>
      <c r="G689" s="113"/>
      <c r="H689" s="114"/>
      <c r="I689" s="111"/>
      <c r="J689" s="111"/>
      <c r="K689" s="81"/>
    </row>
    <row r="690" ht="13.5" customHeight="1">
      <c r="A690" s="111"/>
      <c r="B690" s="111"/>
      <c r="C690" s="111"/>
      <c r="D690" s="111"/>
      <c r="E690" s="112"/>
      <c r="F690" s="113"/>
      <c r="G690" s="113"/>
      <c r="H690" s="114"/>
      <c r="I690" s="111"/>
      <c r="J690" s="111"/>
      <c r="K690" s="81"/>
    </row>
    <row r="691" ht="13.5" customHeight="1">
      <c r="A691" s="111"/>
      <c r="B691" s="111"/>
      <c r="C691" s="111"/>
      <c r="D691" s="111"/>
      <c r="E691" s="112"/>
      <c r="F691" s="113"/>
      <c r="G691" s="113"/>
      <c r="H691" s="114"/>
      <c r="I691" s="111"/>
      <c r="J691" s="111"/>
      <c r="K691" s="81"/>
    </row>
    <row r="692" ht="13.5" customHeight="1">
      <c r="A692" s="111"/>
      <c r="B692" s="111"/>
      <c r="C692" s="111"/>
      <c r="D692" s="111"/>
      <c r="E692" s="112"/>
      <c r="F692" s="113"/>
      <c r="G692" s="113"/>
      <c r="H692" s="114"/>
      <c r="I692" s="111"/>
      <c r="J692" s="111"/>
      <c r="K692" s="81"/>
    </row>
    <row r="693" ht="13.5" customHeight="1">
      <c r="A693" s="111"/>
      <c r="B693" s="111"/>
      <c r="C693" s="111"/>
      <c r="D693" s="111"/>
      <c r="E693" s="112"/>
      <c r="F693" s="113"/>
      <c r="G693" s="113"/>
      <c r="H693" s="114"/>
      <c r="I693" s="111"/>
      <c r="J693" s="111"/>
      <c r="K693" s="81"/>
    </row>
    <row r="694" ht="13.5" customHeight="1">
      <c r="A694" s="111"/>
      <c r="B694" s="111"/>
      <c r="C694" s="111"/>
      <c r="D694" s="111"/>
      <c r="E694" s="112"/>
      <c r="F694" s="113"/>
      <c r="G694" s="113"/>
      <c r="H694" s="114"/>
      <c r="I694" s="111"/>
      <c r="J694" s="111"/>
      <c r="K694" s="81"/>
    </row>
    <row r="695" ht="13.5" customHeight="1">
      <c r="A695" s="111"/>
      <c r="B695" s="111"/>
      <c r="C695" s="111"/>
      <c r="D695" s="111"/>
      <c r="E695" s="112"/>
      <c r="F695" s="113"/>
      <c r="G695" s="113"/>
      <c r="H695" s="114"/>
      <c r="I695" s="111"/>
      <c r="J695" s="111"/>
      <c r="K695" s="81"/>
    </row>
    <row r="696" ht="13.5" customHeight="1">
      <c r="A696" s="111"/>
      <c r="B696" s="111"/>
      <c r="C696" s="111"/>
      <c r="D696" s="111"/>
      <c r="E696" s="112"/>
      <c r="F696" s="113"/>
      <c r="G696" s="113"/>
      <c r="H696" s="114"/>
      <c r="I696" s="111"/>
      <c r="J696" s="111"/>
      <c r="K696" s="81"/>
    </row>
    <row r="697" ht="13.5" customHeight="1">
      <c r="A697" s="111"/>
      <c r="B697" s="111"/>
      <c r="C697" s="111"/>
      <c r="D697" s="111"/>
      <c r="E697" s="112"/>
      <c r="F697" s="113"/>
      <c r="G697" s="113"/>
      <c r="H697" s="114"/>
      <c r="I697" s="111"/>
      <c r="J697" s="111"/>
      <c r="K697" s="81"/>
    </row>
    <row r="698" ht="13.5" customHeight="1">
      <c r="A698" s="111"/>
      <c r="B698" s="111"/>
      <c r="C698" s="111"/>
      <c r="D698" s="111"/>
      <c r="E698" s="112"/>
      <c r="F698" s="113"/>
      <c r="G698" s="113"/>
      <c r="H698" s="114"/>
      <c r="I698" s="111"/>
      <c r="J698" s="111"/>
      <c r="K698" s="81"/>
    </row>
    <row r="699" ht="13.5" customHeight="1">
      <c r="A699" s="111"/>
      <c r="B699" s="111"/>
      <c r="C699" s="111"/>
      <c r="D699" s="111"/>
      <c r="E699" s="112"/>
      <c r="F699" s="113"/>
      <c r="G699" s="113"/>
      <c r="H699" s="114"/>
      <c r="I699" s="111"/>
      <c r="J699" s="111"/>
      <c r="K699" s="81"/>
    </row>
    <row r="700" ht="13.5" customHeight="1">
      <c r="A700" s="111"/>
      <c r="B700" s="111"/>
      <c r="C700" s="111"/>
      <c r="D700" s="111"/>
      <c r="E700" s="112"/>
      <c r="F700" s="113"/>
      <c r="G700" s="113"/>
      <c r="H700" s="114"/>
      <c r="I700" s="111"/>
      <c r="J700" s="111"/>
      <c r="K700" s="81"/>
    </row>
    <row r="701" ht="13.5" customHeight="1">
      <c r="A701" s="111"/>
      <c r="B701" s="111"/>
      <c r="C701" s="111"/>
      <c r="D701" s="111"/>
      <c r="E701" s="112"/>
      <c r="F701" s="113"/>
      <c r="G701" s="113"/>
      <c r="H701" s="114"/>
      <c r="I701" s="111"/>
      <c r="J701" s="111"/>
      <c r="K701" s="81"/>
    </row>
    <row r="702" ht="13.5" customHeight="1">
      <c r="A702" s="111"/>
      <c r="B702" s="111"/>
      <c r="C702" s="111"/>
      <c r="D702" s="111"/>
      <c r="E702" s="112"/>
      <c r="F702" s="113"/>
      <c r="G702" s="113"/>
      <c r="H702" s="114"/>
      <c r="I702" s="111"/>
      <c r="J702" s="111"/>
      <c r="K702" s="81"/>
    </row>
    <row r="703" ht="13.5" customHeight="1">
      <c r="A703" s="111"/>
      <c r="B703" s="111"/>
      <c r="C703" s="111"/>
      <c r="D703" s="111"/>
      <c r="E703" s="112"/>
      <c r="F703" s="113"/>
      <c r="G703" s="113"/>
      <c r="H703" s="114"/>
      <c r="I703" s="111"/>
      <c r="J703" s="111"/>
      <c r="K703" s="81"/>
    </row>
    <row r="704" ht="13.5" customHeight="1">
      <c r="A704" s="111"/>
      <c r="B704" s="111"/>
      <c r="C704" s="111"/>
      <c r="D704" s="111"/>
      <c r="E704" s="112"/>
      <c r="F704" s="113"/>
      <c r="G704" s="113"/>
      <c r="H704" s="114"/>
      <c r="I704" s="111"/>
      <c r="J704" s="111"/>
      <c r="K704" s="81"/>
    </row>
    <row r="705" ht="13.5" customHeight="1">
      <c r="A705" s="111"/>
      <c r="B705" s="111"/>
      <c r="C705" s="111"/>
      <c r="D705" s="111"/>
      <c r="E705" s="112"/>
      <c r="F705" s="113"/>
      <c r="G705" s="113"/>
      <c r="H705" s="114"/>
      <c r="I705" s="111"/>
      <c r="J705" s="111"/>
      <c r="K705" s="81"/>
    </row>
    <row r="706" ht="13.5" customHeight="1">
      <c r="A706" s="111"/>
      <c r="B706" s="111"/>
      <c r="C706" s="111"/>
      <c r="D706" s="111"/>
      <c r="E706" s="112"/>
      <c r="F706" s="113"/>
      <c r="G706" s="113"/>
      <c r="H706" s="114"/>
      <c r="I706" s="111"/>
      <c r="J706" s="111"/>
      <c r="K706" s="81"/>
    </row>
    <row r="707" ht="13.5" customHeight="1">
      <c r="A707" s="111"/>
      <c r="B707" s="111"/>
      <c r="C707" s="111"/>
      <c r="D707" s="111"/>
      <c r="E707" s="112"/>
      <c r="F707" s="113"/>
      <c r="G707" s="113"/>
      <c r="H707" s="114"/>
      <c r="I707" s="111"/>
      <c r="J707" s="111"/>
      <c r="K707" s="81"/>
    </row>
    <row r="708" ht="13.5" customHeight="1">
      <c r="A708" s="111"/>
      <c r="B708" s="111"/>
      <c r="C708" s="111"/>
      <c r="D708" s="111"/>
      <c r="E708" s="112"/>
      <c r="F708" s="113"/>
      <c r="G708" s="113"/>
      <c r="H708" s="114"/>
      <c r="I708" s="111"/>
      <c r="J708" s="111"/>
      <c r="K708" s="81"/>
    </row>
    <row r="709" ht="13.5" customHeight="1">
      <c r="A709" s="111"/>
      <c r="B709" s="111"/>
      <c r="C709" s="111"/>
      <c r="D709" s="111"/>
      <c r="E709" s="112"/>
      <c r="F709" s="113"/>
      <c r="G709" s="113"/>
      <c r="H709" s="114"/>
      <c r="I709" s="111"/>
      <c r="J709" s="111"/>
      <c r="K709" s="81"/>
    </row>
    <row r="710" ht="13.5" customHeight="1">
      <c r="A710" s="111"/>
      <c r="B710" s="111"/>
      <c r="C710" s="111"/>
      <c r="D710" s="111"/>
      <c r="E710" s="112"/>
      <c r="F710" s="113"/>
      <c r="G710" s="113"/>
      <c r="H710" s="114"/>
      <c r="I710" s="111"/>
      <c r="J710" s="111"/>
      <c r="K710" s="81"/>
    </row>
    <row r="711" ht="13.5" customHeight="1">
      <c r="A711" s="111"/>
      <c r="B711" s="111"/>
      <c r="C711" s="111"/>
      <c r="D711" s="111"/>
      <c r="E711" s="112"/>
      <c r="F711" s="113"/>
      <c r="G711" s="113"/>
      <c r="H711" s="114"/>
      <c r="I711" s="111"/>
      <c r="J711" s="111"/>
      <c r="K711" s="81"/>
    </row>
    <row r="712" ht="13.5" customHeight="1">
      <c r="A712" s="111"/>
      <c r="B712" s="111"/>
      <c r="C712" s="111"/>
      <c r="D712" s="111"/>
      <c r="E712" s="112"/>
      <c r="F712" s="113"/>
      <c r="G712" s="113"/>
      <c r="H712" s="114"/>
      <c r="I712" s="111"/>
      <c r="J712" s="111"/>
      <c r="K712" s="81"/>
    </row>
    <row r="713" ht="13.5" customHeight="1">
      <c r="A713" s="111"/>
      <c r="B713" s="111"/>
      <c r="C713" s="111"/>
      <c r="D713" s="111"/>
      <c r="E713" s="112"/>
      <c r="F713" s="113"/>
      <c r="G713" s="113"/>
      <c r="H713" s="114"/>
      <c r="I713" s="111"/>
      <c r="J713" s="111"/>
      <c r="K713" s="81"/>
    </row>
    <row r="714" ht="13.5" customHeight="1">
      <c r="A714" s="111"/>
      <c r="B714" s="111"/>
      <c r="C714" s="111"/>
      <c r="D714" s="111"/>
      <c r="E714" s="112"/>
      <c r="F714" s="113"/>
      <c r="G714" s="113"/>
      <c r="H714" s="114"/>
      <c r="I714" s="111"/>
      <c r="J714" s="111"/>
      <c r="K714" s="81"/>
    </row>
    <row r="715" ht="13.5" customHeight="1">
      <c r="A715" s="111"/>
      <c r="B715" s="111"/>
      <c r="C715" s="111"/>
      <c r="D715" s="111"/>
      <c r="E715" s="112"/>
      <c r="F715" s="113"/>
      <c r="G715" s="113"/>
      <c r="H715" s="114"/>
      <c r="I715" s="111"/>
      <c r="J715" s="111"/>
      <c r="K715" s="81"/>
    </row>
    <row r="716" ht="13.5" customHeight="1">
      <c r="A716" s="111"/>
      <c r="B716" s="111"/>
      <c r="C716" s="111"/>
      <c r="D716" s="111"/>
      <c r="E716" s="112"/>
      <c r="F716" s="113"/>
      <c r="G716" s="113"/>
      <c r="H716" s="114"/>
      <c r="I716" s="111"/>
      <c r="J716" s="111"/>
      <c r="K716" s="81"/>
    </row>
    <row r="717" ht="13.5" customHeight="1">
      <c r="A717" s="111"/>
      <c r="B717" s="111"/>
      <c r="C717" s="111"/>
      <c r="D717" s="111"/>
      <c r="E717" s="112"/>
      <c r="F717" s="113"/>
      <c r="G717" s="113"/>
      <c r="H717" s="114"/>
      <c r="I717" s="111"/>
      <c r="J717" s="111"/>
      <c r="K717" s="81"/>
    </row>
    <row r="718" ht="13.5" customHeight="1">
      <c r="A718" s="111"/>
      <c r="B718" s="111"/>
      <c r="C718" s="111"/>
      <c r="D718" s="111"/>
      <c r="E718" s="112"/>
      <c r="F718" s="113"/>
      <c r="G718" s="113"/>
      <c r="H718" s="114"/>
      <c r="I718" s="111"/>
      <c r="J718" s="111"/>
      <c r="K718" s="81"/>
    </row>
    <row r="719" ht="13.5" customHeight="1">
      <c r="A719" s="111"/>
      <c r="B719" s="111"/>
      <c r="C719" s="111"/>
      <c r="D719" s="111"/>
      <c r="E719" s="112"/>
      <c r="F719" s="113"/>
      <c r="G719" s="113"/>
      <c r="H719" s="114"/>
      <c r="I719" s="111"/>
      <c r="J719" s="111"/>
      <c r="K719" s="81"/>
    </row>
    <row r="720" ht="13.5" customHeight="1">
      <c r="A720" s="111"/>
      <c r="B720" s="111"/>
      <c r="C720" s="111"/>
      <c r="D720" s="111"/>
      <c r="E720" s="112"/>
      <c r="F720" s="113"/>
      <c r="G720" s="113"/>
      <c r="H720" s="114"/>
      <c r="I720" s="111"/>
      <c r="J720" s="111"/>
      <c r="K720" s="81"/>
    </row>
    <row r="721" ht="13.5" customHeight="1">
      <c r="A721" s="111"/>
      <c r="B721" s="111"/>
      <c r="C721" s="111"/>
      <c r="D721" s="111"/>
      <c r="E721" s="112"/>
      <c r="F721" s="113"/>
      <c r="G721" s="113"/>
      <c r="H721" s="114"/>
      <c r="I721" s="111"/>
      <c r="J721" s="111"/>
      <c r="K721" s="81"/>
    </row>
    <row r="722" ht="13.5" customHeight="1">
      <c r="A722" s="111"/>
      <c r="B722" s="111"/>
      <c r="C722" s="111"/>
      <c r="D722" s="111"/>
      <c r="E722" s="112"/>
      <c r="F722" s="113"/>
      <c r="G722" s="113"/>
      <c r="H722" s="114"/>
      <c r="I722" s="111"/>
      <c r="J722" s="111"/>
      <c r="K722" s="81"/>
    </row>
    <row r="723" ht="13.5" customHeight="1">
      <c r="A723" s="111"/>
      <c r="B723" s="111"/>
      <c r="C723" s="111"/>
      <c r="D723" s="111"/>
      <c r="E723" s="112"/>
      <c r="F723" s="113"/>
      <c r="G723" s="113"/>
      <c r="H723" s="114"/>
      <c r="I723" s="111"/>
      <c r="J723" s="111"/>
      <c r="K723" s="81"/>
    </row>
    <row r="724" ht="13.5" customHeight="1">
      <c r="A724" s="111"/>
      <c r="B724" s="111"/>
      <c r="C724" s="111"/>
      <c r="D724" s="111"/>
      <c r="E724" s="112"/>
      <c r="F724" s="113"/>
      <c r="G724" s="113"/>
      <c r="H724" s="114"/>
      <c r="I724" s="111"/>
      <c r="J724" s="111"/>
      <c r="K724" s="81"/>
    </row>
    <row r="725" ht="13.5" customHeight="1">
      <c r="A725" s="111"/>
      <c r="B725" s="111"/>
      <c r="C725" s="111"/>
      <c r="D725" s="111"/>
      <c r="E725" s="112"/>
      <c r="F725" s="113"/>
      <c r="G725" s="113"/>
      <c r="H725" s="114"/>
      <c r="I725" s="111"/>
      <c r="J725" s="111"/>
      <c r="K725" s="81"/>
    </row>
    <row r="726" ht="13.5" customHeight="1">
      <c r="A726" s="111"/>
      <c r="B726" s="111"/>
      <c r="C726" s="111"/>
      <c r="D726" s="111"/>
      <c r="E726" s="112"/>
      <c r="F726" s="113"/>
      <c r="G726" s="113"/>
      <c r="H726" s="114"/>
      <c r="I726" s="111"/>
      <c r="J726" s="111"/>
      <c r="K726" s="81"/>
    </row>
    <row r="727" ht="13.5" customHeight="1">
      <c r="A727" s="111"/>
      <c r="B727" s="111"/>
      <c r="C727" s="111"/>
      <c r="D727" s="111"/>
      <c r="E727" s="112"/>
      <c r="F727" s="113"/>
      <c r="G727" s="113"/>
      <c r="H727" s="114"/>
      <c r="I727" s="111"/>
      <c r="J727" s="111"/>
      <c r="K727" s="81"/>
    </row>
    <row r="728" ht="13.5" customHeight="1">
      <c r="A728" s="111"/>
      <c r="B728" s="111"/>
      <c r="C728" s="111"/>
      <c r="D728" s="111"/>
      <c r="E728" s="112"/>
      <c r="F728" s="113"/>
      <c r="G728" s="113"/>
      <c r="H728" s="114"/>
      <c r="I728" s="111"/>
      <c r="J728" s="111"/>
      <c r="K728" s="81"/>
    </row>
    <row r="729" ht="13.5" customHeight="1">
      <c r="A729" s="111"/>
      <c r="B729" s="111"/>
      <c r="C729" s="111"/>
      <c r="D729" s="111"/>
      <c r="E729" s="112"/>
      <c r="F729" s="113"/>
      <c r="G729" s="113"/>
      <c r="H729" s="114"/>
      <c r="I729" s="111"/>
      <c r="J729" s="111"/>
      <c r="K729" s="81"/>
    </row>
    <row r="730" ht="13.5" customHeight="1">
      <c r="A730" s="111"/>
      <c r="B730" s="111"/>
      <c r="C730" s="111"/>
      <c r="D730" s="111"/>
      <c r="E730" s="112"/>
      <c r="F730" s="113"/>
      <c r="G730" s="113"/>
      <c r="H730" s="114"/>
      <c r="I730" s="111"/>
      <c r="J730" s="111"/>
      <c r="K730" s="81"/>
    </row>
    <row r="731" ht="13.5" customHeight="1">
      <c r="A731" s="111"/>
      <c r="B731" s="111"/>
      <c r="C731" s="111"/>
      <c r="D731" s="111"/>
      <c r="E731" s="112"/>
      <c r="F731" s="113"/>
      <c r="G731" s="113"/>
      <c r="H731" s="114"/>
      <c r="I731" s="111"/>
      <c r="J731" s="111"/>
      <c r="K731" s="81"/>
    </row>
    <row r="732" ht="13.5" customHeight="1">
      <c r="A732" s="111"/>
      <c r="B732" s="111"/>
      <c r="C732" s="111"/>
      <c r="D732" s="111"/>
      <c r="E732" s="112"/>
      <c r="F732" s="113"/>
      <c r="G732" s="113"/>
      <c r="H732" s="114"/>
      <c r="I732" s="111"/>
      <c r="J732" s="111"/>
      <c r="K732" s="81"/>
    </row>
    <row r="733" ht="13.5" customHeight="1">
      <c r="A733" s="111"/>
      <c r="B733" s="111"/>
      <c r="C733" s="111"/>
      <c r="D733" s="111"/>
      <c r="E733" s="112"/>
      <c r="F733" s="113"/>
      <c r="G733" s="113"/>
      <c r="H733" s="114"/>
      <c r="I733" s="111"/>
      <c r="J733" s="111"/>
      <c r="K733" s="81"/>
    </row>
    <row r="734" ht="13.5" customHeight="1">
      <c r="A734" s="111"/>
      <c r="B734" s="111"/>
      <c r="C734" s="111"/>
      <c r="D734" s="111"/>
      <c r="E734" s="112"/>
      <c r="F734" s="113"/>
      <c r="G734" s="113"/>
      <c r="H734" s="114"/>
      <c r="I734" s="111"/>
      <c r="J734" s="111"/>
      <c r="K734" s="81"/>
    </row>
    <row r="735" ht="13.5" customHeight="1">
      <c r="A735" s="111"/>
      <c r="B735" s="111"/>
      <c r="C735" s="111"/>
      <c r="D735" s="111"/>
      <c r="E735" s="112"/>
      <c r="F735" s="113"/>
      <c r="G735" s="113"/>
      <c r="H735" s="114"/>
      <c r="I735" s="111"/>
      <c r="J735" s="111"/>
      <c r="K735" s="81"/>
    </row>
    <row r="736" ht="13.5" customHeight="1">
      <c r="A736" s="111"/>
      <c r="B736" s="111"/>
      <c r="C736" s="111"/>
      <c r="D736" s="111"/>
      <c r="E736" s="112"/>
      <c r="F736" s="113"/>
      <c r="G736" s="113"/>
      <c r="H736" s="114"/>
      <c r="I736" s="111"/>
      <c r="J736" s="111"/>
      <c r="K736" s="81"/>
    </row>
    <row r="737" ht="13.5" customHeight="1">
      <c r="A737" s="111"/>
      <c r="B737" s="111"/>
      <c r="C737" s="111"/>
      <c r="D737" s="111"/>
      <c r="E737" s="112"/>
      <c r="F737" s="113"/>
      <c r="G737" s="113"/>
      <c r="H737" s="114"/>
      <c r="I737" s="111"/>
      <c r="J737" s="111"/>
      <c r="K737" s="81"/>
    </row>
    <row r="738" ht="13.5" customHeight="1">
      <c r="A738" s="111"/>
      <c r="B738" s="111"/>
      <c r="C738" s="111"/>
      <c r="D738" s="111"/>
      <c r="E738" s="112"/>
      <c r="F738" s="113"/>
      <c r="G738" s="113"/>
      <c r="H738" s="114"/>
      <c r="I738" s="111"/>
      <c r="J738" s="111"/>
      <c r="K738" s="81"/>
    </row>
    <row r="739" ht="13.5" customHeight="1">
      <c r="A739" s="111"/>
      <c r="B739" s="111"/>
      <c r="C739" s="111"/>
      <c r="D739" s="111"/>
      <c r="E739" s="112"/>
      <c r="F739" s="113"/>
      <c r="G739" s="113"/>
      <c r="H739" s="114"/>
      <c r="I739" s="111"/>
      <c r="J739" s="111"/>
      <c r="K739" s="81"/>
    </row>
    <row r="740" ht="13.5" customHeight="1">
      <c r="A740" s="111"/>
      <c r="B740" s="111"/>
      <c r="C740" s="111"/>
      <c r="D740" s="111"/>
      <c r="E740" s="112"/>
      <c r="F740" s="113"/>
      <c r="G740" s="113"/>
      <c r="H740" s="114"/>
      <c r="I740" s="111"/>
      <c r="J740" s="111"/>
      <c r="K740" s="81"/>
    </row>
    <row r="741" ht="13.5" customHeight="1">
      <c r="A741" s="111"/>
      <c r="B741" s="111"/>
      <c r="C741" s="111"/>
      <c r="D741" s="111"/>
      <c r="E741" s="112"/>
      <c r="F741" s="113"/>
      <c r="G741" s="113"/>
      <c r="H741" s="114"/>
      <c r="I741" s="111"/>
      <c r="J741" s="111"/>
      <c r="K741" s="81"/>
    </row>
    <row r="742" ht="13.5" customHeight="1">
      <c r="A742" s="111"/>
      <c r="B742" s="111"/>
      <c r="C742" s="111"/>
      <c r="D742" s="111"/>
      <c r="E742" s="112"/>
      <c r="F742" s="113"/>
      <c r="G742" s="113"/>
      <c r="H742" s="114"/>
      <c r="I742" s="111"/>
      <c r="J742" s="111"/>
      <c r="K742" s="81"/>
    </row>
    <row r="743" ht="13.5" customHeight="1">
      <c r="A743" s="111"/>
      <c r="B743" s="111"/>
      <c r="C743" s="111"/>
      <c r="D743" s="111"/>
      <c r="E743" s="112"/>
      <c r="F743" s="113"/>
      <c r="G743" s="113"/>
      <c r="H743" s="114"/>
      <c r="I743" s="111"/>
      <c r="J743" s="111"/>
      <c r="K743" s="81"/>
    </row>
    <row r="744" ht="13.5" customHeight="1">
      <c r="A744" s="111"/>
      <c r="B744" s="111"/>
      <c r="C744" s="111"/>
      <c r="D744" s="111"/>
      <c r="E744" s="112"/>
      <c r="F744" s="113"/>
      <c r="G744" s="113"/>
      <c r="H744" s="114"/>
      <c r="I744" s="111"/>
      <c r="J744" s="111"/>
      <c r="K744" s="81"/>
    </row>
    <row r="745" ht="13.5" customHeight="1">
      <c r="A745" s="111"/>
      <c r="B745" s="111"/>
      <c r="C745" s="111"/>
      <c r="D745" s="111"/>
      <c r="E745" s="112"/>
      <c r="F745" s="113"/>
      <c r="G745" s="113"/>
      <c r="H745" s="114"/>
      <c r="I745" s="111"/>
      <c r="J745" s="111"/>
      <c r="K745" s="81"/>
    </row>
    <row r="746" ht="13.5" customHeight="1">
      <c r="A746" s="111"/>
      <c r="B746" s="111"/>
      <c r="C746" s="111"/>
      <c r="D746" s="111"/>
      <c r="E746" s="112"/>
      <c r="F746" s="113"/>
      <c r="G746" s="113"/>
      <c r="H746" s="114"/>
      <c r="I746" s="111"/>
      <c r="J746" s="111"/>
      <c r="K746" s="81"/>
    </row>
    <row r="747" ht="13.5" customHeight="1">
      <c r="A747" s="111"/>
      <c r="B747" s="111"/>
      <c r="C747" s="111"/>
      <c r="D747" s="111"/>
      <c r="E747" s="112"/>
      <c r="F747" s="113"/>
      <c r="G747" s="113"/>
      <c r="H747" s="114"/>
      <c r="I747" s="111"/>
      <c r="J747" s="111"/>
      <c r="K747" s="81"/>
    </row>
    <row r="748" ht="13.5" customHeight="1">
      <c r="A748" s="111"/>
      <c r="B748" s="111"/>
      <c r="C748" s="111"/>
      <c r="D748" s="111"/>
      <c r="E748" s="112"/>
      <c r="F748" s="113"/>
      <c r="G748" s="113"/>
      <c r="H748" s="114"/>
      <c r="I748" s="111"/>
      <c r="J748" s="111"/>
      <c r="K748" s="81"/>
    </row>
    <row r="749" ht="13.5" customHeight="1">
      <c r="A749" s="111"/>
      <c r="B749" s="111"/>
      <c r="C749" s="111"/>
      <c r="D749" s="111"/>
      <c r="E749" s="112"/>
      <c r="F749" s="113"/>
      <c r="G749" s="113"/>
      <c r="H749" s="114"/>
      <c r="I749" s="111"/>
      <c r="J749" s="111"/>
      <c r="K749" s="81"/>
    </row>
    <row r="750" ht="13.5" customHeight="1">
      <c r="A750" s="111"/>
      <c r="B750" s="111"/>
      <c r="C750" s="111"/>
      <c r="D750" s="111"/>
      <c r="E750" s="112"/>
      <c r="F750" s="113"/>
      <c r="G750" s="113"/>
      <c r="H750" s="114"/>
      <c r="I750" s="111"/>
      <c r="J750" s="111"/>
      <c r="K750" s="81"/>
    </row>
    <row r="751" ht="13.5" customHeight="1">
      <c r="A751" s="111"/>
      <c r="B751" s="111"/>
      <c r="C751" s="111"/>
      <c r="D751" s="111"/>
      <c r="E751" s="112"/>
      <c r="F751" s="113"/>
      <c r="G751" s="113"/>
      <c r="H751" s="114"/>
      <c r="I751" s="111"/>
      <c r="J751" s="111"/>
      <c r="K751" s="81"/>
    </row>
    <row r="752" ht="13.5" customHeight="1">
      <c r="A752" s="111"/>
      <c r="B752" s="111"/>
      <c r="C752" s="111"/>
      <c r="D752" s="111"/>
      <c r="E752" s="112"/>
      <c r="F752" s="113"/>
      <c r="G752" s="113"/>
      <c r="H752" s="114"/>
      <c r="I752" s="111"/>
      <c r="J752" s="111"/>
      <c r="K752" s="81"/>
    </row>
    <row r="753" ht="13.5" customHeight="1">
      <c r="A753" s="111"/>
      <c r="B753" s="111"/>
      <c r="C753" s="111"/>
      <c r="D753" s="111"/>
      <c r="E753" s="112"/>
      <c r="F753" s="113"/>
      <c r="G753" s="113"/>
      <c r="H753" s="114"/>
      <c r="I753" s="111"/>
      <c r="J753" s="111"/>
      <c r="K753" s="81"/>
    </row>
    <row r="754" ht="13.5" customHeight="1">
      <c r="A754" s="111"/>
      <c r="B754" s="111"/>
      <c r="C754" s="111"/>
      <c r="D754" s="111"/>
      <c r="E754" s="112"/>
      <c r="F754" s="113"/>
      <c r="G754" s="113"/>
      <c r="H754" s="114"/>
      <c r="I754" s="111"/>
      <c r="J754" s="111"/>
      <c r="K754" s="81"/>
    </row>
    <row r="755" ht="13.5" customHeight="1">
      <c r="A755" s="111"/>
      <c r="B755" s="111"/>
      <c r="C755" s="111"/>
      <c r="D755" s="111"/>
      <c r="E755" s="112"/>
      <c r="F755" s="113"/>
      <c r="G755" s="113"/>
      <c r="H755" s="114"/>
      <c r="I755" s="111"/>
      <c r="J755" s="111"/>
      <c r="K755" s="81"/>
    </row>
    <row r="756" ht="13.5" customHeight="1">
      <c r="A756" s="111"/>
      <c r="B756" s="111"/>
      <c r="C756" s="111"/>
      <c r="D756" s="111"/>
      <c r="E756" s="112"/>
      <c r="F756" s="113"/>
      <c r="G756" s="113"/>
      <c r="H756" s="114"/>
      <c r="I756" s="111"/>
      <c r="J756" s="111"/>
      <c r="K756" s="81"/>
    </row>
    <row r="757" ht="13.5" customHeight="1">
      <c r="A757" s="111"/>
      <c r="B757" s="111"/>
      <c r="C757" s="111"/>
      <c r="D757" s="111"/>
      <c r="E757" s="112"/>
      <c r="F757" s="113"/>
      <c r="G757" s="113"/>
      <c r="H757" s="114"/>
      <c r="I757" s="111"/>
      <c r="J757" s="111"/>
      <c r="K757" s="81"/>
    </row>
    <row r="758" ht="13.5" customHeight="1">
      <c r="A758" s="111"/>
      <c r="B758" s="111"/>
      <c r="C758" s="111"/>
      <c r="D758" s="111"/>
      <c r="E758" s="112"/>
      <c r="F758" s="113"/>
      <c r="G758" s="113"/>
      <c r="H758" s="114"/>
      <c r="I758" s="111"/>
      <c r="J758" s="111"/>
      <c r="K758" s="81"/>
    </row>
    <row r="759" ht="13.5" customHeight="1">
      <c r="A759" s="111"/>
      <c r="B759" s="111"/>
      <c r="C759" s="111"/>
      <c r="D759" s="111"/>
      <c r="E759" s="112"/>
      <c r="F759" s="113"/>
      <c r="G759" s="113"/>
      <c r="H759" s="114"/>
      <c r="I759" s="111"/>
      <c r="J759" s="111"/>
      <c r="K759" s="81"/>
    </row>
    <row r="760" ht="13.5" customHeight="1">
      <c r="A760" s="111"/>
      <c r="B760" s="111"/>
      <c r="C760" s="111"/>
      <c r="D760" s="111"/>
      <c r="E760" s="112"/>
      <c r="F760" s="113"/>
      <c r="G760" s="113"/>
      <c r="H760" s="114"/>
      <c r="I760" s="111"/>
      <c r="J760" s="111"/>
      <c r="K760" s="81"/>
    </row>
    <row r="761" ht="13.5" customHeight="1">
      <c r="A761" s="111"/>
      <c r="B761" s="111"/>
      <c r="C761" s="111"/>
      <c r="D761" s="111"/>
      <c r="E761" s="112"/>
      <c r="F761" s="113"/>
      <c r="G761" s="113"/>
      <c r="H761" s="114"/>
      <c r="I761" s="111"/>
      <c r="J761" s="111"/>
      <c r="K761" s="81"/>
    </row>
    <row r="762" ht="13.5" customHeight="1">
      <c r="A762" s="111"/>
      <c r="B762" s="111"/>
      <c r="C762" s="111"/>
      <c r="D762" s="111"/>
      <c r="E762" s="112"/>
      <c r="F762" s="113"/>
      <c r="G762" s="113"/>
      <c r="H762" s="114"/>
      <c r="I762" s="111"/>
      <c r="J762" s="111"/>
      <c r="K762" s="81"/>
    </row>
    <row r="763" ht="13.5" customHeight="1">
      <c r="A763" s="111"/>
      <c r="B763" s="111"/>
      <c r="C763" s="111"/>
      <c r="D763" s="111"/>
      <c r="E763" s="112"/>
      <c r="F763" s="113"/>
      <c r="G763" s="113"/>
      <c r="H763" s="114"/>
      <c r="I763" s="111"/>
      <c r="J763" s="111"/>
      <c r="K763" s="81"/>
    </row>
    <row r="764" ht="13.5" customHeight="1">
      <c r="A764" s="111"/>
      <c r="B764" s="111"/>
      <c r="C764" s="111"/>
      <c r="D764" s="111"/>
      <c r="E764" s="112"/>
      <c r="F764" s="113"/>
      <c r="G764" s="113"/>
      <c r="H764" s="114"/>
      <c r="I764" s="111"/>
      <c r="J764" s="111"/>
      <c r="K764" s="81"/>
    </row>
    <row r="765" ht="13.5" customHeight="1">
      <c r="A765" s="111"/>
      <c r="B765" s="111"/>
      <c r="C765" s="111"/>
      <c r="D765" s="111"/>
      <c r="E765" s="112"/>
      <c r="F765" s="113"/>
      <c r="G765" s="113"/>
      <c r="H765" s="114"/>
      <c r="I765" s="111"/>
      <c r="J765" s="111"/>
      <c r="K765" s="81"/>
    </row>
    <row r="766" ht="13.5" customHeight="1">
      <c r="A766" s="111"/>
      <c r="B766" s="111"/>
      <c r="C766" s="111"/>
      <c r="D766" s="111"/>
      <c r="E766" s="112"/>
      <c r="F766" s="113"/>
      <c r="G766" s="113"/>
      <c r="H766" s="114"/>
      <c r="I766" s="111"/>
      <c r="J766" s="111"/>
      <c r="K766" s="81"/>
    </row>
    <row r="767" ht="13.5" customHeight="1">
      <c r="A767" s="111"/>
      <c r="B767" s="111"/>
      <c r="C767" s="111"/>
      <c r="D767" s="111"/>
      <c r="E767" s="112"/>
      <c r="F767" s="113"/>
      <c r="G767" s="113"/>
      <c r="H767" s="114"/>
      <c r="I767" s="111"/>
      <c r="J767" s="111"/>
      <c r="K767" s="81"/>
    </row>
    <row r="768" ht="13.5" customHeight="1">
      <c r="A768" s="111"/>
      <c r="B768" s="111"/>
      <c r="C768" s="111"/>
      <c r="D768" s="111"/>
      <c r="E768" s="112"/>
      <c r="F768" s="113"/>
      <c r="G768" s="113"/>
      <c r="H768" s="114"/>
      <c r="I768" s="111"/>
      <c r="J768" s="111"/>
      <c r="K768" s="81"/>
    </row>
    <row r="769" ht="13.5" customHeight="1">
      <c r="A769" s="111"/>
      <c r="B769" s="111"/>
      <c r="C769" s="111"/>
      <c r="D769" s="111"/>
      <c r="E769" s="112"/>
      <c r="F769" s="113"/>
      <c r="G769" s="113"/>
      <c r="H769" s="114"/>
      <c r="I769" s="111"/>
      <c r="J769" s="111"/>
      <c r="K769" s="81"/>
    </row>
    <row r="770" ht="13.5" customHeight="1">
      <c r="A770" s="111"/>
      <c r="B770" s="111"/>
      <c r="C770" s="111"/>
      <c r="D770" s="111"/>
      <c r="E770" s="112"/>
      <c r="F770" s="113"/>
      <c r="G770" s="113"/>
      <c r="H770" s="114"/>
      <c r="I770" s="111"/>
      <c r="J770" s="111"/>
      <c r="K770" s="81"/>
    </row>
    <row r="771" ht="13.5" customHeight="1">
      <c r="A771" s="111"/>
      <c r="B771" s="111"/>
      <c r="C771" s="111"/>
      <c r="D771" s="111"/>
      <c r="E771" s="112"/>
      <c r="F771" s="113"/>
      <c r="G771" s="113"/>
      <c r="H771" s="114"/>
      <c r="I771" s="111"/>
      <c r="J771" s="111"/>
      <c r="K771" s="81"/>
    </row>
    <row r="772" ht="13.5" customHeight="1">
      <c r="A772" s="111"/>
      <c r="B772" s="111"/>
      <c r="C772" s="111"/>
      <c r="D772" s="111"/>
      <c r="E772" s="112"/>
      <c r="F772" s="113"/>
      <c r="G772" s="113"/>
      <c r="H772" s="114"/>
      <c r="I772" s="111"/>
      <c r="J772" s="111"/>
      <c r="K772" s="81"/>
    </row>
    <row r="773" ht="13.5" customHeight="1">
      <c r="A773" s="111"/>
      <c r="B773" s="111"/>
      <c r="C773" s="111"/>
      <c r="D773" s="111"/>
      <c r="E773" s="112"/>
      <c r="F773" s="113"/>
      <c r="G773" s="113"/>
      <c r="H773" s="114"/>
      <c r="I773" s="111"/>
      <c r="J773" s="111"/>
      <c r="K773" s="81"/>
    </row>
    <row r="774" ht="13.5" customHeight="1">
      <c r="A774" s="111"/>
      <c r="B774" s="111"/>
      <c r="C774" s="111"/>
      <c r="D774" s="111"/>
      <c r="E774" s="112"/>
      <c r="F774" s="113"/>
      <c r="G774" s="113"/>
      <c r="H774" s="114"/>
      <c r="I774" s="111"/>
      <c r="J774" s="111"/>
      <c r="K774" s="81"/>
    </row>
    <row r="775" ht="13.5" customHeight="1">
      <c r="A775" s="111"/>
      <c r="B775" s="111"/>
      <c r="C775" s="111"/>
      <c r="D775" s="111"/>
      <c r="E775" s="112"/>
      <c r="F775" s="113"/>
      <c r="G775" s="113"/>
      <c r="H775" s="114"/>
      <c r="I775" s="111"/>
      <c r="J775" s="111"/>
      <c r="K775" s="81"/>
    </row>
    <row r="776" ht="13.5" customHeight="1">
      <c r="A776" s="111"/>
      <c r="B776" s="111"/>
      <c r="C776" s="111"/>
      <c r="D776" s="111"/>
      <c r="E776" s="112"/>
      <c r="F776" s="113"/>
      <c r="G776" s="113"/>
      <c r="H776" s="114"/>
      <c r="I776" s="111"/>
      <c r="J776" s="111"/>
      <c r="K776" s="81"/>
    </row>
    <row r="777" ht="13.5" customHeight="1">
      <c r="A777" s="111"/>
      <c r="B777" s="111"/>
      <c r="C777" s="111"/>
      <c r="D777" s="111"/>
      <c r="E777" s="112"/>
      <c r="F777" s="113"/>
      <c r="G777" s="113"/>
      <c r="H777" s="114"/>
      <c r="I777" s="111"/>
      <c r="J777" s="111"/>
      <c r="K777" s="81"/>
    </row>
    <row r="778" ht="13.5" customHeight="1">
      <c r="A778" s="111"/>
      <c r="B778" s="111"/>
      <c r="C778" s="111"/>
      <c r="D778" s="111"/>
      <c r="E778" s="112"/>
      <c r="F778" s="113"/>
      <c r="G778" s="113"/>
      <c r="H778" s="114"/>
      <c r="I778" s="111"/>
      <c r="J778" s="111"/>
      <c r="K778" s="81"/>
    </row>
    <row r="779" ht="13.5" customHeight="1">
      <c r="A779" s="111"/>
      <c r="B779" s="111"/>
      <c r="C779" s="111"/>
      <c r="D779" s="111"/>
      <c r="E779" s="112"/>
      <c r="F779" s="113"/>
      <c r="G779" s="113"/>
      <c r="H779" s="114"/>
      <c r="I779" s="111"/>
      <c r="J779" s="111"/>
      <c r="K779" s="81"/>
    </row>
    <row r="780" ht="13.5" customHeight="1">
      <c r="A780" s="111"/>
      <c r="B780" s="111"/>
      <c r="C780" s="111"/>
      <c r="D780" s="111"/>
      <c r="E780" s="112"/>
      <c r="F780" s="113"/>
      <c r="G780" s="113"/>
      <c r="H780" s="114"/>
      <c r="I780" s="111"/>
      <c r="J780" s="111"/>
      <c r="K780" s="81"/>
    </row>
    <row r="781" ht="13.5" customHeight="1">
      <c r="A781" s="111"/>
      <c r="B781" s="111"/>
      <c r="C781" s="111"/>
      <c r="D781" s="111"/>
      <c r="E781" s="112"/>
      <c r="F781" s="113"/>
      <c r="G781" s="113"/>
      <c r="H781" s="114"/>
      <c r="I781" s="111"/>
      <c r="J781" s="111"/>
      <c r="K781" s="81"/>
    </row>
    <row r="782" ht="13.5" customHeight="1">
      <c r="A782" s="111"/>
      <c r="B782" s="111"/>
      <c r="C782" s="111"/>
      <c r="D782" s="111"/>
      <c r="E782" s="112"/>
      <c r="F782" s="113"/>
      <c r="G782" s="113"/>
      <c r="H782" s="114"/>
      <c r="I782" s="111"/>
      <c r="J782" s="111"/>
      <c r="K782" s="81"/>
    </row>
    <row r="783" ht="13.5" customHeight="1">
      <c r="A783" s="111"/>
      <c r="B783" s="111"/>
      <c r="C783" s="111"/>
      <c r="D783" s="111"/>
      <c r="E783" s="112"/>
      <c r="F783" s="113"/>
      <c r="G783" s="113"/>
      <c r="H783" s="114"/>
      <c r="I783" s="111"/>
      <c r="J783" s="111"/>
      <c r="K783" s="81"/>
    </row>
    <row r="784" ht="13.5" customHeight="1">
      <c r="A784" s="111"/>
      <c r="B784" s="111"/>
      <c r="C784" s="111"/>
      <c r="D784" s="111"/>
      <c r="E784" s="112"/>
      <c r="F784" s="113"/>
      <c r="G784" s="113"/>
      <c r="H784" s="114"/>
      <c r="I784" s="111"/>
      <c r="J784" s="111"/>
      <c r="K784" s="81"/>
    </row>
    <row r="785" ht="13.5" customHeight="1">
      <c r="A785" s="111"/>
      <c r="B785" s="111"/>
      <c r="C785" s="111"/>
      <c r="D785" s="111"/>
      <c r="E785" s="112"/>
      <c r="F785" s="113"/>
      <c r="G785" s="113"/>
      <c r="H785" s="114"/>
      <c r="I785" s="111"/>
      <c r="J785" s="111"/>
      <c r="K785" s="81"/>
    </row>
    <row r="786" ht="13.5" customHeight="1">
      <c r="A786" s="111"/>
      <c r="B786" s="111"/>
      <c r="C786" s="111"/>
      <c r="D786" s="111"/>
      <c r="E786" s="112"/>
      <c r="F786" s="113"/>
      <c r="G786" s="113"/>
      <c r="H786" s="114"/>
      <c r="I786" s="111"/>
      <c r="J786" s="111"/>
      <c r="K786" s="81"/>
    </row>
    <row r="787" ht="13.5" customHeight="1">
      <c r="A787" s="111"/>
      <c r="B787" s="111"/>
      <c r="C787" s="111"/>
      <c r="D787" s="111"/>
      <c r="E787" s="112"/>
      <c r="F787" s="113"/>
      <c r="G787" s="113"/>
      <c r="H787" s="114"/>
      <c r="I787" s="111"/>
      <c r="J787" s="111"/>
      <c r="K787" s="81"/>
    </row>
    <row r="788" ht="13.5" customHeight="1">
      <c r="A788" s="111"/>
      <c r="B788" s="111"/>
      <c r="C788" s="111"/>
      <c r="D788" s="111"/>
      <c r="E788" s="112"/>
      <c r="F788" s="113"/>
      <c r="G788" s="113"/>
      <c r="H788" s="114"/>
      <c r="I788" s="111"/>
      <c r="J788" s="111"/>
      <c r="K788" s="81"/>
    </row>
    <row r="789" ht="13.5" customHeight="1">
      <c r="A789" s="111"/>
      <c r="B789" s="111"/>
      <c r="C789" s="111"/>
      <c r="D789" s="111"/>
      <c r="E789" s="112"/>
      <c r="F789" s="113"/>
      <c r="G789" s="113"/>
      <c r="H789" s="114"/>
      <c r="I789" s="111"/>
      <c r="J789" s="111"/>
      <c r="K789" s="81"/>
    </row>
    <row r="790" ht="13.5" customHeight="1">
      <c r="A790" s="111"/>
      <c r="B790" s="111"/>
      <c r="C790" s="111"/>
      <c r="D790" s="111"/>
      <c r="E790" s="112"/>
      <c r="F790" s="113"/>
      <c r="G790" s="113"/>
      <c r="H790" s="114"/>
      <c r="I790" s="111"/>
      <c r="J790" s="111"/>
      <c r="K790" s="81"/>
    </row>
    <row r="791" ht="13.5" customHeight="1">
      <c r="A791" s="111"/>
      <c r="B791" s="111"/>
      <c r="C791" s="111"/>
      <c r="D791" s="111"/>
      <c r="E791" s="112"/>
      <c r="F791" s="113"/>
      <c r="G791" s="113"/>
      <c r="H791" s="114"/>
      <c r="I791" s="111"/>
      <c r="J791" s="111"/>
      <c r="K791" s="81"/>
    </row>
    <row r="792" ht="13.5" customHeight="1">
      <c r="A792" s="111"/>
      <c r="B792" s="111"/>
      <c r="C792" s="111"/>
      <c r="D792" s="111"/>
      <c r="E792" s="112"/>
      <c r="F792" s="113"/>
      <c r="G792" s="113"/>
      <c r="H792" s="114"/>
      <c r="I792" s="111"/>
      <c r="J792" s="111"/>
      <c r="K792" s="81"/>
    </row>
    <row r="793" ht="13.5" customHeight="1">
      <c r="A793" s="111"/>
      <c r="B793" s="111"/>
      <c r="C793" s="111"/>
      <c r="D793" s="111"/>
      <c r="E793" s="112"/>
      <c r="F793" s="113"/>
      <c r="G793" s="113"/>
      <c r="H793" s="114"/>
      <c r="I793" s="111"/>
      <c r="J793" s="111"/>
      <c r="K793" s="81"/>
    </row>
    <row r="794" ht="13.5" customHeight="1">
      <c r="A794" s="111"/>
      <c r="B794" s="111"/>
      <c r="C794" s="111"/>
      <c r="D794" s="111"/>
      <c r="E794" s="112"/>
      <c r="F794" s="113"/>
      <c r="G794" s="113"/>
      <c r="H794" s="114"/>
      <c r="I794" s="111"/>
      <c r="J794" s="111"/>
      <c r="K794" s="81"/>
    </row>
    <row r="795" ht="13.5" customHeight="1">
      <c r="A795" s="111"/>
      <c r="B795" s="111"/>
      <c r="C795" s="111"/>
      <c r="D795" s="111"/>
      <c r="E795" s="112"/>
      <c r="F795" s="113"/>
      <c r="G795" s="113"/>
      <c r="H795" s="114"/>
      <c r="I795" s="111"/>
      <c r="J795" s="111"/>
      <c r="K795" s="81"/>
    </row>
    <row r="796" ht="13.5" customHeight="1">
      <c r="A796" s="111"/>
      <c r="B796" s="111"/>
      <c r="C796" s="111"/>
      <c r="D796" s="111"/>
      <c r="E796" s="112"/>
      <c r="F796" s="113"/>
      <c r="G796" s="113"/>
      <c r="H796" s="114"/>
      <c r="I796" s="111"/>
      <c r="J796" s="111"/>
      <c r="K796" s="81"/>
    </row>
    <row r="797" ht="13.5" customHeight="1">
      <c r="A797" s="111"/>
      <c r="B797" s="111"/>
      <c r="C797" s="111"/>
      <c r="D797" s="111"/>
      <c r="E797" s="112"/>
      <c r="F797" s="113"/>
      <c r="G797" s="113"/>
      <c r="H797" s="114"/>
      <c r="I797" s="111"/>
      <c r="J797" s="111"/>
      <c r="K797" s="81"/>
    </row>
    <row r="798" ht="13.5" customHeight="1">
      <c r="A798" s="111"/>
      <c r="B798" s="111"/>
      <c r="C798" s="111"/>
      <c r="D798" s="111"/>
      <c r="E798" s="112"/>
      <c r="F798" s="113"/>
      <c r="G798" s="113"/>
      <c r="H798" s="114"/>
      <c r="I798" s="111"/>
      <c r="J798" s="111"/>
      <c r="K798" s="81"/>
    </row>
    <row r="799" ht="13.5" customHeight="1">
      <c r="A799" s="111"/>
      <c r="B799" s="111"/>
      <c r="C799" s="111"/>
      <c r="D799" s="111"/>
      <c r="E799" s="112"/>
      <c r="F799" s="113"/>
      <c r="G799" s="113"/>
      <c r="H799" s="114"/>
      <c r="I799" s="111"/>
      <c r="J799" s="111"/>
      <c r="K799" s="81"/>
    </row>
    <row r="800" ht="13.5" customHeight="1">
      <c r="A800" s="111"/>
      <c r="B800" s="111"/>
      <c r="C800" s="111"/>
      <c r="D800" s="111"/>
      <c r="E800" s="112"/>
      <c r="F800" s="113"/>
      <c r="G800" s="113"/>
      <c r="H800" s="114"/>
      <c r="I800" s="111"/>
      <c r="J800" s="111"/>
      <c r="K800" s="81"/>
    </row>
    <row r="801" ht="13.5" customHeight="1">
      <c r="A801" s="111"/>
      <c r="B801" s="111"/>
      <c r="C801" s="111"/>
      <c r="D801" s="111"/>
      <c r="E801" s="112"/>
      <c r="F801" s="113"/>
      <c r="G801" s="113"/>
      <c r="H801" s="114"/>
      <c r="I801" s="111"/>
      <c r="J801" s="111"/>
      <c r="K801" s="81"/>
    </row>
    <row r="802" ht="13.5" customHeight="1">
      <c r="A802" s="111"/>
      <c r="B802" s="111"/>
      <c r="C802" s="111"/>
      <c r="D802" s="111"/>
      <c r="E802" s="112"/>
      <c r="F802" s="113"/>
      <c r="G802" s="113"/>
      <c r="H802" s="114"/>
      <c r="I802" s="111"/>
      <c r="J802" s="111"/>
      <c r="K802" s="81"/>
    </row>
    <row r="803" ht="13.5" customHeight="1">
      <c r="A803" s="111"/>
      <c r="B803" s="111"/>
      <c r="C803" s="111"/>
      <c r="D803" s="111"/>
      <c r="E803" s="112"/>
      <c r="F803" s="113"/>
      <c r="G803" s="113"/>
      <c r="H803" s="114"/>
      <c r="I803" s="111"/>
      <c r="J803" s="111"/>
      <c r="K803" s="81"/>
    </row>
    <row r="804" ht="13.5" customHeight="1">
      <c r="A804" s="111"/>
      <c r="B804" s="111"/>
      <c r="C804" s="111"/>
      <c r="D804" s="111"/>
      <c r="E804" s="112"/>
      <c r="F804" s="113"/>
      <c r="G804" s="113"/>
      <c r="H804" s="114"/>
      <c r="I804" s="111"/>
      <c r="J804" s="111"/>
      <c r="K804" s="81"/>
    </row>
    <row r="805" ht="13.5" customHeight="1">
      <c r="A805" s="111"/>
      <c r="B805" s="111"/>
      <c r="C805" s="111"/>
      <c r="D805" s="111"/>
      <c r="E805" s="112"/>
      <c r="F805" s="113"/>
      <c r="G805" s="113"/>
      <c r="H805" s="114"/>
      <c r="I805" s="111"/>
      <c r="J805" s="111"/>
      <c r="K805" s="81"/>
    </row>
    <row r="806" ht="13.5" customHeight="1">
      <c r="A806" s="111"/>
      <c r="B806" s="111"/>
      <c r="C806" s="111"/>
      <c r="D806" s="111"/>
      <c r="E806" s="112"/>
      <c r="F806" s="113"/>
      <c r="G806" s="113"/>
      <c r="H806" s="114"/>
      <c r="I806" s="111"/>
      <c r="J806" s="111"/>
      <c r="K806" s="81"/>
    </row>
    <row r="807" ht="13.5" customHeight="1">
      <c r="A807" s="111"/>
      <c r="B807" s="111"/>
      <c r="C807" s="111"/>
      <c r="D807" s="111"/>
      <c r="E807" s="112"/>
      <c r="F807" s="113"/>
      <c r="G807" s="113"/>
      <c r="H807" s="114"/>
      <c r="I807" s="111"/>
      <c r="J807" s="111"/>
      <c r="K807" s="81"/>
    </row>
    <row r="808" ht="13.5" customHeight="1">
      <c r="A808" s="111"/>
      <c r="B808" s="111"/>
      <c r="C808" s="111"/>
      <c r="D808" s="111"/>
      <c r="E808" s="112"/>
      <c r="F808" s="113"/>
      <c r="G808" s="113"/>
      <c r="H808" s="114"/>
      <c r="I808" s="111"/>
      <c r="J808" s="111"/>
      <c r="K808" s="81"/>
    </row>
    <row r="809" ht="13.5" customHeight="1">
      <c r="A809" s="111"/>
      <c r="B809" s="111"/>
      <c r="C809" s="111"/>
      <c r="D809" s="111"/>
      <c r="E809" s="112"/>
      <c r="F809" s="113"/>
      <c r="G809" s="113"/>
      <c r="H809" s="114"/>
      <c r="I809" s="111"/>
      <c r="J809" s="111"/>
      <c r="K809" s="81"/>
    </row>
    <row r="810" ht="13.5" customHeight="1">
      <c r="A810" s="111"/>
      <c r="B810" s="111"/>
      <c r="C810" s="111"/>
      <c r="D810" s="111"/>
      <c r="E810" s="112"/>
      <c r="F810" s="113"/>
      <c r="G810" s="113"/>
      <c r="H810" s="114"/>
      <c r="I810" s="111"/>
      <c r="J810" s="111"/>
      <c r="K810" s="81"/>
    </row>
    <row r="811" ht="13.5" customHeight="1">
      <c r="A811" s="111"/>
      <c r="B811" s="111"/>
      <c r="C811" s="111"/>
      <c r="D811" s="111"/>
      <c r="E811" s="112"/>
      <c r="F811" s="113"/>
      <c r="G811" s="113"/>
      <c r="H811" s="114"/>
      <c r="I811" s="111"/>
      <c r="J811" s="111"/>
      <c r="K811" s="81"/>
    </row>
    <row r="812" ht="13.5" customHeight="1">
      <c r="A812" s="111"/>
      <c r="B812" s="111"/>
      <c r="C812" s="111"/>
      <c r="D812" s="111"/>
      <c r="E812" s="112"/>
      <c r="F812" s="113"/>
      <c r="G812" s="113"/>
      <c r="H812" s="114"/>
      <c r="I812" s="111"/>
      <c r="J812" s="111"/>
      <c r="K812" s="81"/>
    </row>
    <row r="813" ht="13.5" customHeight="1">
      <c r="A813" s="111"/>
      <c r="B813" s="111"/>
      <c r="C813" s="111"/>
      <c r="D813" s="111"/>
      <c r="E813" s="112"/>
      <c r="F813" s="113"/>
      <c r="G813" s="113"/>
      <c r="H813" s="114"/>
      <c r="I813" s="111"/>
      <c r="J813" s="111"/>
      <c r="K813" s="81"/>
    </row>
    <row r="814" ht="13.5" customHeight="1">
      <c r="A814" s="111"/>
      <c r="B814" s="111"/>
      <c r="C814" s="111"/>
      <c r="D814" s="111"/>
      <c r="E814" s="112"/>
      <c r="F814" s="113"/>
      <c r="G814" s="113"/>
      <c r="H814" s="114"/>
      <c r="I814" s="111"/>
      <c r="J814" s="111"/>
      <c r="K814" s="81"/>
    </row>
    <row r="815" ht="13.5" customHeight="1">
      <c r="A815" s="111"/>
      <c r="B815" s="111"/>
      <c r="C815" s="111"/>
      <c r="D815" s="111"/>
      <c r="E815" s="112"/>
      <c r="F815" s="113"/>
      <c r="G815" s="113"/>
      <c r="H815" s="114"/>
      <c r="I815" s="111"/>
      <c r="J815" s="111"/>
      <c r="K815" s="81"/>
    </row>
    <row r="816" ht="13.5" customHeight="1">
      <c r="A816" s="111"/>
      <c r="B816" s="111"/>
      <c r="C816" s="111"/>
      <c r="D816" s="111"/>
      <c r="E816" s="112"/>
      <c r="F816" s="113"/>
      <c r="G816" s="113"/>
      <c r="H816" s="114"/>
      <c r="I816" s="111"/>
      <c r="J816" s="111"/>
      <c r="K816" s="81"/>
    </row>
    <row r="817" ht="13.5" customHeight="1">
      <c r="A817" s="111"/>
      <c r="B817" s="111"/>
      <c r="C817" s="111"/>
      <c r="D817" s="111"/>
      <c r="E817" s="112"/>
      <c r="F817" s="113"/>
      <c r="G817" s="113"/>
      <c r="H817" s="114"/>
      <c r="I817" s="111"/>
      <c r="J817" s="111"/>
      <c r="K817" s="81"/>
    </row>
    <row r="818" ht="13.5" customHeight="1">
      <c r="A818" s="111"/>
      <c r="B818" s="111"/>
      <c r="C818" s="111"/>
      <c r="D818" s="111"/>
      <c r="E818" s="112"/>
      <c r="F818" s="113"/>
      <c r="G818" s="113"/>
      <c r="H818" s="114"/>
      <c r="I818" s="111"/>
      <c r="J818" s="111"/>
      <c r="K818" s="81"/>
    </row>
    <row r="819" ht="13.5" customHeight="1">
      <c r="A819" s="111"/>
      <c r="B819" s="111"/>
      <c r="C819" s="111"/>
      <c r="D819" s="111"/>
      <c r="E819" s="112"/>
      <c r="F819" s="113"/>
      <c r="G819" s="113"/>
      <c r="H819" s="114"/>
      <c r="I819" s="111"/>
      <c r="J819" s="111"/>
      <c r="K819" s="81"/>
    </row>
    <row r="820" ht="13.5" customHeight="1">
      <c r="A820" s="111"/>
      <c r="B820" s="111"/>
      <c r="C820" s="111"/>
      <c r="D820" s="111"/>
      <c r="E820" s="112"/>
      <c r="F820" s="113"/>
      <c r="G820" s="113"/>
      <c r="H820" s="114"/>
      <c r="I820" s="111"/>
      <c r="J820" s="111"/>
      <c r="K820" s="81"/>
    </row>
    <row r="821" ht="13.5" customHeight="1">
      <c r="A821" s="111"/>
      <c r="B821" s="111"/>
      <c r="C821" s="111"/>
      <c r="D821" s="111"/>
      <c r="E821" s="112"/>
      <c r="F821" s="113"/>
      <c r="G821" s="113"/>
      <c r="H821" s="114"/>
      <c r="I821" s="111"/>
      <c r="J821" s="111"/>
      <c r="K821" s="81"/>
    </row>
    <row r="822" ht="13.5" customHeight="1">
      <c r="A822" s="111"/>
      <c r="B822" s="111"/>
      <c r="C822" s="111"/>
      <c r="D822" s="111"/>
      <c r="E822" s="112"/>
      <c r="F822" s="113"/>
      <c r="G822" s="113"/>
      <c r="H822" s="114"/>
      <c r="I822" s="111"/>
      <c r="J822" s="111"/>
      <c r="K822" s="81"/>
    </row>
    <row r="823" ht="13.5" customHeight="1">
      <c r="A823" s="111"/>
      <c r="B823" s="111"/>
      <c r="C823" s="111"/>
      <c r="D823" s="111"/>
      <c r="E823" s="112"/>
      <c r="F823" s="113"/>
      <c r="G823" s="113"/>
      <c r="H823" s="114"/>
      <c r="I823" s="111"/>
      <c r="J823" s="111"/>
      <c r="K823" s="81"/>
    </row>
    <row r="824" ht="13.5" customHeight="1">
      <c r="A824" s="111"/>
      <c r="B824" s="111"/>
      <c r="C824" s="111"/>
      <c r="D824" s="111"/>
      <c r="E824" s="112"/>
      <c r="F824" s="113"/>
      <c r="G824" s="113"/>
      <c r="H824" s="114"/>
      <c r="I824" s="111"/>
      <c r="J824" s="111"/>
      <c r="K824" s="81"/>
    </row>
    <row r="825" ht="13.5" customHeight="1">
      <c r="A825" s="111"/>
      <c r="B825" s="111"/>
      <c r="C825" s="111"/>
      <c r="D825" s="111"/>
      <c r="E825" s="112"/>
      <c r="F825" s="113"/>
      <c r="G825" s="113"/>
      <c r="H825" s="114"/>
      <c r="I825" s="111"/>
      <c r="J825" s="111"/>
      <c r="K825" s="81"/>
    </row>
    <row r="826" ht="13.5" customHeight="1">
      <c r="A826" s="111"/>
      <c r="B826" s="111"/>
      <c r="C826" s="111"/>
      <c r="D826" s="111"/>
      <c r="E826" s="112"/>
      <c r="F826" s="113"/>
      <c r="G826" s="113"/>
      <c r="H826" s="114"/>
      <c r="I826" s="111"/>
      <c r="J826" s="111"/>
      <c r="K826" s="81"/>
    </row>
    <row r="827" ht="13.5" customHeight="1">
      <c r="A827" s="111"/>
      <c r="B827" s="111"/>
      <c r="C827" s="111"/>
      <c r="D827" s="111"/>
      <c r="E827" s="112"/>
      <c r="F827" s="113"/>
      <c r="G827" s="113"/>
      <c r="H827" s="114"/>
      <c r="I827" s="111"/>
      <c r="J827" s="111"/>
      <c r="K827" s="81"/>
    </row>
    <row r="828" ht="13.5" customHeight="1">
      <c r="A828" s="111"/>
      <c r="B828" s="111"/>
      <c r="C828" s="111"/>
      <c r="D828" s="111"/>
      <c r="E828" s="112"/>
      <c r="F828" s="113"/>
      <c r="G828" s="113"/>
      <c r="H828" s="114"/>
      <c r="I828" s="111"/>
      <c r="J828" s="111"/>
      <c r="K828" s="81"/>
    </row>
    <row r="829" ht="13.5" customHeight="1">
      <c r="A829" s="111"/>
      <c r="B829" s="111"/>
      <c r="C829" s="111"/>
      <c r="D829" s="111"/>
      <c r="E829" s="112"/>
      <c r="F829" s="113"/>
      <c r="G829" s="113"/>
      <c r="H829" s="114"/>
      <c r="I829" s="111"/>
      <c r="J829" s="111"/>
      <c r="K829" s="81"/>
    </row>
    <row r="830" ht="13.5" customHeight="1">
      <c r="A830" s="111"/>
      <c r="B830" s="111"/>
      <c r="C830" s="111"/>
      <c r="D830" s="111"/>
      <c r="E830" s="112"/>
      <c r="F830" s="113"/>
      <c r="G830" s="113"/>
      <c r="H830" s="114"/>
      <c r="I830" s="111"/>
      <c r="J830" s="111"/>
      <c r="K830" s="81"/>
    </row>
    <row r="831" ht="13.5" customHeight="1">
      <c r="A831" s="111"/>
      <c r="B831" s="111"/>
      <c r="C831" s="111"/>
      <c r="D831" s="111"/>
      <c r="E831" s="112"/>
      <c r="F831" s="113"/>
      <c r="G831" s="113"/>
      <c r="H831" s="114"/>
      <c r="I831" s="111"/>
      <c r="J831" s="111"/>
      <c r="K831" s="81"/>
    </row>
    <row r="832" ht="13.5" customHeight="1">
      <c r="A832" s="111"/>
      <c r="B832" s="111"/>
      <c r="C832" s="111"/>
      <c r="D832" s="111"/>
      <c r="E832" s="112"/>
      <c r="F832" s="113"/>
      <c r="G832" s="113"/>
      <c r="H832" s="114"/>
      <c r="I832" s="111"/>
      <c r="J832" s="111"/>
      <c r="K832" s="81"/>
    </row>
    <row r="833" ht="13.5" customHeight="1">
      <c r="A833" s="111"/>
      <c r="B833" s="111"/>
      <c r="C833" s="111"/>
      <c r="D833" s="111"/>
      <c r="E833" s="112"/>
      <c r="F833" s="113"/>
      <c r="G833" s="113"/>
      <c r="H833" s="114"/>
      <c r="I833" s="111"/>
      <c r="J833" s="111"/>
      <c r="K833" s="81"/>
    </row>
    <row r="834" ht="13.5" customHeight="1">
      <c r="A834" s="111"/>
      <c r="B834" s="111"/>
      <c r="C834" s="111"/>
      <c r="D834" s="111"/>
      <c r="E834" s="112"/>
      <c r="F834" s="113"/>
      <c r="G834" s="113"/>
      <c r="H834" s="114"/>
      <c r="I834" s="111"/>
      <c r="J834" s="111"/>
      <c r="K834" s="81"/>
    </row>
    <row r="835" ht="13.5" customHeight="1">
      <c r="A835" s="111"/>
      <c r="B835" s="111"/>
      <c r="C835" s="111"/>
      <c r="D835" s="111"/>
      <c r="E835" s="112"/>
      <c r="F835" s="113"/>
      <c r="G835" s="113"/>
      <c r="H835" s="114"/>
      <c r="I835" s="111"/>
      <c r="J835" s="111"/>
      <c r="K835" s="81"/>
    </row>
    <row r="836" ht="13.5" customHeight="1">
      <c r="A836" s="111"/>
      <c r="B836" s="111"/>
      <c r="C836" s="111"/>
      <c r="D836" s="111"/>
      <c r="E836" s="112"/>
      <c r="F836" s="113"/>
      <c r="G836" s="113"/>
      <c r="H836" s="114"/>
      <c r="I836" s="111"/>
      <c r="J836" s="111"/>
      <c r="K836" s="81"/>
    </row>
    <row r="837" ht="13.5" customHeight="1">
      <c r="A837" s="111"/>
      <c r="B837" s="111"/>
      <c r="C837" s="111"/>
      <c r="D837" s="111"/>
      <c r="E837" s="112"/>
      <c r="F837" s="113"/>
      <c r="G837" s="113"/>
      <c r="H837" s="114"/>
      <c r="I837" s="111"/>
      <c r="J837" s="111"/>
      <c r="K837" s="81"/>
    </row>
    <row r="838" ht="13.5" customHeight="1">
      <c r="A838" s="111"/>
      <c r="B838" s="111"/>
      <c r="C838" s="111"/>
      <c r="D838" s="111"/>
      <c r="E838" s="112"/>
      <c r="F838" s="113"/>
      <c r="G838" s="113"/>
      <c r="H838" s="114"/>
      <c r="I838" s="111"/>
      <c r="J838" s="111"/>
      <c r="K838" s="81"/>
    </row>
    <row r="839" ht="13.5" customHeight="1">
      <c r="A839" s="111"/>
      <c r="B839" s="111"/>
      <c r="C839" s="111"/>
      <c r="D839" s="111"/>
      <c r="E839" s="112"/>
      <c r="F839" s="113"/>
      <c r="G839" s="113"/>
      <c r="H839" s="114"/>
      <c r="I839" s="111"/>
      <c r="J839" s="111"/>
      <c r="K839" s="81"/>
    </row>
    <row r="840" ht="13.5" customHeight="1">
      <c r="A840" s="111"/>
      <c r="B840" s="111"/>
      <c r="C840" s="111"/>
      <c r="D840" s="111"/>
      <c r="E840" s="112"/>
      <c r="F840" s="113"/>
      <c r="G840" s="113"/>
      <c r="H840" s="114"/>
      <c r="I840" s="111"/>
      <c r="J840" s="111"/>
      <c r="K840" s="81"/>
    </row>
    <row r="841" ht="13.5" customHeight="1">
      <c r="A841" s="111"/>
      <c r="B841" s="111"/>
      <c r="C841" s="111"/>
      <c r="D841" s="111"/>
      <c r="E841" s="112"/>
      <c r="F841" s="113"/>
      <c r="G841" s="113"/>
      <c r="H841" s="114"/>
      <c r="I841" s="111"/>
      <c r="J841" s="111"/>
      <c r="K841" s="81"/>
    </row>
    <row r="842" ht="13.5" customHeight="1">
      <c r="A842" s="111"/>
      <c r="B842" s="111"/>
      <c r="C842" s="111"/>
      <c r="D842" s="111"/>
      <c r="E842" s="112"/>
      <c r="F842" s="113"/>
      <c r="G842" s="113"/>
      <c r="H842" s="114"/>
      <c r="I842" s="111"/>
      <c r="J842" s="111"/>
      <c r="K842" s="81"/>
    </row>
    <row r="843" ht="13.5" customHeight="1">
      <c r="A843" s="111"/>
      <c r="B843" s="111"/>
      <c r="C843" s="111"/>
      <c r="D843" s="111"/>
      <c r="E843" s="112"/>
      <c r="F843" s="113"/>
      <c r="G843" s="113"/>
      <c r="H843" s="114"/>
      <c r="I843" s="111"/>
      <c r="J843" s="111"/>
      <c r="K843" s="81"/>
    </row>
    <row r="844" ht="13.5" customHeight="1">
      <c r="A844" s="111"/>
      <c r="B844" s="111"/>
      <c r="C844" s="111"/>
      <c r="D844" s="111"/>
      <c r="E844" s="112"/>
      <c r="F844" s="113"/>
      <c r="G844" s="113"/>
      <c r="H844" s="114"/>
      <c r="I844" s="111"/>
      <c r="J844" s="111"/>
      <c r="K844" s="81"/>
    </row>
    <row r="845" ht="13.5" customHeight="1">
      <c r="A845" s="111"/>
      <c r="B845" s="111"/>
      <c r="C845" s="111"/>
      <c r="D845" s="111"/>
      <c r="E845" s="112"/>
      <c r="F845" s="113"/>
      <c r="G845" s="113"/>
      <c r="H845" s="114"/>
      <c r="I845" s="111"/>
      <c r="J845" s="111"/>
      <c r="K845" s="81"/>
    </row>
    <row r="846" ht="13.5" customHeight="1">
      <c r="A846" s="111"/>
      <c r="B846" s="111"/>
      <c r="C846" s="111"/>
      <c r="D846" s="111"/>
      <c r="E846" s="112"/>
      <c r="F846" s="113"/>
      <c r="G846" s="113"/>
      <c r="H846" s="114"/>
      <c r="I846" s="111"/>
      <c r="J846" s="111"/>
      <c r="K846" s="81"/>
    </row>
    <row r="847" ht="13.5" customHeight="1">
      <c r="A847" s="111"/>
      <c r="B847" s="111"/>
      <c r="C847" s="111"/>
      <c r="D847" s="111"/>
      <c r="E847" s="112"/>
      <c r="F847" s="113"/>
      <c r="G847" s="113"/>
      <c r="H847" s="114"/>
      <c r="I847" s="111"/>
      <c r="J847" s="111"/>
      <c r="K847" s="81"/>
    </row>
    <row r="848" ht="13.5" customHeight="1">
      <c r="A848" s="111"/>
      <c r="B848" s="111"/>
      <c r="C848" s="111"/>
      <c r="D848" s="111"/>
      <c r="E848" s="112"/>
      <c r="F848" s="113"/>
      <c r="G848" s="113"/>
      <c r="H848" s="114"/>
      <c r="I848" s="111"/>
      <c r="J848" s="111"/>
      <c r="K848" s="81"/>
    </row>
    <row r="849" ht="13.5" customHeight="1">
      <c r="A849" s="111"/>
      <c r="B849" s="111"/>
      <c r="C849" s="111"/>
      <c r="D849" s="111"/>
      <c r="E849" s="112"/>
      <c r="F849" s="113"/>
      <c r="G849" s="113"/>
      <c r="H849" s="114"/>
      <c r="I849" s="111"/>
      <c r="J849" s="111"/>
      <c r="K849" s="81"/>
    </row>
    <row r="850" ht="13.5" customHeight="1">
      <c r="A850" s="111"/>
      <c r="B850" s="111"/>
      <c r="C850" s="111"/>
      <c r="D850" s="111"/>
      <c r="E850" s="112"/>
      <c r="F850" s="113"/>
      <c r="G850" s="113"/>
      <c r="H850" s="114"/>
      <c r="I850" s="111"/>
      <c r="J850" s="111"/>
      <c r="K850" s="81"/>
    </row>
    <row r="851" ht="13.5" customHeight="1">
      <c r="A851" s="111"/>
      <c r="B851" s="111"/>
      <c r="C851" s="111"/>
      <c r="D851" s="111"/>
      <c r="E851" s="112"/>
      <c r="F851" s="113"/>
      <c r="G851" s="113"/>
      <c r="H851" s="114"/>
      <c r="I851" s="111"/>
      <c r="J851" s="111"/>
      <c r="K851" s="81"/>
    </row>
    <row r="852" ht="13.5" customHeight="1">
      <c r="A852" s="111"/>
      <c r="B852" s="111"/>
      <c r="C852" s="111"/>
      <c r="D852" s="111"/>
      <c r="E852" s="112"/>
      <c r="F852" s="113"/>
      <c r="G852" s="113"/>
      <c r="H852" s="114"/>
      <c r="I852" s="111"/>
      <c r="J852" s="111"/>
      <c r="K852" s="81"/>
    </row>
    <row r="853" ht="13.5" customHeight="1">
      <c r="A853" s="111"/>
      <c r="B853" s="111"/>
      <c r="C853" s="111"/>
      <c r="D853" s="111"/>
      <c r="E853" s="112"/>
      <c r="F853" s="113"/>
      <c r="G853" s="113"/>
      <c r="H853" s="114"/>
      <c r="I853" s="111"/>
      <c r="J853" s="111"/>
      <c r="K853" s="81"/>
    </row>
    <row r="854" ht="13.5" customHeight="1">
      <c r="A854" s="111"/>
      <c r="B854" s="111"/>
      <c r="C854" s="111"/>
      <c r="D854" s="111"/>
      <c r="E854" s="112"/>
      <c r="F854" s="113"/>
      <c r="G854" s="113"/>
      <c r="H854" s="114"/>
      <c r="I854" s="111"/>
      <c r="J854" s="111"/>
      <c r="K854" s="81"/>
    </row>
    <row r="855" ht="13.5" customHeight="1">
      <c r="A855" s="111"/>
      <c r="B855" s="111"/>
      <c r="C855" s="111"/>
      <c r="D855" s="111"/>
      <c r="E855" s="112"/>
      <c r="F855" s="113"/>
      <c r="G855" s="113"/>
      <c r="H855" s="114"/>
      <c r="I855" s="111"/>
      <c r="J855" s="111"/>
      <c r="K855" s="81"/>
    </row>
    <row r="856" ht="13.5" customHeight="1">
      <c r="A856" s="111"/>
      <c r="B856" s="111"/>
      <c r="C856" s="111"/>
      <c r="D856" s="111"/>
      <c r="E856" s="112"/>
      <c r="F856" s="113"/>
      <c r="G856" s="113"/>
      <c r="H856" s="114"/>
      <c r="I856" s="111"/>
      <c r="J856" s="111"/>
      <c r="K856" s="81"/>
    </row>
    <row r="857" ht="13.5" customHeight="1">
      <c r="A857" s="111"/>
      <c r="B857" s="111"/>
      <c r="C857" s="111"/>
      <c r="D857" s="111"/>
      <c r="E857" s="112"/>
      <c r="F857" s="113"/>
      <c r="G857" s="113"/>
      <c r="H857" s="114"/>
      <c r="I857" s="111"/>
      <c r="J857" s="111"/>
      <c r="K857" s="81"/>
    </row>
    <row r="858" ht="13.5" customHeight="1">
      <c r="A858" s="111"/>
      <c r="B858" s="111"/>
      <c r="C858" s="111"/>
      <c r="D858" s="111"/>
      <c r="E858" s="112"/>
      <c r="F858" s="113"/>
      <c r="G858" s="113"/>
      <c r="H858" s="114"/>
      <c r="I858" s="111"/>
      <c r="J858" s="111"/>
      <c r="K858" s="81"/>
    </row>
    <row r="859" ht="13.5" customHeight="1">
      <c r="A859" s="111"/>
      <c r="B859" s="111"/>
      <c r="C859" s="111"/>
      <c r="D859" s="111"/>
      <c r="E859" s="112"/>
      <c r="F859" s="113"/>
      <c r="G859" s="113"/>
      <c r="H859" s="114"/>
      <c r="I859" s="111"/>
      <c r="J859" s="111"/>
      <c r="K859" s="81"/>
    </row>
    <row r="860" ht="13.5" customHeight="1">
      <c r="A860" s="111"/>
      <c r="B860" s="111"/>
      <c r="C860" s="111"/>
      <c r="D860" s="111"/>
      <c r="E860" s="112"/>
      <c r="F860" s="113"/>
      <c r="G860" s="113"/>
      <c r="H860" s="114"/>
      <c r="I860" s="111"/>
      <c r="J860" s="111"/>
      <c r="K860" s="81"/>
    </row>
    <row r="861" ht="13.5" customHeight="1">
      <c r="A861" s="111"/>
      <c r="B861" s="111"/>
      <c r="C861" s="111"/>
      <c r="D861" s="111"/>
      <c r="E861" s="112"/>
      <c r="F861" s="113"/>
      <c r="G861" s="113"/>
      <c r="H861" s="114"/>
      <c r="I861" s="111"/>
      <c r="J861" s="111"/>
      <c r="K861" s="81"/>
    </row>
    <row r="862" ht="13.5" customHeight="1">
      <c r="A862" s="111"/>
      <c r="B862" s="111"/>
      <c r="C862" s="111"/>
      <c r="D862" s="111"/>
      <c r="E862" s="112"/>
      <c r="F862" s="113"/>
      <c r="G862" s="113"/>
      <c r="H862" s="114"/>
      <c r="I862" s="111"/>
      <c r="J862" s="111"/>
      <c r="K862" s="81"/>
    </row>
    <row r="863" ht="13.5" customHeight="1">
      <c r="A863" s="111"/>
      <c r="B863" s="111"/>
      <c r="C863" s="111"/>
      <c r="D863" s="111"/>
      <c r="E863" s="112"/>
      <c r="F863" s="113"/>
      <c r="G863" s="113"/>
      <c r="H863" s="114"/>
      <c r="I863" s="111"/>
      <c r="J863" s="111"/>
      <c r="K863" s="81"/>
    </row>
    <row r="864" ht="13.5" customHeight="1">
      <c r="A864" s="111"/>
      <c r="B864" s="111"/>
      <c r="C864" s="111"/>
      <c r="D864" s="111"/>
      <c r="E864" s="112"/>
      <c r="F864" s="113"/>
      <c r="G864" s="113"/>
      <c r="H864" s="114"/>
      <c r="I864" s="111"/>
      <c r="J864" s="111"/>
      <c r="K864" s="81"/>
    </row>
    <row r="865" ht="13.5" customHeight="1">
      <c r="A865" s="111"/>
      <c r="B865" s="111"/>
      <c r="C865" s="111"/>
      <c r="D865" s="111"/>
      <c r="E865" s="112"/>
      <c r="F865" s="113"/>
      <c r="G865" s="113"/>
      <c r="H865" s="114"/>
      <c r="I865" s="111"/>
      <c r="J865" s="111"/>
      <c r="K865" s="81"/>
    </row>
    <row r="866" ht="13.5" customHeight="1">
      <c r="A866" s="111"/>
      <c r="B866" s="111"/>
      <c r="C866" s="111"/>
      <c r="D866" s="111"/>
      <c r="E866" s="112"/>
      <c r="F866" s="113"/>
      <c r="G866" s="113"/>
      <c r="H866" s="114"/>
      <c r="I866" s="111"/>
      <c r="J866" s="111"/>
      <c r="K866" s="81"/>
    </row>
    <row r="867" ht="13.5" customHeight="1">
      <c r="A867" s="111"/>
      <c r="B867" s="111"/>
      <c r="C867" s="111"/>
      <c r="D867" s="111"/>
      <c r="E867" s="112"/>
      <c r="F867" s="113"/>
      <c r="G867" s="113"/>
      <c r="H867" s="114"/>
      <c r="I867" s="111"/>
      <c r="J867" s="111"/>
      <c r="K867" s="81"/>
    </row>
    <row r="868" ht="13.5" customHeight="1">
      <c r="A868" s="111"/>
      <c r="B868" s="111"/>
      <c r="C868" s="111"/>
      <c r="D868" s="111"/>
      <c r="E868" s="112"/>
      <c r="F868" s="113"/>
      <c r="G868" s="113"/>
      <c r="H868" s="114"/>
      <c r="I868" s="111"/>
      <c r="J868" s="111"/>
      <c r="K868" s="81"/>
    </row>
    <row r="869" ht="13.5" customHeight="1">
      <c r="A869" s="111"/>
      <c r="B869" s="111"/>
      <c r="C869" s="111"/>
      <c r="D869" s="111"/>
      <c r="E869" s="112"/>
      <c r="F869" s="113"/>
      <c r="G869" s="113"/>
      <c r="H869" s="114"/>
      <c r="I869" s="111"/>
      <c r="J869" s="111"/>
      <c r="K869" s="81"/>
    </row>
    <row r="870" ht="13.5" customHeight="1">
      <c r="A870" s="111"/>
      <c r="B870" s="111"/>
      <c r="C870" s="111"/>
      <c r="D870" s="111"/>
      <c r="E870" s="112"/>
      <c r="F870" s="113"/>
      <c r="G870" s="113"/>
      <c r="H870" s="114"/>
      <c r="I870" s="111"/>
      <c r="J870" s="111"/>
      <c r="K870" s="81"/>
    </row>
    <row r="871" ht="13.5" customHeight="1">
      <c r="A871" s="111"/>
      <c r="B871" s="111"/>
      <c r="C871" s="111"/>
      <c r="D871" s="111"/>
      <c r="E871" s="112"/>
      <c r="F871" s="113"/>
      <c r="G871" s="113"/>
      <c r="H871" s="114"/>
      <c r="I871" s="111"/>
      <c r="J871" s="111"/>
      <c r="K871" s="81"/>
    </row>
    <row r="872" ht="13.5" customHeight="1">
      <c r="A872" s="111"/>
      <c r="B872" s="111"/>
      <c r="C872" s="111"/>
      <c r="D872" s="111"/>
      <c r="E872" s="112"/>
      <c r="F872" s="113"/>
      <c r="G872" s="113"/>
      <c r="H872" s="114"/>
      <c r="I872" s="111"/>
      <c r="J872" s="111"/>
      <c r="K872" s="81"/>
    </row>
    <row r="873" ht="13.5" customHeight="1">
      <c r="A873" s="111"/>
      <c r="B873" s="111"/>
      <c r="C873" s="111"/>
      <c r="D873" s="111"/>
      <c r="E873" s="112"/>
      <c r="F873" s="113"/>
      <c r="G873" s="113"/>
      <c r="H873" s="114"/>
      <c r="I873" s="111"/>
      <c r="J873" s="111"/>
      <c r="K873" s="81"/>
    </row>
    <row r="874" ht="13.5" customHeight="1">
      <c r="A874" s="111"/>
      <c r="B874" s="111"/>
      <c r="C874" s="111"/>
      <c r="D874" s="111"/>
      <c r="E874" s="112"/>
      <c r="F874" s="113"/>
      <c r="G874" s="113"/>
      <c r="H874" s="114"/>
      <c r="I874" s="111"/>
      <c r="J874" s="111"/>
      <c r="K874" s="81"/>
    </row>
    <row r="875" ht="13.5" customHeight="1">
      <c r="A875" s="111"/>
      <c r="B875" s="111"/>
      <c r="C875" s="111"/>
      <c r="D875" s="111"/>
      <c r="E875" s="112"/>
      <c r="F875" s="113"/>
      <c r="G875" s="113"/>
      <c r="H875" s="114"/>
      <c r="I875" s="111"/>
      <c r="J875" s="111"/>
      <c r="K875" s="81"/>
    </row>
    <row r="876" ht="13.5" customHeight="1">
      <c r="A876" s="111"/>
      <c r="B876" s="111"/>
      <c r="C876" s="111"/>
      <c r="D876" s="111"/>
      <c r="E876" s="112"/>
      <c r="F876" s="113"/>
      <c r="G876" s="113"/>
      <c r="H876" s="114"/>
      <c r="I876" s="111"/>
      <c r="J876" s="111"/>
      <c r="K876" s="81"/>
    </row>
    <row r="877" ht="13.5" customHeight="1">
      <c r="A877" s="111"/>
      <c r="B877" s="111"/>
      <c r="C877" s="111"/>
      <c r="D877" s="111"/>
      <c r="E877" s="112"/>
      <c r="F877" s="113"/>
      <c r="G877" s="113"/>
      <c r="H877" s="114"/>
      <c r="I877" s="111"/>
      <c r="J877" s="111"/>
      <c r="K877" s="81"/>
    </row>
    <row r="878" ht="13.5" customHeight="1">
      <c r="A878" s="111"/>
      <c r="B878" s="111"/>
      <c r="C878" s="111"/>
      <c r="D878" s="111"/>
      <c r="E878" s="112"/>
      <c r="F878" s="113"/>
      <c r="G878" s="113"/>
      <c r="H878" s="114"/>
      <c r="I878" s="111"/>
      <c r="J878" s="111"/>
      <c r="K878" s="81"/>
    </row>
    <row r="879" ht="13.5" customHeight="1">
      <c r="A879" s="111"/>
      <c r="B879" s="111"/>
      <c r="C879" s="111"/>
      <c r="D879" s="111"/>
      <c r="E879" s="112"/>
      <c r="F879" s="113"/>
      <c r="G879" s="113"/>
      <c r="H879" s="114"/>
      <c r="I879" s="111"/>
      <c r="J879" s="111"/>
      <c r="K879" s="81"/>
    </row>
    <row r="880" ht="13.5" customHeight="1">
      <c r="A880" s="111"/>
      <c r="B880" s="111"/>
      <c r="C880" s="111"/>
      <c r="D880" s="111"/>
      <c r="E880" s="112"/>
      <c r="F880" s="113"/>
      <c r="G880" s="113"/>
      <c r="H880" s="114"/>
      <c r="I880" s="111"/>
      <c r="J880" s="111"/>
      <c r="K880" s="81"/>
    </row>
    <row r="881" ht="13.5" customHeight="1">
      <c r="A881" s="111"/>
      <c r="B881" s="111"/>
      <c r="C881" s="111"/>
      <c r="D881" s="111"/>
      <c r="E881" s="112"/>
      <c r="F881" s="113"/>
      <c r="G881" s="113"/>
      <c r="H881" s="114"/>
      <c r="I881" s="111"/>
      <c r="J881" s="111"/>
      <c r="K881" s="81"/>
    </row>
    <row r="882" ht="13.5" customHeight="1">
      <c r="A882" s="111"/>
      <c r="B882" s="111"/>
      <c r="C882" s="111"/>
      <c r="D882" s="111"/>
      <c r="E882" s="112"/>
      <c r="F882" s="113"/>
      <c r="G882" s="113"/>
      <c r="H882" s="114"/>
      <c r="I882" s="111"/>
      <c r="J882" s="111"/>
      <c r="K882" s="81"/>
    </row>
    <row r="883" ht="13.5" customHeight="1">
      <c r="A883" s="111"/>
      <c r="B883" s="111"/>
      <c r="C883" s="111"/>
      <c r="D883" s="111"/>
      <c r="E883" s="112"/>
      <c r="F883" s="113"/>
      <c r="G883" s="113"/>
      <c r="H883" s="114"/>
      <c r="I883" s="111"/>
      <c r="J883" s="111"/>
      <c r="K883" s="81"/>
    </row>
    <row r="884" ht="13.5" customHeight="1">
      <c r="A884" s="111"/>
      <c r="B884" s="111"/>
      <c r="C884" s="111"/>
      <c r="D884" s="111"/>
      <c r="E884" s="112"/>
      <c r="F884" s="113"/>
      <c r="G884" s="113"/>
      <c r="H884" s="114"/>
      <c r="I884" s="111"/>
      <c r="J884" s="111"/>
      <c r="K884" s="81"/>
    </row>
    <row r="885" ht="13.5" customHeight="1">
      <c r="A885" s="111"/>
      <c r="B885" s="111"/>
      <c r="C885" s="111"/>
      <c r="D885" s="111"/>
      <c r="E885" s="112"/>
      <c r="F885" s="113"/>
      <c r="G885" s="113"/>
      <c r="H885" s="114"/>
      <c r="I885" s="111"/>
      <c r="J885" s="111"/>
      <c r="K885" s="81"/>
    </row>
    <row r="886" ht="13.5" customHeight="1">
      <c r="A886" s="111"/>
      <c r="B886" s="111"/>
      <c r="C886" s="111"/>
      <c r="D886" s="111"/>
      <c r="E886" s="112"/>
      <c r="F886" s="113"/>
      <c r="G886" s="113"/>
      <c r="H886" s="114"/>
      <c r="I886" s="111"/>
      <c r="J886" s="111"/>
      <c r="K886" s="81"/>
    </row>
    <row r="887" ht="13.5" customHeight="1">
      <c r="A887" s="111"/>
      <c r="B887" s="111"/>
      <c r="C887" s="111"/>
      <c r="D887" s="111"/>
      <c r="E887" s="112"/>
      <c r="F887" s="113"/>
      <c r="G887" s="113"/>
      <c r="H887" s="114"/>
      <c r="I887" s="111"/>
      <c r="J887" s="111"/>
      <c r="K887" s="81"/>
    </row>
    <row r="888" ht="13.5" customHeight="1">
      <c r="A888" s="111"/>
      <c r="B888" s="111"/>
      <c r="C888" s="111"/>
      <c r="D888" s="111"/>
      <c r="E888" s="112"/>
      <c r="F888" s="113"/>
      <c r="G888" s="113"/>
      <c r="H888" s="114"/>
      <c r="I888" s="111"/>
      <c r="J888" s="111"/>
      <c r="K888" s="81"/>
    </row>
    <row r="889" ht="13.5" customHeight="1">
      <c r="A889" s="111"/>
      <c r="B889" s="111"/>
      <c r="C889" s="111"/>
      <c r="D889" s="111"/>
      <c r="E889" s="112"/>
      <c r="F889" s="113"/>
      <c r="G889" s="113"/>
      <c r="H889" s="114"/>
      <c r="I889" s="111"/>
      <c r="J889" s="111"/>
      <c r="K889" s="81"/>
    </row>
    <row r="890" ht="13.5" customHeight="1">
      <c r="A890" s="111"/>
      <c r="B890" s="111"/>
      <c r="C890" s="111"/>
      <c r="D890" s="111"/>
      <c r="E890" s="112"/>
      <c r="F890" s="113"/>
      <c r="G890" s="113"/>
      <c r="H890" s="114"/>
      <c r="I890" s="111"/>
      <c r="J890" s="111"/>
      <c r="K890" s="81"/>
    </row>
    <row r="891" ht="13.5" customHeight="1">
      <c r="A891" s="111"/>
      <c r="B891" s="111"/>
      <c r="C891" s="111"/>
      <c r="D891" s="111"/>
      <c r="E891" s="112"/>
      <c r="F891" s="113"/>
      <c r="G891" s="113"/>
      <c r="H891" s="114"/>
      <c r="I891" s="111"/>
      <c r="J891" s="111"/>
      <c r="K891" s="81"/>
    </row>
    <row r="892" ht="13.5" customHeight="1">
      <c r="A892" s="111"/>
      <c r="B892" s="111"/>
      <c r="C892" s="111"/>
      <c r="D892" s="111"/>
      <c r="E892" s="112"/>
      <c r="F892" s="113"/>
      <c r="G892" s="113"/>
      <c r="H892" s="114"/>
      <c r="I892" s="111"/>
      <c r="J892" s="111"/>
      <c r="K892" s="81"/>
    </row>
    <row r="893" ht="13.5" customHeight="1">
      <c r="A893" s="111"/>
      <c r="B893" s="111"/>
      <c r="C893" s="111"/>
      <c r="D893" s="111"/>
      <c r="E893" s="112"/>
      <c r="F893" s="113"/>
      <c r="G893" s="113"/>
      <c r="H893" s="114"/>
      <c r="I893" s="111"/>
      <c r="J893" s="111"/>
      <c r="K893" s="81"/>
    </row>
    <row r="894" ht="13.5" customHeight="1">
      <c r="A894" s="111"/>
      <c r="B894" s="111"/>
      <c r="C894" s="111"/>
      <c r="D894" s="111"/>
      <c r="E894" s="112"/>
      <c r="F894" s="113"/>
      <c r="G894" s="113"/>
      <c r="H894" s="114"/>
      <c r="I894" s="111"/>
      <c r="J894" s="111"/>
      <c r="K894" s="81"/>
    </row>
    <row r="895" ht="13.5" customHeight="1">
      <c r="A895" s="111"/>
      <c r="B895" s="111"/>
      <c r="C895" s="111"/>
      <c r="D895" s="111"/>
      <c r="E895" s="112"/>
      <c r="F895" s="113"/>
      <c r="G895" s="113"/>
      <c r="H895" s="114"/>
      <c r="I895" s="111"/>
      <c r="J895" s="111"/>
      <c r="K895" s="81"/>
    </row>
    <row r="896" ht="13.5" customHeight="1">
      <c r="A896" s="111"/>
      <c r="B896" s="111"/>
      <c r="C896" s="111"/>
      <c r="D896" s="111"/>
      <c r="E896" s="112"/>
      <c r="F896" s="113"/>
      <c r="G896" s="113"/>
      <c r="H896" s="114"/>
      <c r="I896" s="111"/>
      <c r="J896" s="111"/>
      <c r="K896" s="81"/>
    </row>
    <row r="897" ht="13.5" customHeight="1">
      <c r="A897" s="111"/>
      <c r="B897" s="111"/>
      <c r="C897" s="111"/>
      <c r="D897" s="111"/>
      <c r="E897" s="112"/>
      <c r="F897" s="113"/>
      <c r="G897" s="113"/>
      <c r="H897" s="114"/>
      <c r="I897" s="111"/>
      <c r="J897" s="111"/>
      <c r="K897" s="81"/>
    </row>
    <row r="898" ht="13.5" customHeight="1">
      <c r="A898" s="111"/>
      <c r="B898" s="111"/>
      <c r="C898" s="111"/>
      <c r="D898" s="111"/>
      <c r="E898" s="112"/>
      <c r="F898" s="113"/>
      <c r="G898" s="113"/>
      <c r="H898" s="114"/>
      <c r="I898" s="111"/>
      <c r="J898" s="111"/>
      <c r="K898" s="81"/>
    </row>
    <row r="899" ht="13.5" customHeight="1">
      <c r="A899" s="111"/>
      <c r="B899" s="111"/>
      <c r="C899" s="111"/>
      <c r="D899" s="111"/>
      <c r="E899" s="112"/>
      <c r="F899" s="113"/>
      <c r="G899" s="113"/>
      <c r="H899" s="114"/>
      <c r="I899" s="111"/>
      <c r="J899" s="111"/>
      <c r="K899" s="81"/>
    </row>
    <row r="900" ht="13.5" customHeight="1">
      <c r="A900" s="111"/>
      <c r="B900" s="111"/>
      <c r="C900" s="111"/>
      <c r="D900" s="111"/>
      <c r="E900" s="112"/>
      <c r="F900" s="113"/>
      <c r="G900" s="113"/>
      <c r="H900" s="114"/>
      <c r="I900" s="111"/>
      <c r="J900" s="111"/>
      <c r="K900" s="81"/>
    </row>
    <row r="901" ht="13.5" customHeight="1">
      <c r="A901" s="111"/>
      <c r="B901" s="111"/>
      <c r="C901" s="111"/>
      <c r="D901" s="111"/>
      <c r="E901" s="112"/>
      <c r="F901" s="113"/>
      <c r="G901" s="113"/>
      <c r="H901" s="114"/>
      <c r="I901" s="111"/>
      <c r="J901" s="111"/>
      <c r="K901" s="81"/>
    </row>
    <row r="902" ht="13.5" customHeight="1">
      <c r="A902" s="111"/>
      <c r="B902" s="111"/>
      <c r="C902" s="111"/>
      <c r="D902" s="111"/>
      <c r="E902" s="112"/>
      <c r="F902" s="113"/>
      <c r="G902" s="113"/>
      <c r="H902" s="114"/>
      <c r="I902" s="111"/>
      <c r="J902" s="111"/>
      <c r="K902" s="81"/>
    </row>
    <row r="903" ht="13.5" customHeight="1">
      <c r="A903" s="111"/>
      <c r="B903" s="111"/>
      <c r="C903" s="111"/>
      <c r="D903" s="111"/>
      <c r="E903" s="112"/>
      <c r="F903" s="113"/>
      <c r="G903" s="113"/>
      <c r="H903" s="114"/>
      <c r="I903" s="111"/>
      <c r="J903" s="111"/>
      <c r="K903" s="81"/>
    </row>
    <row r="904" ht="13.5" customHeight="1">
      <c r="A904" s="111"/>
      <c r="B904" s="111"/>
      <c r="C904" s="111"/>
      <c r="D904" s="111"/>
      <c r="E904" s="112"/>
      <c r="F904" s="113"/>
      <c r="G904" s="113"/>
      <c r="H904" s="114"/>
      <c r="I904" s="111"/>
      <c r="J904" s="111"/>
      <c r="K904" s="81"/>
    </row>
    <row r="905" ht="13.5" customHeight="1">
      <c r="A905" s="111"/>
      <c r="B905" s="111"/>
      <c r="C905" s="111"/>
      <c r="D905" s="111"/>
      <c r="E905" s="112"/>
      <c r="F905" s="113"/>
      <c r="G905" s="113"/>
      <c r="H905" s="114"/>
      <c r="I905" s="111"/>
      <c r="J905" s="111"/>
      <c r="K905" s="81"/>
    </row>
    <row r="906" ht="13.5" customHeight="1">
      <c r="A906" s="111"/>
      <c r="B906" s="111"/>
      <c r="C906" s="111"/>
      <c r="D906" s="111"/>
      <c r="E906" s="112"/>
      <c r="F906" s="113"/>
      <c r="G906" s="113"/>
      <c r="H906" s="114"/>
      <c r="I906" s="111"/>
      <c r="J906" s="111"/>
      <c r="K906" s="81"/>
    </row>
    <row r="907" ht="13.5" customHeight="1">
      <c r="A907" s="111"/>
      <c r="B907" s="111"/>
      <c r="C907" s="111"/>
      <c r="D907" s="111"/>
      <c r="E907" s="112"/>
      <c r="F907" s="113"/>
      <c r="G907" s="113"/>
      <c r="H907" s="114"/>
      <c r="I907" s="111"/>
      <c r="J907" s="111"/>
      <c r="K907" s="81"/>
    </row>
    <row r="908" ht="13.5" customHeight="1">
      <c r="A908" s="111"/>
      <c r="B908" s="111"/>
      <c r="C908" s="111"/>
      <c r="D908" s="111"/>
      <c r="E908" s="112"/>
      <c r="F908" s="113"/>
      <c r="G908" s="113"/>
      <c r="H908" s="114"/>
      <c r="I908" s="111"/>
      <c r="J908" s="111"/>
      <c r="K908" s="81"/>
    </row>
    <row r="909" ht="13.5" customHeight="1">
      <c r="A909" s="111"/>
      <c r="B909" s="111"/>
      <c r="C909" s="111"/>
      <c r="D909" s="111"/>
      <c r="E909" s="112"/>
      <c r="F909" s="113"/>
      <c r="G909" s="113"/>
      <c r="H909" s="114"/>
      <c r="I909" s="111"/>
      <c r="J909" s="111"/>
      <c r="K909" s="81"/>
    </row>
    <row r="910" ht="13.5" customHeight="1">
      <c r="A910" s="111"/>
      <c r="B910" s="111"/>
      <c r="C910" s="111"/>
      <c r="D910" s="111"/>
      <c r="E910" s="112"/>
      <c r="F910" s="113"/>
      <c r="G910" s="113"/>
      <c r="H910" s="114"/>
      <c r="I910" s="111"/>
      <c r="J910" s="111"/>
      <c r="K910" s="81"/>
    </row>
    <row r="911" ht="13.5" customHeight="1">
      <c r="A911" s="111"/>
      <c r="B911" s="111"/>
      <c r="C911" s="111"/>
      <c r="D911" s="111"/>
      <c r="E911" s="112"/>
      <c r="F911" s="113"/>
      <c r="G911" s="113"/>
      <c r="H911" s="114"/>
      <c r="I911" s="111"/>
      <c r="J911" s="111"/>
      <c r="K911" s="81"/>
    </row>
    <row r="912" ht="13.5" customHeight="1">
      <c r="A912" s="111"/>
      <c r="B912" s="111"/>
      <c r="C912" s="111"/>
      <c r="D912" s="111"/>
      <c r="E912" s="112"/>
      <c r="F912" s="113"/>
      <c r="G912" s="113"/>
      <c r="H912" s="114"/>
      <c r="I912" s="111"/>
      <c r="J912" s="111"/>
      <c r="K912" s="81"/>
    </row>
    <row r="913" ht="13.5" customHeight="1">
      <c r="A913" s="111"/>
      <c r="B913" s="111"/>
      <c r="C913" s="111"/>
      <c r="D913" s="111"/>
      <c r="E913" s="112"/>
      <c r="F913" s="113"/>
      <c r="G913" s="113"/>
      <c r="H913" s="114"/>
      <c r="I913" s="111"/>
      <c r="J913" s="111"/>
      <c r="K913" s="81"/>
    </row>
    <row r="914" ht="13.5" customHeight="1">
      <c r="A914" s="111"/>
      <c r="B914" s="111"/>
      <c r="C914" s="111"/>
      <c r="D914" s="111"/>
      <c r="E914" s="112"/>
      <c r="F914" s="113"/>
      <c r="G914" s="113"/>
      <c r="H914" s="114"/>
      <c r="I914" s="111"/>
      <c r="J914" s="111"/>
      <c r="K914" s="81"/>
    </row>
    <row r="915" ht="13.5" customHeight="1">
      <c r="A915" s="111"/>
      <c r="B915" s="111"/>
      <c r="C915" s="111"/>
      <c r="D915" s="111"/>
      <c r="E915" s="112"/>
      <c r="F915" s="113"/>
      <c r="G915" s="113"/>
      <c r="H915" s="114"/>
      <c r="I915" s="111"/>
      <c r="J915" s="111"/>
      <c r="K915" s="81"/>
    </row>
    <row r="916" ht="13.5" customHeight="1">
      <c r="A916" s="111"/>
      <c r="B916" s="111"/>
      <c r="C916" s="111"/>
      <c r="D916" s="111"/>
      <c r="E916" s="112"/>
      <c r="F916" s="113"/>
      <c r="G916" s="113"/>
      <c r="H916" s="114"/>
      <c r="I916" s="111"/>
      <c r="J916" s="111"/>
      <c r="K916" s="81"/>
    </row>
    <row r="917" ht="13.5" customHeight="1">
      <c r="A917" s="111"/>
      <c r="B917" s="111"/>
      <c r="C917" s="111"/>
      <c r="D917" s="111"/>
      <c r="E917" s="112"/>
      <c r="F917" s="113"/>
      <c r="G917" s="113"/>
      <c r="H917" s="114"/>
      <c r="I917" s="111"/>
      <c r="J917" s="111"/>
      <c r="K917" s="81"/>
    </row>
    <row r="918" ht="13.5" customHeight="1">
      <c r="A918" s="111"/>
      <c r="B918" s="111"/>
      <c r="C918" s="111"/>
      <c r="D918" s="111"/>
      <c r="E918" s="112"/>
      <c r="F918" s="113"/>
      <c r="G918" s="113"/>
      <c r="H918" s="114"/>
      <c r="I918" s="111"/>
      <c r="J918" s="111"/>
      <c r="K918" s="81"/>
    </row>
    <row r="919" ht="13.5" customHeight="1">
      <c r="A919" s="111"/>
      <c r="B919" s="111"/>
      <c r="C919" s="111"/>
      <c r="D919" s="111"/>
      <c r="E919" s="112"/>
      <c r="F919" s="113"/>
      <c r="G919" s="113"/>
      <c r="H919" s="114"/>
      <c r="I919" s="111"/>
      <c r="J919" s="111"/>
      <c r="K919" s="81"/>
    </row>
    <row r="920" ht="13.5" customHeight="1">
      <c r="A920" s="111"/>
      <c r="B920" s="111"/>
      <c r="C920" s="111"/>
      <c r="D920" s="111"/>
      <c r="E920" s="112"/>
      <c r="F920" s="113"/>
      <c r="G920" s="113"/>
      <c r="H920" s="114"/>
      <c r="I920" s="111"/>
      <c r="J920" s="111"/>
      <c r="K920" s="81"/>
    </row>
    <row r="921" ht="13.5" customHeight="1">
      <c r="A921" s="111"/>
      <c r="B921" s="111"/>
      <c r="C921" s="111"/>
      <c r="D921" s="111"/>
      <c r="E921" s="112"/>
      <c r="F921" s="113"/>
      <c r="G921" s="113"/>
      <c r="H921" s="114"/>
      <c r="I921" s="111"/>
      <c r="J921" s="111"/>
      <c r="K921" s="81"/>
    </row>
    <row r="922" ht="13.5" customHeight="1">
      <c r="A922" s="111"/>
      <c r="B922" s="111"/>
      <c r="C922" s="111"/>
      <c r="D922" s="111"/>
      <c r="E922" s="112"/>
      <c r="F922" s="113"/>
      <c r="G922" s="113"/>
      <c r="H922" s="114"/>
      <c r="I922" s="111"/>
      <c r="J922" s="111"/>
      <c r="K922" s="81"/>
    </row>
    <row r="923" ht="13.5" customHeight="1">
      <c r="A923" s="111"/>
      <c r="B923" s="111"/>
      <c r="C923" s="111"/>
      <c r="D923" s="111"/>
      <c r="E923" s="112"/>
      <c r="F923" s="113"/>
      <c r="G923" s="113"/>
      <c r="H923" s="114"/>
      <c r="I923" s="111"/>
      <c r="J923" s="111"/>
      <c r="K923" s="81"/>
    </row>
    <row r="924" ht="13.5" customHeight="1">
      <c r="A924" s="111"/>
      <c r="B924" s="111"/>
      <c r="C924" s="111"/>
      <c r="D924" s="111"/>
      <c r="E924" s="112"/>
      <c r="F924" s="113"/>
      <c r="G924" s="113"/>
      <c r="H924" s="114"/>
      <c r="I924" s="111"/>
      <c r="J924" s="111"/>
      <c r="K924" s="81"/>
    </row>
    <row r="925" ht="13.5" customHeight="1">
      <c r="A925" s="111"/>
      <c r="B925" s="111"/>
      <c r="C925" s="111"/>
      <c r="D925" s="111"/>
      <c r="E925" s="112"/>
      <c r="F925" s="113"/>
      <c r="G925" s="113"/>
      <c r="H925" s="114"/>
      <c r="I925" s="111"/>
      <c r="J925" s="111"/>
      <c r="K925" s="81"/>
    </row>
    <row r="926" ht="13.5" customHeight="1">
      <c r="A926" s="111"/>
      <c r="B926" s="111"/>
      <c r="C926" s="111"/>
      <c r="D926" s="111"/>
      <c r="E926" s="112"/>
      <c r="F926" s="113"/>
      <c r="G926" s="113"/>
      <c r="H926" s="114"/>
      <c r="I926" s="111"/>
      <c r="J926" s="111"/>
      <c r="K926" s="81"/>
    </row>
    <row r="927" ht="13.5" customHeight="1">
      <c r="A927" s="111"/>
      <c r="B927" s="111"/>
      <c r="C927" s="111"/>
      <c r="D927" s="111"/>
      <c r="E927" s="112"/>
      <c r="F927" s="113"/>
      <c r="G927" s="113"/>
      <c r="H927" s="114"/>
      <c r="I927" s="111"/>
      <c r="J927" s="111"/>
      <c r="K927" s="81"/>
    </row>
    <row r="928" ht="13.5" customHeight="1">
      <c r="A928" s="111"/>
      <c r="B928" s="111"/>
      <c r="C928" s="111"/>
      <c r="D928" s="111"/>
      <c r="E928" s="112"/>
      <c r="F928" s="113"/>
      <c r="G928" s="113"/>
      <c r="H928" s="114"/>
      <c r="I928" s="111"/>
      <c r="J928" s="111"/>
      <c r="K928" s="81"/>
    </row>
    <row r="929" ht="13.5" customHeight="1">
      <c r="A929" s="111"/>
      <c r="B929" s="111"/>
      <c r="C929" s="111"/>
      <c r="D929" s="111"/>
      <c r="E929" s="112"/>
      <c r="F929" s="113"/>
      <c r="G929" s="113"/>
      <c r="H929" s="114"/>
      <c r="I929" s="111"/>
      <c r="J929" s="111"/>
      <c r="K929" s="81"/>
    </row>
    <row r="930" ht="13.5" customHeight="1">
      <c r="A930" s="111"/>
      <c r="B930" s="111"/>
      <c r="C930" s="111"/>
      <c r="D930" s="111"/>
      <c r="E930" s="112"/>
      <c r="F930" s="113"/>
      <c r="G930" s="113"/>
      <c r="H930" s="114"/>
      <c r="I930" s="111"/>
      <c r="J930" s="111"/>
      <c r="K930" s="81"/>
    </row>
    <row r="931" ht="13.5" customHeight="1">
      <c r="A931" s="111"/>
      <c r="B931" s="111"/>
      <c r="C931" s="111"/>
      <c r="D931" s="111"/>
      <c r="E931" s="112"/>
      <c r="F931" s="113"/>
      <c r="G931" s="113"/>
      <c r="H931" s="114"/>
      <c r="I931" s="111"/>
      <c r="J931" s="111"/>
      <c r="K931" s="81"/>
    </row>
    <row r="932" ht="13.5" customHeight="1">
      <c r="A932" s="111"/>
      <c r="B932" s="111"/>
      <c r="C932" s="111"/>
      <c r="D932" s="111"/>
      <c r="E932" s="112"/>
      <c r="F932" s="113"/>
      <c r="G932" s="113"/>
      <c r="H932" s="114"/>
      <c r="I932" s="111"/>
      <c r="J932" s="111"/>
      <c r="K932" s="81"/>
    </row>
    <row r="933" ht="13.5" customHeight="1">
      <c r="A933" s="111"/>
      <c r="B933" s="111"/>
      <c r="C933" s="111"/>
      <c r="D933" s="111"/>
      <c r="E933" s="112"/>
      <c r="F933" s="113"/>
      <c r="G933" s="113"/>
      <c r="H933" s="114"/>
      <c r="I933" s="111"/>
      <c r="J933" s="111"/>
      <c r="K933" s="81"/>
    </row>
    <row r="934" ht="13.5" customHeight="1">
      <c r="A934" s="111"/>
      <c r="B934" s="111"/>
      <c r="C934" s="111"/>
      <c r="D934" s="111"/>
      <c r="E934" s="112"/>
      <c r="F934" s="113"/>
      <c r="G934" s="113"/>
      <c r="H934" s="114"/>
      <c r="I934" s="111"/>
      <c r="J934" s="111"/>
      <c r="K934" s="81"/>
    </row>
    <row r="935" ht="13.5" customHeight="1">
      <c r="A935" s="111"/>
      <c r="B935" s="111"/>
      <c r="C935" s="111"/>
      <c r="D935" s="111"/>
      <c r="E935" s="112"/>
      <c r="F935" s="113"/>
      <c r="G935" s="113"/>
      <c r="H935" s="114"/>
      <c r="I935" s="111"/>
      <c r="J935" s="111"/>
      <c r="K935" s="81"/>
    </row>
    <row r="936" ht="13.5" customHeight="1">
      <c r="A936" s="111"/>
      <c r="B936" s="111"/>
      <c r="C936" s="111"/>
      <c r="D936" s="111"/>
      <c r="E936" s="112"/>
      <c r="F936" s="113"/>
      <c r="G936" s="113"/>
      <c r="H936" s="114"/>
      <c r="I936" s="111"/>
      <c r="J936" s="111"/>
      <c r="K936" s="81"/>
    </row>
    <row r="937" ht="13.5" customHeight="1">
      <c r="A937" s="111"/>
      <c r="B937" s="111"/>
      <c r="C937" s="111"/>
      <c r="D937" s="111"/>
      <c r="E937" s="112"/>
      <c r="F937" s="113"/>
      <c r="G937" s="113"/>
      <c r="H937" s="114"/>
      <c r="I937" s="111"/>
      <c r="J937" s="111"/>
      <c r="K937" s="81"/>
    </row>
    <row r="938" ht="13.5" customHeight="1">
      <c r="A938" s="111"/>
      <c r="B938" s="111"/>
      <c r="C938" s="111"/>
      <c r="D938" s="111"/>
      <c r="E938" s="112"/>
      <c r="F938" s="113"/>
      <c r="G938" s="113"/>
      <c r="H938" s="114"/>
      <c r="I938" s="111"/>
      <c r="J938" s="111"/>
      <c r="K938" s="81"/>
    </row>
    <row r="939" ht="13.5" customHeight="1">
      <c r="A939" s="111"/>
      <c r="B939" s="111"/>
      <c r="C939" s="111"/>
      <c r="D939" s="111"/>
      <c r="E939" s="112"/>
      <c r="F939" s="113"/>
      <c r="G939" s="113"/>
      <c r="H939" s="114"/>
      <c r="I939" s="111"/>
      <c r="J939" s="111"/>
      <c r="K939" s="81"/>
    </row>
    <row r="940" ht="13.5" customHeight="1">
      <c r="A940" s="111"/>
      <c r="B940" s="111"/>
      <c r="C940" s="111"/>
      <c r="D940" s="111"/>
      <c r="E940" s="112"/>
      <c r="F940" s="113"/>
      <c r="G940" s="113"/>
      <c r="H940" s="114"/>
      <c r="I940" s="111"/>
      <c r="J940" s="111"/>
      <c r="K940" s="81"/>
    </row>
    <row r="941" ht="13.5" customHeight="1">
      <c r="A941" s="111"/>
      <c r="B941" s="111"/>
      <c r="C941" s="111"/>
      <c r="D941" s="111"/>
      <c r="E941" s="112"/>
      <c r="F941" s="113"/>
      <c r="G941" s="113"/>
      <c r="H941" s="114"/>
      <c r="I941" s="111"/>
      <c r="J941" s="111"/>
      <c r="K941" s="81"/>
    </row>
    <row r="942" ht="13.5" customHeight="1">
      <c r="A942" s="111"/>
      <c r="B942" s="111"/>
      <c r="C942" s="111"/>
      <c r="D942" s="111"/>
      <c r="E942" s="112"/>
      <c r="F942" s="113"/>
      <c r="G942" s="113"/>
      <c r="H942" s="114"/>
      <c r="I942" s="111"/>
      <c r="J942" s="111"/>
      <c r="K942" s="81"/>
    </row>
    <row r="943" ht="13.5" customHeight="1">
      <c r="A943" s="111"/>
      <c r="B943" s="111"/>
      <c r="C943" s="111"/>
      <c r="D943" s="111"/>
      <c r="E943" s="112"/>
      <c r="F943" s="113"/>
      <c r="G943" s="113"/>
      <c r="H943" s="114"/>
      <c r="I943" s="111"/>
      <c r="J943" s="111"/>
      <c r="K943" s="81"/>
    </row>
    <row r="944" ht="13.5" customHeight="1">
      <c r="A944" s="111"/>
      <c r="B944" s="111"/>
      <c r="C944" s="111"/>
      <c r="D944" s="111"/>
      <c r="E944" s="112"/>
      <c r="F944" s="113"/>
      <c r="G944" s="113"/>
      <c r="H944" s="114"/>
      <c r="I944" s="111"/>
      <c r="J944" s="111"/>
      <c r="K944" s="81"/>
    </row>
    <row r="945" ht="13.5" customHeight="1">
      <c r="A945" s="111"/>
      <c r="B945" s="111"/>
      <c r="C945" s="111"/>
      <c r="D945" s="111"/>
      <c r="E945" s="112"/>
      <c r="F945" s="113"/>
      <c r="G945" s="113"/>
      <c r="H945" s="114"/>
      <c r="I945" s="111"/>
      <c r="J945" s="111"/>
      <c r="K945" s="81"/>
    </row>
    <row r="946" ht="13.5" customHeight="1">
      <c r="A946" s="111"/>
      <c r="B946" s="111"/>
      <c r="C946" s="111"/>
      <c r="D946" s="111"/>
      <c r="E946" s="112"/>
      <c r="F946" s="113"/>
      <c r="G946" s="113"/>
      <c r="H946" s="114"/>
      <c r="I946" s="111"/>
      <c r="J946" s="111"/>
      <c r="K946" s="81"/>
    </row>
    <row r="947" ht="13.5" customHeight="1">
      <c r="A947" s="111"/>
      <c r="B947" s="111"/>
      <c r="C947" s="111"/>
      <c r="D947" s="111"/>
      <c r="E947" s="112"/>
      <c r="F947" s="113"/>
      <c r="G947" s="113"/>
      <c r="H947" s="114"/>
      <c r="I947" s="111"/>
      <c r="J947" s="111"/>
      <c r="K947" s="81"/>
    </row>
    <row r="948" ht="13.5" customHeight="1">
      <c r="A948" s="111"/>
      <c r="B948" s="111"/>
      <c r="C948" s="111"/>
      <c r="D948" s="111"/>
      <c r="E948" s="112"/>
      <c r="F948" s="113"/>
      <c r="G948" s="113"/>
      <c r="H948" s="114"/>
      <c r="I948" s="111"/>
      <c r="J948" s="111"/>
      <c r="K948" s="81"/>
    </row>
    <row r="949" ht="13.5" customHeight="1">
      <c r="A949" s="111"/>
      <c r="B949" s="111"/>
      <c r="C949" s="111"/>
      <c r="D949" s="111"/>
      <c r="E949" s="112"/>
      <c r="F949" s="113"/>
      <c r="G949" s="113"/>
      <c r="H949" s="114"/>
      <c r="I949" s="111"/>
      <c r="J949" s="111"/>
      <c r="K949" s="81"/>
    </row>
    <row r="950" ht="13.5" customHeight="1">
      <c r="A950" s="111"/>
      <c r="B950" s="111"/>
      <c r="C950" s="111"/>
      <c r="D950" s="111"/>
      <c r="E950" s="112"/>
      <c r="F950" s="113"/>
      <c r="G950" s="113"/>
      <c r="H950" s="114"/>
      <c r="I950" s="111"/>
      <c r="J950" s="111"/>
      <c r="K950" s="81"/>
    </row>
    <row r="951" ht="13.5" customHeight="1">
      <c r="A951" s="111"/>
      <c r="B951" s="111"/>
      <c r="C951" s="111"/>
      <c r="D951" s="111"/>
      <c r="E951" s="112"/>
      <c r="F951" s="113"/>
      <c r="G951" s="113"/>
      <c r="H951" s="114"/>
      <c r="I951" s="111"/>
      <c r="J951" s="111"/>
      <c r="K951" s="81"/>
    </row>
    <row r="952" ht="13.5" customHeight="1">
      <c r="A952" s="111"/>
      <c r="B952" s="111"/>
      <c r="C952" s="111"/>
      <c r="D952" s="111"/>
      <c r="E952" s="112"/>
      <c r="F952" s="113"/>
      <c r="G952" s="113"/>
      <c r="H952" s="114"/>
      <c r="I952" s="111"/>
      <c r="J952" s="111"/>
      <c r="K952" s="81"/>
    </row>
    <row r="953" ht="13.5" customHeight="1">
      <c r="A953" s="111"/>
      <c r="B953" s="111"/>
      <c r="C953" s="111"/>
      <c r="D953" s="111"/>
      <c r="E953" s="112"/>
      <c r="F953" s="113"/>
      <c r="G953" s="113"/>
      <c r="H953" s="114"/>
      <c r="I953" s="111"/>
      <c r="J953" s="111"/>
      <c r="K953" s="81"/>
    </row>
    <row r="954" ht="13.5" customHeight="1">
      <c r="A954" s="111"/>
      <c r="B954" s="111"/>
      <c r="C954" s="111"/>
      <c r="D954" s="111"/>
      <c r="E954" s="112"/>
      <c r="F954" s="113"/>
      <c r="G954" s="113"/>
      <c r="H954" s="114"/>
      <c r="I954" s="111"/>
      <c r="J954" s="111"/>
      <c r="K954" s="81"/>
    </row>
    <row r="955" ht="13.5" customHeight="1">
      <c r="A955" s="111"/>
      <c r="B955" s="111"/>
      <c r="C955" s="111"/>
      <c r="D955" s="111"/>
      <c r="E955" s="112"/>
      <c r="F955" s="113"/>
      <c r="G955" s="113"/>
      <c r="H955" s="114"/>
      <c r="I955" s="111"/>
      <c r="J955" s="111"/>
      <c r="K955" s="81"/>
    </row>
    <row r="956" ht="13.5" customHeight="1">
      <c r="A956" s="111"/>
      <c r="B956" s="111"/>
      <c r="C956" s="111"/>
      <c r="D956" s="111"/>
      <c r="E956" s="112"/>
      <c r="F956" s="113"/>
      <c r="G956" s="113"/>
      <c r="H956" s="114"/>
      <c r="I956" s="111"/>
      <c r="J956" s="111"/>
      <c r="K956" s="81"/>
    </row>
    <row r="957" ht="13.5" customHeight="1">
      <c r="A957" s="111"/>
      <c r="B957" s="111"/>
      <c r="C957" s="111"/>
      <c r="D957" s="111"/>
      <c r="E957" s="112"/>
      <c r="F957" s="113"/>
      <c r="G957" s="113"/>
      <c r="H957" s="114"/>
      <c r="I957" s="111"/>
      <c r="J957" s="111"/>
      <c r="K957" s="81"/>
    </row>
    <row r="958" ht="13.5" customHeight="1">
      <c r="A958" s="111"/>
      <c r="B958" s="111"/>
      <c r="C958" s="111"/>
      <c r="D958" s="111"/>
      <c r="E958" s="112"/>
      <c r="F958" s="113"/>
      <c r="G958" s="113"/>
      <c r="H958" s="114"/>
      <c r="I958" s="111"/>
      <c r="J958" s="111"/>
      <c r="K958" s="81"/>
    </row>
    <row r="959" ht="13.5" customHeight="1">
      <c r="A959" s="111"/>
      <c r="B959" s="111"/>
      <c r="C959" s="111"/>
      <c r="D959" s="111"/>
      <c r="E959" s="112"/>
      <c r="F959" s="113"/>
      <c r="G959" s="113"/>
      <c r="H959" s="114"/>
      <c r="I959" s="111"/>
      <c r="J959" s="111"/>
      <c r="K959" s="81"/>
    </row>
    <row r="960" ht="13.5" customHeight="1">
      <c r="A960" s="111"/>
      <c r="B960" s="111"/>
      <c r="C960" s="111"/>
      <c r="D960" s="111"/>
      <c r="E960" s="112"/>
      <c r="F960" s="113"/>
      <c r="G960" s="113"/>
      <c r="H960" s="114"/>
      <c r="I960" s="111"/>
      <c r="J960" s="111"/>
      <c r="K960" s="81"/>
    </row>
    <row r="961" ht="13.5" customHeight="1">
      <c r="A961" s="111"/>
      <c r="B961" s="111"/>
      <c r="C961" s="111"/>
      <c r="D961" s="111"/>
      <c r="E961" s="112"/>
      <c r="F961" s="113"/>
      <c r="G961" s="113"/>
      <c r="H961" s="114"/>
      <c r="I961" s="111"/>
      <c r="J961" s="111"/>
      <c r="K961" s="81"/>
    </row>
    <row r="962" ht="13.5" customHeight="1">
      <c r="A962" s="111"/>
      <c r="B962" s="111"/>
      <c r="C962" s="111"/>
      <c r="D962" s="111"/>
      <c r="E962" s="112"/>
      <c r="F962" s="113"/>
      <c r="G962" s="113"/>
      <c r="H962" s="114"/>
      <c r="I962" s="111"/>
      <c r="J962" s="111"/>
      <c r="K962" s="81"/>
    </row>
    <row r="963" ht="13.5" customHeight="1">
      <c r="A963" s="111"/>
      <c r="B963" s="111"/>
      <c r="C963" s="111"/>
      <c r="D963" s="111"/>
      <c r="E963" s="112"/>
      <c r="F963" s="113"/>
      <c r="G963" s="113"/>
      <c r="H963" s="114"/>
      <c r="I963" s="111"/>
      <c r="J963" s="111"/>
      <c r="K963" s="81"/>
    </row>
    <row r="964" ht="13.5" customHeight="1">
      <c r="A964" s="111"/>
      <c r="B964" s="111"/>
      <c r="C964" s="111"/>
      <c r="D964" s="111"/>
      <c r="E964" s="112"/>
      <c r="F964" s="113"/>
      <c r="G964" s="113"/>
      <c r="H964" s="114"/>
      <c r="I964" s="111"/>
      <c r="J964" s="111"/>
      <c r="K964" s="81"/>
    </row>
    <row r="965" ht="13.5" customHeight="1">
      <c r="A965" s="111"/>
      <c r="B965" s="111"/>
      <c r="C965" s="111"/>
      <c r="D965" s="111"/>
      <c r="E965" s="112"/>
      <c r="F965" s="113"/>
      <c r="G965" s="113"/>
      <c r="H965" s="114"/>
      <c r="I965" s="111"/>
      <c r="J965" s="111"/>
      <c r="K965" s="81"/>
    </row>
    <row r="966" ht="13.5" customHeight="1">
      <c r="A966" s="111"/>
      <c r="B966" s="111"/>
      <c r="C966" s="111"/>
      <c r="D966" s="111"/>
      <c r="E966" s="112"/>
      <c r="F966" s="113"/>
      <c r="G966" s="113"/>
      <c r="H966" s="114"/>
      <c r="I966" s="111"/>
      <c r="J966" s="111"/>
      <c r="K966" s="81"/>
    </row>
    <row r="967" ht="13.5" customHeight="1">
      <c r="A967" s="111"/>
      <c r="B967" s="111"/>
      <c r="C967" s="111"/>
      <c r="D967" s="111"/>
      <c r="E967" s="112"/>
      <c r="F967" s="113"/>
      <c r="G967" s="113"/>
      <c r="H967" s="114"/>
      <c r="I967" s="111"/>
      <c r="J967" s="111"/>
      <c r="K967" s="81"/>
    </row>
    <row r="968" ht="13.5" customHeight="1">
      <c r="A968" s="111"/>
      <c r="B968" s="111"/>
      <c r="C968" s="111"/>
      <c r="D968" s="111"/>
      <c r="E968" s="112"/>
      <c r="F968" s="113"/>
      <c r="G968" s="113"/>
      <c r="H968" s="114"/>
      <c r="I968" s="111"/>
      <c r="J968" s="111"/>
      <c r="K968" s="81"/>
    </row>
    <row r="969" ht="13.5" customHeight="1">
      <c r="A969" s="111"/>
      <c r="B969" s="111"/>
      <c r="C969" s="111"/>
      <c r="D969" s="111"/>
      <c r="E969" s="112"/>
      <c r="F969" s="113"/>
      <c r="G969" s="113"/>
      <c r="H969" s="114"/>
      <c r="I969" s="111"/>
      <c r="J969" s="111"/>
      <c r="K969" s="81"/>
    </row>
    <row r="970" ht="13.5" customHeight="1">
      <c r="A970" s="111"/>
      <c r="B970" s="111"/>
      <c r="C970" s="111"/>
      <c r="D970" s="111"/>
      <c r="E970" s="112"/>
      <c r="F970" s="113"/>
      <c r="G970" s="113"/>
      <c r="H970" s="114"/>
      <c r="I970" s="111"/>
      <c r="J970" s="111"/>
      <c r="K970" s="81"/>
    </row>
    <row r="971" ht="13.5" customHeight="1">
      <c r="A971" s="111"/>
      <c r="B971" s="111"/>
      <c r="C971" s="111"/>
      <c r="D971" s="111"/>
      <c r="E971" s="112"/>
      <c r="F971" s="113"/>
      <c r="G971" s="113"/>
      <c r="H971" s="114"/>
      <c r="I971" s="111"/>
      <c r="J971" s="111"/>
      <c r="K971" s="81"/>
    </row>
    <row r="972" ht="13.5" customHeight="1">
      <c r="A972" s="111"/>
      <c r="B972" s="111"/>
      <c r="C972" s="111"/>
      <c r="D972" s="111"/>
      <c r="E972" s="112"/>
      <c r="F972" s="113"/>
      <c r="G972" s="113"/>
      <c r="H972" s="114"/>
      <c r="I972" s="111"/>
      <c r="J972" s="111"/>
      <c r="K972" s="81"/>
    </row>
    <row r="973" ht="13.5" customHeight="1">
      <c r="A973" s="111"/>
      <c r="B973" s="111"/>
      <c r="C973" s="111"/>
      <c r="D973" s="111"/>
      <c r="E973" s="112"/>
      <c r="F973" s="113"/>
      <c r="G973" s="113"/>
      <c r="H973" s="114"/>
      <c r="I973" s="111"/>
      <c r="J973" s="111"/>
      <c r="K973" s="81"/>
    </row>
    <row r="974" ht="13.5" customHeight="1">
      <c r="A974" s="111"/>
      <c r="B974" s="111"/>
      <c r="C974" s="111"/>
      <c r="D974" s="111"/>
      <c r="E974" s="112"/>
      <c r="F974" s="113"/>
      <c r="G974" s="113"/>
      <c r="H974" s="114"/>
      <c r="I974" s="111"/>
      <c r="J974" s="111"/>
      <c r="K974" s="81"/>
    </row>
    <row r="975" ht="13.5" customHeight="1">
      <c r="A975" s="111"/>
      <c r="B975" s="111"/>
      <c r="C975" s="111"/>
      <c r="D975" s="111"/>
      <c r="E975" s="112"/>
      <c r="F975" s="113"/>
      <c r="G975" s="113"/>
      <c r="H975" s="114"/>
      <c r="I975" s="111"/>
      <c r="J975" s="111"/>
      <c r="K975" s="81"/>
    </row>
    <row r="976" ht="13.5" customHeight="1">
      <c r="A976" s="111"/>
      <c r="B976" s="111"/>
      <c r="C976" s="111"/>
      <c r="D976" s="111"/>
      <c r="E976" s="112"/>
      <c r="F976" s="113"/>
      <c r="G976" s="113"/>
      <c r="H976" s="114"/>
      <c r="I976" s="111"/>
      <c r="J976" s="111"/>
      <c r="K976" s="81"/>
    </row>
    <row r="977" ht="13.5" customHeight="1">
      <c r="A977" s="111"/>
      <c r="B977" s="111"/>
      <c r="C977" s="111"/>
      <c r="D977" s="111"/>
      <c r="E977" s="112"/>
      <c r="F977" s="113"/>
      <c r="G977" s="113"/>
      <c r="H977" s="114"/>
      <c r="I977" s="111"/>
      <c r="J977" s="111"/>
      <c r="K977" s="81"/>
    </row>
    <row r="978" ht="13.5" customHeight="1">
      <c r="A978" s="111"/>
      <c r="B978" s="111"/>
      <c r="C978" s="111"/>
      <c r="D978" s="111"/>
      <c r="E978" s="112"/>
      <c r="F978" s="113"/>
      <c r="G978" s="113"/>
      <c r="H978" s="114"/>
      <c r="I978" s="111"/>
      <c r="J978" s="111"/>
      <c r="K978" s="81"/>
    </row>
    <row r="979" ht="13.5" customHeight="1">
      <c r="A979" s="111"/>
      <c r="B979" s="111"/>
      <c r="C979" s="111"/>
      <c r="D979" s="111"/>
      <c r="E979" s="112"/>
      <c r="F979" s="113"/>
      <c r="G979" s="113"/>
      <c r="H979" s="114"/>
      <c r="I979" s="111"/>
      <c r="J979" s="111"/>
      <c r="K979" s="81"/>
    </row>
    <row r="980" ht="13.5" customHeight="1">
      <c r="A980" s="111"/>
      <c r="B980" s="111"/>
      <c r="C980" s="111"/>
      <c r="D980" s="111"/>
      <c r="E980" s="112"/>
      <c r="F980" s="113"/>
      <c r="G980" s="113"/>
      <c r="H980" s="114"/>
      <c r="I980" s="111"/>
      <c r="J980" s="111"/>
      <c r="K980" s="81"/>
    </row>
    <row r="981" ht="13.5" customHeight="1">
      <c r="A981" s="111"/>
      <c r="B981" s="111"/>
      <c r="C981" s="111"/>
      <c r="D981" s="111"/>
      <c r="E981" s="112"/>
      <c r="F981" s="113"/>
      <c r="G981" s="113"/>
      <c r="H981" s="114"/>
      <c r="I981" s="111"/>
      <c r="J981" s="111"/>
      <c r="K981" s="81"/>
    </row>
    <row r="982" ht="13.5" customHeight="1">
      <c r="A982" s="111"/>
      <c r="B982" s="111"/>
      <c r="C982" s="111"/>
      <c r="D982" s="111"/>
      <c r="E982" s="112"/>
      <c r="F982" s="113"/>
      <c r="G982" s="113"/>
      <c r="H982" s="114"/>
      <c r="I982" s="111"/>
      <c r="J982" s="111"/>
      <c r="K982" s="81"/>
    </row>
    <row r="983" ht="13.5" customHeight="1">
      <c r="A983" s="111"/>
      <c r="B983" s="111"/>
      <c r="C983" s="111"/>
      <c r="D983" s="111"/>
      <c r="E983" s="112"/>
      <c r="F983" s="113"/>
      <c r="G983" s="113"/>
      <c r="H983" s="114"/>
      <c r="I983" s="111"/>
      <c r="J983" s="111"/>
      <c r="K983" s="81"/>
    </row>
    <row r="984" ht="13.5" customHeight="1">
      <c r="A984" s="111"/>
      <c r="B984" s="111"/>
      <c r="C984" s="111"/>
      <c r="D984" s="111"/>
      <c r="E984" s="112"/>
      <c r="F984" s="113"/>
      <c r="G984" s="113"/>
      <c r="H984" s="114"/>
      <c r="I984" s="111"/>
      <c r="J984" s="111"/>
      <c r="K984" s="81"/>
    </row>
    <row r="985" ht="13.5" customHeight="1">
      <c r="A985" s="111"/>
      <c r="B985" s="111"/>
      <c r="C985" s="111"/>
      <c r="D985" s="111"/>
      <c r="E985" s="112"/>
      <c r="F985" s="113"/>
      <c r="G985" s="113"/>
      <c r="H985" s="114"/>
      <c r="I985" s="111"/>
      <c r="J985" s="111"/>
      <c r="K985" s="81"/>
    </row>
    <row r="986" ht="13.5" customHeight="1">
      <c r="A986" s="111"/>
      <c r="B986" s="111"/>
      <c r="C986" s="111"/>
      <c r="D986" s="111"/>
      <c r="E986" s="112"/>
      <c r="F986" s="113"/>
      <c r="G986" s="113"/>
      <c r="H986" s="114"/>
      <c r="I986" s="111"/>
      <c r="J986" s="111"/>
      <c r="K986" s="81"/>
    </row>
    <row r="987" ht="13.5" customHeight="1">
      <c r="A987" s="111"/>
      <c r="B987" s="111"/>
      <c r="C987" s="111"/>
      <c r="D987" s="111"/>
      <c r="E987" s="112"/>
      <c r="F987" s="113"/>
      <c r="G987" s="113"/>
      <c r="H987" s="114"/>
      <c r="I987" s="111"/>
      <c r="J987" s="111"/>
      <c r="K987" s="81"/>
    </row>
    <row r="988" ht="13.5" customHeight="1">
      <c r="A988" s="111"/>
      <c r="B988" s="111"/>
      <c r="C988" s="111"/>
      <c r="D988" s="111"/>
      <c r="E988" s="112"/>
      <c r="F988" s="113"/>
      <c r="G988" s="113"/>
      <c r="H988" s="114"/>
      <c r="I988" s="111"/>
      <c r="J988" s="111"/>
      <c r="K988" s="81"/>
    </row>
    <row r="989" ht="13.5" customHeight="1">
      <c r="A989" s="111"/>
      <c r="B989" s="111"/>
      <c r="C989" s="111"/>
      <c r="D989" s="111"/>
      <c r="E989" s="112"/>
      <c r="F989" s="113"/>
      <c r="G989" s="113"/>
      <c r="H989" s="114"/>
      <c r="I989" s="111"/>
      <c r="J989" s="111"/>
      <c r="K989" s="81"/>
    </row>
    <row r="990" ht="13.5" customHeight="1">
      <c r="A990" s="111"/>
      <c r="B990" s="111"/>
      <c r="C990" s="111"/>
      <c r="D990" s="111"/>
      <c r="E990" s="112"/>
      <c r="F990" s="113"/>
      <c r="G990" s="113"/>
      <c r="H990" s="114"/>
      <c r="I990" s="111"/>
      <c r="J990" s="111"/>
      <c r="K990" s="81"/>
    </row>
    <row r="991" ht="13.5" customHeight="1">
      <c r="A991" s="111"/>
      <c r="B991" s="111"/>
      <c r="C991" s="111"/>
      <c r="D991" s="111"/>
      <c r="E991" s="112"/>
      <c r="F991" s="113"/>
      <c r="G991" s="113"/>
      <c r="H991" s="114"/>
      <c r="I991" s="111"/>
      <c r="J991" s="111"/>
      <c r="K991" s="81"/>
    </row>
    <row r="992" ht="13.5" customHeight="1">
      <c r="A992" s="111"/>
      <c r="B992" s="111"/>
      <c r="C992" s="111"/>
      <c r="D992" s="111"/>
      <c r="E992" s="112"/>
      <c r="F992" s="113"/>
      <c r="G992" s="113"/>
      <c r="H992" s="114"/>
      <c r="I992" s="111"/>
      <c r="J992" s="111"/>
      <c r="K992" s="81"/>
    </row>
    <row r="993" ht="13.5" customHeight="1">
      <c r="A993" s="111"/>
      <c r="B993" s="111"/>
      <c r="C993" s="111"/>
      <c r="D993" s="111"/>
      <c r="E993" s="112"/>
      <c r="F993" s="113"/>
      <c r="G993" s="113"/>
      <c r="H993" s="114"/>
      <c r="I993" s="111"/>
      <c r="J993" s="111"/>
      <c r="K993" s="81"/>
    </row>
    <row r="994" ht="13.5" customHeight="1">
      <c r="A994" s="111"/>
      <c r="B994" s="111"/>
      <c r="C994" s="111"/>
      <c r="D994" s="111"/>
      <c r="E994" s="112"/>
      <c r="F994" s="113"/>
      <c r="G994" s="113"/>
      <c r="H994" s="114"/>
      <c r="I994" s="111"/>
      <c r="J994" s="111"/>
      <c r="K994" s="81"/>
    </row>
    <row r="995" ht="13.5" customHeight="1">
      <c r="A995" s="111"/>
      <c r="B995" s="111"/>
      <c r="C995" s="111"/>
      <c r="D995" s="111"/>
      <c r="E995" s="112"/>
      <c r="F995" s="113"/>
      <c r="G995" s="113"/>
      <c r="H995" s="114"/>
      <c r="I995" s="111"/>
      <c r="J995" s="111"/>
      <c r="K995" s="81"/>
    </row>
    <row r="996" ht="13.5" customHeight="1">
      <c r="A996" s="111"/>
      <c r="B996" s="111"/>
      <c r="C996" s="111"/>
      <c r="D996" s="111"/>
      <c r="E996" s="112"/>
      <c r="F996" s="113"/>
      <c r="G996" s="113"/>
      <c r="H996" s="114"/>
      <c r="I996" s="111"/>
      <c r="J996" s="111"/>
      <c r="K996" s="81"/>
    </row>
    <row r="997" ht="13.5" customHeight="1">
      <c r="A997" s="111"/>
      <c r="B997" s="111"/>
      <c r="C997" s="111"/>
      <c r="D997" s="111"/>
      <c r="E997" s="112"/>
      <c r="F997" s="113"/>
      <c r="G997" s="113"/>
      <c r="H997" s="114"/>
      <c r="I997" s="111"/>
      <c r="J997" s="111"/>
      <c r="K997" s="81"/>
    </row>
    <row r="998" ht="13.5" customHeight="1">
      <c r="A998" s="111"/>
      <c r="B998" s="111"/>
      <c r="C998" s="111"/>
      <c r="D998" s="111"/>
      <c r="E998" s="112"/>
      <c r="F998" s="113"/>
      <c r="G998" s="113"/>
      <c r="H998" s="114"/>
      <c r="I998" s="111"/>
      <c r="J998" s="111"/>
      <c r="K998" s="81"/>
    </row>
    <row r="999" ht="13.5" customHeight="1">
      <c r="A999" s="111"/>
      <c r="B999" s="111"/>
      <c r="C999" s="111"/>
      <c r="D999" s="111"/>
      <c r="E999" s="112"/>
      <c r="F999" s="113"/>
      <c r="G999" s="113"/>
      <c r="H999" s="114"/>
      <c r="I999" s="111"/>
      <c r="J999" s="111"/>
      <c r="K999" s="81"/>
    </row>
    <row r="1000" ht="13.5" customHeight="1">
      <c r="A1000" s="111"/>
      <c r="B1000" s="111"/>
      <c r="C1000" s="111"/>
      <c r="D1000" s="111"/>
      <c r="E1000" s="112"/>
      <c r="F1000" s="113"/>
      <c r="G1000" s="113"/>
      <c r="H1000" s="114"/>
      <c r="I1000" s="111"/>
      <c r="J1000" s="111"/>
      <c r="K1000" s="81"/>
    </row>
    <row r="1001" ht="13.5" customHeight="1">
      <c r="A1001" s="111"/>
      <c r="B1001" s="111"/>
      <c r="C1001" s="111"/>
      <c r="D1001" s="111"/>
      <c r="E1001" s="115"/>
      <c r="F1001" s="116"/>
      <c r="G1001" s="116"/>
      <c r="H1001" s="117"/>
      <c r="I1001" s="118"/>
      <c r="J1001" s="118"/>
      <c r="K1001" s="81"/>
    </row>
    <row r="1002" ht="13.5" customHeight="1">
      <c r="A1002" s="111"/>
      <c r="B1002" s="111"/>
      <c r="C1002" s="111"/>
      <c r="D1002" s="111"/>
      <c r="E1002" s="115"/>
      <c r="F1002" s="116"/>
      <c r="G1002" s="116"/>
      <c r="H1002" s="117"/>
      <c r="I1002" s="118"/>
      <c r="J1002" s="118"/>
      <c r="K1002" s="81"/>
    </row>
    <row r="1003" ht="13.5" customHeight="1">
      <c r="A1003" s="111"/>
      <c r="B1003" s="111"/>
      <c r="C1003" s="111"/>
      <c r="D1003" s="111"/>
      <c r="E1003" s="115"/>
      <c r="F1003" s="116"/>
      <c r="G1003" s="116"/>
      <c r="H1003" s="117"/>
      <c r="I1003" s="118"/>
      <c r="J1003" s="118"/>
      <c r="K1003" s="81"/>
    </row>
    <row r="1004" ht="13.5" customHeight="1">
      <c r="A1004" s="111"/>
      <c r="B1004" s="111"/>
      <c r="C1004" s="111"/>
      <c r="D1004" s="111"/>
      <c r="E1004" s="115"/>
      <c r="F1004" s="116"/>
      <c r="G1004" s="116"/>
      <c r="H1004" s="117"/>
      <c r="I1004" s="118"/>
      <c r="J1004" s="118"/>
      <c r="K1004" s="81"/>
    </row>
    <row r="1005" ht="13.5" customHeight="1">
      <c r="A1005" s="111"/>
      <c r="B1005" s="111"/>
      <c r="C1005" s="111"/>
      <c r="D1005" s="111"/>
      <c r="E1005" s="115"/>
      <c r="F1005" s="116"/>
      <c r="G1005" s="116"/>
      <c r="H1005" s="117"/>
      <c r="I1005" s="118"/>
      <c r="J1005" s="118"/>
      <c r="K1005" s="81"/>
    </row>
    <row r="1006" ht="13.5" customHeight="1">
      <c r="A1006" s="111"/>
      <c r="B1006" s="111"/>
      <c r="C1006" s="111"/>
      <c r="D1006" s="111"/>
      <c r="E1006" s="115"/>
      <c r="F1006" s="116"/>
      <c r="G1006" s="116"/>
      <c r="H1006" s="117"/>
      <c r="I1006" s="118"/>
      <c r="J1006" s="118"/>
      <c r="K1006" s="81"/>
    </row>
    <row r="1007" ht="13.5" customHeight="1">
      <c r="A1007" s="111"/>
      <c r="B1007" s="111"/>
      <c r="C1007" s="111"/>
      <c r="D1007" s="111"/>
      <c r="E1007" s="115"/>
      <c r="F1007" s="116"/>
      <c r="G1007" s="116"/>
      <c r="H1007" s="117"/>
      <c r="I1007" s="118"/>
      <c r="J1007" s="118"/>
      <c r="K1007" s="81"/>
    </row>
    <row r="1008" ht="13.5" customHeight="1">
      <c r="A1008" s="111"/>
      <c r="B1008" s="111"/>
      <c r="C1008" s="111"/>
      <c r="D1008" s="111"/>
      <c r="E1008" s="115"/>
      <c r="F1008" s="116"/>
      <c r="G1008" s="116"/>
      <c r="H1008" s="117"/>
      <c r="I1008" s="118"/>
      <c r="J1008" s="118"/>
      <c r="K1008" s="81"/>
    </row>
    <row r="1009" ht="13.5" customHeight="1">
      <c r="A1009" s="111"/>
      <c r="B1009" s="111"/>
      <c r="C1009" s="111"/>
      <c r="D1009" s="111"/>
      <c r="E1009" s="115"/>
      <c r="F1009" s="116"/>
      <c r="G1009" s="116"/>
      <c r="H1009" s="117"/>
      <c r="I1009" s="118"/>
      <c r="J1009" s="118"/>
      <c r="K1009" s="81"/>
    </row>
    <row r="1010" ht="13.5" customHeight="1">
      <c r="A1010" s="111"/>
      <c r="B1010" s="111"/>
      <c r="C1010" s="111"/>
      <c r="D1010" s="111"/>
      <c r="E1010" s="115"/>
      <c r="F1010" s="116"/>
      <c r="G1010" s="116"/>
      <c r="H1010" s="117"/>
      <c r="I1010" s="118"/>
      <c r="J1010" s="118"/>
      <c r="K1010" s="81"/>
    </row>
    <row r="1011" ht="13.5" customHeight="1">
      <c r="A1011" s="111"/>
      <c r="B1011" s="111"/>
      <c r="C1011" s="111"/>
      <c r="D1011" s="111"/>
      <c r="E1011" s="115"/>
      <c r="F1011" s="116"/>
      <c r="G1011" s="116"/>
      <c r="H1011" s="117"/>
      <c r="I1011" s="118"/>
      <c r="J1011" s="118"/>
      <c r="K1011" s="81"/>
    </row>
    <row r="1012" ht="13.5" customHeight="1">
      <c r="A1012" s="111"/>
      <c r="B1012" s="111"/>
      <c r="C1012" s="111"/>
      <c r="D1012" s="111"/>
      <c r="E1012" s="115"/>
      <c r="F1012" s="116"/>
      <c r="G1012" s="116"/>
      <c r="H1012" s="117"/>
      <c r="I1012" s="118"/>
      <c r="J1012" s="118"/>
      <c r="K1012" s="81"/>
    </row>
    <row r="1013" ht="13.5" customHeight="1">
      <c r="A1013" s="111"/>
      <c r="B1013" s="111"/>
      <c r="C1013" s="111"/>
      <c r="D1013" s="111"/>
      <c r="E1013" s="115"/>
      <c r="F1013" s="116"/>
      <c r="G1013" s="116"/>
      <c r="H1013" s="117"/>
      <c r="I1013" s="118"/>
      <c r="J1013" s="118"/>
      <c r="K1013" s="81"/>
    </row>
    <row r="1014" ht="13.5" customHeight="1">
      <c r="A1014" s="111"/>
      <c r="B1014" s="111"/>
      <c r="C1014" s="111"/>
      <c r="D1014" s="111"/>
      <c r="E1014" s="115"/>
      <c r="F1014" s="116"/>
      <c r="G1014" s="116"/>
      <c r="H1014" s="117"/>
      <c r="I1014" s="118"/>
      <c r="J1014" s="118"/>
      <c r="K1014" s="81"/>
    </row>
    <row r="1015" ht="13.5" customHeight="1">
      <c r="A1015" s="111"/>
      <c r="B1015" s="111"/>
      <c r="C1015" s="111"/>
      <c r="D1015" s="111"/>
      <c r="E1015" s="115"/>
      <c r="F1015" s="116"/>
      <c r="G1015" s="116"/>
      <c r="H1015" s="117"/>
      <c r="I1015" s="118"/>
      <c r="J1015" s="118"/>
      <c r="K1015" s="81"/>
    </row>
    <row r="1016" ht="13.5" customHeight="1">
      <c r="A1016" s="111"/>
      <c r="B1016" s="111"/>
      <c r="C1016" s="111"/>
      <c r="D1016" s="111"/>
      <c r="E1016" s="115"/>
      <c r="F1016" s="116"/>
      <c r="G1016" s="116"/>
      <c r="H1016" s="117"/>
      <c r="I1016" s="118"/>
      <c r="J1016" s="118"/>
      <c r="K1016" s="81"/>
    </row>
    <row r="1017" ht="13.5" customHeight="1">
      <c r="A1017" s="111"/>
      <c r="B1017" s="111"/>
      <c r="C1017" s="111"/>
      <c r="D1017" s="111"/>
      <c r="E1017" s="115"/>
      <c r="F1017" s="116"/>
      <c r="G1017" s="116"/>
      <c r="H1017" s="117"/>
      <c r="I1017" s="118"/>
      <c r="J1017" s="118"/>
      <c r="K1017" s="81"/>
    </row>
    <row r="1018" ht="13.5" customHeight="1">
      <c r="A1018" s="111"/>
      <c r="B1018" s="111"/>
      <c r="C1018" s="111"/>
      <c r="D1018" s="111"/>
      <c r="E1018" s="115"/>
      <c r="F1018" s="116"/>
      <c r="G1018" s="116"/>
      <c r="H1018" s="117"/>
      <c r="I1018" s="118"/>
      <c r="J1018" s="118"/>
      <c r="K1018" s="81"/>
    </row>
    <row r="1019" ht="13.5" customHeight="1">
      <c r="A1019" s="111"/>
      <c r="B1019" s="111"/>
      <c r="C1019" s="111"/>
      <c r="D1019" s="111"/>
      <c r="E1019" s="115"/>
      <c r="F1019" s="116"/>
      <c r="G1019" s="116"/>
      <c r="H1019" s="117"/>
      <c r="I1019" s="118"/>
      <c r="J1019" s="118"/>
      <c r="K1019" s="81"/>
    </row>
    <row r="1020" ht="13.5" customHeight="1">
      <c r="A1020" s="111"/>
      <c r="B1020" s="111"/>
      <c r="C1020" s="111"/>
      <c r="D1020" s="111"/>
      <c r="E1020" s="115"/>
      <c r="F1020" s="116"/>
      <c r="G1020" s="116"/>
      <c r="H1020" s="117"/>
      <c r="I1020" s="118"/>
      <c r="J1020" s="118"/>
      <c r="K1020" s="81"/>
    </row>
    <row r="1021" ht="13.5" customHeight="1">
      <c r="A1021" s="111"/>
      <c r="B1021" s="111"/>
      <c r="C1021" s="111"/>
      <c r="D1021" s="111"/>
      <c r="E1021" s="115"/>
      <c r="F1021" s="116"/>
      <c r="G1021" s="116"/>
      <c r="H1021" s="117"/>
      <c r="I1021" s="118"/>
      <c r="J1021" s="118"/>
      <c r="K1021" s="81"/>
    </row>
    <row r="1022" ht="13.5" customHeight="1">
      <c r="A1022" s="111"/>
      <c r="B1022" s="111"/>
      <c r="C1022" s="111"/>
      <c r="D1022" s="111"/>
      <c r="E1022" s="115"/>
      <c r="F1022" s="116"/>
      <c r="G1022" s="116"/>
      <c r="H1022" s="117"/>
      <c r="I1022" s="118"/>
      <c r="J1022" s="118"/>
      <c r="K1022" s="81"/>
    </row>
    <row r="1023" ht="13.5" customHeight="1">
      <c r="A1023" s="111"/>
      <c r="B1023" s="111"/>
      <c r="C1023" s="111"/>
      <c r="D1023" s="111"/>
      <c r="E1023" s="115"/>
      <c r="F1023" s="116"/>
      <c r="G1023" s="116"/>
      <c r="H1023" s="117"/>
      <c r="I1023" s="118"/>
      <c r="J1023" s="118"/>
      <c r="K1023" s="81"/>
    </row>
    <row r="1024" ht="13.5" customHeight="1">
      <c r="A1024" s="111"/>
      <c r="B1024" s="111"/>
      <c r="C1024" s="111"/>
      <c r="D1024" s="111"/>
      <c r="E1024" s="115"/>
      <c r="F1024" s="116"/>
      <c r="G1024" s="116"/>
      <c r="H1024" s="117"/>
      <c r="I1024" s="118"/>
      <c r="J1024" s="118"/>
      <c r="K1024" s="81"/>
    </row>
    <row r="1025" ht="13.5" customHeight="1">
      <c r="A1025" s="111"/>
      <c r="B1025" s="111"/>
      <c r="C1025" s="111"/>
      <c r="D1025" s="111"/>
      <c r="E1025" s="115"/>
      <c r="F1025" s="116"/>
      <c r="G1025" s="116"/>
      <c r="H1025" s="117"/>
      <c r="I1025" s="118"/>
      <c r="J1025" s="118"/>
      <c r="K1025" s="81"/>
    </row>
    <row r="1026" ht="13.5" customHeight="1">
      <c r="A1026" s="111"/>
      <c r="B1026" s="111"/>
      <c r="C1026" s="111"/>
      <c r="D1026" s="111"/>
      <c r="E1026" s="115"/>
      <c r="F1026" s="116"/>
      <c r="G1026" s="116"/>
      <c r="H1026" s="117"/>
      <c r="I1026" s="118"/>
      <c r="J1026" s="118"/>
      <c r="K1026" s="81"/>
    </row>
    <row r="1027" ht="13.5" customHeight="1">
      <c r="A1027" s="111"/>
      <c r="B1027" s="111"/>
      <c r="C1027" s="111"/>
      <c r="D1027" s="111"/>
      <c r="E1027" s="115"/>
      <c r="F1027" s="116"/>
      <c r="G1027" s="116"/>
      <c r="H1027" s="117"/>
      <c r="I1027" s="118"/>
      <c r="J1027" s="118"/>
      <c r="K1027" s="81"/>
    </row>
    <row r="1028" ht="13.5" customHeight="1">
      <c r="A1028" s="111"/>
      <c r="B1028" s="111"/>
      <c r="C1028" s="111"/>
      <c r="D1028" s="111"/>
      <c r="E1028" s="115"/>
      <c r="F1028" s="116"/>
      <c r="G1028" s="116"/>
      <c r="H1028" s="117"/>
      <c r="I1028" s="118"/>
      <c r="J1028" s="118"/>
      <c r="K1028" s="81"/>
    </row>
    <row r="1029" ht="13.5" customHeight="1">
      <c r="A1029" s="111"/>
      <c r="B1029" s="111"/>
      <c r="C1029" s="111"/>
      <c r="D1029" s="111"/>
      <c r="E1029" s="115"/>
      <c r="F1029" s="116"/>
      <c r="G1029" s="116"/>
      <c r="H1029" s="117"/>
      <c r="I1029" s="118"/>
      <c r="J1029" s="118"/>
      <c r="K1029" s="81"/>
    </row>
    <row r="1030" ht="13.5" customHeight="1">
      <c r="A1030" s="111"/>
      <c r="B1030" s="111"/>
      <c r="C1030" s="111"/>
      <c r="D1030" s="111"/>
      <c r="E1030" s="115"/>
      <c r="F1030" s="116"/>
      <c r="G1030" s="116"/>
      <c r="H1030" s="117"/>
      <c r="I1030" s="118"/>
      <c r="J1030" s="118"/>
      <c r="K1030" s="81"/>
    </row>
    <row r="1031" ht="13.5" customHeight="1">
      <c r="A1031" s="111"/>
      <c r="B1031" s="111"/>
      <c r="C1031" s="111"/>
      <c r="D1031" s="111"/>
      <c r="E1031" s="115"/>
      <c r="F1031" s="116"/>
      <c r="G1031" s="116"/>
      <c r="H1031" s="117"/>
      <c r="I1031" s="118"/>
      <c r="J1031" s="118"/>
      <c r="K1031" s="81"/>
    </row>
    <row r="1032" ht="13.5" customHeight="1">
      <c r="A1032" s="111"/>
      <c r="B1032" s="111"/>
      <c r="C1032" s="111"/>
      <c r="D1032" s="111"/>
      <c r="E1032" s="115"/>
      <c r="F1032" s="116"/>
      <c r="G1032" s="116"/>
      <c r="H1032" s="117"/>
      <c r="I1032" s="118"/>
      <c r="J1032" s="118"/>
      <c r="K1032" s="81"/>
    </row>
    <row r="1033" ht="13.5" customHeight="1">
      <c r="A1033" s="111"/>
      <c r="B1033" s="111"/>
      <c r="C1033" s="111"/>
      <c r="D1033" s="111"/>
      <c r="E1033" s="115"/>
      <c r="F1033" s="116"/>
      <c r="G1033" s="116"/>
      <c r="H1033" s="117"/>
      <c r="I1033" s="118"/>
      <c r="J1033" s="118"/>
      <c r="K1033" s="81"/>
    </row>
    <row r="1034" ht="13.5" customHeight="1">
      <c r="A1034" s="111"/>
      <c r="B1034" s="111"/>
      <c r="C1034" s="111"/>
      <c r="D1034" s="111"/>
      <c r="E1034" s="115"/>
      <c r="F1034" s="116"/>
      <c r="G1034" s="116"/>
      <c r="H1034" s="117"/>
      <c r="I1034" s="118"/>
      <c r="J1034" s="118"/>
      <c r="K1034" s="81"/>
    </row>
    <row r="1035" ht="13.5" customHeight="1">
      <c r="A1035" s="111"/>
      <c r="B1035" s="111"/>
      <c r="C1035" s="111"/>
      <c r="D1035" s="111"/>
      <c r="E1035" s="115"/>
      <c r="F1035" s="116"/>
      <c r="G1035" s="116"/>
      <c r="H1035" s="117"/>
      <c r="I1035" s="118"/>
      <c r="J1035" s="118"/>
      <c r="K1035" s="81"/>
    </row>
    <row r="1036" ht="13.5" customHeight="1">
      <c r="A1036" s="111"/>
      <c r="B1036" s="111"/>
      <c r="C1036" s="111"/>
      <c r="D1036" s="111"/>
      <c r="E1036" s="115"/>
      <c r="F1036" s="116"/>
      <c r="G1036" s="116"/>
      <c r="H1036" s="117"/>
      <c r="I1036" s="118"/>
      <c r="J1036" s="118"/>
      <c r="K1036" s="81"/>
    </row>
    <row r="1037" ht="13.5" customHeight="1">
      <c r="A1037" s="111"/>
      <c r="B1037" s="111"/>
      <c r="C1037" s="111"/>
      <c r="D1037" s="111"/>
      <c r="E1037" s="115"/>
      <c r="F1037" s="116"/>
      <c r="G1037" s="116"/>
      <c r="H1037" s="117"/>
      <c r="I1037" s="118"/>
      <c r="J1037" s="118"/>
      <c r="K1037" s="81"/>
    </row>
    <row r="1038" ht="13.5" customHeight="1">
      <c r="A1038" s="111"/>
      <c r="B1038" s="111"/>
      <c r="C1038" s="111"/>
      <c r="D1038" s="111"/>
      <c r="E1038" s="115"/>
      <c r="F1038" s="116"/>
      <c r="G1038" s="116"/>
      <c r="H1038" s="117"/>
      <c r="I1038" s="118"/>
      <c r="J1038" s="118"/>
      <c r="K1038" s="81"/>
    </row>
    <row r="1039" ht="13.5" customHeight="1">
      <c r="A1039" s="111"/>
      <c r="B1039" s="111"/>
      <c r="C1039" s="111"/>
      <c r="D1039" s="111"/>
      <c r="E1039" s="115"/>
      <c r="F1039" s="116"/>
      <c r="G1039" s="116"/>
      <c r="H1039" s="117"/>
      <c r="I1039" s="118"/>
      <c r="J1039" s="118"/>
      <c r="K1039" s="81"/>
    </row>
    <row r="1040" ht="13.5" customHeight="1">
      <c r="A1040" s="111"/>
      <c r="B1040" s="111"/>
      <c r="C1040" s="111"/>
      <c r="D1040" s="111"/>
      <c r="E1040" s="115"/>
      <c r="F1040" s="116"/>
      <c r="G1040" s="116"/>
      <c r="H1040" s="117"/>
      <c r="I1040" s="118"/>
      <c r="J1040" s="118"/>
      <c r="K1040" s="81"/>
    </row>
    <row r="1041" ht="13.5" customHeight="1">
      <c r="A1041" s="111"/>
      <c r="B1041" s="111"/>
      <c r="C1041" s="111"/>
      <c r="D1041" s="111"/>
      <c r="E1041" s="115"/>
      <c r="F1041" s="116"/>
      <c r="G1041" s="116"/>
      <c r="H1041" s="117"/>
      <c r="I1041" s="118"/>
      <c r="J1041" s="118"/>
      <c r="K1041" s="81"/>
    </row>
    <row r="1042" ht="13.5" customHeight="1">
      <c r="A1042" s="111"/>
      <c r="B1042" s="111"/>
      <c r="C1042" s="111"/>
      <c r="D1042" s="111"/>
      <c r="E1042" s="115"/>
      <c r="F1042" s="116"/>
      <c r="G1042" s="116"/>
      <c r="H1042" s="117"/>
      <c r="I1042" s="118"/>
      <c r="J1042" s="118"/>
      <c r="K1042" s="81"/>
    </row>
    <row r="1043" ht="13.5" customHeight="1">
      <c r="A1043" s="111"/>
      <c r="B1043" s="111"/>
      <c r="C1043" s="111"/>
      <c r="D1043" s="111"/>
      <c r="E1043" s="115"/>
      <c r="F1043" s="116"/>
      <c r="G1043" s="116"/>
      <c r="H1043" s="117"/>
      <c r="I1043" s="118"/>
      <c r="J1043" s="118"/>
      <c r="K1043" s="81"/>
    </row>
    <row r="1044" ht="13.5" customHeight="1">
      <c r="A1044" s="111"/>
      <c r="B1044" s="111"/>
      <c r="C1044" s="111"/>
      <c r="D1044" s="111"/>
      <c r="E1044" s="115"/>
      <c r="F1044" s="116"/>
      <c r="G1044" s="116"/>
      <c r="H1044" s="117"/>
      <c r="I1044" s="118"/>
      <c r="J1044" s="118"/>
      <c r="K1044" s="81"/>
    </row>
    <row r="1045" ht="13.5" customHeight="1">
      <c r="A1045" s="111"/>
      <c r="B1045" s="111"/>
      <c r="C1045" s="111"/>
      <c r="D1045" s="111"/>
      <c r="E1045" s="115"/>
      <c r="F1045" s="116"/>
      <c r="G1045" s="116"/>
      <c r="H1045" s="117"/>
      <c r="I1045" s="118"/>
      <c r="J1045" s="118"/>
      <c r="K1045" s="81"/>
    </row>
    <row r="1046" ht="13.5" customHeight="1">
      <c r="A1046" s="111"/>
      <c r="B1046" s="111"/>
      <c r="C1046" s="111"/>
      <c r="D1046" s="111"/>
      <c r="E1046" s="115"/>
      <c r="F1046" s="116"/>
      <c r="G1046" s="116"/>
      <c r="H1046" s="117"/>
      <c r="I1046" s="118"/>
      <c r="J1046" s="118"/>
      <c r="K1046" s="81"/>
    </row>
    <row r="1047" ht="13.5" customHeight="1">
      <c r="A1047" s="111"/>
      <c r="B1047" s="111"/>
      <c r="C1047" s="111"/>
      <c r="D1047" s="111"/>
      <c r="E1047" s="115"/>
      <c r="F1047" s="116"/>
      <c r="G1047" s="116"/>
      <c r="H1047" s="117"/>
      <c r="I1047" s="118"/>
      <c r="J1047" s="118"/>
      <c r="K1047" s="81"/>
    </row>
    <row r="1048" ht="13.5" customHeight="1">
      <c r="A1048" s="111"/>
      <c r="B1048" s="111"/>
      <c r="C1048" s="111"/>
      <c r="D1048" s="111"/>
      <c r="E1048" s="115"/>
      <c r="F1048" s="116"/>
      <c r="G1048" s="116"/>
      <c r="H1048" s="117"/>
      <c r="I1048" s="118"/>
      <c r="J1048" s="118"/>
      <c r="K1048" s="81"/>
    </row>
    <row r="1049" ht="13.5" customHeight="1">
      <c r="A1049" s="111"/>
      <c r="B1049" s="111"/>
      <c r="C1049" s="111"/>
      <c r="D1049" s="111"/>
      <c r="E1049" s="115"/>
      <c r="F1049" s="116"/>
      <c r="G1049" s="116"/>
      <c r="H1049" s="117"/>
      <c r="I1049" s="118"/>
      <c r="J1049" s="118"/>
      <c r="K1049" s="81"/>
    </row>
    <row r="1050" ht="13.5" customHeight="1">
      <c r="A1050" s="111"/>
      <c r="B1050" s="111"/>
      <c r="C1050" s="111"/>
      <c r="D1050" s="111"/>
      <c r="E1050" s="115"/>
      <c r="F1050" s="116"/>
      <c r="G1050" s="116"/>
      <c r="H1050" s="117"/>
      <c r="I1050" s="118"/>
      <c r="J1050" s="118"/>
      <c r="K1050" s="81"/>
    </row>
    <row r="1051" ht="13.5" customHeight="1">
      <c r="A1051" s="111"/>
      <c r="B1051" s="111"/>
      <c r="C1051" s="111"/>
      <c r="D1051" s="111"/>
      <c r="E1051" s="115"/>
      <c r="F1051" s="116"/>
      <c r="G1051" s="116"/>
      <c r="H1051" s="117"/>
      <c r="I1051" s="118"/>
      <c r="J1051" s="118"/>
      <c r="K1051" s="81"/>
    </row>
    <row r="1052" ht="13.5" customHeight="1">
      <c r="A1052" s="111"/>
      <c r="B1052" s="111"/>
      <c r="C1052" s="111"/>
      <c r="D1052" s="111"/>
      <c r="E1052" s="115"/>
      <c r="F1052" s="116"/>
      <c r="G1052" s="116"/>
      <c r="H1052" s="117"/>
      <c r="I1052" s="118"/>
      <c r="J1052" s="118"/>
      <c r="K1052" s="81"/>
    </row>
    <row r="1053" ht="13.5" customHeight="1">
      <c r="A1053" s="111"/>
      <c r="B1053" s="111"/>
      <c r="C1053" s="111"/>
      <c r="D1053" s="111"/>
      <c r="E1053" s="115"/>
      <c r="F1053" s="116"/>
      <c r="G1053" s="116"/>
      <c r="H1053" s="117"/>
      <c r="I1053" s="118"/>
      <c r="J1053" s="118"/>
      <c r="K1053" s="81"/>
    </row>
    <row r="1054" ht="13.5" customHeight="1">
      <c r="A1054" s="111"/>
      <c r="B1054" s="111"/>
      <c r="C1054" s="111"/>
      <c r="D1054" s="111"/>
      <c r="E1054" s="115"/>
      <c r="F1054" s="116"/>
      <c r="G1054" s="116"/>
      <c r="H1054" s="117"/>
      <c r="I1054" s="118"/>
      <c r="J1054" s="118"/>
      <c r="K1054" s="81"/>
    </row>
    <row r="1055" ht="13.5" customHeight="1">
      <c r="A1055" s="111"/>
      <c r="B1055" s="111"/>
      <c r="C1055" s="111"/>
      <c r="D1055" s="111"/>
      <c r="E1055" s="115"/>
      <c r="F1055" s="116"/>
      <c r="G1055" s="116"/>
      <c r="H1055" s="117"/>
      <c r="I1055" s="118"/>
      <c r="J1055" s="118"/>
      <c r="K1055" s="81"/>
    </row>
    <row r="1056" ht="13.5" customHeight="1">
      <c r="A1056" s="111"/>
      <c r="B1056" s="111"/>
      <c r="C1056" s="111"/>
      <c r="D1056" s="111"/>
      <c r="E1056" s="115"/>
      <c r="F1056" s="116"/>
      <c r="G1056" s="116"/>
      <c r="H1056" s="117"/>
      <c r="I1056" s="118"/>
      <c r="J1056" s="118"/>
      <c r="K1056" s="81"/>
    </row>
    <row r="1057" ht="13.5" customHeight="1">
      <c r="A1057" s="111"/>
      <c r="B1057" s="111"/>
      <c r="C1057" s="111"/>
      <c r="D1057" s="111"/>
      <c r="E1057" s="115"/>
      <c r="F1057" s="116"/>
      <c r="G1057" s="116"/>
      <c r="H1057" s="117"/>
      <c r="I1057" s="118"/>
      <c r="J1057" s="118"/>
      <c r="K1057" s="81"/>
    </row>
    <row r="1058" ht="13.5" customHeight="1">
      <c r="A1058" s="111"/>
      <c r="B1058" s="111"/>
      <c r="C1058" s="111"/>
      <c r="D1058" s="111"/>
      <c r="E1058" s="115"/>
      <c r="F1058" s="116"/>
      <c r="G1058" s="116"/>
      <c r="H1058" s="117"/>
      <c r="I1058" s="118"/>
      <c r="J1058" s="118"/>
      <c r="K1058" s="81"/>
    </row>
    <row r="1059" ht="13.5" customHeight="1">
      <c r="A1059" s="111"/>
      <c r="B1059" s="111"/>
      <c r="C1059" s="111"/>
      <c r="D1059" s="111"/>
      <c r="E1059" s="115"/>
      <c r="F1059" s="116"/>
      <c r="G1059" s="116"/>
      <c r="H1059" s="117"/>
      <c r="I1059" s="118"/>
      <c r="J1059" s="118"/>
      <c r="K1059" s="81"/>
    </row>
    <row r="1060" ht="13.5" customHeight="1">
      <c r="A1060" s="111"/>
      <c r="B1060" s="111"/>
      <c r="C1060" s="111"/>
      <c r="D1060" s="111"/>
      <c r="E1060" s="115"/>
      <c r="F1060" s="116"/>
      <c r="G1060" s="116"/>
      <c r="H1060" s="117"/>
      <c r="I1060" s="118"/>
      <c r="J1060" s="118"/>
      <c r="K1060" s="81"/>
    </row>
    <row r="1061" ht="13.5" customHeight="1">
      <c r="A1061" s="111"/>
      <c r="B1061" s="111"/>
      <c r="C1061" s="111"/>
      <c r="D1061" s="111"/>
      <c r="E1061" s="115"/>
      <c r="F1061" s="116"/>
      <c r="G1061" s="116"/>
      <c r="H1061" s="117"/>
      <c r="I1061" s="118"/>
      <c r="J1061" s="118"/>
      <c r="K1061" s="81"/>
    </row>
    <row r="1062" ht="13.5" customHeight="1">
      <c r="A1062" s="111"/>
      <c r="B1062" s="111"/>
      <c r="C1062" s="111"/>
      <c r="D1062" s="111"/>
      <c r="E1062" s="115"/>
      <c r="F1062" s="116"/>
      <c r="G1062" s="116"/>
      <c r="H1062" s="117"/>
      <c r="I1062" s="118"/>
      <c r="J1062" s="118"/>
      <c r="K1062" s="81"/>
    </row>
    <row r="1063" ht="13.5" customHeight="1">
      <c r="A1063" s="111"/>
      <c r="B1063" s="111"/>
      <c r="C1063" s="111"/>
      <c r="D1063" s="111"/>
      <c r="E1063" s="115"/>
      <c r="F1063" s="116"/>
      <c r="G1063" s="116"/>
      <c r="H1063" s="117"/>
      <c r="I1063" s="118"/>
      <c r="J1063" s="118"/>
      <c r="K1063" s="81"/>
    </row>
    <row r="1064" ht="13.5" customHeight="1">
      <c r="A1064" s="111"/>
      <c r="B1064" s="111"/>
      <c r="C1064" s="111"/>
      <c r="D1064" s="111"/>
      <c r="E1064" s="115"/>
      <c r="F1064" s="116"/>
      <c r="G1064" s="116"/>
      <c r="H1064" s="117"/>
      <c r="I1064" s="118"/>
      <c r="J1064" s="118"/>
      <c r="K1064" s="81"/>
    </row>
    <row r="1065" ht="13.5" customHeight="1">
      <c r="A1065" s="111"/>
      <c r="B1065" s="111"/>
      <c r="C1065" s="111"/>
      <c r="D1065" s="111"/>
      <c r="E1065" s="115"/>
      <c r="F1065" s="116"/>
      <c r="G1065" s="116"/>
      <c r="H1065" s="117"/>
      <c r="I1065" s="118"/>
      <c r="J1065" s="118"/>
      <c r="K1065" s="81"/>
    </row>
    <row r="1066" ht="13.5" customHeight="1">
      <c r="A1066" s="111"/>
      <c r="B1066" s="111"/>
      <c r="C1066" s="111"/>
      <c r="D1066" s="111"/>
      <c r="E1066" s="115"/>
      <c r="F1066" s="116"/>
      <c r="G1066" s="116"/>
      <c r="H1066" s="117"/>
      <c r="I1066" s="118"/>
      <c r="J1066" s="118"/>
      <c r="K1066" s="81"/>
    </row>
    <row r="1067" ht="13.5" customHeight="1">
      <c r="A1067" s="111"/>
      <c r="B1067" s="111"/>
      <c r="C1067" s="111"/>
      <c r="D1067" s="111"/>
      <c r="E1067" s="115"/>
      <c r="F1067" s="116"/>
      <c r="G1067" s="116"/>
      <c r="H1067" s="117"/>
      <c r="I1067" s="118"/>
      <c r="J1067" s="118"/>
      <c r="K1067" s="81"/>
    </row>
    <row r="1068" ht="13.5" customHeight="1">
      <c r="A1068" s="111"/>
      <c r="B1068" s="111"/>
      <c r="C1068" s="111"/>
      <c r="D1068" s="111"/>
      <c r="E1068" s="115"/>
      <c r="F1068" s="116"/>
      <c r="G1068" s="116"/>
      <c r="H1068" s="117"/>
      <c r="I1068" s="118"/>
      <c r="J1068" s="118"/>
      <c r="K1068" s="81"/>
    </row>
    <row r="1069" ht="13.5" customHeight="1">
      <c r="A1069" s="111"/>
      <c r="B1069" s="111"/>
      <c r="C1069" s="111"/>
      <c r="D1069" s="111"/>
      <c r="E1069" s="115"/>
      <c r="F1069" s="116"/>
      <c r="G1069" s="116"/>
      <c r="H1069" s="117"/>
      <c r="I1069" s="118"/>
      <c r="J1069" s="118"/>
      <c r="K1069" s="81"/>
    </row>
    <row r="1070" ht="13.5" customHeight="1">
      <c r="A1070" s="111"/>
      <c r="B1070" s="111"/>
      <c r="C1070" s="111"/>
      <c r="D1070" s="111"/>
      <c r="E1070" s="115"/>
      <c r="F1070" s="116"/>
      <c r="G1070" s="116"/>
      <c r="H1070" s="117"/>
      <c r="I1070" s="118"/>
      <c r="J1070" s="118"/>
      <c r="K1070" s="81"/>
    </row>
    <row r="1071" ht="13.5" customHeight="1">
      <c r="A1071" s="111"/>
      <c r="B1071" s="111"/>
      <c r="C1071" s="111"/>
      <c r="D1071" s="111"/>
      <c r="E1071" s="115"/>
      <c r="F1071" s="116"/>
      <c r="G1071" s="116"/>
      <c r="H1071" s="117"/>
      <c r="I1071" s="118"/>
      <c r="J1071" s="118"/>
      <c r="K1071" s="81"/>
    </row>
    <row r="1072" ht="13.5" customHeight="1">
      <c r="A1072" s="111"/>
      <c r="B1072" s="111"/>
      <c r="C1072" s="111"/>
      <c r="D1072" s="111"/>
      <c r="E1072" s="115"/>
      <c r="F1072" s="116"/>
      <c r="G1072" s="116"/>
      <c r="H1072" s="117"/>
      <c r="I1072" s="118"/>
      <c r="J1072" s="118"/>
      <c r="K1072" s="81"/>
    </row>
    <row r="1073" ht="13.5" customHeight="1">
      <c r="A1073" s="111"/>
      <c r="B1073" s="111"/>
      <c r="C1073" s="111"/>
      <c r="D1073" s="111"/>
      <c r="E1073" s="115"/>
      <c r="F1073" s="116"/>
      <c r="G1073" s="116"/>
      <c r="H1073" s="117"/>
      <c r="I1073" s="118"/>
      <c r="J1073" s="118"/>
      <c r="K1073" s="81"/>
    </row>
    <row r="1074" ht="13.5" customHeight="1">
      <c r="A1074" s="111"/>
      <c r="B1074" s="111"/>
      <c r="C1074" s="111"/>
      <c r="D1074" s="111"/>
      <c r="E1074" s="115"/>
      <c r="F1074" s="116"/>
      <c r="G1074" s="116"/>
      <c r="H1074" s="117"/>
      <c r="I1074" s="118"/>
      <c r="J1074" s="118"/>
      <c r="K1074" s="81"/>
    </row>
    <row r="1075" ht="13.5" customHeight="1">
      <c r="A1075" s="111"/>
      <c r="B1075" s="111"/>
      <c r="C1075" s="111"/>
      <c r="D1075" s="111"/>
      <c r="E1075" s="115"/>
      <c r="F1075" s="116"/>
      <c r="G1075" s="116"/>
      <c r="H1075" s="117"/>
      <c r="I1075" s="118"/>
      <c r="J1075" s="118"/>
      <c r="K1075" s="81"/>
    </row>
    <row r="1076" ht="13.5" customHeight="1">
      <c r="A1076" s="111"/>
      <c r="B1076" s="111"/>
      <c r="C1076" s="111"/>
      <c r="D1076" s="111"/>
      <c r="E1076" s="115"/>
      <c r="F1076" s="116"/>
      <c r="G1076" s="116"/>
      <c r="H1076" s="117"/>
      <c r="I1076" s="118"/>
      <c r="J1076" s="118"/>
      <c r="K1076" s="81"/>
    </row>
    <row r="1077" ht="13.5" customHeight="1">
      <c r="A1077" s="111"/>
      <c r="B1077" s="111"/>
      <c r="C1077" s="111"/>
      <c r="D1077" s="111"/>
      <c r="E1077" s="115"/>
      <c r="F1077" s="116"/>
      <c r="G1077" s="116"/>
      <c r="H1077" s="117"/>
      <c r="I1077" s="118"/>
      <c r="J1077" s="118"/>
      <c r="K1077" s="81"/>
    </row>
    <row r="1078" ht="13.5" customHeight="1">
      <c r="A1078" s="111"/>
      <c r="B1078" s="111"/>
      <c r="C1078" s="111"/>
      <c r="D1078" s="111"/>
      <c r="E1078" s="115"/>
      <c r="F1078" s="116"/>
      <c r="G1078" s="116"/>
      <c r="H1078" s="117"/>
      <c r="I1078" s="118"/>
      <c r="J1078" s="118"/>
      <c r="K1078" s="81"/>
    </row>
    <row r="1079" ht="13.5" customHeight="1">
      <c r="A1079" s="111"/>
      <c r="B1079" s="111"/>
      <c r="C1079" s="111"/>
      <c r="D1079" s="111"/>
      <c r="E1079" s="115"/>
      <c r="F1079" s="116"/>
      <c r="G1079" s="116"/>
      <c r="H1079" s="117"/>
      <c r="I1079" s="118"/>
      <c r="J1079" s="118"/>
      <c r="K1079" s="81"/>
    </row>
    <row r="1080" ht="13.5" customHeight="1">
      <c r="A1080" s="111"/>
      <c r="B1080" s="111"/>
      <c r="C1080" s="111"/>
      <c r="D1080" s="111"/>
      <c r="E1080" s="115"/>
      <c r="F1080" s="116"/>
      <c r="G1080" s="116"/>
      <c r="H1080" s="117"/>
      <c r="I1080" s="118"/>
      <c r="J1080" s="118"/>
      <c r="K1080" s="81"/>
    </row>
    <row r="1081" ht="13.5" customHeight="1">
      <c r="A1081" s="111"/>
      <c r="B1081" s="111"/>
      <c r="C1081" s="111"/>
      <c r="D1081" s="111"/>
      <c r="E1081" s="115"/>
      <c r="F1081" s="116"/>
      <c r="G1081" s="116"/>
      <c r="H1081" s="117"/>
      <c r="I1081" s="118"/>
      <c r="J1081" s="118"/>
      <c r="K1081" s="81"/>
    </row>
    <row r="1082" ht="13.5" customHeight="1">
      <c r="A1082" s="111"/>
      <c r="B1082" s="111"/>
      <c r="C1082" s="111"/>
      <c r="D1082" s="111"/>
      <c r="E1082" s="115"/>
      <c r="F1082" s="116"/>
      <c r="G1082" s="116"/>
      <c r="H1082" s="117"/>
      <c r="I1082" s="118"/>
      <c r="J1082" s="118"/>
      <c r="K1082" s="81"/>
    </row>
    <row r="1083" ht="13.5" customHeight="1">
      <c r="A1083" s="111"/>
      <c r="B1083" s="111"/>
      <c r="C1083" s="111"/>
      <c r="D1083" s="111"/>
      <c r="E1083" s="115"/>
      <c r="F1083" s="116"/>
      <c r="G1083" s="116"/>
      <c r="H1083" s="117"/>
      <c r="I1083" s="118"/>
      <c r="J1083" s="118"/>
      <c r="K1083" s="81"/>
    </row>
    <row r="1084" ht="13.5" customHeight="1">
      <c r="A1084" s="111"/>
      <c r="B1084" s="111"/>
      <c r="C1084" s="111"/>
      <c r="D1084" s="111"/>
      <c r="E1084" s="115"/>
      <c r="F1084" s="116"/>
      <c r="G1084" s="116"/>
      <c r="H1084" s="117"/>
      <c r="I1084" s="118"/>
      <c r="J1084" s="118"/>
      <c r="K1084" s="81"/>
    </row>
    <row r="1085" ht="13.5" customHeight="1">
      <c r="A1085" s="111"/>
      <c r="B1085" s="111"/>
      <c r="C1085" s="111"/>
      <c r="D1085" s="111"/>
      <c r="E1085" s="115"/>
      <c r="F1085" s="116"/>
      <c r="G1085" s="116"/>
      <c r="H1085" s="117"/>
      <c r="I1085" s="118"/>
      <c r="J1085" s="118"/>
      <c r="K1085" s="81"/>
    </row>
    <row r="1086" ht="13.5" customHeight="1">
      <c r="A1086" s="111"/>
      <c r="B1086" s="111"/>
      <c r="C1086" s="111"/>
      <c r="D1086" s="111"/>
      <c r="E1086" s="115"/>
      <c r="F1086" s="116"/>
      <c r="G1086" s="116"/>
      <c r="H1086" s="117"/>
      <c r="I1086" s="118"/>
      <c r="J1086" s="118"/>
      <c r="K1086" s="81"/>
    </row>
    <row r="1087" ht="13.5" customHeight="1">
      <c r="A1087" s="111"/>
      <c r="B1087" s="111"/>
      <c r="C1087" s="111"/>
      <c r="D1087" s="111"/>
      <c r="E1087" s="115"/>
      <c r="F1087" s="116"/>
      <c r="G1087" s="116"/>
      <c r="H1087" s="117"/>
      <c r="I1087" s="118"/>
      <c r="J1087" s="118"/>
      <c r="K1087" s="81"/>
    </row>
    <row r="1088" ht="13.5" customHeight="1">
      <c r="A1088" s="111"/>
      <c r="B1088" s="111"/>
      <c r="C1088" s="111"/>
      <c r="D1088" s="111"/>
      <c r="E1088" s="115"/>
      <c r="F1088" s="116"/>
      <c r="G1088" s="116"/>
      <c r="H1088" s="117"/>
      <c r="I1088" s="118"/>
      <c r="J1088" s="118"/>
      <c r="K1088" s="81"/>
    </row>
    <row r="1089" ht="13.5" customHeight="1">
      <c r="A1089" s="111"/>
      <c r="B1089" s="111"/>
      <c r="C1089" s="111"/>
      <c r="D1089" s="111"/>
      <c r="E1089" s="115"/>
      <c r="F1089" s="116"/>
      <c r="G1089" s="116"/>
      <c r="H1089" s="117"/>
      <c r="I1089" s="118"/>
      <c r="J1089" s="118"/>
      <c r="K1089" s="81"/>
    </row>
    <row r="1090" ht="13.5" customHeight="1">
      <c r="A1090" s="111"/>
      <c r="B1090" s="111"/>
      <c r="C1090" s="111"/>
      <c r="D1090" s="111"/>
      <c r="E1090" s="115"/>
      <c r="F1090" s="116"/>
      <c r="G1090" s="116"/>
      <c r="H1090" s="117"/>
      <c r="I1090" s="118"/>
      <c r="J1090" s="118"/>
      <c r="K1090" s="81"/>
    </row>
    <row r="1091" ht="13.5" customHeight="1">
      <c r="A1091" s="111"/>
      <c r="B1091" s="111"/>
      <c r="C1091" s="111"/>
      <c r="D1091" s="111"/>
      <c r="E1091" s="115"/>
      <c r="F1091" s="116"/>
      <c r="G1091" s="116"/>
      <c r="H1091" s="117"/>
      <c r="I1091" s="118"/>
      <c r="J1091" s="118"/>
      <c r="K1091" s="81"/>
    </row>
    <row r="1092" ht="13.5" customHeight="1">
      <c r="A1092" s="111"/>
      <c r="B1092" s="111"/>
      <c r="C1092" s="111"/>
      <c r="D1092" s="111"/>
      <c r="E1092" s="115"/>
      <c r="F1092" s="116"/>
      <c r="G1092" s="116"/>
      <c r="H1092" s="117"/>
      <c r="I1092" s="118"/>
      <c r="J1092" s="118"/>
      <c r="K1092" s="81"/>
    </row>
    <row r="1093" ht="13.5" customHeight="1">
      <c r="A1093" s="111"/>
      <c r="B1093" s="111"/>
      <c r="C1093" s="111"/>
      <c r="D1093" s="111"/>
      <c r="E1093" s="115"/>
      <c r="F1093" s="116"/>
      <c r="G1093" s="116"/>
      <c r="H1093" s="117"/>
      <c r="I1093" s="118"/>
      <c r="J1093" s="118"/>
      <c r="K1093" s="81"/>
    </row>
    <row r="1094" ht="13.5" customHeight="1">
      <c r="A1094" s="111"/>
      <c r="B1094" s="111"/>
      <c r="C1094" s="111"/>
      <c r="D1094" s="111"/>
      <c r="E1094" s="115"/>
      <c r="F1094" s="116"/>
      <c r="G1094" s="116"/>
      <c r="H1094" s="117"/>
      <c r="I1094" s="118"/>
      <c r="J1094" s="118"/>
      <c r="K1094" s="81"/>
    </row>
    <row r="1095" ht="13.5" customHeight="1">
      <c r="A1095" s="111"/>
      <c r="B1095" s="111"/>
      <c r="C1095" s="111"/>
      <c r="D1095" s="111"/>
      <c r="E1095" s="115"/>
      <c r="F1095" s="116"/>
      <c r="G1095" s="116"/>
      <c r="H1095" s="117"/>
      <c r="I1095" s="118"/>
      <c r="J1095" s="118"/>
      <c r="K1095" s="81"/>
    </row>
    <row r="1096" ht="13.5" customHeight="1">
      <c r="A1096" s="111"/>
      <c r="B1096" s="111"/>
      <c r="C1096" s="111"/>
      <c r="D1096" s="111"/>
      <c r="E1096" s="115"/>
      <c r="F1096" s="116"/>
      <c r="G1096" s="116"/>
      <c r="H1096" s="117"/>
      <c r="I1096" s="118"/>
      <c r="J1096" s="118"/>
      <c r="K1096" s="81"/>
    </row>
    <row r="1097" ht="13.5" customHeight="1">
      <c r="A1097" s="111"/>
      <c r="B1097" s="111"/>
      <c r="C1097" s="111"/>
      <c r="D1097" s="111"/>
      <c r="E1097" s="115"/>
      <c r="F1097" s="116"/>
      <c r="G1097" s="116"/>
      <c r="H1097" s="117"/>
      <c r="I1097" s="118"/>
      <c r="J1097" s="118"/>
      <c r="K1097" s="81"/>
    </row>
    <row r="1098" ht="13.5" customHeight="1">
      <c r="A1098" s="111"/>
      <c r="B1098" s="111"/>
      <c r="C1098" s="111"/>
      <c r="D1098" s="111"/>
      <c r="E1098" s="115"/>
      <c r="F1098" s="116"/>
      <c r="G1098" s="116"/>
      <c r="H1098" s="117"/>
      <c r="I1098" s="118"/>
      <c r="J1098" s="118"/>
      <c r="K1098" s="81"/>
    </row>
    <row r="1099" ht="13.5" customHeight="1">
      <c r="A1099" s="111"/>
      <c r="B1099" s="111"/>
      <c r="C1099" s="111"/>
      <c r="D1099" s="111"/>
      <c r="E1099" s="115"/>
      <c r="F1099" s="116"/>
      <c r="G1099" s="116"/>
      <c r="H1099" s="117"/>
      <c r="I1099" s="118"/>
      <c r="J1099" s="118"/>
      <c r="K1099" s="81"/>
    </row>
    <row r="1100" ht="13.5" customHeight="1">
      <c r="A1100" s="111"/>
      <c r="B1100" s="111"/>
      <c r="C1100" s="111"/>
      <c r="D1100" s="111"/>
      <c r="E1100" s="115"/>
      <c r="F1100" s="116"/>
      <c r="G1100" s="116"/>
      <c r="H1100" s="117"/>
      <c r="I1100" s="118"/>
      <c r="J1100" s="118"/>
      <c r="K1100" s="81"/>
    </row>
    <row r="1101" ht="13.5" customHeight="1">
      <c r="A1101" s="111"/>
      <c r="B1101" s="111"/>
      <c r="C1101" s="111"/>
      <c r="D1101" s="111"/>
      <c r="E1101" s="115"/>
      <c r="F1101" s="116"/>
      <c r="G1101" s="116"/>
      <c r="H1101" s="117"/>
      <c r="I1101" s="118"/>
      <c r="J1101" s="118"/>
      <c r="K1101" s="81"/>
    </row>
    <row r="1102" ht="13.5" customHeight="1">
      <c r="A1102" s="111"/>
      <c r="B1102" s="111"/>
      <c r="C1102" s="111"/>
      <c r="D1102" s="111"/>
      <c r="E1102" s="115"/>
      <c r="F1102" s="116"/>
      <c r="G1102" s="116"/>
      <c r="H1102" s="117"/>
      <c r="I1102" s="118"/>
      <c r="J1102" s="118"/>
      <c r="K1102" s="81"/>
    </row>
    <row r="1103" ht="13.5" customHeight="1">
      <c r="A1103" s="111"/>
      <c r="B1103" s="111"/>
      <c r="C1103" s="111"/>
      <c r="D1103" s="111"/>
      <c r="E1103" s="115"/>
      <c r="F1103" s="116"/>
      <c r="G1103" s="116"/>
      <c r="H1103" s="117"/>
      <c r="I1103" s="118"/>
      <c r="J1103" s="118"/>
      <c r="K1103" s="81"/>
    </row>
    <row r="1104" ht="13.5" customHeight="1">
      <c r="A1104" s="111"/>
      <c r="B1104" s="111"/>
      <c r="C1104" s="111"/>
      <c r="D1104" s="111"/>
      <c r="E1104" s="115"/>
      <c r="F1104" s="116"/>
      <c r="G1104" s="116"/>
      <c r="H1104" s="117"/>
      <c r="I1104" s="118"/>
      <c r="J1104" s="118"/>
      <c r="K1104" s="81"/>
    </row>
    <row r="1105" ht="13.5" customHeight="1">
      <c r="A1105" s="111"/>
      <c r="B1105" s="111"/>
      <c r="C1105" s="111"/>
      <c r="D1105" s="111"/>
      <c r="E1105" s="115"/>
      <c r="F1105" s="116"/>
      <c r="G1105" s="116"/>
      <c r="H1105" s="117"/>
      <c r="I1105" s="118"/>
      <c r="J1105" s="118"/>
      <c r="K1105" s="81"/>
    </row>
    <row r="1106" ht="13.5" customHeight="1">
      <c r="A1106" s="111"/>
      <c r="B1106" s="111"/>
      <c r="C1106" s="111"/>
      <c r="D1106" s="111"/>
      <c r="E1106" s="115"/>
      <c r="F1106" s="116"/>
      <c r="G1106" s="116"/>
      <c r="H1106" s="117"/>
      <c r="I1106" s="118"/>
      <c r="J1106" s="118"/>
      <c r="K1106" s="81"/>
    </row>
    <row r="1107" ht="13.5" customHeight="1">
      <c r="A1107" s="111"/>
      <c r="B1107" s="111"/>
      <c r="C1107" s="111"/>
      <c r="D1107" s="111"/>
      <c r="E1107" s="115"/>
      <c r="F1107" s="116"/>
      <c r="G1107" s="116"/>
      <c r="H1107" s="117"/>
      <c r="I1107" s="118"/>
      <c r="J1107" s="118"/>
      <c r="K1107" s="81"/>
    </row>
    <row r="1108" ht="13.5" customHeight="1">
      <c r="A1108" s="111"/>
      <c r="B1108" s="111"/>
      <c r="C1108" s="111"/>
      <c r="D1108" s="111"/>
      <c r="E1108" s="115"/>
      <c r="F1108" s="116"/>
      <c r="G1108" s="116"/>
      <c r="H1108" s="117"/>
      <c r="I1108" s="118"/>
      <c r="J1108" s="118"/>
      <c r="K1108" s="81"/>
    </row>
    <row r="1109" ht="13.5" customHeight="1">
      <c r="A1109" s="111"/>
      <c r="B1109" s="111"/>
      <c r="C1109" s="111"/>
      <c r="D1109" s="111"/>
      <c r="E1109" s="115"/>
      <c r="F1109" s="116"/>
      <c r="G1109" s="116"/>
      <c r="H1109" s="117"/>
      <c r="I1109" s="118"/>
      <c r="J1109" s="118"/>
      <c r="K1109" s="81"/>
    </row>
    <row r="1110" ht="13.5" customHeight="1">
      <c r="A1110" s="111"/>
      <c r="B1110" s="111"/>
      <c r="C1110" s="111"/>
      <c r="D1110" s="111"/>
      <c r="E1110" s="115"/>
      <c r="F1110" s="116"/>
      <c r="G1110" s="116"/>
      <c r="H1110" s="117"/>
      <c r="I1110" s="118"/>
      <c r="J1110" s="118"/>
      <c r="K1110" s="81"/>
    </row>
    <row r="1111" ht="13.5" customHeight="1">
      <c r="A1111" s="111"/>
      <c r="B1111" s="111"/>
      <c r="C1111" s="111"/>
      <c r="D1111" s="111"/>
      <c r="E1111" s="115"/>
      <c r="F1111" s="116"/>
      <c r="G1111" s="116"/>
      <c r="H1111" s="117"/>
      <c r="I1111" s="118"/>
      <c r="J1111" s="118"/>
      <c r="K1111" s="81"/>
    </row>
    <row r="1112" ht="13.5" customHeight="1">
      <c r="A1112" s="111"/>
      <c r="B1112" s="111"/>
      <c r="C1112" s="111"/>
      <c r="D1112" s="111"/>
      <c r="E1112" s="115"/>
      <c r="F1112" s="116"/>
      <c r="G1112" s="116"/>
      <c r="H1112" s="117"/>
      <c r="I1112" s="118"/>
      <c r="J1112" s="118"/>
      <c r="K1112" s="81"/>
    </row>
    <row r="1113" ht="13.5" customHeight="1">
      <c r="A1113" s="111"/>
      <c r="B1113" s="111"/>
      <c r="C1113" s="111"/>
      <c r="D1113" s="111"/>
      <c r="E1113" s="115"/>
      <c r="F1113" s="116"/>
      <c r="G1113" s="116"/>
      <c r="H1113" s="117"/>
      <c r="I1113" s="118"/>
      <c r="J1113" s="118"/>
      <c r="K1113" s="81"/>
    </row>
    <row r="1114" ht="13.5" customHeight="1">
      <c r="A1114" s="111"/>
      <c r="B1114" s="111"/>
      <c r="C1114" s="111"/>
      <c r="D1114" s="111"/>
      <c r="E1114" s="115"/>
      <c r="F1114" s="116"/>
      <c r="G1114" s="116"/>
      <c r="H1114" s="117"/>
      <c r="I1114" s="118"/>
      <c r="J1114" s="118"/>
      <c r="K1114" s="81"/>
    </row>
    <row r="1115" ht="13.5" customHeight="1">
      <c r="A1115" s="111"/>
      <c r="B1115" s="111"/>
      <c r="C1115" s="111"/>
      <c r="D1115" s="111"/>
      <c r="E1115" s="115"/>
      <c r="F1115" s="116"/>
      <c r="G1115" s="116"/>
      <c r="H1115" s="117"/>
      <c r="I1115" s="118"/>
      <c r="J1115" s="118"/>
      <c r="K1115" s="81"/>
    </row>
    <row r="1116" ht="13.5" customHeight="1">
      <c r="A1116" s="111"/>
      <c r="B1116" s="111"/>
      <c r="C1116" s="111"/>
      <c r="D1116" s="111"/>
      <c r="E1116" s="115"/>
      <c r="F1116" s="116"/>
      <c r="G1116" s="116"/>
      <c r="H1116" s="117"/>
      <c r="I1116" s="118"/>
      <c r="J1116" s="118"/>
      <c r="K1116" s="81"/>
    </row>
    <row r="1117" ht="13.5" customHeight="1">
      <c r="A1117" s="111"/>
      <c r="B1117" s="111"/>
      <c r="C1117" s="111"/>
      <c r="D1117" s="111"/>
      <c r="E1117" s="115"/>
      <c r="F1117" s="116"/>
      <c r="G1117" s="116"/>
      <c r="H1117" s="117"/>
      <c r="I1117" s="118"/>
      <c r="J1117" s="118"/>
      <c r="K1117" s="81"/>
    </row>
    <row r="1118" ht="13.5" customHeight="1">
      <c r="A1118" s="111"/>
      <c r="B1118" s="111"/>
      <c r="C1118" s="111"/>
      <c r="D1118" s="111"/>
      <c r="E1118" s="115"/>
      <c r="F1118" s="116"/>
      <c r="G1118" s="116"/>
      <c r="H1118" s="117"/>
      <c r="I1118" s="118"/>
      <c r="J1118" s="118"/>
      <c r="K1118" s="81"/>
    </row>
    <row r="1119" ht="13.5" customHeight="1">
      <c r="A1119" s="111"/>
      <c r="B1119" s="111"/>
      <c r="C1119" s="111"/>
      <c r="D1119" s="111"/>
      <c r="E1119" s="115"/>
      <c r="F1119" s="116"/>
      <c r="G1119" s="116"/>
      <c r="H1119" s="117"/>
      <c r="I1119" s="118"/>
      <c r="J1119" s="118"/>
      <c r="K1119" s="81"/>
    </row>
    <row r="1120" ht="13.5" customHeight="1">
      <c r="A1120" s="111"/>
      <c r="B1120" s="111"/>
      <c r="C1120" s="111"/>
      <c r="D1120" s="111"/>
      <c r="E1120" s="115"/>
      <c r="F1120" s="116"/>
      <c r="G1120" s="116"/>
      <c r="H1120" s="117"/>
      <c r="I1120" s="118"/>
      <c r="J1120" s="118"/>
      <c r="K1120" s="81"/>
    </row>
    <row r="1121" ht="13.5" customHeight="1">
      <c r="A1121" s="111"/>
      <c r="B1121" s="111"/>
      <c r="C1121" s="111"/>
      <c r="D1121" s="111"/>
      <c r="E1121" s="115"/>
      <c r="F1121" s="116"/>
      <c r="G1121" s="116"/>
      <c r="H1121" s="117"/>
      <c r="I1121" s="118"/>
      <c r="J1121" s="118"/>
      <c r="K1121" s="81"/>
    </row>
    <row r="1122" ht="13.5" customHeight="1">
      <c r="A1122" s="111"/>
      <c r="B1122" s="111"/>
      <c r="C1122" s="111"/>
      <c r="D1122" s="111"/>
      <c r="E1122" s="115"/>
      <c r="F1122" s="116"/>
      <c r="G1122" s="113"/>
      <c r="H1122" s="117"/>
      <c r="I1122" s="111"/>
      <c r="J1122" s="118"/>
      <c r="K1122" s="81"/>
    </row>
    <row r="1123" ht="13.5" customHeight="1">
      <c r="A1123" s="111"/>
      <c r="B1123" s="111"/>
      <c r="C1123" s="111"/>
      <c r="D1123" s="111"/>
      <c r="E1123" s="115"/>
      <c r="F1123" s="116"/>
      <c r="G1123" s="113"/>
      <c r="H1123" s="117"/>
      <c r="I1123" s="111"/>
      <c r="J1123" s="118"/>
      <c r="K1123" s="81"/>
    </row>
    <row r="1124" ht="13.5" customHeight="1">
      <c r="A1124" s="111"/>
      <c r="B1124" s="111"/>
      <c r="C1124" s="111"/>
      <c r="D1124" s="111"/>
      <c r="E1124" s="115"/>
      <c r="F1124" s="116"/>
      <c r="G1124" s="113"/>
      <c r="H1124" s="117"/>
      <c r="I1124" s="111"/>
      <c r="J1124" s="118"/>
      <c r="K1124" s="81"/>
    </row>
    <row r="1125" ht="13.5" customHeight="1">
      <c r="A1125" s="111"/>
      <c r="B1125" s="111"/>
      <c r="C1125" s="111"/>
      <c r="D1125" s="111"/>
      <c r="E1125" s="115"/>
      <c r="F1125" s="116"/>
      <c r="G1125" s="113"/>
      <c r="H1125" s="117"/>
      <c r="I1125" s="111"/>
      <c r="J1125" s="118"/>
      <c r="K1125" s="81"/>
    </row>
    <row r="1126" ht="13.5" customHeight="1">
      <c r="A1126" s="111"/>
      <c r="B1126" s="111"/>
      <c r="C1126" s="111"/>
      <c r="D1126" s="111"/>
      <c r="E1126" s="115"/>
      <c r="F1126" s="116"/>
      <c r="G1126" s="116"/>
      <c r="H1126" s="117"/>
      <c r="I1126" s="118"/>
      <c r="J1126" s="118"/>
      <c r="K1126" s="81"/>
    </row>
    <row r="1127" ht="13.5" customHeight="1">
      <c r="A1127" s="111"/>
      <c r="B1127" s="111"/>
      <c r="C1127" s="111"/>
      <c r="D1127" s="111"/>
      <c r="E1127" s="115"/>
      <c r="F1127" s="116"/>
      <c r="G1127" s="116"/>
      <c r="H1127" s="117"/>
      <c r="I1127" s="118"/>
      <c r="J1127" s="118"/>
      <c r="K1127" s="81"/>
    </row>
    <row r="1128" ht="13.5" customHeight="1">
      <c r="A1128" s="111"/>
      <c r="B1128" s="111"/>
      <c r="C1128" s="111"/>
      <c r="D1128" s="111"/>
      <c r="E1128" s="115"/>
      <c r="F1128" s="116"/>
      <c r="G1128" s="116"/>
      <c r="H1128" s="117"/>
      <c r="I1128" s="118"/>
      <c r="J1128" s="118"/>
      <c r="K1128" s="81"/>
    </row>
    <row r="1129" ht="13.5" customHeight="1">
      <c r="A1129" s="111"/>
      <c r="B1129" s="111"/>
      <c r="C1129" s="111"/>
      <c r="D1129" s="111"/>
      <c r="E1129" s="115"/>
      <c r="F1129" s="116"/>
      <c r="G1129" s="116"/>
      <c r="H1129" s="117"/>
      <c r="I1129" s="118"/>
      <c r="J1129" s="118"/>
      <c r="K1129" s="81"/>
    </row>
    <row r="1130" ht="13.5" customHeight="1">
      <c r="A1130" s="111"/>
      <c r="B1130" s="111"/>
      <c r="C1130" s="111"/>
      <c r="D1130" s="111"/>
      <c r="E1130" s="115"/>
      <c r="F1130" s="116"/>
      <c r="G1130" s="116"/>
      <c r="H1130" s="117"/>
      <c r="I1130" s="118"/>
      <c r="J1130" s="118"/>
      <c r="K1130" s="81"/>
    </row>
    <row r="1131" ht="13.5" customHeight="1">
      <c r="A1131" s="111"/>
      <c r="B1131" s="111"/>
      <c r="C1131" s="111"/>
      <c r="D1131" s="111"/>
      <c r="E1131" s="115"/>
      <c r="F1131" s="116"/>
      <c r="G1131" s="116"/>
      <c r="H1131" s="117"/>
      <c r="I1131" s="118"/>
      <c r="J1131" s="118"/>
      <c r="K1131" s="81"/>
    </row>
    <row r="1132" ht="13.5" customHeight="1">
      <c r="A1132" s="111"/>
      <c r="B1132" s="111"/>
      <c r="C1132" s="111"/>
      <c r="D1132" s="111"/>
      <c r="E1132" s="115"/>
      <c r="F1132" s="116"/>
      <c r="G1132" s="116"/>
      <c r="H1132" s="117"/>
      <c r="I1132" s="118"/>
      <c r="J1132" s="118"/>
      <c r="K1132" s="81"/>
    </row>
    <row r="1133" ht="13.5" customHeight="1">
      <c r="A1133" s="111"/>
      <c r="B1133" s="111"/>
      <c r="C1133" s="111"/>
      <c r="D1133" s="111"/>
      <c r="E1133" s="115"/>
      <c r="F1133" s="116"/>
      <c r="G1133" s="113"/>
      <c r="H1133" s="117"/>
      <c r="I1133" s="111"/>
      <c r="J1133" s="118"/>
      <c r="K1133" s="81"/>
    </row>
    <row r="1134" ht="13.5" customHeight="1">
      <c r="A1134" s="111"/>
      <c r="B1134" s="111"/>
      <c r="C1134" s="111"/>
      <c r="D1134" s="111"/>
      <c r="E1134" s="115"/>
      <c r="F1134" s="116"/>
      <c r="G1134" s="113"/>
      <c r="H1134" s="117"/>
      <c r="I1134" s="111"/>
      <c r="J1134" s="118"/>
      <c r="K1134" s="81"/>
    </row>
    <row r="1135" ht="13.5" customHeight="1">
      <c r="A1135" s="111"/>
      <c r="B1135" s="111"/>
      <c r="C1135" s="111"/>
      <c r="D1135" s="111"/>
      <c r="E1135" s="115"/>
      <c r="F1135" s="116"/>
      <c r="G1135" s="113"/>
      <c r="H1135" s="117"/>
      <c r="I1135" s="111"/>
      <c r="J1135" s="118"/>
      <c r="K1135" s="81"/>
    </row>
    <row r="1136" ht="13.5" customHeight="1">
      <c r="A1136" s="111"/>
      <c r="B1136" s="111"/>
      <c r="C1136" s="111"/>
      <c r="D1136" s="111"/>
      <c r="E1136" s="115"/>
      <c r="F1136" s="116"/>
      <c r="G1136" s="113"/>
      <c r="H1136" s="117"/>
      <c r="I1136" s="111"/>
      <c r="J1136" s="118"/>
      <c r="K1136" s="81"/>
    </row>
    <row r="1137" ht="13.5" customHeight="1">
      <c r="A1137" s="111"/>
      <c r="B1137" s="111"/>
      <c r="C1137" s="111"/>
      <c r="D1137" s="111"/>
      <c r="E1137" s="115"/>
      <c r="F1137" s="116"/>
      <c r="G1137" s="113"/>
      <c r="H1137" s="117"/>
      <c r="I1137" s="111"/>
      <c r="J1137" s="118"/>
      <c r="K1137" s="81"/>
    </row>
    <row r="1138" ht="13.5" customHeight="1">
      <c r="A1138" s="111"/>
      <c r="B1138" s="111"/>
      <c r="C1138" s="111"/>
      <c r="D1138" s="111"/>
      <c r="E1138" s="115"/>
      <c r="F1138" s="116"/>
      <c r="G1138" s="113"/>
      <c r="H1138" s="117"/>
      <c r="I1138" s="111"/>
      <c r="J1138" s="118"/>
      <c r="K1138" s="81"/>
    </row>
    <row r="1139" ht="13.5" customHeight="1">
      <c r="A1139" s="111"/>
      <c r="B1139" s="111"/>
      <c r="C1139" s="111"/>
      <c r="D1139" s="111"/>
      <c r="E1139" s="115"/>
      <c r="F1139" s="116"/>
      <c r="G1139" s="116"/>
      <c r="H1139" s="117"/>
      <c r="I1139" s="118"/>
      <c r="J1139" s="118"/>
      <c r="K1139" s="81"/>
    </row>
    <row r="1140" ht="13.5" customHeight="1">
      <c r="A1140" s="111"/>
      <c r="B1140" s="111"/>
      <c r="C1140" s="111"/>
      <c r="D1140" s="111"/>
      <c r="E1140" s="115"/>
      <c r="F1140" s="116"/>
      <c r="G1140" s="113"/>
      <c r="H1140" s="117"/>
      <c r="I1140" s="111"/>
      <c r="J1140" s="118"/>
      <c r="K1140" s="81"/>
    </row>
    <row r="1141" ht="13.5" customHeight="1">
      <c r="A1141" s="111"/>
      <c r="B1141" s="111"/>
      <c r="C1141" s="111"/>
      <c r="D1141" s="111"/>
      <c r="E1141" s="115"/>
      <c r="F1141" s="116"/>
      <c r="G1141" s="113"/>
      <c r="H1141" s="117"/>
      <c r="I1141" s="111"/>
      <c r="J1141" s="118"/>
      <c r="K1141" s="81"/>
    </row>
    <row r="1142" ht="13.5" customHeight="1">
      <c r="A1142" s="111"/>
      <c r="B1142" s="111"/>
      <c r="C1142" s="111"/>
      <c r="D1142" s="111"/>
      <c r="E1142" s="115"/>
      <c r="F1142" s="116"/>
      <c r="G1142" s="113"/>
      <c r="H1142" s="117"/>
      <c r="I1142" s="111"/>
      <c r="J1142" s="118"/>
      <c r="K1142" s="81"/>
    </row>
    <row r="1143" ht="13.5" customHeight="1">
      <c r="A1143" s="111"/>
      <c r="B1143" s="111"/>
      <c r="C1143" s="111"/>
      <c r="D1143" s="111"/>
      <c r="E1143" s="115"/>
      <c r="F1143" s="116"/>
      <c r="G1143" s="113"/>
      <c r="H1143" s="117"/>
      <c r="I1143" s="111"/>
      <c r="J1143" s="118"/>
      <c r="K1143" s="81"/>
    </row>
    <row r="1144" ht="13.5" customHeight="1">
      <c r="A1144" s="111"/>
      <c r="B1144" s="111"/>
      <c r="C1144" s="111"/>
      <c r="D1144" s="111"/>
      <c r="E1144" s="115"/>
      <c r="F1144" s="116"/>
      <c r="G1144" s="116"/>
      <c r="H1144" s="117"/>
      <c r="I1144" s="118"/>
      <c r="J1144" s="118"/>
      <c r="K1144" s="81"/>
    </row>
    <row r="1145" ht="13.5" customHeight="1">
      <c r="A1145" s="111"/>
      <c r="B1145" s="111"/>
      <c r="C1145" s="111"/>
      <c r="D1145" s="111"/>
      <c r="E1145" s="115"/>
      <c r="F1145" s="116"/>
      <c r="G1145" s="113"/>
      <c r="H1145" s="117"/>
      <c r="I1145" s="111"/>
      <c r="J1145" s="118"/>
      <c r="K1145" s="81"/>
    </row>
    <row r="1146" ht="13.5" customHeight="1">
      <c r="A1146" s="111"/>
      <c r="B1146" s="111"/>
      <c r="C1146" s="111"/>
      <c r="D1146" s="111"/>
      <c r="E1146" s="115"/>
      <c r="F1146" s="116"/>
      <c r="G1146" s="113"/>
      <c r="H1146" s="117"/>
      <c r="I1146" s="111"/>
      <c r="J1146" s="118"/>
      <c r="K1146" s="81"/>
    </row>
    <row r="1147" ht="13.5" customHeight="1">
      <c r="A1147" s="111"/>
      <c r="B1147" s="111"/>
      <c r="C1147" s="111"/>
      <c r="D1147" s="111"/>
      <c r="E1147" s="115"/>
      <c r="F1147" s="116"/>
      <c r="G1147" s="113"/>
      <c r="H1147" s="117"/>
      <c r="I1147" s="111"/>
      <c r="J1147" s="118"/>
      <c r="K1147" s="81"/>
    </row>
    <row r="1148" ht="13.5" customHeight="1">
      <c r="A1148" s="111"/>
      <c r="B1148" s="111"/>
      <c r="C1148" s="111"/>
      <c r="D1148" s="111"/>
      <c r="E1148" s="115"/>
      <c r="F1148" s="116"/>
      <c r="G1148" s="116"/>
      <c r="H1148" s="117"/>
      <c r="I1148" s="118"/>
      <c r="J1148" s="118"/>
      <c r="K1148" s="81"/>
    </row>
    <row r="1149" ht="13.5" customHeight="1">
      <c r="A1149" s="111"/>
      <c r="B1149" s="111"/>
      <c r="C1149" s="111"/>
      <c r="D1149" s="111"/>
      <c r="E1149" s="115"/>
      <c r="F1149" s="116"/>
      <c r="G1149" s="116"/>
      <c r="H1149" s="117"/>
      <c r="I1149" s="118"/>
      <c r="J1149" s="118"/>
      <c r="K1149" s="81"/>
    </row>
    <row r="1150" ht="13.5" customHeight="1">
      <c r="A1150" s="111"/>
      <c r="B1150" s="111"/>
      <c r="C1150" s="111"/>
      <c r="D1150" s="111"/>
      <c r="E1150" s="115"/>
      <c r="F1150" s="116"/>
      <c r="G1150" s="116"/>
      <c r="H1150" s="117"/>
      <c r="I1150" s="118"/>
      <c r="J1150" s="118"/>
      <c r="K1150" s="81"/>
    </row>
    <row r="1151" ht="13.5" customHeight="1">
      <c r="A1151" s="111"/>
      <c r="B1151" s="111"/>
      <c r="C1151" s="111"/>
      <c r="D1151" s="111"/>
      <c r="E1151" s="115"/>
      <c r="F1151" s="116"/>
      <c r="G1151" s="116"/>
      <c r="H1151" s="117"/>
      <c r="I1151" s="118"/>
      <c r="J1151" s="118"/>
      <c r="K1151" s="81"/>
    </row>
    <row r="1152" ht="13.5" customHeight="1">
      <c r="A1152" s="111"/>
      <c r="B1152" s="111"/>
      <c r="C1152" s="111"/>
      <c r="D1152" s="111"/>
      <c r="E1152" s="115"/>
      <c r="F1152" s="116"/>
      <c r="G1152" s="116"/>
      <c r="H1152" s="117"/>
      <c r="I1152" s="118"/>
      <c r="J1152" s="118"/>
      <c r="K1152" s="81"/>
    </row>
    <row r="1153" ht="13.5" customHeight="1">
      <c r="A1153" s="111"/>
      <c r="B1153" s="111"/>
      <c r="C1153" s="111"/>
      <c r="D1153" s="111"/>
      <c r="E1153" s="115"/>
      <c r="F1153" s="116"/>
      <c r="G1153" s="116"/>
      <c r="H1153" s="117"/>
      <c r="I1153" s="118"/>
      <c r="J1153" s="118"/>
      <c r="K1153" s="81"/>
    </row>
    <row r="1154" ht="13.5" customHeight="1">
      <c r="A1154" s="111"/>
      <c r="B1154" s="111"/>
      <c r="C1154" s="111"/>
      <c r="D1154" s="111"/>
      <c r="E1154" s="115"/>
      <c r="F1154" s="116"/>
      <c r="G1154" s="116"/>
      <c r="H1154" s="117"/>
      <c r="I1154" s="118"/>
      <c r="J1154" s="118"/>
      <c r="K1154" s="81"/>
    </row>
    <row r="1155" ht="13.5" customHeight="1">
      <c r="A1155" s="111"/>
      <c r="B1155" s="111"/>
      <c r="C1155" s="111"/>
      <c r="D1155" s="111"/>
      <c r="E1155" s="115"/>
      <c r="F1155" s="116"/>
      <c r="G1155" s="116"/>
      <c r="H1155" s="117"/>
      <c r="I1155" s="118"/>
      <c r="J1155" s="118"/>
      <c r="K1155" s="81"/>
    </row>
    <row r="1156" ht="13.5" customHeight="1">
      <c r="A1156" s="111"/>
      <c r="B1156" s="111"/>
      <c r="C1156" s="111"/>
      <c r="D1156" s="111"/>
      <c r="E1156" s="115"/>
      <c r="F1156" s="116"/>
      <c r="G1156" s="116"/>
      <c r="H1156" s="117"/>
      <c r="I1156" s="118"/>
      <c r="J1156" s="118"/>
      <c r="K1156" s="81"/>
    </row>
    <row r="1157" ht="13.5" customHeight="1">
      <c r="A1157" s="111"/>
      <c r="B1157" s="111"/>
      <c r="C1157" s="111"/>
      <c r="D1157" s="111"/>
      <c r="E1157" s="115"/>
      <c r="F1157" s="116"/>
      <c r="G1157" s="116"/>
      <c r="H1157" s="117"/>
      <c r="I1157" s="118"/>
      <c r="J1157" s="118"/>
      <c r="K1157" s="81"/>
    </row>
    <row r="1158" ht="13.5" customHeight="1">
      <c r="A1158" s="111"/>
      <c r="B1158" s="111"/>
      <c r="C1158" s="111"/>
      <c r="D1158" s="111"/>
      <c r="E1158" s="115"/>
      <c r="F1158" s="116"/>
      <c r="G1158" s="116"/>
      <c r="H1158" s="117"/>
      <c r="I1158" s="118"/>
      <c r="J1158" s="118"/>
      <c r="K1158" s="81"/>
    </row>
    <row r="1159" ht="13.5" customHeight="1">
      <c r="A1159" s="111"/>
      <c r="B1159" s="111"/>
      <c r="C1159" s="111"/>
      <c r="D1159" s="111"/>
      <c r="E1159" s="115"/>
      <c r="F1159" s="116"/>
      <c r="G1159" s="116"/>
      <c r="H1159" s="117"/>
      <c r="I1159" s="118"/>
      <c r="J1159" s="118"/>
      <c r="K1159" s="81"/>
    </row>
    <row r="1160" ht="13.5" customHeight="1">
      <c r="A1160" s="111"/>
      <c r="B1160" s="111"/>
      <c r="C1160" s="111"/>
      <c r="D1160" s="111"/>
      <c r="E1160" s="115"/>
      <c r="F1160" s="116"/>
      <c r="G1160" s="116"/>
      <c r="H1160" s="117"/>
      <c r="I1160" s="118"/>
      <c r="J1160" s="118"/>
      <c r="K1160" s="81"/>
    </row>
    <row r="1161" ht="13.5" customHeight="1">
      <c r="A1161" s="111"/>
      <c r="B1161" s="111"/>
      <c r="C1161" s="111"/>
      <c r="D1161" s="111"/>
      <c r="E1161" s="115"/>
      <c r="F1161" s="116"/>
      <c r="G1161" s="116"/>
      <c r="H1161" s="117"/>
      <c r="I1161" s="118"/>
      <c r="J1161" s="118"/>
      <c r="K1161" s="81"/>
    </row>
    <row r="1162" ht="13.5" customHeight="1">
      <c r="A1162" s="111"/>
      <c r="B1162" s="111"/>
      <c r="C1162" s="111"/>
      <c r="D1162" s="111"/>
      <c r="E1162" s="115"/>
      <c r="F1162" s="116"/>
      <c r="G1162" s="116"/>
      <c r="H1162" s="117"/>
      <c r="I1162" s="118"/>
      <c r="J1162" s="118"/>
      <c r="K1162" s="81"/>
    </row>
    <row r="1163" ht="13.5" customHeight="1">
      <c r="A1163" s="111"/>
      <c r="B1163" s="111"/>
      <c r="C1163" s="111"/>
      <c r="D1163" s="111"/>
      <c r="E1163" s="115"/>
      <c r="F1163" s="116"/>
      <c r="G1163" s="116"/>
      <c r="H1163" s="117"/>
      <c r="I1163" s="118"/>
      <c r="J1163" s="118"/>
      <c r="K1163" s="81"/>
    </row>
    <row r="1164" ht="13.5" customHeight="1">
      <c r="A1164" s="111"/>
      <c r="B1164" s="111"/>
      <c r="C1164" s="111"/>
      <c r="D1164" s="111"/>
      <c r="E1164" s="115"/>
      <c r="F1164" s="116"/>
      <c r="G1164" s="116"/>
      <c r="H1164" s="117"/>
      <c r="I1164" s="118"/>
      <c r="J1164" s="118"/>
      <c r="K1164" s="81"/>
    </row>
    <row r="1165" ht="13.5" customHeight="1">
      <c r="A1165" s="111"/>
      <c r="B1165" s="111"/>
      <c r="C1165" s="111"/>
      <c r="D1165" s="111"/>
      <c r="E1165" s="115"/>
      <c r="F1165" s="116"/>
      <c r="G1165" s="116"/>
      <c r="H1165" s="117"/>
      <c r="I1165" s="118"/>
      <c r="J1165" s="118"/>
      <c r="K1165" s="81"/>
    </row>
    <row r="1166" ht="13.5" customHeight="1">
      <c r="A1166" s="111"/>
      <c r="B1166" s="111"/>
      <c r="C1166" s="111"/>
      <c r="D1166" s="111"/>
      <c r="E1166" s="115"/>
      <c r="F1166" s="116"/>
      <c r="G1166" s="116"/>
      <c r="H1166" s="117"/>
      <c r="I1166" s="118"/>
      <c r="J1166" s="118"/>
      <c r="K1166" s="81"/>
    </row>
    <row r="1167" ht="13.5" customHeight="1">
      <c r="A1167" s="111"/>
      <c r="B1167" s="111"/>
      <c r="C1167" s="111"/>
      <c r="D1167" s="111"/>
      <c r="E1167" s="115"/>
      <c r="F1167" s="116"/>
      <c r="G1167" s="116"/>
      <c r="H1167" s="117"/>
      <c r="I1167" s="118"/>
      <c r="J1167" s="118"/>
      <c r="K1167" s="81"/>
    </row>
    <row r="1168" ht="13.5" customHeight="1">
      <c r="A1168" s="111"/>
      <c r="B1168" s="111"/>
      <c r="C1168" s="111"/>
      <c r="D1168" s="111"/>
      <c r="E1168" s="115"/>
      <c r="F1168" s="116"/>
      <c r="G1168" s="116"/>
      <c r="H1168" s="117"/>
      <c r="I1168" s="118"/>
      <c r="J1168" s="118"/>
      <c r="K1168" s="81"/>
    </row>
    <row r="1169" ht="13.5" customHeight="1">
      <c r="A1169" s="111"/>
      <c r="B1169" s="111"/>
      <c r="C1169" s="111"/>
      <c r="D1169" s="111"/>
      <c r="E1169" s="115"/>
      <c r="F1169" s="116"/>
      <c r="G1169" s="116"/>
      <c r="H1169" s="117"/>
      <c r="I1169" s="118"/>
      <c r="J1169" s="118"/>
      <c r="K1169" s="81"/>
    </row>
    <row r="1170" ht="13.5" customHeight="1">
      <c r="A1170" s="111"/>
      <c r="B1170" s="111"/>
      <c r="C1170" s="111"/>
      <c r="D1170" s="111"/>
      <c r="E1170" s="115"/>
      <c r="F1170" s="116"/>
      <c r="G1170" s="116"/>
      <c r="H1170" s="117"/>
      <c r="I1170" s="118"/>
      <c r="J1170" s="118"/>
      <c r="K1170" s="81"/>
    </row>
    <row r="1171" ht="13.5" customHeight="1">
      <c r="A1171" s="111"/>
      <c r="B1171" s="111"/>
      <c r="C1171" s="111"/>
      <c r="D1171" s="111"/>
      <c r="E1171" s="115"/>
      <c r="F1171" s="116"/>
      <c r="G1171" s="116"/>
      <c r="H1171" s="117"/>
      <c r="I1171" s="118"/>
      <c r="J1171" s="118"/>
      <c r="K1171" s="81"/>
    </row>
    <row r="1172" ht="13.5" customHeight="1">
      <c r="A1172" s="111"/>
      <c r="B1172" s="111"/>
      <c r="C1172" s="111"/>
      <c r="D1172" s="111"/>
      <c r="E1172" s="115"/>
      <c r="F1172" s="116"/>
      <c r="G1172" s="116"/>
      <c r="H1172" s="117"/>
      <c r="I1172" s="118"/>
      <c r="J1172" s="118"/>
      <c r="K1172" s="81"/>
    </row>
    <row r="1173" ht="13.5" customHeight="1">
      <c r="A1173" s="111"/>
      <c r="B1173" s="111"/>
      <c r="C1173" s="111"/>
      <c r="D1173" s="111"/>
      <c r="E1173" s="115"/>
      <c r="F1173" s="116"/>
      <c r="G1173" s="116"/>
      <c r="H1173" s="117"/>
      <c r="I1173" s="118"/>
      <c r="J1173" s="118"/>
      <c r="K1173" s="81"/>
    </row>
    <row r="1174" ht="13.5" customHeight="1">
      <c r="A1174" s="111"/>
      <c r="B1174" s="111"/>
      <c r="C1174" s="111"/>
      <c r="D1174" s="111"/>
      <c r="E1174" s="115"/>
      <c r="F1174" s="116"/>
      <c r="G1174" s="116"/>
      <c r="H1174" s="117"/>
      <c r="I1174" s="118"/>
      <c r="J1174" s="118"/>
      <c r="K1174" s="81"/>
    </row>
    <row r="1175" ht="13.5" customHeight="1">
      <c r="A1175" s="111"/>
      <c r="B1175" s="111"/>
      <c r="C1175" s="111"/>
      <c r="D1175" s="111"/>
      <c r="E1175" s="115"/>
      <c r="F1175" s="116"/>
      <c r="G1175" s="116"/>
      <c r="H1175" s="117"/>
      <c r="I1175" s="118"/>
      <c r="J1175" s="118"/>
      <c r="K1175" s="81"/>
    </row>
    <row r="1176" ht="13.5" customHeight="1">
      <c r="A1176" s="111"/>
      <c r="B1176" s="111"/>
      <c r="C1176" s="111"/>
      <c r="D1176" s="111"/>
      <c r="E1176" s="115"/>
      <c r="F1176" s="116"/>
      <c r="G1176" s="116"/>
      <c r="H1176" s="117"/>
      <c r="I1176" s="118"/>
      <c r="J1176" s="118"/>
      <c r="K1176" s="81"/>
    </row>
    <row r="1177" ht="13.5" customHeight="1">
      <c r="A1177" s="111"/>
      <c r="B1177" s="111"/>
      <c r="C1177" s="111"/>
      <c r="D1177" s="111"/>
      <c r="E1177" s="115"/>
      <c r="F1177" s="116"/>
      <c r="G1177" s="116"/>
      <c r="H1177" s="117"/>
      <c r="I1177" s="118"/>
      <c r="J1177" s="118"/>
      <c r="K1177" s="81"/>
    </row>
    <row r="1178" ht="13.5" customHeight="1">
      <c r="A1178" s="111"/>
      <c r="B1178" s="111"/>
      <c r="C1178" s="111"/>
      <c r="D1178" s="111"/>
      <c r="E1178" s="115"/>
      <c r="F1178" s="116"/>
      <c r="G1178" s="116"/>
      <c r="H1178" s="117"/>
      <c r="I1178" s="118"/>
      <c r="J1178" s="118"/>
      <c r="K1178" s="81"/>
    </row>
    <row r="1179" ht="13.5" customHeight="1">
      <c r="A1179" s="111"/>
      <c r="B1179" s="111"/>
      <c r="C1179" s="111"/>
      <c r="D1179" s="111"/>
      <c r="E1179" s="115"/>
      <c r="F1179" s="116"/>
      <c r="G1179" s="116"/>
      <c r="H1179" s="117"/>
      <c r="I1179" s="118"/>
      <c r="J1179" s="118"/>
      <c r="K1179" s="81"/>
    </row>
    <row r="1180" ht="13.5" customHeight="1">
      <c r="A1180" s="111"/>
      <c r="B1180" s="111"/>
      <c r="C1180" s="111"/>
      <c r="D1180" s="111"/>
      <c r="E1180" s="115"/>
      <c r="F1180" s="116"/>
      <c r="G1180" s="116"/>
      <c r="H1180" s="117"/>
      <c r="I1180" s="118"/>
      <c r="J1180" s="118"/>
      <c r="K1180" s="81"/>
    </row>
    <row r="1181" ht="13.5" customHeight="1">
      <c r="A1181" s="111"/>
      <c r="B1181" s="111"/>
      <c r="C1181" s="111"/>
      <c r="D1181" s="111"/>
      <c r="E1181" s="115"/>
      <c r="F1181" s="116"/>
      <c r="G1181" s="116"/>
      <c r="H1181" s="117"/>
      <c r="I1181" s="118"/>
      <c r="J1181" s="118"/>
      <c r="K1181" s="81"/>
    </row>
    <row r="1182" ht="13.5" customHeight="1">
      <c r="A1182" s="111"/>
      <c r="B1182" s="111"/>
      <c r="C1182" s="111"/>
      <c r="D1182" s="111"/>
      <c r="E1182" s="115"/>
      <c r="F1182" s="116"/>
      <c r="G1182" s="116"/>
      <c r="H1182" s="117"/>
      <c r="I1182" s="118"/>
      <c r="J1182" s="118"/>
      <c r="K1182" s="81"/>
    </row>
    <row r="1183" ht="13.5" customHeight="1">
      <c r="A1183" s="111"/>
      <c r="B1183" s="111"/>
      <c r="C1183" s="111"/>
      <c r="D1183" s="111"/>
      <c r="E1183" s="115"/>
      <c r="F1183" s="116"/>
      <c r="G1183" s="116"/>
      <c r="H1183" s="117"/>
      <c r="I1183" s="118"/>
      <c r="J1183" s="118"/>
      <c r="K1183" s="81"/>
    </row>
    <row r="1184" ht="13.5" customHeight="1">
      <c r="A1184" s="111"/>
      <c r="B1184" s="111"/>
      <c r="C1184" s="111"/>
      <c r="D1184" s="111"/>
      <c r="E1184" s="115"/>
      <c r="F1184" s="116"/>
      <c r="G1184" s="116"/>
      <c r="H1184" s="117"/>
      <c r="I1184" s="118"/>
      <c r="J1184" s="118"/>
      <c r="K1184" s="81"/>
    </row>
    <row r="1185" ht="13.5" customHeight="1">
      <c r="A1185" s="111"/>
      <c r="B1185" s="111"/>
      <c r="C1185" s="111"/>
      <c r="D1185" s="111"/>
      <c r="E1185" s="115"/>
      <c r="F1185" s="116"/>
      <c r="G1185" s="116"/>
      <c r="H1185" s="117"/>
      <c r="I1185" s="118"/>
      <c r="J1185" s="118"/>
      <c r="K1185" s="81"/>
    </row>
    <row r="1186" ht="13.5" customHeight="1">
      <c r="A1186" s="111"/>
      <c r="B1186" s="111"/>
      <c r="C1186" s="111"/>
      <c r="D1186" s="111"/>
      <c r="E1186" s="115"/>
      <c r="F1186" s="116"/>
      <c r="G1186" s="116"/>
      <c r="H1186" s="117"/>
      <c r="I1186" s="118"/>
      <c r="J1186" s="118"/>
      <c r="K1186" s="81"/>
    </row>
    <row r="1187" ht="13.5" customHeight="1">
      <c r="A1187" s="111"/>
      <c r="B1187" s="111"/>
      <c r="C1187" s="111"/>
      <c r="D1187" s="111"/>
      <c r="E1187" s="115"/>
      <c r="F1187" s="116"/>
      <c r="G1187" s="116"/>
      <c r="H1187" s="117"/>
      <c r="I1187" s="118"/>
      <c r="J1187" s="118"/>
      <c r="K1187" s="81"/>
    </row>
    <row r="1188" ht="13.5" customHeight="1">
      <c r="A1188" s="111"/>
      <c r="B1188" s="111"/>
      <c r="C1188" s="111"/>
      <c r="D1188" s="111"/>
      <c r="E1188" s="115"/>
      <c r="F1188" s="116"/>
      <c r="G1188" s="116"/>
      <c r="H1188" s="117"/>
      <c r="I1188" s="118"/>
      <c r="J1188" s="118"/>
      <c r="K1188" s="81"/>
    </row>
    <row r="1189" ht="13.5" customHeight="1">
      <c r="A1189" s="111"/>
      <c r="B1189" s="111"/>
      <c r="C1189" s="111"/>
      <c r="D1189" s="111"/>
      <c r="E1189" s="115"/>
      <c r="F1189" s="116"/>
      <c r="G1189" s="116"/>
      <c r="H1189" s="117"/>
      <c r="I1189" s="118"/>
      <c r="J1189" s="118"/>
      <c r="K1189" s="81"/>
    </row>
    <row r="1190" ht="13.5" customHeight="1">
      <c r="A1190" s="111"/>
      <c r="B1190" s="111"/>
      <c r="C1190" s="111"/>
      <c r="D1190" s="111"/>
      <c r="E1190" s="115"/>
      <c r="F1190" s="116"/>
      <c r="G1190" s="116"/>
      <c r="H1190" s="117"/>
      <c r="I1190" s="118"/>
      <c r="J1190" s="118"/>
      <c r="K1190" s="81"/>
    </row>
    <row r="1191" ht="13.5" customHeight="1">
      <c r="A1191" s="111"/>
      <c r="B1191" s="111"/>
      <c r="C1191" s="111"/>
      <c r="D1191" s="111"/>
      <c r="E1191" s="115"/>
      <c r="F1191" s="116"/>
      <c r="G1191" s="116"/>
      <c r="H1191" s="117"/>
      <c r="I1191" s="118"/>
      <c r="J1191" s="118"/>
      <c r="K1191" s="81"/>
    </row>
    <row r="1192" ht="13.5" customHeight="1">
      <c r="A1192" s="111"/>
      <c r="B1192" s="111"/>
      <c r="C1192" s="111"/>
      <c r="D1192" s="111"/>
      <c r="E1192" s="115"/>
      <c r="F1192" s="116"/>
      <c r="G1192" s="116"/>
      <c r="H1192" s="117"/>
      <c r="I1192" s="118"/>
      <c r="J1192" s="118"/>
      <c r="K1192" s="81"/>
    </row>
    <row r="1193" ht="13.5" customHeight="1">
      <c r="A1193" s="111"/>
      <c r="B1193" s="111"/>
      <c r="C1193" s="111"/>
      <c r="D1193" s="111"/>
      <c r="E1193" s="115"/>
      <c r="F1193" s="116"/>
      <c r="G1193" s="116"/>
      <c r="H1193" s="117"/>
      <c r="I1193" s="118"/>
      <c r="J1193" s="118"/>
      <c r="K1193" s="81"/>
    </row>
    <row r="1194" ht="13.5" customHeight="1">
      <c r="A1194" s="111"/>
      <c r="B1194" s="111"/>
      <c r="C1194" s="111"/>
      <c r="D1194" s="111"/>
      <c r="E1194" s="115"/>
      <c r="F1194" s="116"/>
      <c r="G1194" s="116"/>
      <c r="H1194" s="117"/>
      <c r="I1194" s="118"/>
      <c r="J1194" s="118"/>
      <c r="K1194" s="81"/>
    </row>
    <row r="1195" ht="13.5" customHeight="1">
      <c r="A1195" s="111"/>
      <c r="B1195" s="111"/>
      <c r="C1195" s="111"/>
      <c r="D1195" s="111"/>
      <c r="E1195" s="115"/>
      <c r="F1195" s="116"/>
      <c r="G1195" s="116"/>
      <c r="H1195" s="117"/>
      <c r="I1195" s="118"/>
      <c r="J1195" s="118"/>
      <c r="K1195" s="81"/>
    </row>
    <row r="1196" ht="13.5" customHeight="1">
      <c r="A1196" s="111"/>
      <c r="B1196" s="111"/>
      <c r="C1196" s="111"/>
      <c r="D1196" s="111"/>
      <c r="E1196" s="115"/>
      <c r="F1196" s="116"/>
      <c r="G1196" s="116"/>
      <c r="H1196" s="117"/>
      <c r="I1196" s="118"/>
      <c r="J1196" s="118"/>
      <c r="K1196" s="81"/>
    </row>
    <row r="1197" ht="13.5" customHeight="1">
      <c r="A1197" s="111"/>
      <c r="B1197" s="111"/>
      <c r="C1197" s="111"/>
      <c r="D1197" s="111"/>
      <c r="E1197" s="115"/>
      <c r="F1197" s="116"/>
      <c r="G1197" s="116"/>
      <c r="H1197" s="117"/>
      <c r="I1197" s="118"/>
      <c r="J1197" s="118"/>
      <c r="K1197" s="81"/>
    </row>
    <row r="1198" ht="13.5" customHeight="1">
      <c r="A1198" s="111"/>
      <c r="B1198" s="111"/>
      <c r="C1198" s="111"/>
      <c r="D1198" s="111"/>
      <c r="E1198" s="115"/>
      <c r="F1198" s="116"/>
      <c r="G1198" s="116"/>
      <c r="H1198" s="117"/>
      <c r="I1198" s="118"/>
      <c r="J1198" s="118"/>
      <c r="K1198" s="81"/>
    </row>
    <row r="1199" ht="13.5" customHeight="1">
      <c r="A1199" s="111"/>
      <c r="B1199" s="111"/>
      <c r="C1199" s="111"/>
      <c r="D1199" s="111"/>
      <c r="E1199" s="115"/>
      <c r="F1199" s="116"/>
      <c r="G1199" s="116"/>
      <c r="H1199" s="117"/>
      <c r="I1199" s="118"/>
      <c r="J1199" s="118"/>
      <c r="K1199" s="81"/>
    </row>
    <row r="1200" ht="13.5" customHeight="1">
      <c r="A1200" s="111"/>
      <c r="B1200" s="111"/>
      <c r="C1200" s="111"/>
      <c r="D1200" s="111"/>
      <c r="E1200" s="115"/>
      <c r="F1200" s="116"/>
      <c r="G1200" s="116"/>
      <c r="H1200" s="117"/>
      <c r="I1200" s="118"/>
      <c r="J1200" s="118"/>
      <c r="K1200" s="81"/>
    </row>
    <row r="1201" ht="13.5" customHeight="1">
      <c r="A1201" s="111"/>
      <c r="B1201" s="111"/>
      <c r="C1201" s="111"/>
      <c r="D1201" s="111"/>
      <c r="E1201" s="115"/>
      <c r="F1201" s="116"/>
      <c r="G1201" s="116"/>
      <c r="H1201" s="117"/>
      <c r="I1201" s="118"/>
      <c r="J1201" s="118"/>
      <c r="K1201" s="81"/>
    </row>
    <row r="1202" ht="13.5" customHeight="1">
      <c r="A1202" s="111"/>
      <c r="B1202" s="111"/>
      <c r="C1202" s="111"/>
      <c r="D1202" s="111"/>
      <c r="E1202" s="115"/>
      <c r="F1202" s="116"/>
      <c r="G1202" s="116"/>
      <c r="H1202" s="117"/>
      <c r="I1202" s="118"/>
      <c r="J1202" s="118"/>
      <c r="K1202" s="81"/>
    </row>
    <row r="1203" ht="13.5" customHeight="1">
      <c r="A1203" s="111"/>
      <c r="B1203" s="111"/>
      <c r="C1203" s="111"/>
      <c r="D1203" s="111"/>
      <c r="E1203" s="115"/>
      <c r="F1203" s="116"/>
      <c r="G1203" s="116"/>
      <c r="H1203" s="117"/>
      <c r="I1203" s="118"/>
      <c r="J1203" s="118"/>
      <c r="K1203" s="81"/>
    </row>
    <row r="1204" ht="13.5" customHeight="1">
      <c r="A1204" s="111"/>
      <c r="B1204" s="111"/>
      <c r="C1204" s="111"/>
      <c r="D1204" s="111"/>
      <c r="E1204" s="115"/>
      <c r="F1204" s="116"/>
      <c r="G1204" s="116"/>
      <c r="H1204" s="117"/>
      <c r="I1204" s="118"/>
      <c r="J1204" s="118"/>
      <c r="K1204" s="81"/>
    </row>
    <row r="1205" ht="13.5" customHeight="1">
      <c r="A1205" s="111"/>
      <c r="B1205" s="111"/>
      <c r="C1205" s="111"/>
      <c r="D1205" s="111"/>
      <c r="E1205" s="115"/>
      <c r="F1205" s="116"/>
      <c r="G1205" s="116"/>
      <c r="H1205" s="117"/>
      <c r="I1205" s="118"/>
      <c r="J1205" s="118"/>
      <c r="K1205" s="81"/>
    </row>
    <row r="1206" ht="13.5" customHeight="1">
      <c r="A1206" s="111"/>
      <c r="B1206" s="111"/>
      <c r="C1206" s="111"/>
      <c r="D1206" s="111"/>
      <c r="E1206" s="115"/>
      <c r="F1206" s="116"/>
      <c r="G1206" s="116"/>
      <c r="H1206" s="117"/>
      <c r="I1206" s="118"/>
      <c r="J1206" s="118"/>
      <c r="K1206" s="81"/>
    </row>
    <row r="1207" ht="13.5" customHeight="1">
      <c r="A1207" s="111"/>
      <c r="B1207" s="111"/>
      <c r="C1207" s="111"/>
      <c r="D1207" s="111"/>
      <c r="E1207" s="115"/>
      <c r="F1207" s="116"/>
      <c r="G1207" s="116"/>
      <c r="H1207" s="117"/>
      <c r="I1207" s="118"/>
      <c r="J1207" s="118"/>
      <c r="K1207" s="81"/>
    </row>
    <row r="1208" ht="13.5" customHeight="1">
      <c r="A1208" s="111"/>
      <c r="B1208" s="111"/>
      <c r="C1208" s="111"/>
      <c r="D1208" s="111"/>
      <c r="E1208" s="115"/>
      <c r="F1208" s="116"/>
      <c r="G1208" s="116"/>
      <c r="H1208" s="117"/>
      <c r="I1208" s="118"/>
      <c r="J1208" s="118"/>
      <c r="K1208" s="81"/>
    </row>
    <row r="1209" ht="13.5" customHeight="1">
      <c r="A1209" s="111"/>
      <c r="B1209" s="111"/>
      <c r="C1209" s="111"/>
      <c r="D1209" s="111"/>
      <c r="E1209" s="115"/>
      <c r="F1209" s="116"/>
      <c r="G1209" s="116"/>
      <c r="H1209" s="117"/>
      <c r="I1209" s="118"/>
      <c r="J1209" s="118"/>
      <c r="K1209" s="81"/>
    </row>
    <row r="1210" ht="13.5" customHeight="1">
      <c r="A1210" s="111"/>
      <c r="B1210" s="111"/>
      <c r="C1210" s="111"/>
      <c r="D1210" s="111"/>
      <c r="E1210" s="115"/>
      <c r="F1210" s="116"/>
      <c r="G1210" s="116"/>
      <c r="H1210" s="117"/>
      <c r="I1210" s="118"/>
      <c r="J1210" s="118"/>
      <c r="K1210" s="81"/>
    </row>
    <row r="1211" ht="13.5" customHeight="1">
      <c r="A1211" s="111"/>
      <c r="B1211" s="111"/>
      <c r="C1211" s="111"/>
      <c r="D1211" s="111"/>
      <c r="E1211" s="115"/>
      <c r="F1211" s="116"/>
      <c r="G1211" s="116"/>
      <c r="H1211" s="117"/>
      <c r="I1211" s="118"/>
      <c r="J1211" s="118"/>
      <c r="K1211" s="81"/>
    </row>
    <row r="1212" ht="13.5" customHeight="1">
      <c r="A1212" s="111"/>
      <c r="B1212" s="111"/>
      <c r="C1212" s="111"/>
      <c r="D1212" s="111"/>
      <c r="E1212" s="115"/>
      <c r="F1212" s="116"/>
      <c r="G1212" s="116"/>
      <c r="H1212" s="117"/>
      <c r="I1212" s="118"/>
      <c r="J1212" s="118"/>
      <c r="K1212" s="81"/>
    </row>
    <row r="1213" ht="13.5" customHeight="1">
      <c r="A1213" s="111"/>
      <c r="B1213" s="111"/>
      <c r="C1213" s="111"/>
      <c r="D1213" s="111"/>
      <c r="E1213" s="115"/>
      <c r="F1213" s="116"/>
      <c r="G1213" s="116"/>
      <c r="H1213" s="117"/>
      <c r="I1213" s="118"/>
      <c r="J1213" s="118"/>
      <c r="K1213" s="81"/>
    </row>
    <row r="1214" ht="13.5" customHeight="1">
      <c r="A1214" s="111"/>
      <c r="B1214" s="111"/>
      <c r="C1214" s="111"/>
      <c r="D1214" s="111"/>
      <c r="E1214" s="115"/>
      <c r="F1214" s="116"/>
      <c r="G1214" s="116"/>
      <c r="H1214" s="117"/>
      <c r="I1214" s="118"/>
      <c r="J1214" s="118"/>
      <c r="K1214" s="81"/>
    </row>
    <row r="1215" ht="13.5" customHeight="1">
      <c r="A1215" s="111"/>
      <c r="B1215" s="111"/>
      <c r="C1215" s="111"/>
      <c r="D1215" s="111"/>
      <c r="E1215" s="115"/>
      <c r="F1215" s="116"/>
      <c r="G1215" s="116"/>
      <c r="H1215" s="117"/>
      <c r="I1215" s="118"/>
      <c r="J1215" s="118"/>
      <c r="K1215" s="81"/>
    </row>
    <row r="1216" ht="13.5" customHeight="1">
      <c r="A1216" s="111"/>
      <c r="B1216" s="111"/>
      <c r="C1216" s="111"/>
      <c r="D1216" s="111"/>
      <c r="E1216" s="115"/>
      <c r="F1216" s="116"/>
      <c r="G1216" s="116"/>
      <c r="H1216" s="117"/>
      <c r="I1216" s="118"/>
      <c r="J1216" s="118"/>
      <c r="K1216" s="81"/>
    </row>
    <row r="1217" ht="13.5" customHeight="1">
      <c r="A1217" s="111"/>
      <c r="B1217" s="111"/>
      <c r="C1217" s="111"/>
      <c r="D1217" s="111"/>
      <c r="E1217" s="115"/>
      <c r="F1217" s="116"/>
      <c r="G1217" s="116"/>
      <c r="H1217" s="117"/>
      <c r="I1217" s="118"/>
      <c r="J1217" s="118"/>
      <c r="K1217" s="81"/>
    </row>
    <row r="1218" ht="13.5" customHeight="1">
      <c r="A1218" s="111"/>
      <c r="B1218" s="111"/>
      <c r="C1218" s="111"/>
      <c r="D1218" s="111"/>
      <c r="E1218" s="115"/>
      <c r="F1218" s="116"/>
      <c r="G1218" s="116"/>
      <c r="H1218" s="117"/>
      <c r="I1218" s="118"/>
      <c r="J1218" s="118"/>
      <c r="K1218" s="81"/>
    </row>
    <row r="1219" ht="13.5" customHeight="1">
      <c r="A1219" s="111"/>
      <c r="B1219" s="111"/>
      <c r="C1219" s="111"/>
      <c r="D1219" s="111"/>
      <c r="E1219" s="115"/>
      <c r="F1219" s="116"/>
      <c r="G1219" s="116"/>
      <c r="H1219" s="117"/>
      <c r="I1219" s="118"/>
      <c r="J1219" s="118"/>
      <c r="K1219" s="81"/>
    </row>
    <row r="1220" ht="13.5" customHeight="1">
      <c r="A1220" s="111"/>
      <c r="B1220" s="111"/>
      <c r="C1220" s="111"/>
      <c r="D1220" s="111"/>
      <c r="E1220" s="115"/>
      <c r="F1220" s="116"/>
      <c r="G1220" s="116"/>
      <c r="H1220" s="117"/>
      <c r="I1220" s="118"/>
      <c r="J1220" s="118"/>
      <c r="K1220" s="81"/>
    </row>
    <row r="1221" ht="13.5" customHeight="1">
      <c r="A1221" s="111"/>
      <c r="B1221" s="111"/>
      <c r="C1221" s="111"/>
      <c r="D1221" s="111"/>
      <c r="E1221" s="115"/>
      <c r="F1221" s="116"/>
      <c r="G1221" s="116"/>
      <c r="H1221" s="117"/>
      <c r="I1221" s="118"/>
      <c r="J1221" s="118"/>
      <c r="K1221" s="81"/>
    </row>
    <row r="1222" ht="13.5" customHeight="1">
      <c r="A1222" s="111"/>
      <c r="B1222" s="111"/>
      <c r="C1222" s="111"/>
      <c r="D1222" s="111"/>
      <c r="E1222" s="115"/>
      <c r="F1222" s="116"/>
      <c r="G1222" s="116"/>
      <c r="H1222" s="117"/>
      <c r="I1222" s="118"/>
      <c r="J1222" s="118"/>
      <c r="K1222" s="81"/>
    </row>
    <row r="1223" ht="13.5" customHeight="1">
      <c r="A1223" s="111"/>
      <c r="B1223" s="111"/>
      <c r="C1223" s="111"/>
      <c r="D1223" s="111"/>
      <c r="E1223" s="115"/>
      <c r="F1223" s="116"/>
      <c r="G1223" s="116"/>
      <c r="H1223" s="117"/>
      <c r="I1223" s="118"/>
      <c r="J1223" s="118"/>
      <c r="K1223" s="81"/>
    </row>
    <row r="1224" ht="13.5" customHeight="1">
      <c r="A1224" s="111"/>
      <c r="B1224" s="111"/>
      <c r="C1224" s="111"/>
      <c r="D1224" s="111"/>
      <c r="E1224" s="115"/>
      <c r="F1224" s="116"/>
      <c r="G1224" s="116"/>
      <c r="H1224" s="117"/>
      <c r="I1224" s="118"/>
      <c r="J1224" s="118"/>
      <c r="K1224" s="81"/>
    </row>
    <row r="1225" ht="13.5" customHeight="1">
      <c r="A1225" s="111"/>
      <c r="B1225" s="111"/>
      <c r="C1225" s="111"/>
      <c r="D1225" s="111"/>
      <c r="E1225" s="115"/>
      <c r="F1225" s="116"/>
      <c r="G1225" s="116"/>
      <c r="H1225" s="117"/>
      <c r="I1225" s="118"/>
      <c r="J1225" s="118"/>
      <c r="K1225" s="81"/>
    </row>
    <row r="1226" ht="13.5" customHeight="1">
      <c r="A1226" s="111"/>
      <c r="B1226" s="111"/>
      <c r="C1226" s="111"/>
      <c r="D1226" s="111"/>
      <c r="E1226" s="115"/>
      <c r="F1226" s="116"/>
      <c r="G1226" s="116"/>
      <c r="H1226" s="117"/>
      <c r="I1226" s="118"/>
      <c r="J1226" s="118"/>
      <c r="K1226" s="81"/>
    </row>
    <row r="1227" ht="13.5" customHeight="1">
      <c r="A1227" s="111"/>
      <c r="B1227" s="111"/>
      <c r="C1227" s="111"/>
      <c r="D1227" s="111"/>
      <c r="E1227" s="115"/>
      <c r="F1227" s="116"/>
      <c r="G1227" s="116"/>
      <c r="H1227" s="117"/>
      <c r="I1227" s="118"/>
      <c r="J1227" s="118"/>
      <c r="K1227" s="81"/>
    </row>
    <row r="1228" ht="13.5" customHeight="1">
      <c r="A1228" s="111"/>
      <c r="B1228" s="111"/>
      <c r="C1228" s="111"/>
      <c r="D1228" s="111"/>
      <c r="E1228" s="115"/>
      <c r="F1228" s="116"/>
      <c r="G1228" s="116"/>
      <c r="H1228" s="117"/>
      <c r="I1228" s="118"/>
      <c r="J1228" s="118"/>
      <c r="K1228" s="81"/>
    </row>
    <row r="1229" ht="13.5" customHeight="1">
      <c r="A1229" s="111"/>
      <c r="B1229" s="111"/>
      <c r="C1229" s="111"/>
      <c r="D1229" s="111"/>
      <c r="E1229" s="115"/>
      <c r="F1229" s="116"/>
      <c r="G1229" s="116"/>
      <c r="H1229" s="117"/>
      <c r="I1229" s="118"/>
      <c r="J1229" s="118"/>
      <c r="K1229" s="81"/>
    </row>
    <row r="1230" ht="13.5" customHeight="1">
      <c r="A1230" s="111"/>
      <c r="B1230" s="111"/>
      <c r="C1230" s="111"/>
      <c r="D1230" s="111"/>
      <c r="E1230" s="115"/>
      <c r="F1230" s="116"/>
      <c r="G1230" s="116"/>
      <c r="H1230" s="117"/>
      <c r="I1230" s="118"/>
      <c r="J1230" s="118"/>
      <c r="K1230" s="81"/>
    </row>
    <row r="1231" ht="13.5" customHeight="1">
      <c r="A1231" s="111"/>
      <c r="B1231" s="111"/>
      <c r="C1231" s="111"/>
      <c r="D1231" s="111"/>
      <c r="E1231" s="115"/>
      <c r="F1231" s="116"/>
      <c r="G1231" s="116"/>
      <c r="H1231" s="117"/>
      <c r="I1231" s="118"/>
      <c r="J1231" s="118"/>
      <c r="K1231" s="81"/>
    </row>
    <row r="1232" ht="13.5" customHeight="1">
      <c r="A1232" s="111"/>
      <c r="B1232" s="111"/>
      <c r="C1232" s="111"/>
      <c r="D1232" s="111"/>
      <c r="E1232" s="115"/>
      <c r="F1232" s="116"/>
      <c r="G1232" s="116"/>
      <c r="H1232" s="117"/>
      <c r="I1232" s="118"/>
      <c r="J1232" s="118"/>
      <c r="K1232" s="81"/>
    </row>
    <row r="1233" ht="13.5" customHeight="1">
      <c r="A1233" s="111"/>
      <c r="B1233" s="111"/>
      <c r="C1233" s="111"/>
      <c r="D1233" s="111"/>
      <c r="E1233" s="115"/>
      <c r="F1233" s="116"/>
      <c r="G1233" s="116"/>
      <c r="H1233" s="117"/>
      <c r="I1233" s="118"/>
      <c r="J1233" s="118"/>
      <c r="K1233" s="81"/>
    </row>
    <row r="1234" ht="13.5" customHeight="1">
      <c r="A1234" s="111"/>
      <c r="B1234" s="111"/>
      <c r="C1234" s="111"/>
      <c r="D1234" s="111"/>
      <c r="E1234" s="115"/>
      <c r="F1234" s="116"/>
      <c r="G1234" s="116"/>
      <c r="H1234" s="117"/>
      <c r="I1234" s="118"/>
      <c r="J1234" s="118"/>
      <c r="K1234" s="81"/>
    </row>
    <row r="1235" ht="13.5" customHeight="1">
      <c r="A1235" s="111"/>
      <c r="B1235" s="111"/>
      <c r="C1235" s="111"/>
      <c r="D1235" s="111"/>
      <c r="E1235" s="115"/>
      <c r="F1235" s="116"/>
      <c r="G1235" s="116"/>
      <c r="H1235" s="117"/>
      <c r="I1235" s="118"/>
      <c r="J1235" s="118"/>
      <c r="K1235" s="81"/>
    </row>
    <row r="1236" ht="13.5" customHeight="1">
      <c r="A1236" s="111"/>
      <c r="B1236" s="111"/>
      <c r="C1236" s="111"/>
      <c r="D1236" s="111"/>
      <c r="E1236" s="115"/>
      <c r="F1236" s="116"/>
      <c r="G1236" s="116"/>
      <c r="H1236" s="117"/>
      <c r="I1236" s="118"/>
      <c r="J1236" s="118"/>
      <c r="K1236" s="81"/>
    </row>
    <row r="1237" ht="13.5" customHeight="1">
      <c r="A1237" s="111"/>
      <c r="B1237" s="111"/>
      <c r="C1237" s="111"/>
      <c r="D1237" s="111"/>
      <c r="E1237" s="115"/>
      <c r="F1237" s="116"/>
      <c r="G1237" s="116"/>
      <c r="H1237" s="117"/>
      <c r="I1237" s="118"/>
      <c r="J1237" s="118"/>
      <c r="K1237" s="81"/>
    </row>
    <row r="1238" ht="13.5" customHeight="1">
      <c r="A1238" s="111"/>
      <c r="B1238" s="111"/>
      <c r="C1238" s="111"/>
      <c r="D1238" s="111"/>
      <c r="E1238" s="115"/>
      <c r="F1238" s="116"/>
      <c r="G1238" s="116"/>
      <c r="H1238" s="117"/>
      <c r="I1238" s="118"/>
      <c r="J1238" s="118"/>
      <c r="K1238" s="81"/>
    </row>
    <row r="1239" ht="13.5" customHeight="1">
      <c r="A1239" s="111"/>
      <c r="B1239" s="111"/>
      <c r="C1239" s="111"/>
      <c r="D1239" s="111"/>
      <c r="E1239" s="115"/>
      <c r="F1239" s="116"/>
      <c r="G1239" s="116"/>
      <c r="H1239" s="117"/>
      <c r="I1239" s="118"/>
      <c r="J1239" s="118"/>
      <c r="K1239" s="81"/>
    </row>
    <row r="1240" ht="13.5" customHeight="1">
      <c r="A1240" s="111"/>
      <c r="B1240" s="111"/>
      <c r="C1240" s="111"/>
      <c r="D1240" s="111"/>
      <c r="E1240" s="115"/>
      <c r="F1240" s="116"/>
      <c r="G1240" s="116"/>
      <c r="H1240" s="117"/>
      <c r="I1240" s="118"/>
      <c r="J1240" s="118"/>
      <c r="K1240" s="81"/>
    </row>
    <row r="1241" ht="13.5" customHeight="1">
      <c r="A1241" s="111"/>
      <c r="B1241" s="111"/>
      <c r="C1241" s="111"/>
      <c r="D1241" s="111"/>
      <c r="E1241" s="115"/>
      <c r="F1241" s="116"/>
      <c r="G1241" s="116"/>
      <c r="H1241" s="117"/>
      <c r="I1241" s="118"/>
      <c r="J1241" s="118"/>
      <c r="K1241" s="81"/>
    </row>
    <row r="1242" ht="13.5" customHeight="1">
      <c r="A1242" s="111"/>
      <c r="B1242" s="111"/>
      <c r="C1242" s="111"/>
      <c r="D1242" s="111"/>
      <c r="E1242" s="115"/>
      <c r="F1242" s="116"/>
      <c r="G1242" s="116"/>
      <c r="H1242" s="117"/>
      <c r="I1242" s="118"/>
      <c r="J1242" s="118"/>
      <c r="K1242" s="81"/>
    </row>
    <row r="1243" ht="13.5" customHeight="1">
      <c r="A1243" s="111"/>
      <c r="B1243" s="111"/>
      <c r="C1243" s="111"/>
      <c r="D1243" s="111"/>
      <c r="E1243" s="115"/>
      <c r="F1243" s="116"/>
      <c r="G1243" s="116"/>
      <c r="H1243" s="117"/>
      <c r="I1243" s="118"/>
      <c r="J1243" s="118"/>
      <c r="K1243" s="81"/>
    </row>
    <row r="1244" ht="13.5" customHeight="1">
      <c r="A1244" s="111"/>
      <c r="B1244" s="111"/>
      <c r="C1244" s="111"/>
      <c r="D1244" s="111"/>
      <c r="E1244" s="115"/>
      <c r="F1244" s="116"/>
      <c r="G1244" s="116"/>
      <c r="H1244" s="117"/>
      <c r="I1244" s="118"/>
      <c r="J1244" s="118"/>
      <c r="K1244" s="81"/>
    </row>
    <row r="1245" ht="13.5" customHeight="1">
      <c r="A1245" s="111"/>
      <c r="B1245" s="111"/>
      <c r="C1245" s="111"/>
      <c r="D1245" s="111"/>
      <c r="E1245" s="115"/>
      <c r="F1245" s="116"/>
      <c r="G1245" s="116"/>
      <c r="H1245" s="117"/>
      <c r="I1245" s="118"/>
      <c r="J1245" s="118"/>
      <c r="K1245" s="81"/>
    </row>
    <row r="1246" ht="13.5" customHeight="1">
      <c r="A1246" s="111"/>
      <c r="B1246" s="111"/>
      <c r="C1246" s="111"/>
      <c r="D1246" s="111"/>
      <c r="E1246" s="115"/>
      <c r="F1246" s="116"/>
      <c r="G1246" s="116"/>
      <c r="H1246" s="117"/>
      <c r="I1246" s="118"/>
      <c r="J1246" s="118"/>
      <c r="K1246" s="81"/>
    </row>
    <row r="1247" ht="13.5" customHeight="1">
      <c r="A1247" s="111"/>
      <c r="B1247" s="111"/>
      <c r="C1247" s="111"/>
      <c r="D1247" s="111"/>
      <c r="E1247" s="115"/>
      <c r="F1247" s="116"/>
      <c r="G1247" s="116"/>
      <c r="H1247" s="117"/>
      <c r="I1247" s="118"/>
      <c r="J1247" s="118"/>
      <c r="K1247" s="81"/>
    </row>
    <row r="1248" ht="13.5" customHeight="1">
      <c r="A1248" s="111"/>
      <c r="B1248" s="111"/>
      <c r="C1248" s="111"/>
      <c r="D1248" s="111"/>
      <c r="E1248" s="115"/>
      <c r="F1248" s="116"/>
      <c r="G1248" s="116"/>
      <c r="H1248" s="117"/>
      <c r="I1248" s="118"/>
      <c r="J1248" s="118"/>
      <c r="K1248" s="81"/>
    </row>
    <row r="1249" ht="13.5" customHeight="1">
      <c r="A1249" s="111"/>
      <c r="B1249" s="111"/>
      <c r="C1249" s="111"/>
      <c r="D1249" s="111"/>
      <c r="E1249" s="115"/>
      <c r="F1249" s="116"/>
      <c r="G1249" s="116"/>
      <c r="H1249" s="117"/>
      <c r="I1249" s="118"/>
      <c r="J1249" s="118"/>
      <c r="K1249" s="81"/>
    </row>
    <row r="1250" ht="13.5" customHeight="1">
      <c r="A1250" s="111"/>
      <c r="B1250" s="111"/>
      <c r="C1250" s="111"/>
      <c r="D1250" s="111"/>
      <c r="E1250" s="115"/>
      <c r="F1250" s="116"/>
      <c r="G1250" s="116"/>
      <c r="H1250" s="117"/>
      <c r="I1250" s="118"/>
      <c r="J1250" s="118"/>
      <c r="K1250" s="81"/>
    </row>
    <row r="1251" ht="13.5" customHeight="1">
      <c r="A1251" s="111"/>
      <c r="B1251" s="111"/>
      <c r="C1251" s="111"/>
      <c r="D1251" s="111"/>
      <c r="E1251" s="115"/>
      <c r="F1251" s="116"/>
      <c r="G1251" s="116"/>
      <c r="H1251" s="117"/>
      <c r="I1251" s="118"/>
      <c r="J1251" s="118"/>
      <c r="K1251" s="81"/>
    </row>
    <row r="1252" ht="13.5" customHeight="1">
      <c r="A1252" s="111"/>
      <c r="B1252" s="111"/>
      <c r="C1252" s="111"/>
      <c r="D1252" s="111"/>
      <c r="E1252" s="115"/>
      <c r="F1252" s="116"/>
      <c r="G1252" s="116"/>
      <c r="H1252" s="117"/>
      <c r="I1252" s="118"/>
      <c r="J1252" s="118"/>
      <c r="K1252" s="81"/>
    </row>
    <row r="1253" ht="13.5" customHeight="1">
      <c r="A1253" s="111"/>
      <c r="B1253" s="111"/>
      <c r="C1253" s="111"/>
      <c r="D1253" s="111"/>
      <c r="E1253" s="115"/>
      <c r="F1253" s="116"/>
      <c r="G1253" s="116"/>
      <c r="H1253" s="117"/>
      <c r="I1253" s="118"/>
      <c r="J1253" s="118"/>
      <c r="K1253" s="81"/>
    </row>
    <row r="1254" ht="13.5" customHeight="1">
      <c r="A1254" s="111"/>
      <c r="B1254" s="111"/>
      <c r="C1254" s="111"/>
      <c r="D1254" s="111"/>
      <c r="E1254" s="115"/>
      <c r="F1254" s="116"/>
      <c r="G1254" s="116"/>
      <c r="H1254" s="117"/>
      <c r="I1254" s="118"/>
      <c r="J1254" s="118"/>
      <c r="K1254" s="81"/>
    </row>
    <row r="1255" ht="13.5" customHeight="1">
      <c r="A1255" s="111"/>
      <c r="B1255" s="111"/>
      <c r="C1255" s="111"/>
      <c r="D1255" s="111"/>
      <c r="E1255" s="115"/>
      <c r="F1255" s="116"/>
      <c r="G1255" s="116"/>
      <c r="H1255" s="117"/>
      <c r="I1255" s="118"/>
      <c r="J1255" s="118"/>
      <c r="K1255" s="81"/>
    </row>
    <row r="1256" ht="13.5" customHeight="1">
      <c r="A1256" s="111"/>
      <c r="B1256" s="111"/>
      <c r="C1256" s="111"/>
      <c r="D1256" s="111"/>
      <c r="E1256" s="115"/>
      <c r="F1256" s="116"/>
      <c r="G1256" s="116"/>
      <c r="H1256" s="117"/>
      <c r="I1256" s="118"/>
      <c r="J1256" s="118"/>
      <c r="K1256" s="81"/>
    </row>
    <row r="1257" ht="13.5" customHeight="1">
      <c r="A1257" s="111"/>
      <c r="B1257" s="111"/>
      <c r="C1257" s="111"/>
      <c r="D1257" s="111"/>
      <c r="E1257" s="115"/>
      <c r="F1257" s="116"/>
      <c r="G1257" s="116"/>
      <c r="H1257" s="117"/>
      <c r="I1257" s="118"/>
      <c r="J1257" s="118"/>
      <c r="K1257" s="81"/>
    </row>
    <row r="1258" ht="13.5" customHeight="1">
      <c r="A1258" s="111"/>
      <c r="B1258" s="111"/>
      <c r="C1258" s="111"/>
      <c r="D1258" s="111"/>
      <c r="E1258" s="115"/>
      <c r="F1258" s="116"/>
      <c r="G1258" s="116"/>
      <c r="H1258" s="117"/>
      <c r="I1258" s="118"/>
      <c r="J1258" s="118"/>
      <c r="K1258" s="81"/>
    </row>
    <row r="1259" ht="13.5" customHeight="1">
      <c r="A1259" s="111"/>
      <c r="B1259" s="111"/>
      <c r="C1259" s="111"/>
      <c r="D1259" s="111"/>
      <c r="E1259" s="115"/>
      <c r="F1259" s="116"/>
      <c r="G1259" s="116"/>
      <c r="H1259" s="117"/>
      <c r="I1259" s="118"/>
      <c r="J1259" s="118"/>
      <c r="K1259" s="81"/>
    </row>
    <row r="1260" ht="13.5" customHeight="1">
      <c r="A1260" s="111"/>
      <c r="B1260" s="111"/>
      <c r="C1260" s="111"/>
      <c r="D1260" s="111"/>
      <c r="E1260" s="115"/>
      <c r="F1260" s="116"/>
      <c r="G1260" s="116"/>
      <c r="H1260" s="117"/>
      <c r="I1260" s="118"/>
      <c r="J1260" s="118"/>
      <c r="K1260" s="81"/>
    </row>
    <row r="1261" ht="13.5" customHeight="1">
      <c r="A1261" s="111"/>
      <c r="B1261" s="111"/>
      <c r="C1261" s="111"/>
      <c r="D1261" s="111"/>
      <c r="E1261" s="115"/>
      <c r="F1261" s="116"/>
      <c r="G1261" s="116"/>
      <c r="H1261" s="117"/>
      <c r="I1261" s="118"/>
      <c r="J1261" s="118"/>
      <c r="K1261" s="81"/>
    </row>
    <row r="1262" ht="13.5" customHeight="1">
      <c r="A1262" s="111"/>
      <c r="B1262" s="111"/>
      <c r="C1262" s="111"/>
      <c r="D1262" s="111"/>
      <c r="E1262" s="115"/>
      <c r="F1262" s="116"/>
      <c r="G1262" s="116"/>
      <c r="H1262" s="117"/>
      <c r="I1262" s="118"/>
      <c r="J1262" s="118"/>
      <c r="K1262" s="81"/>
    </row>
    <row r="1263" ht="13.5" customHeight="1">
      <c r="A1263" s="111"/>
      <c r="B1263" s="111"/>
      <c r="C1263" s="111"/>
      <c r="D1263" s="111"/>
      <c r="E1263" s="115"/>
      <c r="F1263" s="116"/>
      <c r="G1263" s="116"/>
      <c r="H1263" s="117"/>
      <c r="I1263" s="118"/>
      <c r="J1263" s="118"/>
      <c r="K1263" s="81"/>
    </row>
    <row r="1264" ht="13.5" customHeight="1">
      <c r="A1264" s="111"/>
      <c r="B1264" s="111"/>
      <c r="C1264" s="111"/>
      <c r="D1264" s="111"/>
      <c r="E1264" s="115"/>
      <c r="F1264" s="116"/>
      <c r="G1264" s="116"/>
      <c r="H1264" s="117"/>
      <c r="I1264" s="118"/>
      <c r="J1264" s="118"/>
      <c r="K1264" s="81"/>
    </row>
    <row r="1265" ht="13.5" customHeight="1">
      <c r="A1265" s="111"/>
      <c r="B1265" s="111"/>
      <c r="C1265" s="111"/>
      <c r="D1265" s="111"/>
      <c r="E1265" s="115"/>
      <c r="F1265" s="116"/>
      <c r="G1265" s="116"/>
      <c r="H1265" s="117"/>
      <c r="I1265" s="118"/>
      <c r="J1265" s="118"/>
      <c r="K1265" s="81"/>
    </row>
    <row r="1266" ht="13.5" customHeight="1">
      <c r="A1266" s="111"/>
      <c r="B1266" s="111"/>
      <c r="C1266" s="111"/>
      <c r="D1266" s="111"/>
      <c r="E1266" s="115"/>
      <c r="F1266" s="116"/>
      <c r="G1266" s="116"/>
      <c r="H1266" s="117"/>
      <c r="I1266" s="118"/>
      <c r="J1266" s="118"/>
      <c r="K1266" s="81"/>
    </row>
    <row r="1267" ht="13.5" customHeight="1">
      <c r="A1267" s="111"/>
      <c r="B1267" s="111"/>
      <c r="C1267" s="111"/>
      <c r="D1267" s="111"/>
      <c r="E1267" s="115"/>
      <c r="F1267" s="116"/>
      <c r="G1267" s="116"/>
      <c r="H1267" s="117"/>
      <c r="I1267" s="118"/>
      <c r="J1267" s="118"/>
      <c r="K1267" s="81"/>
    </row>
    <row r="1268" ht="13.5" customHeight="1">
      <c r="A1268" s="111"/>
      <c r="B1268" s="111"/>
      <c r="C1268" s="111"/>
      <c r="D1268" s="111"/>
      <c r="E1268" s="115"/>
      <c r="F1268" s="116"/>
      <c r="G1268" s="116"/>
      <c r="H1268" s="117"/>
      <c r="I1268" s="118"/>
      <c r="J1268" s="118"/>
      <c r="K1268" s="81"/>
    </row>
    <row r="1269" ht="13.5" customHeight="1">
      <c r="A1269" s="111"/>
      <c r="B1269" s="111"/>
      <c r="C1269" s="111"/>
      <c r="D1269" s="111"/>
      <c r="E1269" s="115"/>
      <c r="F1269" s="116"/>
      <c r="G1269" s="116"/>
      <c r="H1269" s="117"/>
      <c r="I1269" s="118"/>
      <c r="J1269" s="118"/>
      <c r="K1269" s="81"/>
    </row>
    <row r="1270" ht="13.5" customHeight="1">
      <c r="A1270" s="111"/>
      <c r="B1270" s="111"/>
      <c r="C1270" s="111"/>
      <c r="D1270" s="111"/>
      <c r="E1270" s="115"/>
      <c r="F1270" s="116"/>
      <c r="G1270" s="116"/>
      <c r="H1270" s="117"/>
      <c r="I1270" s="118"/>
      <c r="J1270" s="118"/>
      <c r="K1270" s="81"/>
    </row>
    <row r="1271" ht="13.5" customHeight="1">
      <c r="A1271" s="111"/>
      <c r="B1271" s="111"/>
      <c r="C1271" s="111"/>
      <c r="D1271" s="111"/>
      <c r="E1271" s="115"/>
      <c r="F1271" s="116"/>
      <c r="G1271" s="116"/>
      <c r="H1271" s="117"/>
      <c r="I1271" s="118"/>
      <c r="J1271" s="118"/>
      <c r="K1271" s="81"/>
    </row>
    <row r="1272" ht="13.5" customHeight="1">
      <c r="A1272" s="111"/>
      <c r="B1272" s="111"/>
      <c r="C1272" s="111"/>
      <c r="D1272" s="111"/>
      <c r="E1272" s="115"/>
      <c r="F1272" s="116"/>
      <c r="G1272" s="116"/>
      <c r="H1272" s="117"/>
      <c r="I1272" s="118"/>
      <c r="J1272" s="118"/>
      <c r="K1272" s="81"/>
    </row>
    <row r="1273" ht="13.5" customHeight="1">
      <c r="A1273" s="111"/>
      <c r="B1273" s="111"/>
      <c r="C1273" s="111"/>
      <c r="D1273" s="111"/>
      <c r="E1273" s="115"/>
      <c r="F1273" s="116"/>
      <c r="G1273" s="116"/>
      <c r="H1273" s="117"/>
      <c r="I1273" s="118"/>
      <c r="J1273" s="118"/>
      <c r="K1273" s="81"/>
    </row>
    <row r="1274" ht="13.5" customHeight="1">
      <c r="A1274" s="111"/>
      <c r="B1274" s="111"/>
      <c r="C1274" s="111"/>
      <c r="D1274" s="111"/>
      <c r="E1274" s="115"/>
      <c r="F1274" s="116"/>
      <c r="G1274" s="116"/>
      <c r="H1274" s="117"/>
      <c r="I1274" s="118"/>
      <c r="J1274" s="118"/>
      <c r="K1274" s="81"/>
    </row>
    <row r="1275" ht="13.5" customHeight="1">
      <c r="A1275" s="111"/>
      <c r="B1275" s="111"/>
      <c r="C1275" s="111"/>
      <c r="D1275" s="111"/>
      <c r="E1275" s="115"/>
      <c r="F1275" s="116"/>
      <c r="G1275" s="116"/>
      <c r="H1275" s="117"/>
      <c r="I1275" s="118"/>
      <c r="J1275" s="118"/>
      <c r="K1275" s="81"/>
    </row>
    <row r="1276" ht="13.5" customHeight="1">
      <c r="A1276" s="111"/>
      <c r="B1276" s="111"/>
      <c r="C1276" s="111"/>
      <c r="D1276" s="111"/>
      <c r="E1276" s="115"/>
      <c r="F1276" s="116"/>
      <c r="G1276" s="116"/>
      <c r="H1276" s="117"/>
      <c r="I1276" s="118"/>
      <c r="J1276" s="118"/>
      <c r="K1276" s="81"/>
    </row>
    <row r="1277" ht="13.5" customHeight="1">
      <c r="A1277" s="111"/>
      <c r="B1277" s="111"/>
      <c r="C1277" s="111"/>
      <c r="D1277" s="111"/>
      <c r="E1277" s="115"/>
      <c r="F1277" s="116"/>
      <c r="G1277" s="116"/>
      <c r="H1277" s="117"/>
      <c r="I1277" s="118"/>
      <c r="J1277" s="118"/>
      <c r="K1277" s="81"/>
    </row>
    <row r="1278" ht="13.5" customHeight="1">
      <c r="A1278" s="111"/>
      <c r="B1278" s="111"/>
      <c r="C1278" s="111"/>
      <c r="D1278" s="111"/>
      <c r="E1278" s="115"/>
      <c r="F1278" s="116"/>
      <c r="G1278" s="116"/>
      <c r="H1278" s="117"/>
      <c r="I1278" s="118"/>
      <c r="J1278" s="118"/>
      <c r="K1278" s="81"/>
    </row>
    <row r="1279" ht="13.5" customHeight="1">
      <c r="A1279" s="111"/>
      <c r="B1279" s="111"/>
      <c r="C1279" s="111"/>
      <c r="D1279" s="111"/>
      <c r="E1279" s="115"/>
      <c r="F1279" s="116"/>
      <c r="G1279" s="116"/>
      <c r="H1279" s="117"/>
      <c r="I1279" s="118"/>
      <c r="J1279" s="118"/>
      <c r="K1279" s="81"/>
    </row>
    <row r="1280" ht="13.5" customHeight="1">
      <c r="A1280" s="111"/>
      <c r="B1280" s="111"/>
      <c r="C1280" s="111"/>
      <c r="D1280" s="111"/>
      <c r="E1280" s="115"/>
      <c r="F1280" s="116"/>
      <c r="G1280" s="116"/>
      <c r="H1280" s="117"/>
      <c r="I1280" s="118"/>
      <c r="J1280" s="118"/>
      <c r="K1280" s="81"/>
    </row>
    <row r="1281" ht="13.5" customHeight="1">
      <c r="A1281" s="111"/>
      <c r="B1281" s="111"/>
      <c r="C1281" s="111"/>
      <c r="D1281" s="111"/>
      <c r="E1281" s="115"/>
      <c r="F1281" s="116"/>
      <c r="G1281" s="116"/>
      <c r="H1281" s="117"/>
      <c r="I1281" s="118"/>
      <c r="J1281" s="118"/>
      <c r="K1281" s="81"/>
    </row>
    <row r="1282" ht="13.5" customHeight="1">
      <c r="A1282" s="111"/>
      <c r="B1282" s="111"/>
      <c r="C1282" s="111"/>
      <c r="D1282" s="111"/>
      <c r="E1282" s="115"/>
      <c r="F1282" s="116"/>
      <c r="G1282" s="116"/>
      <c r="H1282" s="117"/>
      <c r="I1282" s="118"/>
      <c r="J1282" s="118"/>
      <c r="K1282" s="81"/>
    </row>
    <row r="1283" ht="13.5" customHeight="1">
      <c r="A1283" s="111"/>
      <c r="B1283" s="111"/>
      <c r="C1283" s="111"/>
      <c r="D1283" s="111"/>
      <c r="E1283" s="115"/>
      <c r="F1283" s="116"/>
      <c r="G1283" s="116"/>
      <c r="H1283" s="117"/>
      <c r="I1283" s="118"/>
      <c r="J1283" s="118"/>
      <c r="K1283" s="81"/>
    </row>
    <row r="1284" ht="13.5" customHeight="1">
      <c r="A1284" s="111"/>
      <c r="B1284" s="111"/>
      <c r="C1284" s="111"/>
      <c r="D1284" s="111"/>
      <c r="E1284" s="115"/>
      <c r="F1284" s="116"/>
      <c r="G1284" s="116"/>
      <c r="H1284" s="117"/>
      <c r="I1284" s="118"/>
      <c r="J1284" s="118"/>
      <c r="K1284" s="81"/>
    </row>
    <row r="1285" ht="13.5" customHeight="1">
      <c r="A1285" s="111"/>
      <c r="B1285" s="111"/>
      <c r="C1285" s="111"/>
      <c r="D1285" s="111"/>
      <c r="E1285" s="115"/>
      <c r="F1285" s="116"/>
      <c r="G1285" s="116"/>
      <c r="H1285" s="117"/>
      <c r="I1285" s="118"/>
      <c r="J1285" s="118"/>
      <c r="K1285" s="81"/>
    </row>
    <row r="1286" ht="13.5" customHeight="1">
      <c r="A1286" s="111"/>
      <c r="B1286" s="111"/>
      <c r="C1286" s="111"/>
      <c r="D1286" s="111"/>
      <c r="E1286" s="115"/>
      <c r="F1286" s="116"/>
      <c r="G1286" s="116"/>
      <c r="H1286" s="117"/>
      <c r="I1286" s="118"/>
      <c r="J1286" s="118"/>
      <c r="K1286" s="81"/>
    </row>
    <row r="1287" ht="13.5" customHeight="1">
      <c r="A1287" s="111"/>
      <c r="B1287" s="111"/>
      <c r="C1287" s="111"/>
      <c r="D1287" s="111"/>
      <c r="E1287" s="115"/>
      <c r="F1287" s="116"/>
      <c r="G1287" s="116"/>
      <c r="H1287" s="117"/>
      <c r="I1287" s="118"/>
      <c r="J1287" s="118"/>
      <c r="K1287" s="81"/>
    </row>
    <row r="1288" ht="13.5" customHeight="1">
      <c r="A1288" s="111"/>
      <c r="B1288" s="111"/>
      <c r="C1288" s="111"/>
      <c r="D1288" s="111"/>
      <c r="E1288" s="115"/>
      <c r="F1288" s="116"/>
      <c r="G1288" s="116"/>
      <c r="H1288" s="117"/>
      <c r="I1288" s="118"/>
      <c r="J1288" s="118"/>
      <c r="K1288" s="81"/>
    </row>
    <row r="1289" ht="13.5" customHeight="1">
      <c r="A1289" s="111"/>
      <c r="B1289" s="111"/>
      <c r="C1289" s="111"/>
      <c r="D1289" s="111"/>
      <c r="E1289" s="115"/>
      <c r="F1289" s="116"/>
      <c r="G1289" s="116"/>
      <c r="H1289" s="117"/>
      <c r="I1289" s="118"/>
      <c r="J1289" s="118"/>
      <c r="K1289" s="81"/>
    </row>
    <row r="1290" ht="13.5" customHeight="1">
      <c r="A1290" s="111"/>
      <c r="B1290" s="111"/>
      <c r="C1290" s="111"/>
      <c r="D1290" s="111"/>
      <c r="E1290" s="115"/>
      <c r="F1290" s="116"/>
      <c r="G1290" s="116"/>
      <c r="H1290" s="117"/>
      <c r="I1290" s="118"/>
      <c r="J1290" s="118"/>
      <c r="K1290" s="81"/>
    </row>
    <row r="1291" ht="13.5" customHeight="1">
      <c r="A1291" s="111"/>
      <c r="B1291" s="111"/>
      <c r="C1291" s="111"/>
      <c r="D1291" s="111"/>
      <c r="E1291" s="115"/>
      <c r="F1291" s="116"/>
      <c r="G1291" s="116"/>
      <c r="H1291" s="117"/>
      <c r="I1291" s="118"/>
      <c r="J1291" s="118"/>
      <c r="K1291" s="81"/>
    </row>
    <row r="1292" ht="13.5" customHeight="1">
      <c r="A1292" s="111"/>
      <c r="B1292" s="111"/>
      <c r="C1292" s="111"/>
      <c r="D1292" s="111"/>
      <c r="E1292" s="115"/>
      <c r="F1292" s="116"/>
      <c r="G1292" s="116"/>
      <c r="H1292" s="117"/>
      <c r="I1292" s="118"/>
      <c r="J1292" s="118"/>
      <c r="K1292" s="81"/>
    </row>
    <row r="1293" ht="13.5" customHeight="1">
      <c r="A1293" s="111"/>
      <c r="B1293" s="111"/>
      <c r="C1293" s="111"/>
      <c r="D1293" s="111"/>
      <c r="E1293" s="115"/>
      <c r="F1293" s="116"/>
      <c r="G1293" s="116"/>
      <c r="H1293" s="117"/>
      <c r="I1293" s="118"/>
      <c r="J1293" s="118"/>
      <c r="K1293" s="81"/>
    </row>
    <row r="1294" ht="13.5" customHeight="1">
      <c r="A1294" s="111"/>
      <c r="B1294" s="111"/>
      <c r="C1294" s="111"/>
      <c r="D1294" s="111"/>
      <c r="E1294" s="115"/>
      <c r="F1294" s="116"/>
      <c r="G1294" s="116"/>
      <c r="H1294" s="117"/>
      <c r="I1294" s="118"/>
      <c r="J1294" s="118"/>
      <c r="K1294" s="81"/>
    </row>
    <row r="1295" ht="13.5" customHeight="1">
      <c r="A1295" s="111"/>
      <c r="B1295" s="111"/>
      <c r="C1295" s="111"/>
      <c r="D1295" s="111"/>
      <c r="E1295" s="115"/>
      <c r="F1295" s="116"/>
      <c r="G1295" s="116"/>
      <c r="H1295" s="117"/>
      <c r="I1295" s="118"/>
      <c r="J1295" s="118"/>
      <c r="K1295" s="81"/>
    </row>
    <row r="1296" ht="13.5" customHeight="1">
      <c r="A1296" s="111"/>
      <c r="B1296" s="111"/>
      <c r="C1296" s="111"/>
      <c r="D1296" s="111"/>
      <c r="E1296" s="115"/>
      <c r="F1296" s="116"/>
      <c r="G1296" s="116"/>
      <c r="H1296" s="117"/>
      <c r="I1296" s="118"/>
      <c r="J1296" s="118"/>
      <c r="K1296" s="81"/>
    </row>
    <row r="1297" ht="13.5" customHeight="1">
      <c r="A1297" s="111"/>
      <c r="B1297" s="111"/>
      <c r="C1297" s="111"/>
      <c r="D1297" s="111"/>
      <c r="E1297" s="115"/>
      <c r="F1297" s="116"/>
      <c r="G1297" s="116"/>
      <c r="H1297" s="117"/>
      <c r="I1297" s="118"/>
      <c r="J1297" s="118"/>
      <c r="K1297" s="81"/>
    </row>
    <row r="1298" ht="13.5" customHeight="1">
      <c r="A1298" s="111"/>
      <c r="B1298" s="111"/>
      <c r="C1298" s="111"/>
      <c r="D1298" s="111"/>
      <c r="E1298" s="115"/>
      <c r="F1298" s="116"/>
      <c r="G1298" s="116"/>
      <c r="H1298" s="117"/>
      <c r="I1298" s="118"/>
      <c r="J1298" s="118"/>
      <c r="K1298" s="81"/>
    </row>
    <row r="1299" ht="13.5" customHeight="1">
      <c r="A1299" s="111"/>
      <c r="B1299" s="111"/>
      <c r="C1299" s="111"/>
      <c r="D1299" s="111"/>
      <c r="E1299" s="115"/>
      <c r="F1299" s="116"/>
      <c r="G1299" s="116"/>
      <c r="H1299" s="117"/>
      <c r="I1299" s="118"/>
      <c r="J1299" s="118"/>
      <c r="K1299" s="81"/>
    </row>
    <row r="1300" ht="13.5" customHeight="1">
      <c r="A1300" s="111"/>
      <c r="B1300" s="111"/>
      <c r="C1300" s="111"/>
      <c r="D1300" s="111"/>
      <c r="E1300" s="115"/>
      <c r="F1300" s="116"/>
      <c r="G1300" s="116"/>
      <c r="H1300" s="117"/>
      <c r="I1300" s="118"/>
      <c r="J1300" s="118"/>
      <c r="K1300" s="81"/>
    </row>
    <row r="1301" ht="13.5" customHeight="1">
      <c r="A1301" s="111"/>
      <c r="B1301" s="111"/>
      <c r="C1301" s="111"/>
      <c r="D1301" s="111"/>
      <c r="E1301" s="115"/>
      <c r="F1301" s="116"/>
      <c r="G1301" s="116"/>
      <c r="H1301" s="117"/>
      <c r="I1301" s="118"/>
      <c r="J1301" s="118"/>
      <c r="K1301" s="81"/>
    </row>
    <row r="1302" ht="13.5" customHeight="1">
      <c r="A1302" s="111"/>
      <c r="B1302" s="111"/>
      <c r="C1302" s="111"/>
      <c r="D1302" s="111"/>
      <c r="E1302" s="115"/>
      <c r="F1302" s="116"/>
      <c r="G1302" s="116"/>
      <c r="H1302" s="117"/>
      <c r="I1302" s="118"/>
      <c r="J1302" s="118"/>
      <c r="K1302" s="81"/>
    </row>
    <row r="1303" ht="13.5" customHeight="1">
      <c r="A1303" s="111"/>
      <c r="B1303" s="111"/>
      <c r="C1303" s="111"/>
      <c r="D1303" s="111"/>
      <c r="E1303" s="115"/>
      <c r="F1303" s="116"/>
      <c r="G1303" s="116"/>
      <c r="H1303" s="117"/>
      <c r="I1303" s="118"/>
      <c r="J1303" s="118"/>
      <c r="K1303" s="81"/>
    </row>
    <row r="1304" ht="13.5" customHeight="1">
      <c r="A1304" s="111"/>
      <c r="B1304" s="111"/>
      <c r="C1304" s="111"/>
      <c r="D1304" s="111"/>
      <c r="E1304" s="115"/>
      <c r="F1304" s="116"/>
      <c r="G1304" s="116"/>
      <c r="H1304" s="117"/>
      <c r="I1304" s="118"/>
      <c r="J1304" s="118"/>
      <c r="K1304" s="81"/>
    </row>
    <row r="1305" ht="13.5" customHeight="1">
      <c r="A1305" s="111"/>
      <c r="B1305" s="111"/>
      <c r="C1305" s="111"/>
      <c r="D1305" s="111"/>
      <c r="E1305" s="115"/>
      <c r="F1305" s="116"/>
      <c r="G1305" s="116"/>
      <c r="H1305" s="117"/>
      <c r="I1305" s="118"/>
      <c r="J1305" s="118"/>
      <c r="K1305" s="81"/>
    </row>
    <row r="1306" ht="13.5" customHeight="1">
      <c r="A1306" s="111"/>
      <c r="B1306" s="111"/>
      <c r="C1306" s="111"/>
      <c r="D1306" s="111"/>
      <c r="E1306" s="115"/>
      <c r="F1306" s="116"/>
      <c r="G1306" s="116"/>
      <c r="H1306" s="117"/>
      <c r="I1306" s="118"/>
      <c r="J1306" s="118"/>
      <c r="K1306" s="81"/>
    </row>
    <row r="1307" ht="13.5" customHeight="1">
      <c r="A1307" s="111"/>
      <c r="B1307" s="111"/>
      <c r="C1307" s="111"/>
      <c r="D1307" s="111"/>
      <c r="E1307" s="115"/>
      <c r="F1307" s="116"/>
      <c r="G1307" s="116"/>
      <c r="H1307" s="117"/>
      <c r="I1307" s="118"/>
      <c r="J1307" s="118"/>
      <c r="K1307" s="81"/>
    </row>
    <row r="1308" ht="13.5" customHeight="1">
      <c r="A1308" s="111"/>
      <c r="B1308" s="111"/>
      <c r="C1308" s="111"/>
      <c r="D1308" s="111"/>
      <c r="E1308" s="115"/>
      <c r="F1308" s="116"/>
      <c r="G1308" s="116"/>
      <c r="H1308" s="117"/>
      <c r="I1308" s="118"/>
      <c r="J1308" s="118"/>
      <c r="K1308" s="81"/>
    </row>
    <row r="1309" ht="13.5" customHeight="1">
      <c r="A1309" s="111"/>
      <c r="B1309" s="111"/>
      <c r="C1309" s="111"/>
      <c r="D1309" s="111"/>
      <c r="E1309" s="115"/>
      <c r="F1309" s="116"/>
      <c r="G1309" s="116"/>
      <c r="H1309" s="117"/>
      <c r="I1309" s="118"/>
      <c r="J1309" s="118"/>
      <c r="K1309" s="81"/>
    </row>
    <row r="1310" ht="13.5" customHeight="1">
      <c r="A1310" s="111"/>
      <c r="B1310" s="111"/>
      <c r="C1310" s="111"/>
      <c r="D1310" s="111"/>
      <c r="E1310" s="115"/>
      <c r="F1310" s="116"/>
      <c r="G1310" s="116"/>
      <c r="H1310" s="117"/>
      <c r="I1310" s="118"/>
      <c r="J1310" s="118"/>
      <c r="K1310" s="81"/>
    </row>
    <row r="1311" ht="13.5" customHeight="1">
      <c r="A1311" s="111"/>
      <c r="B1311" s="111"/>
      <c r="C1311" s="111"/>
      <c r="D1311" s="111"/>
      <c r="E1311" s="115"/>
      <c r="F1311" s="116"/>
      <c r="G1311" s="116"/>
      <c r="H1311" s="117"/>
      <c r="I1311" s="118"/>
      <c r="J1311" s="118"/>
      <c r="K1311" s="81"/>
    </row>
    <row r="1312" ht="13.5" customHeight="1">
      <c r="A1312" s="111"/>
      <c r="B1312" s="111"/>
      <c r="C1312" s="111"/>
      <c r="D1312" s="111"/>
      <c r="E1312" s="115"/>
      <c r="F1312" s="116"/>
      <c r="G1312" s="116"/>
      <c r="H1312" s="117"/>
      <c r="I1312" s="118"/>
      <c r="J1312" s="118"/>
      <c r="K1312" s="81"/>
    </row>
    <row r="1313" ht="13.5" customHeight="1">
      <c r="A1313" s="111"/>
      <c r="B1313" s="111"/>
      <c r="C1313" s="111"/>
      <c r="D1313" s="111"/>
      <c r="E1313" s="115"/>
      <c r="F1313" s="116"/>
      <c r="G1313" s="116"/>
      <c r="H1313" s="117"/>
      <c r="I1313" s="118"/>
      <c r="J1313" s="118"/>
      <c r="K1313" s="81"/>
    </row>
    <row r="1314" ht="13.5" customHeight="1">
      <c r="A1314" s="111"/>
      <c r="B1314" s="111"/>
      <c r="C1314" s="111"/>
      <c r="D1314" s="111"/>
      <c r="E1314" s="115"/>
      <c r="F1314" s="116"/>
      <c r="G1314" s="116"/>
      <c r="H1314" s="117"/>
      <c r="I1314" s="118"/>
      <c r="J1314" s="118"/>
      <c r="K1314" s="81"/>
    </row>
    <row r="1315" ht="13.5" customHeight="1">
      <c r="A1315" s="111"/>
      <c r="B1315" s="111"/>
      <c r="C1315" s="111"/>
      <c r="D1315" s="111"/>
      <c r="E1315" s="115"/>
      <c r="F1315" s="116"/>
      <c r="G1315" s="113"/>
      <c r="H1315" s="117"/>
      <c r="I1315" s="111"/>
      <c r="J1315" s="118"/>
      <c r="K1315" s="81"/>
    </row>
    <row r="1316" ht="13.5" customHeight="1">
      <c r="A1316" s="111"/>
      <c r="B1316" s="111"/>
      <c r="C1316" s="111"/>
      <c r="D1316" s="111"/>
      <c r="E1316" s="115"/>
      <c r="F1316" s="116"/>
      <c r="G1316" s="113"/>
      <c r="H1316" s="117"/>
      <c r="I1316" s="111"/>
      <c r="J1316" s="118"/>
      <c r="K1316" s="81"/>
    </row>
    <row r="1317" ht="13.5" customHeight="1">
      <c r="A1317" s="111"/>
      <c r="B1317" s="111"/>
      <c r="C1317" s="111"/>
      <c r="D1317" s="111"/>
      <c r="E1317" s="115"/>
      <c r="F1317" s="116"/>
      <c r="G1317" s="113"/>
      <c r="H1317" s="117"/>
      <c r="I1317" s="111"/>
      <c r="J1317" s="118"/>
      <c r="K1317" s="81"/>
    </row>
    <row r="1318" ht="13.5" customHeight="1">
      <c r="A1318" s="111"/>
      <c r="B1318" s="111"/>
      <c r="C1318" s="111"/>
      <c r="D1318" s="111"/>
      <c r="E1318" s="115"/>
      <c r="F1318" s="116"/>
      <c r="G1318" s="113"/>
      <c r="H1318" s="117"/>
      <c r="I1318" s="111"/>
      <c r="J1318" s="118"/>
      <c r="K1318" s="81"/>
    </row>
    <row r="1319" ht="13.5" customHeight="1">
      <c r="A1319" s="111"/>
      <c r="B1319" s="111"/>
      <c r="C1319" s="111"/>
      <c r="D1319" s="111"/>
      <c r="E1319" s="115"/>
      <c r="F1319" s="116"/>
      <c r="G1319" s="113"/>
      <c r="H1319" s="117"/>
      <c r="I1319" s="111"/>
      <c r="J1319" s="118"/>
      <c r="K1319" s="81"/>
    </row>
    <row r="1320" ht="13.5" customHeight="1">
      <c r="A1320" s="111"/>
      <c r="B1320" s="111"/>
      <c r="C1320" s="111"/>
      <c r="D1320" s="111"/>
      <c r="E1320" s="115"/>
      <c r="F1320" s="116"/>
      <c r="G1320" s="113"/>
      <c r="H1320" s="117"/>
      <c r="I1320" s="111"/>
      <c r="J1320" s="118"/>
      <c r="K1320" s="81"/>
    </row>
    <row r="1321" ht="13.5" customHeight="1">
      <c r="A1321" s="111"/>
      <c r="B1321" s="111"/>
      <c r="C1321" s="111"/>
      <c r="D1321" s="111"/>
      <c r="E1321" s="115"/>
      <c r="F1321" s="116"/>
      <c r="G1321" s="113"/>
      <c r="H1321" s="117"/>
      <c r="I1321" s="111"/>
      <c r="J1321" s="118"/>
      <c r="K1321" s="81"/>
    </row>
    <row r="1322" ht="13.5" customHeight="1">
      <c r="A1322" s="111"/>
      <c r="B1322" s="111"/>
      <c r="C1322" s="111"/>
      <c r="D1322" s="111"/>
      <c r="E1322" s="115"/>
      <c r="F1322" s="116"/>
      <c r="G1322" s="116"/>
      <c r="H1322" s="117"/>
      <c r="I1322" s="118"/>
      <c r="J1322" s="118"/>
      <c r="K1322" s="81"/>
    </row>
    <row r="1323" ht="13.5" customHeight="1">
      <c r="A1323" s="111"/>
      <c r="B1323" s="111"/>
      <c r="C1323" s="111"/>
      <c r="D1323" s="111"/>
      <c r="E1323" s="115"/>
      <c r="F1323" s="116"/>
      <c r="G1323" s="116"/>
      <c r="H1323" s="117"/>
      <c r="I1323" s="118"/>
      <c r="J1323" s="118"/>
      <c r="K1323" s="81"/>
    </row>
    <row r="1324" ht="13.5" customHeight="1">
      <c r="A1324" s="111"/>
      <c r="B1324" s="111"/>
      <c r="C1324" s="111"/>
      <c r="D1324" s="111"/>
      <c r="E1324" s="115"/>
      <c r="F1324" s="116"/>
      <c r="G1324" s="116"/>
      <c r="H1324" s="117"/>
      <c r="I1324" s="118"/>
      <c r="J1324" s="118"/>
      <c r="K1324" s="81"/>
    </row>
    <row r="1325" ht="13.5" customHeight="1">
      <c r="A1325" s="111"/>
      <c r="B1325" s="111"/>
      <c r="C1325" s="111"/>
      <c r="D1325" s="111"/>
      <c r="E1325" s="115"/>
      <c r="F1325" s="116"/>
      <c r="G1325" s="116"/>
      <c r="H1325" s="117"/>
      <c r="I1325" s="118"/>
      <c r="J1325" s="118"/>
      <c r="K1325" s="81"/>
    </row>
    <row r="1326" ht="13.5" customHeight="1">
      <c r="A1326" s="111"/>
      <c r="B1326" s="111"/>
      <c r="C1326" s="111"/>
      <c r="D1326" s="111"/>
      <c r="E1326" s="115"/>
      <c r="F1326" s="116"/>
      <c r="G1326" s="116"/>
      <c r="H1326" s="117"/>
      <c r="I1326" s="118"/>
      <c r="J1326" s="118"/>
      <c r="K1326" s="81"/>
    </row>
    <row r="1327" ht="13.5" customHeight="1">
      <c r="A1327" s="111"/>
      <c r="B1327" s="111"/>
      <c r="C1327" s="111"/>
      <c r="D1327" s="111"/>
      <c r="E1327" s="115"/>
      <c r="F1327" s="116"/>
      <c r="G1327" s="116"/>
      <c r="H1327" s="117"/>
      <c r="I1327" s="118"/>
      <c r="J1327" s="118"/>
      <c r="K1327" s="81"/>
    </row>
    <row r="1328" ht="13.5" customHeight="1">
      <c r="A1328" s="111"/>
      <c r="B1328" s="111"/>
      <c r="C1328" s="111"/>
      <c r="D1328" s="111"/>
      <c r="E1328" s="115"/>
      <c r="F1328" s="116"/>
      <c r="G1328" s="116"/>
      <c r="H1328" s="117"/>
      <c r="I1328" s="118"/>
      <c r="J1328" s="118"/>
      <c r="K1328" s="81"/>
    </row>
    <row r="1329" ht="13.5" customHeight="1">
      <c r="A1329" s="111"/>
      <c r="B1329" s="111"/>
      <c r="C1329" s="111"/>
      <c r="D1329" s="111"/>
      <c r="E1329" s="115"/>
      <c r="F1329" s="116"/>
      <c r="G1329" s="116"/>
      <c r="H1329" s="117"/>
      <c r="I1329" s="118"/>
      <c r="J1329" s="118"/>
      <c r="K1329" s="81"/>
    </row>
    <row r="1330" ht="13.5" customHeight="1">
      <c r="A1330" s="111"/>
      <c r="B1330" s="111"/>
      <c r="C1330" s="111"/>
      <c r="D1330" s="111"/>
      <c r="E1330" s="115"/>
      <c r="F1330" s="116"/>
      <c r="G1330" s="116"/>
      <c r="H1330" s="117"/>
      <c r="I1330" s="118"/>
      <c r="J1330" s="118"/>
      <c r="K1330" s="81"/>
    </row>
    <row r="1331" ht="13.5" customHeight="1">
      <c r="A1331" s="111"/>
      <c r="B1331" s="111"/>
      <c r="C1331" s="111"/>
      <c r="D1331" s="111"/>
      <c r="E1331" s="115"/>
      <c r="F1331" s="116"/>
      <c r="G1331" s="116"/>
      <c r="H1331" s="117"/>
      <c r="I1331" s="118"/>
      <c r="J1331" s="118"/>
      <c r="K1331" s="81"/>
    </row>
    <row r="1332" ht="13.5" customHeight="1">
      <c r="A1332" s="111"/>
      <c r="B1332" s="111"/>
      <c r="C1332" s="111"/>
      <c r="D1332" s="111"/>
      <c r="E1332" s="115"/>
      <c r="F1332" s="116"/>
      <c r="G1332" s="116"/>
      <c r="H1332" s="117"/>
      <c r="I1332" s="118"/>
      <c r="J1332" s="118"/>
      <c r="K1332" s="81"/>
    </row>
    <row r="1333" ht="13.5" customHeight="1">
      <c r="A1333" s="111"/>
      <c r="B1333" s="111"/>
      <c r="C1333" s="111"/>
      <c r="D1333" s="111"/>
      <c r="E1333" s="115"/>
      <c r="F1333" s="116"/>
      <c r="G1333" s="113"/>
      <c r="H1333" s="117"/>
      <c r="I1333" s="111"/>
      <c r="J1333" s="118"/>
      <c r="K1333" s="81"/>
    </row>
    <row r="1334" ht="13.5" customHeight="1">
      <c r="A1334" s="111"/>
      <c r="B1334" s="111"/>
      <c r="C1334" s="111"/>
      <c r="D1334" s="111"/>
      <c r="E1334" s="115"/>
      <c r="F1334" s="116"/>
      <c r="G1334" s="113"/>
      <c r="H1334" s="117"/>
      <c r="I1334" s="111"/>
      <c r="J1334" s="118"/>
      <c r="K1334" s="81"/>
    </row>
    <row r="1335" ht="13.5" customHeight="1">
      <c r="A1335" s="111"/>
      <c r="B1335" s="111"/>
      <c r="C1335" s="111"/>
      <c r="D1335" s="111"/>
      <c r="E1335" s="115"/>
      <c r="F1335" s="116"/>
      <c r="G1335" s="113"/>
      <c r="H1335" s="117"/>
      <c r="I1335" s="111"/>
      <c r="J1335" s="118"/>
      <c r="K1335" s="81"/>
    </row>
    <row r="1336" ht="13.5" customHeight="1">
      <c r="A1336" s="111"/>
      <c r="B1336" s="111"/>
      <c r="C1336" s="111"/>
      <c r="D1336" s="111"/>
      <c r="E1336" s="115"/>
      <c r="F1336" s="116"/>
      <c r="G1336" s="113"/>
      <c r="H1336" s="117"/>
      <c r="I1336" s="111"/>
      <c r="J1336" s="118"/>
      <c r="K1336" s="81"/>
    </row>
    <row r="1337" ht="13.5" customHeight="1">
      <c r="A1337" s="111"/>
      <c r="B1337" s="111"/>
      <c r="C1337" s="111"/>
      <c r="D1337" s="111"/>
      <c r="E1337" s="115"/>
      <c r="F1337" s="116"/>
      <c r="G1337" s="113"/>
      <c r="H1337" s="117"/>
      <c r="I1337" s="111"/>
      <c r="J1337" s="118"/>
      <c r="K1337" s="81"/>
    </row>
    <row r="1338" ht="13.5" customHeight="1">
      <c r="A1338" s="111"/>
      <c r="B1338" s="111"/>
      <c r="C1338" s="111"/>
      <c r="D1338" s="111"/>
      <c r="E1338" s="115"/>
      <c r="F1338" s="116"/>
      <c r="G1338" s="113"/>
      <c r="H1338" s="117"/>
      <c r="I1338" s="111"/>
      <c r="J1338" s="118"/>
      <c r="K1338" s="81"/>
    </row>
    <row r="1339" ht="13.5" customHeight="1">
      <c r="A1339" s="111"/>
      <c r="B1339" s="111"/>
      <c r="C1339" s="111"/>
      <c r="D1339" s="111"/>
      <c r="E1339" s="115"/>
      <c r="F1339" s="116"/>
      <c r="G1339" s="113"/>
      <c r="H1339" s="117"/>
      <c r="I1339" s="111"/>
      <c r="J1339" s="118"/>
      <c r="K1339" s="81"/>
    </row>
    <row r="1340" ht="13.5" customHeight="1">
      <c r="A1340" s="111"/>
      <c r="B1340" s="111"/>
      <c r="C1340" s="111"/>
      <c r="D1340" s="111"/>
      <c r="E1340" s="115"/>
      <c r="F1340" s="116"/>
      <c r="G1340" s="116"/>
      <c r="H1340" s="117"/>
      <c r="I1340" s="118"/>
      <c r="J1340" s="118"/>
      <c r="K1340" s="81"/>
    </row>
    <row r="1341" ht="13.5" customHeight="1">
      <c r="A1341" s="111"/>
      <c r="B1341" s="111"/>
      <c r="C1341" s="111"/>
      <c r="D1341" s="111"/>
      <c r="E1341" s="115"/>
      <c r="F1341" s="116"/>
      <c r="G1341" s="116"/>
      <c r="H1341" s="117"/>
      <c r="I1341" s="118"/>
      <c r="J1341" s="118"/>
      <c r="K1341" s="81"/>
    </row>
    <row r="1342" ht="13.5" customHeight="1">
      <c r="A1342" s="111"/>
      <c r="B1342" s="111"/>
      <c r="C1342" s="111"/>
      <c r="D1342" s="111"/>
      <c r="E1342" s="115"/>
      <c r="F1342" s="116"/>
      <c r="G1342" s="116"/>
      <c r="H1342" s="117"/>
      <c r="I1342" s="118"/>
      <c r="J1342" s="118"/>
      <c r="K1342" s="81"/>
    </row>
    <row r="1343" ht="13.5" customHeight="1">
      <c r="A1343" s="111"/>
      <c r="B1343" s="111"/>
      <c r="C1343" s="111"/>
      <c r="D1343" s="111"/>
      <c r="E1343" s="115"/>
      <c r="F1343" s="116"/>
      <c r="G1343" s="116"/>
      <c r="H1343" s="117"/>
      <c r="I1343" s="118"/>
      <c r="J1343" s="118"/>
      <c r="K1343" s="81"/>
    </row>
    <row r="1344" ht="13.5" customHeight="1">
      <c r="A1344" s="111"/>
      <c r="B1344" s="111"/>
      <c r="C1344" s="111"/>
      <c r="D1344" s="111"/>
      <c r="E1344" s="115"/>
      <c r="F1344" s="116"/>
      <c r="G1344" s="116"/>
      <c r="H1344" s="117"/>
      <c r="I1344" s="118"/>
      <c r="J1344" s="118"/>
      <c r="K1344" s="81"/>
    </row>
    <row r="1345" ht="13.5" customHeight="1">
      <c r="A1345" s="111"/>
      <c r="B1345" s="111"/>
      <c r="C1345" s="111"/>
      <c r="D1345" s="111"/>
      <c r="E1345" s="115"/>
      <c r="F1345" s="116"/>
      <c r="G1345" s="116"/>
      <c r="H1345" s="117"/>
      <c r="I1345" s="118"/>
      <c r="J1345" s="118"/>
      <c r="K1345" s="81"/>
    </row>
    <row r="1346" ht="13.5" customHeight="1">
      <c r="A1346" s="111"/>
      <c r="B1346" s="111"/>
      <c r="C1346" s="111"/>
      <c r="D1346" s="111"/>
      <c r="E1346" s="115"/>
      <c r="F1346" s="116"/>
      <c r="G1346" s="116"/>
      <c r="H1346" s="117"/>
      <c r="I1346" s="118"/>
      <c r="J1346" s="118"/>
      <c r="K1346" s="81"/>
    </row>
    <row r="1347" ht="13.5" customHeight="1">
      <c r="A1347" s="111"/>
      <c r="B1347" s="111"/>
      <c r="C1347" s="111"/>
      <c r="D1347" s="111"/>
      <c r="E1347" s="115"/>
      <c r="F1347" s="116"/>
      <c r="G1347" s="116"/>
      <c r="H1347" s="117"/>
      <c r="I1347" s="118"/>
      <c r="J1347" s="118"/>
      <c r="K1347" s="81"/>
    </row>
    <row r="1348" ht="13.5" customHeight="1">
      <c r="A1348" s="111"/>
      <c r="B1348" s="111"/>
      <c r="C1348" s="111"/>
      <c r="D1348" s="111"/>
      <c r="E1348" s="115"/>
      <c r="F1348" s="116"/>
      <c r="G1348" s="116"/>
      <c r="H1348" s="117"/>
      <c r="I1348" s="118"/>
      <c r="J1348" s="118"/>
      <c r="K1348" s="81"/>
    </row>
    <row r="1349" ht="13.5" customHeight="1">
      <c r="A1349" s="111"/>
      <c r="B1349" s="111"/>
      <c r="C1349" s="111"/>
      <c r="D1349" s="111"/>
      <c r="E1349" s="115"/>
      <c r="F1349" s="116"/>
      <c r="G1349" s="116"/>
      <c r="H1349" s="117"/>
      <c r="I1349" s="118"/>
      <c r="J1349" s="118"/>
      <c r="K1349" s="81"/>
    </row>
    <row r="1350" ht="13.5" customHeight="1">
      <c r="A1350" s="111"/>
      <c r="B1350" s="111"/>
      <c r="C1350" s="111"/>
      <c r="D1350" s="111"/>
      <c r="E1350" s="115"/>
      <c r="F1350" s="116"/>
      <c r="G1350" s="116"/>
      <c r="H1350" s="117"/>
      <c r="I1350" s="118"/>
      <c r="J1350" s="118"/>
      <c r="K1350" s="81"/>
    </row>
    <row r="1351" ht="13.5" customHeight="1">
      <c r="A1351" s="111"/>
      <c r="B1351" s="111"/>
      <c r="C1351" s="111"/>
      <c r="D1351" s="111"/>
      <c r="E1351" s="115"/>
      <c r="F1351" s="116"/>
      <c r="G1351" s="116"/>
      <c r="H1351" s="117"/>
      <c r="I1351" s="118"/>
      <c r="J1351" s="118"/>
      <c r="K1351" s="81"/>
    </row>
    <row r="1352" ht="13.5" customHeight="1">
      <c r="A1352" s="111"/>
      <c r="B1352" s="111"/>
      <c r="C1352" s="111"/>
      <c r="D1352" s="111"/>
      <c r="E1352" s="115"/>
      <c r="F1352" s="116"/>
      <c r="G1352" s="116"/>
      <c r="H1352" s="117"/>
      <c r="I1352" s="118"/>
      <c r="J1352" s="118"/>
      <c r="K1352" s="81"/>
    </row>
    <row r="1353" ht="13.5" customHeight="1">
      <c r="A1353" s="111"/>
      <c r="B1353" s="111"/>
      <c r="C1353" s="111"/>
      <c r="D1353" s="111"/>
      <c r="E1353" s="115"/>
      <c r="F1353" s="116"/>
      <c r="G1353" s="116"/>
      <c r="H1353" s="117"/>
      <c r="I1353" s="118"/>
      <c r="J1353" s="118"/>
      <c r="K1353" s="81"/>
    </row>
    <row r="1354" ht="13.5" customHeight="1">
      <c r="A1354" s="111"/>
      <c r="B1354" s="111"/>
      <c r="C1354" s="111"/>
      <c r="D1354" s="111"/>
      <c r="E1354" s="115"/>
      <c r="F1354" s="116"/>
      <c r="G1354" s="116"/>
      <c r="H1354" s="117"/>
      <c r="I1354" s="118"/>
      <c r="J1354" s="118"/>
      <c r="K1354" s="81"/>
    </row>
    <row r="1355" ht="13.5" customHeight="1">
      <c r="A1355" s="111"/>
      <c r="B1355" s="111"/>
      <c r="C1355" s="111"/>
      <c r="D1355" s="111"/>
      <c r="E1355" s="115"/>
      <c r="F1355" s="116"/>
      <c r="G1355" s="116"/>
      <c r="H1355" s="117"/>
      <c r="I1355" s="118"/>
      <c r="J1355" s="118"/>
      <c r="K1355" s="81"/>
    </row>
    <row r="1356" ht="13.5" customHeight="1">
      <c r="A1356" s="111"/>
      <c r="B1356" s="111"/>
      <c r="C1356" s="111"/>
      <c r="D1356" s="111"/>
      <c r="E1356" s="115"/>
      <c r="F1356" s="116"/>
      <c r="G1356" s="116"/>
      <c r="H1356" s="117"/>
      <c r="I1356" s="118"/>
      <c r="J1356" s="118"/>
      <c r="K1356" s="81"/>
    </row>
    <row r="1357" ht="13.5" customHeight="1">
      <c r="A1357" s="111"/>
      <c r="B1357" s="111"/>
      <c r="C1357" s="111"/>
      <c r="D1357" s="111"/>
      <c r="E1357" s="115"/>
      <c r="F1357" s="116"/>
      <c r="G1357" s="116"/>
      <c r="H1357" s="117"/>
      <c r="I1357" s="118"/>
      <c r="J1357" s="118"/>
      <c r="K1357" s="81"/>
    </row>
    <row r="1358" ht="13.5" customHeight="1">
      <c r="A1358" s="111"/>
      <c r="B1358" s="111"/>
      <c r="C1358" s="111"/>
      <c r="D1358" s="111"/>
      <c r="E1358" s="115"/>
      <c r="F1358" s="116"/>
      <c r="G1358" s="116"/>
      <c r="H1358" s="117"/>
      <c r="I1358" s="118"/>
      <c r="J1358" s="118"/>
      <c r="K1358" s="81"/>
    </row>
    <row r="1359" ht="13.5" customHeight="1">
      <c r="A1359" s="111"/>
      <c r="B1359" s="111"/>
      <c r="C1359" s="111"/>
      <c r="D1359" s="111"/>
      <c r="E1359" s="115"/>
      <c r="F1359" s="116"/>
      <c r="G1359" s="116"/>
      <c r="H1359" s="117"/>
      <c r="I1359" s="118"/>
      <c r="J1359" s="118"/>
      <c r="K1359" s="81"/>
    </row>
    <row r="1360" ht="13.5" customHeight="1">
      <c r="A1360" s="111"/>
      <c r="B1360" s="111"/>
      <c r="C1360" s="111"/>
      <c r="D1360" s="111"/>
      <c r="E1360" s="115"/>
      <c r="F1360" s="116"/>
      <c r="G1360" s="116"/>
      <c r="H1360" s="117"/>
      <c r="I1360" s="118"/>
      <c r="J1360" s="118"/>
      <c r="K1360" s="81"/>
    </row>
    <row r="1361" ht="13.5" customHeight="1">
      <c r="A1361" s="111"/>
      <c r="B1361" s="111"/>
      <c r="C1361" s="111"/>
      <c r="D1361" s="111"/>
      <c r="E1361" s="115"/>
      <c r="F1361" s="116"/>
      <c r="G1361" s="116"/>
      <c r="H1361" s="117"/>
      <c r="I1361" s="118"/>
      <c r="J1361" s="118"/>
      <c r="K1361" s="81"/>
    </row>
    <row r="1362" ht="13.5" customHeight="1">
      <c r="A1362" s="111"/>
      <c r="B1362" s="111"/>
      <c r="C1362" s="111"/>
      <c r="D1362" s="111"/>
      <c r="E1362" s="115"/>
      <c r="F1362" s="116"/>
      <c r="G1362" s="116"/>
      <c r="H1362" s="117"/>
      <c r="I1362" s="118"/>
      <c r="J1362" s="118"/>
      <c r="K1362" s="81"/>
    </row>
    <row r="1363" ht="13.5" customHeight="1">
      <c r="A1363" s="111"/>
      <c r="B1363" s="111"/>
      <c r="C1363" s="111"/>
      <c r="D1363" s="111"/>
      <c r="E1363" s="115"/>
      <c r="F1363" s="116"/>
      <c r="G1363" s="116"/>
      <c r="H1363" s="117"/>
      <c r="I1363" s="118"/>
      <c r="J1363" s="118"/>
      <c r="K1363" s="81"/>
    </row>
    <row r="1364" ht="13.5" customHeight="1">
      <c r="A1364" s="111"/>
      <c r="B1364" s="111"/>
      <c r="C1364" s="111"/>
      <c r="D1364" s="111"/>
      <c r="E1364" s="115"/>
      <c r="F1364" s="116"/>
      <c r="G1364" s="116"/>
      <c r="H1364" s="117"/>
      <c r="I1364" s="118"/>
      <c r="J1364" s="118"/>
      <c r="K1364" s="81"/>
    </row>
    <row r="1365" ht="13.5" customHeight="1">
      <c r="A1365" s="111"/>
      <c r="B1365" s="111"/>
      <c r="C1365" s="111"/>
      <c r="D1365" s="111"/>
      <c r="E1365" s="115"/>
      <c r="F1365" s="116"/>
      <c r="G1365" s="116"/>
      <c r="H1365" s="117"/>
      <c r="I1365" s="118"/>
      <c r="J1365" s="118"/>
      <c r="K1365" s="81"/>
    </row>
    <row r="1366" ht="13.5" customHeight="1">
      <c r="A1366" s="111"/>
      <c r="B1366" s="111"/>
      <c r="C1366" s="111"/>
      <c r="D1366" s="111"/>
      <c r="E1366" s="115"/>
      <c r="F1366" s="116"/>
      <c r="G1366" s="116"/>
      <c r="H1366" s="117"/>
      <c r="I1366" s="118"/>
      <c r="J1366" s="118"/>
      <c r="K1366" s="81"/>
    </row>
    <row r="1367" ht="13.5" customHeight="1">
      <c r="A1367" s="111"/>
      <c r="B1367" s="111"/>
      <c r="C1367" s="111"/>
      <c r="D1367" s="111"/>
      <c r="E1367" s="115"/>
      <c r="F1367" s="116"/>
      <c r="G1367" s="116"/>
      <c r="H1367" s="117"/>
      <c r="I1367" s="118"/>
      <c r="J1367" s="118"/>
      <c r="K1367" s="81"/>
    </row>
    <row r="1368" ht="13.5" customHeight="1">
      <c r="A1368" s="111"/>
      <c r="B1368" s="111"/>
      <c r="C1368" s="111"/>
      <c r="D1368" s="111"/>
      <c r="E1368" s="115"/>
      <c r="F1368" s="116"/>
      <c r="G1368" s="116"/>
      <c r="H1368" s="117"/>
      <c r="I1368" s="118"/>
      <c r="J1368" s="118"/>
      <c r="K1368" s="81"/>
    </row>
    <row r="1369" ht="13.5" customHeight="1">
      <c r="A1369" s="111"/>
      <c r="B1369" s="111"/>
      <c r="C1369" s="111"/>
      <c r="D1369" s="111"/>
      <c r="E1369" s="115"/>
      <c r="F1369" s="116"/>
      <c r="G1369" s="113"/>
      <c r="H1369" s="117"/>
      <c r="I1369" s="111"/>
      <c r="J1369" s="118"/>
      <c r="K1369" s="81"/>
    </row>
    <row r="1370" ht="13.5" customHeight="1">
      <c r="A1370" s="111"/>
      <c r="B1370" s="111"/>
      <c r="C1370" s="111"/>
      <c r="D1370" s="111"/>
      <c r="E1370" s="115"/>
      <c r="F1370" s="116"/>
      <c r="G1370" s="113"/>
      <c r="H1370" s="117"/>
      <c r="I1370" s="111"/>
      <c r="J1370" s="118"/>
      <c r="K1370" s="81"/>
    </row>
    <row r="1371" ht="13.5" customHeight="1">
      <c r="A1371" s="111"/>
      <c r="B1371" s="111"/>
      <c r="C1371" s="111"/>
      <c r="D1371" s="111"/>
      <c r="E1371" s="115"/>
      <c r="F1371" s="116"/>
      <c r="G1371" s="113"/>
      <c r="H1371" s="117"/>
      <c r="I1371" s="111"/>
      <c r="J1371" s="118"/>
      <c r="K1371" s="81"/>
    </row>
    <row r="1372" ht="13.5" customHeight="1">
      <c r="A1372" s="111"/>
      <c r="B1372" s="111"/>
      <c r="C1372" s="111"/>
      <c r="D1372" s="111"/>
      <c r="E1372" s="115"/>
      <c r="F1372" s="116"/>
      <c r="G1372" s="113"/>
      <c r="H1372" s="117"/>
      <c r="I1372" s="111"/>
      <c r="J1372" s="118"/>
      <c r="K1372" s="81"/>
    </row>
    <row r="1373" ht="13.5" customHeight="1">
      <c r="A1373" s="111"/>
      <c r="B1373" s="111"/>
      <c r="C1373" s="111"/>
      <c r="D1373" s="111"/>
      <c r="E1373" s="115"/>
      <c r="F1373" s="116"/>
      <c r="G1373" s="113"/>
      <c r="H1373" s="117"/>
      <c r="I1373" s="111"/>
      <c r="J1373" s="118"/>
      <c r="K1373" s="81"/>
    </row>
    <row r="1374" ht="13.5" customHeight="1">
      <c r="A1374" s="111"/>
      <c r="B1374" s="111"/>
      <c r="C1374" s="111"/>
      <c r="D1374" s="111"/>
      <c r="E1374" s="115"/>
      <c r="F1374" s="116"/>
      <c r="G1374" s="116"/>
      <c r="H1374" s="117"/>
      <c r="I1374" s="118"/>
      <c r="J1374" s="118"/>
      <c r="K1374" s="81"/>
    </row>
    <row r="1375" ht="13.5" customHeight="1">
      <c r="A1375" s="111"/>
      <c r="B1375" s="111"/>
      <c r="C1375" s="111"/>
      <c r="D1375" s="111"/>
      <c r="E1375" s="115"/>
      <c r="F1375" s="116"/>
      <c r="G1375" s="116"/>
      <c r="H1375" s="117"/>
      <c r="I1375" s="118"/>
      <c r="J1375" s="118"/>
      <c r="K1375" s="81"/>
    </row>
    <row r="1376" ht="13.5" customHeight="1">
      <c r="A1376" s="111"/>
      <c r="B1376" s="111"/>
      <c r="C1376" s="111"/>
      <c r="D1376" s="111"/>
      <c r="E1376" s="115"/>
      <c r="F1376" s="116"/>
      <c r="G1376" s="116"/>
      <c r="H1376" s="117"/>
      <c r="I1376" s="118"/>
      <c r="J1376" s="118"/>
      <c r="K1376" s="81"/>
    </row>
    <row r="1377" ht="13.5" customHeight="1">
      <c r="A1377" s="111"/>
      <c r="B1377" s="111"/>
      <c r="C1377" s="111"/>
      <c r="D1377" s="111"/>
      <c r="E1377" s="115"/>
      <c r="F1377" s="116"/>
      <c r="G1377" s="113"/>
      <c r="H1377" s="117"/>
      <c r="I1377" s="111"/>
      <c r="J1377" s="118"/>
      <c r="K1377" s="81"/>
    </row>
    <row r="1378" ht="13.5" customHeight="1">
      <c r="A1378" s="111"/>
      <c r="B1378" s="111"/>
      <c r="C1378" s="111"/>
      <c r="D1378" s="111"/>
      <c r="E1378" s="115"/>
      <c r="F1378" s="116"/>
      <c r="G1378" s="113"/>
      <c r="H1378" s="117"/>
      <c r="I1378" s="111"/>
      <c r="J1378" s="118"/>
      <c r="K1378" s="81"/>
    </row>
    <row r="1379" ht="13.5" customHeight="1">
      <c r="A1379" s="111"/>
      <c r="B1379" s="111"/>
      <c r="C1379" s="111"/>
      <c r="D1379" s="111"/>
      <c r="E1379" s="115"/>
      <c r="F1379" s="116"/>
      <c r="G1379" s="113"/>
      <c r="H1379" s="117"/>
      <c r="I1379" s="111"/>
      <c r="J1379" s="118"/>
      <c r="K1379" s="81"/>
    </row>
    <row r="1380" ht="13.5" customHeight="1">
      <c r="A1380" s="111"/>
      <c r="B1380" s="111"/>
      <c r="C1380" s="111"/>
      <c r="D1380" s="111"/>
      <c r="E1380" s="115"/>
      <c r="F1380" s="116"/>
      <c r="G1380" s="113"/>
      <c r="H1380" s="117"/>
      <c r="I1380" s="111"/>
      <c r="J1380" s="118"/>
      <c r="K1380" s="81"/>
    </row>
    <row r="1381" ht="13.5" customHeight="1">
      <c r="A1381" s="111"/>
      <c r="B1381" s="111"/>
      <c r="C1381" s="111"/>
      <c r="D1381" s="111"/>
      <c r="E1381" s="115"/>
      <c r="F1381" s="116"/>
      <c r="G1381" s="113"/>
      <c r="H1381" s="117"/>
      <c r="I1381" s="111"/>
      <c r="J1381" s="118"/>
      <c r="K1381" s="81"/>
    </row>
    <row r="1382" ht="13.5" customHeight="1">
      <c r="A1382" s="111"/>
      <c r="B1382" s="111"/>
      <c r="C1382" s="111"/>
      <c r="D1382" s="111"/>
      <c r="E1382" s="115"/>
      <c r="F1382" s="116"/>
      <c r="G1382" s="113"/>
      <c r="H1382" s="117"/>
      <c r="I1382" s="111"/>
      <c r="J1382" s="118"/>
      <c r="K1382" s="81"/>
    </row>
    <row r="1383" ht="13.5" customHeight="1">
      <c r="A1383" s="111"/>
      <c r="B1383" s="111"/>
      <c r="C1383" s="111"/>
      <c r="D1383" s="111"/>
      <c r="E1383" s="115"/>
      <c r="F1383" s="116"/>
      <c r="G1383" s="113"/>
      <c r="H1383" s="117"/>
      <c r="I1383" s="111"/>
      <c r="J1383" s="118"/>
      <c r="K1383" s="81"/>
    </row>
    <row r="1384" ht="13.5" customHeight="1">
      <c r="A1384" s="111"/>
      <c r="B1384" s="111"/>
      <c r="C1384" s="111"/>
      <c r="D1384" s="111"/>
      <c r="E1384" s="115"/>
      <c r="F1384" s="116"/>
      <c r="G1384" s="113"/>
      <c r="H1384" s="117"/>
      <c r="I1384" s="111"/>
      <c r="J1384" s="118"/>
      <c r="K1384" s="81"/>
    </row>
    <row r="1385" ht="13.5" customHeight="1">
      <c r="A1385" s="111"/>
      <c r="B1385" s="111"/>
      <c r="C1385" s="111"/>
      <c r="D1385" s="111"/>
      <c r="E1385" s="115"/>
      <c r="F1385" s="116"/>
      <c r="G1385" s="113"/>
      <c r="H1385" s="117"/>
      <c r="I1385" s="111"/>
      <c r="J1385" s="118"/>
      <c r="K1385" s="81"/>
    </row>
    <row r="1386" ht="13.5" customHeight="1">
      <c r="A1386" s="111"/>
      <c r="B1386" s="111"/>
      <c r="C1386" s="111"/>
      <c r="D1386" s="111"/>
      <c r="E1386" s="115"/>
      <c r="F1386" s="116"/>
      <c r="G1386" s="113"/>
      <c r="H1386" s="117"/>
      <c r="I1386" s="111"/>
      <c r="J1386" s="118"/>
      <c r="K1386" s="81"/>
    </row>
    <row r="1387" ht="13.5" customHeight="1">
      <c r="A1387" s="111"/>
      <c r="B1387" s="111"/>
      <c r="C1387" s="111"/>
      <c r="D1387" s="111"/>
      <c r="E1387" s="115"/>
      <c r="F1387" s="116"/>
      <c r="G1387" s="113"/>
      <c r="H1387" s="117"/>
      <c r="I1387" s="111"/>
      <c r="J1387" s="118"/>
      <c r="K1387" s="81"/>
    </row>
    <row r="1388" ht="13.5" customHeight="1">
      <c r="A1388" s="111"/>
      <c r="B1388" s="111"/>
      <c r="C1388" s="111"/>
      <c r="D1388" s="111"/>
      <c r="E1388" s="115"/>
      <c r="F1388" s="116"/>
      <c r="G1388" s="113"/>
      <c r="H1388" s="117"/>
      <c r="I1388" s="111"/>
      <c r="J1388" s="118"/>
      <c r="K1388" s="81"/>
    </row>
    <row r="1389" ht="13.5" customHeight="1">
      <c r="A1389" s="111"/>
      <c r="B1389" s="111"/>
      <c r="C1389" s="111"/>
      <c r="D1389" s="111"/>
      <c r="E1389" s="115"/>
      <c r="F1389" s="116"/>
      <c r="G1389" s="113"/>
      <c r="H1389" s="117"/>
      <c r="I1389" s="111"/>
      <c r="J1389" s="118"/>
      <c r="K1389" s="81"/>
    </row>
    <row r="1390" ht="13.5" customHeight="1">
      <c r="A1390" s="111"/>
      <c r="B1390" s="111"/>
      <c r="C1390" s="111"/>
      <c r="D1390" s="111"/>
      <c r="E1390" s="115"/>
      <c r="F1390" s="116"/>
      <c r="G1390" s="113"/>
      <c r="H1390" s="117"/>
      <c r="I1390" s="111"/>
      <c r="J1390" s="118"/>
      <c r="K1390" s="81"/>
    </row>
    <row r="1391" ht="13.5" customHeight="1">
      <c r="A1391" s="111"/>
      <c r="B1391" s="111"/>
      <c r="C1391" s="111"/>
      <c r="D1391" s="111"/>
      <c r="E1391" s="115"/>
      <c r="F1391" s="116"/>
      <c r="G1391" s="113"/>
      <c r="H1391" s="117"/>
      <c r="I1391" s="111"/>
      <c r="J1391" s="118"/>
      <c r="K1391" s="81"/>
    </row>
    <row r="1392" ht="13.5" customHeight="1">
      <c r="A1392" s="111"/>
      <c r="B1392" s="111"/>
      <c r="C1392" s="111"/>
      <c r="D1392" s="111"/>
      <c r="E1392" s="115"/>
      <c r="F1392" s="116"/>
      <c r="G1392" s="113"/>
      <c r="H1392" s="117"/>
      <c r="I1392" s="111"/>
      <c r="J1392" s="118"/>
      <c r="K1392" s="81"/>
    </row>
    <row r="1393" ht="13.5" customHeight="1">
      <c r="A1393" s="111"/>
      <c r="B1393" s="111"/>
      <c r="C1393" s="111"/>
      <c r="D1393" s="111"/>
      <c r="E1393" s="115"/>
      <c r="F1393" s="116"/>
      <c r="G1393" s="113"/>
      <c r="H1393" s="117"/>
      <c r="I1393" s="111"/>
      <c r="J1393" s="118"/>
      <c r="K1393" s="81"/>
    </row>
    <row r="1394" ht="13.5" customHeight="1">
      <c r="A1394" s="111"/>
      <c r="B1394" s="111"/>
      <c r="C1394" s="111"/>
      <c r="D1394" s="111"/>
      <c r="E1394" s="115"/>
      <c r="F1394" s="116"/>
      <c r="G1394" s="113"/>
      <c r="H1394" s="117"/>
      <c r="I1394" s="111"/>
      <c r="J1394" s="118"/>
      <c r="K1394" s="81"/>
    </row>
    <row r="1395" ht="13.5" customHeight="1">
      <c r="A1395" s="111"/>
      <c r="B1395" s="111"/>
      <c r="C1395" s="111"/>
      <c r="D1395" s="111"/>
      <c r="E1395" s="115"/>
      <c r="F1395" s="116"/>
      <c r="G1395" s="113"/>
      <c r="H1395" s="117"/>
      <c r="I1395" s="111"/>
      <c r="J1395" s="118"/>
      <c r="K1395" s="81"/>
    </row>
    <row r="1396" ht="13.5" customHeight="1">
      <c r="A1396" s="111"/>
      <c r="B1396" s="111"/>
      <c r="C1396" s="111"/>
      <c r="D1396" s="111"/>
      <c r="E1396" s="115"/>
      <c r="F1396" s="116"/>
      <c r="G1396" s="113"/>
      <c r="H1396" s="117"/>
      <c r="I1396" s="111"/>
      <c r="J1396" s="118"/>
      <c r="K1396" s="81"/>
    </row>
    <row r="1397" ht="13.5" customHeight="1">
      <c r="A1397" s="111"/>
      <c r="B1397" s="111"/>
      <c r="C1397" s="111"/>
      <c r="D1397" s="111"/>
      <c r="E1397" s="115"/>
      <c r="F1397" s="116"/>
      <c r="G1397" s="113"/>
      <c r="H1397" s="117"/>
      <c r="I1397" s="111"/>
      <c r="J1397" s="118"/>
      <c r="K1397" s="81"/>
    </row>
    <row r="1398" ht="13.5" customHeight="1">
      <c r="A1398" s="111"/>
      <c r="B1398" s="111"/>
      <c r="C1398" s="111"/>
      <c r="D1398" s="111"/>
      <c r="E1398" s="115"/>
      <c r="F1398" s="116"/>
      <c r="G1398" s="113"/>
      <c r="H1398" s="117"/>
      <c r="I1398" s="111"/>
      <c r="J1398" s="118"/>
      <c r="K1398" s="81"/>
    </row>
    <row r="1399" ht="13.5" customHeight="1">
      <c r="A1399" s="111"/>
      <c r="B1399" s="111"/>
      <c r="C1399" s="111"/>
      <c r="D1399" s="111"/>
      <c r="E1399" s="115"/>
      <c r="F1399" s="116"/>
      <c r="G1399" s="113"/>
      <c r="H1399" s="117"/>
      <c r="I1399" s="111"/>
      <c r="J1399" s="118"/>
      <c r="K1399" s="81"/>
    </row>
    <row r="1400" ht="13.5" customHeight="1">
      <c r="A1400" s="111"/>
      <c r="B1400" s="111"/>
      <c r="C1400" s="111"/>
      <c r="D1400" s="111"/>
      <c r="E1400" s="115"/>
      <c r="F1400" s="116"/>
      <c r="G1400" s="113"/>
      <c r="H1400" s="117"/>
      <c r="I1400" s="111"/>
      <c r="J1400" s="118"/>
      <c r="K1400" s="81"/>
    </row>
    <row r="1401" ht="13.5" customHeight="1">
      <c r="A1401" s="111"/>
      <c r="B1401" s="111"/>
      <c r="C1401" s="111"/>
      <c r="D1401" s="111"/>
      <c r="E1401" s="115"/>
      <c r="F1401" s="116"/>
      <c r="G1401" s="116"/>
      <c r="H1401" s="117"/>
      <c r="I1401" s="118"/>
      <c r="J1401" s="118"/>
      <c r="K1401" s="81"/>
    </row>
    <row r="1402" ht="13.5" customHeight="1">
      <c r="A1402" s="111"/>
      <c r="B1402" s="111"/>
      <c r="C1402" s="111"/>
      <c r="D1402" s="111"/>
      <c r="E1402" s="115"/>
      <c r="F1402" s="116"/>
      <c r="G1402" s="116"/>
      <c r="H1402" s="117"/>
      <c r="I1402" s="118"/>
      <c r="J1402" s="118"/>
      <c r="K1402" s="81"/>
    </row>
    <row r="1403" ht="13.5" customHeight="1">
      <c r="A1403" s="111"/>
      <c r="B1403" s="111"/>
      <c r="C1403" s="111"/>
      <c r="D1403" s="111"/>
      <c r="E1403" s="115"/>
      <c r="F1403" s="116"/>
      <c r="G1403" s="116"/>
      <c r="H1403" s="117"/>
      <c r="I1403" s="118"/>
      <c r="J1403" s="118"/>
      <c r="K1403" s="81"/>
    </row>
    <row r="1404" ht="13.5" customHeight="1">
      <c r="A1404" s="111"/>
      <c r="B1404" s="111"/>
      <c r="C1404" s="111"/>
      <c r="D1404" s="111"/>
      <c r="E1404" s="115"/>
      <c r="F1404" s="116"/>
      <c r="G1404" s="116"/>
      <c r="H1404" s="117"/>
      <c r="I1404" s="118"/>
      <c r="J1404" s="118"/>
      <c r="K1404" s="81"/>
    </row>
    <row r="1405" ht="13.5" customHeight="1">
      <c r="A1405" s="111"/>
      <c r="B1405" s="111"/>
      <c r="C1405" s="111"/>
      <c r="D1405" s="111"/>
      <c r="E1405" s="115"/>
      <c r="F1405" s="116"/>
      <c r="G1405" s="113"/>
      <c r="H1405" s="117"/>
      <c r="I1405" s="111"/>
      <c r="J1405" s="118"/>
      <c r="K1405" s="81"/>
    </row>
    <row r="1406" ht="13.5" customHeight="1">
      <c r="A1406" s="111"/>
      <c r="B1406" s="111"/>
      <c r="C1406" s="111"/>
      <c r="D1406" s="111"/>
      <c r="E1406" s="115"/>
      <c r="F1406" s="116"/>
      <c r="G1406" s="113"/>
      <c r="H1406" s="117"/>
      <c r="I1406" s="111"/>
      <c r="J1406" s="118"/>
      <c r="K1406" s="81"/>
    </row>
    <row r="1407" ht="13.5" customHeight="1">
      <c r="A1407" s="111"/>
      <c r="B1407" s="111"/>
      <c r="C1407" s="111"/>
      <c r="D1407" s="111"/>
      <c r="E1407" s="115"/>
      <c r="F1407" s="116"/>
      <c r="G1407" s="113"/>
      <c r="H1407" s="117"/>
      <c r="I1407" s="111"/>
      <c r="J1407" s="118"/>
      <c r="K1407" s="81"/>
    </row>
    <row r="1408" ht="13.5" customHeight="1">
      <c r="A1408" s="111"/>
      <c r="B1408" s="111"/>
      <c r="C1408" s="111"/>
      <c r="D1408" s="111"/>
      <c r="E1408" s="115"/>
      <c r="F1408" s="116"/>
      <c r="G1408" s="113"/>
      <c r="H1408" s="117"/>
      <c r="I1408" s="111"/>
      <c r="J1408" s="118"/>
      <c r="K1408" s="81"/>
    </row>
    <row r="1409" ht="13.5" customHeight="1">
      <c r="A1409" s="111"/>
      <c r="B1409" s="111"/>
      <c r="C1409" s="111"/>
      <c r="D1409" s="111"/>
      <c r="E1409" s="115"/>
      <c r="F1409" s="116"/>
      <c r="G1409" s="113"/>
      <c r="H1409" s="117"/>
      <c r="I1409" s="111"/>
      <c r="J1409" s="118"/>
      <c r="K1409" s="81"/>
    </row>
    <row r="1410" ht="13.5" customHeight="1">
      <c r="A1410" s="111"/>
      <c r="B1410" s="111"/>
      <c r="C1410" s="111"/>
      <c r="D1410" s="111"/>
      <c r="E1410" s="115"/>
      <c r="F1410" s="116"/>
      <c r="G1410" s="113"/>
      <c r="H1410" s="117"/>
      <c r="I1410" s="111"/>
      <c r="J1410" s="118"/>
      <c r="K1410" s="81"/>
    </row>
    <row r="1411" ht="13.5" customHeight="1">
      <c r="A1411" s="111"/>
      <c r="B1411" s="111"/>
      <c r="C1411" s="111"/>
      <c r="D1411" s="111"/>
      <c r="E1411" s="115"/>
      <c r="F1411" s="116"/>
      <c r="G1411" s="113"/>
      <c r="H1411" s="117"/>
      <c r="I1411" s="111"/>
      <c r="J1411" s="118"/>
      <c r="K1411" s="81"/>
    </row>
    <row r="1412" ht="13.5" customHeight="1">
      <c r="A1412" s="111"/>
      <c r="B1412" s="111"/>
      <c r="C1412" s="111"/>
      <c r="D1412" s="111"/>
      <c r="E1412" s="115"/>
      <c r="F1412" s="116"/>
      <c r="G1412" s="113"/>
      <c r="H1412" s="117"/>
      <c r="I1412" s="111"/>
      <c r="J1412" s="118"/>
      <c r="K1412" s="81"/>
    </row>
    <row r="1413" ht="13.5" customHeight="1">
      <c r="A1413" s="111"/>
      <c r="B1413" s="111"/>
      <c r="C1413" s="111"/>
      <c r="D1413" s="111"/>
      <c r="E1413" s="115"/>
      <c r="F1413" s="116"/>
      <c r="G1413" s="116"/>
      <c r="H1413" s="117"/>
      <c r="I1413" s="118"/>
      <c r="J1413" s="118"/>
      <c r="K1413" s="81"/>
    </row>
    <row r="1414" ht="13.5" customHeight="1">
      <c r="A1414" s="111"/>
      <c r="B1414" s="111"/>
      <c r="C1414" s="111"/>
      <c r="D1414" s="111"/>
      <c r="E1414" s="115"/>
      <c r="F1414" s="116"/>
      <c r="G1414" s="113"/>
      <c r="H1414" s="117"/>
      <c r="I1414" s="111"/>
      <c r="J1414" s="118"/>
      <c r="K1414" s="81"/>
    </row>
    <row r="1415" ht="13.5" customHeight="1">
      <c r="A1415" s="111"/>
      <c r="B1415" s="111"/>
      <c r="C1415" s="111"/>
      <c r="D1415" s="111"/>
      <c r="E1415" s="115"/>
      <c r="F1415" s="116"/>
      <c r="G1415" s="113"/>
      <c r="H1415" s="117"/>
      <c r="I1415" s="111"/>
      <c r="J1415" s="118"/>
      <c r="K1415" s="81"/>
    </row>
    <row r="1416" ht="13.5" customHeight="1">
      <c r="A1416" s="111"/>
      <c r="B1416" s="111"/>
      <c r="C1416" s="111"/>
      <c r="D1416" s="111"/>
      <c r="E1416" s="115"/>
      <c r="F1416" s="116"/>
      <c r="G1416" s="113"/>
      <c r="H1416" s="117"/>
      <c r="I1416" s="111"/>
      <c r="J1416" s="118"/>
      <c r="K1416" s="81"/>
    </row>
    <row r="1417" ht="13.5" customHeight="1">
      <c r="A1417" s="111"/>
      <c r="B1417" s="111"/>
      <c r="C1417" s="111"/>
      <c r="D1417" s="111"/>
      <c r="E1417" s="115"/>
      <c r="F1417" s="116"/>
      <c r="G1417" s="113"/>
      <c r="H1417" s="117"/>
      <c r="I1417" s="111"/>
      <c r="J1417" s="118"/>
      <c r="K1417" s="81"/>
    </row>
    <row r="1418" ht="13.5" customHeight="1">
      <c r="A1418" s="111"/>
      <c r="B1418" s="111"/>
      <c r="C1418" s="111"/>
      <c r="D1418" s="111"/>
      <c r="E1418" s="115"/>
      <c r="F1418" s="116"/>
      <c r="G1418" s="113"/>
      <c r="H1418" s="117"/>
      <c r="I1418" s="111"/>
      <c r="J1418" s="118"/>
      <c r="K1418" s="81"/>
    </row>
    <row r="1419" ht="13.5" customHeight="1">
      <c r="A1419" s="111"/>
      <c r="B1419" s="111"/>
      <c r="C1419" s="111"/>
      <c r="D1419" s="111"/>
      <c r="E1419" s="115"/>
      <c r="F1419" s="116"/>
      <c r="G1419" s="113"/>
      <c r="H1419" s="117"/>
      <c r="I1419" s="111"/>
      <c r="J1419" s="118"/>
      <c r="K1419" s="81"/>
    </row>
    <row r="1420" ht="13.5" customHeight="1">
      <c r="A1420" s="111"/>
      <c r="B1420" s="111"/>
      <c r="C1420" s="111"/>
      <c r="D1420" s="111"/>
      <c r="E1420" s="115"/>
      <c r="F1420" s="116"/>
      <c r="G1420" s="113"/>
      <c r="H1420" s="117"/>
      <c r="I1420" s="111"/>
      <c r="J1420" s="118"/>
      <c r="K1420" s="81"/>
    </row>
    <row r="1421" ht="13.5" customHeight="1">
      <c r="A1421" s="111"/>
      <c r="B1421" s="111"/>
      <c r="C1421" s="111"/>
      <c r="D1421" s="111"/>
      <c r="E1421" s="115"/>
      <c r="F1421" s="116"/>
      <c r="G1421" s="113"/>
      <c r="H1421" s="117"/>
      <c r="I1421" s="111"/>
      <c r="J1421" s="118"/>
      <c r="K1421" s="81"/>
    </row>
    <row r="1422" ht="13.5" customHeight="1">
      <c r="A1422" s="111"/>
      <c r="B1422" s="111"/>
      <c r="C1422" s="111"/>
      <c r="D1422" s="111"/>
      <c r="E1422" s="115"/>
      <c r="F1422" s="116"/>
      <c r="G1422" s="113"/>
      <c r="H1422" s="117"/>
      <c r="I1422" s="111"/>
      <c r="J1422" s="118"/>
      <c r="K1422" s="81"/>
    </row>
    <row r="1423" ht="13.5" customHeight="1">
      <c r="A1423" s="111"/>
      <c r="B1423" s="111"/>
      <c r="C1423" s="111"/>
      <c r="D1423" s="111"/>
      <c r="E1423" s="115"/>
      <c r="F1423" s="116"/>
      <c r="G1423" s="113"/>
      <c r="H1423" s="117"/>
      <c r="I1423" s="111"/>
      <c r="J1423" s="118"/>
      <c r="K1423" s="81"/>
    </row>
    <row r="1424" ht="13.5" customHeight="1">
      <c r="A1424" s="111"/>
      <c r="B1424" s="111"/>
      <c r="C1424" s="111"/>
      <c r="D1424" s="111"/>
      <c r="E1424" s="115"/>
      <c r="F1424" s="116"/>
      <c r="G1424" s="113"/>
      <c r="H1424" s="117"/>
      <c r="I1424" s="111"/>
      <c r="J1424" s="118"/>
      <c r="K1424" s="81"/>
    </row>
    <row r="1425" ht="13.5" customHeight="1">
      <c r="A1425" s="111"/>
      <c r="B1425" s="111"/>
      <c r="C1425" s="111"/>
      <c r="D1425" s="111"/>
      <c r="E1425" s="115"/>
      <c r="F1425" s="116"/>
      <c r="G1425" s="113"/>
      <c r="H1425" s="117"/>
      <c r="I1425" s="111"/>
      <c r="J1425" s="118"/>
      <c r="K1425" s="81"/>
    </row>
    <row r="1426" ht="13.5" customHeight="1">
      <c r="A1426" s="111"/>
      <c r="B1426" s="111"/>
      <c r="C1426" s="111"/>
      <c r="D1426" s="111"/>
      <c r="E1426" s="115"/>
      <c r="F1426" s="116"/>
      <c r="G1426" s="113"/>
      <c r="H1426" s="117"/>
      <c r="I1426" s="111"/>
      <c r="J1426" s="118"/>
      <c r="K1426" s="81"/>
    </row>
    <row r="1427" ht="13.5" customHeight="1">
      <c r="A1427" s="111"/>
      <c r="B1427" s="111"/>
      <c r="C1427" s="111"/>
      <c r="D1427" s="111"/>
      <c r="E1427" s="115"/>
      <c r="F1427" s="116"/>
      <c r="G1427" s="113"/>
      <c r="H1427" s="117"/>
      <c r="I1427" s="111"/>
      <c r="J1427" s="118"/>
      <c r="K1427" s="81"/>
    </row>
    <row r="1428" ht="13.5" customHeight="1">
      <c r="A1428" s="111"/>
      <c r="B1428" s="111"/>
      <c r="C1428" s="111"/>
      <c r="D1428" s="111"/>
      <c r="E1428" s="115"/>
      <c r="F1428" s="116"/>
      <c r="G1428" s="113"/>
      <c r="H1428" s="117"/>
      <c r="I1428" s="111"/>
      <c r="J1428" s="118"/>
      <c r="K1428" s="81"/>
    </row>
    <row r="1429" ht="13.5" customHeight="1">
      <c r="A1429" s="111"/>
      <c r="B1429" s="111"/>
      <c r="C1429" s="111"/>
      <c r="D1429" s="111"/>
      <c r="E1429" s="115"/>
      <c r="F1429" s="116"/>
      <c r="G1429" s="113"/>
      <c r="H1429" s="117"/>
      <c r="I1429" s="111"/>
      <c r="J1429" s="118"/>
      <c r="K1429" s="81"/>
    </row>
    <row r="1430" ht="13.5" customHeight="1">
      <c r="A1430" s="111"/>
      <c r="B1430" s="111"/>
      <c r="C1430" s="111"/>
      <c r="D1430" s="111"/>
      <c r="E1430" s="115"/>
      <c r="F1430" s="116"/>
      <c r="G1430" s="113"/>
      <c r="H1430" s="117"/>
      <c r="I1430" s="111"/>
      <c r="J1430" s="118"/>
      <c r="K1430" s="81"/>
    </row>
    <row r="1431" ht="13.5" customHeight="1">
      <c r="A1431" s="111"/>
      <c r="B1431" s="111"/>
      <c r="C1431" s="111"/>
      <c r="D1431" s="111"/>
      <c r="E1431" s="115"/>
      <c r="F1431" s="116"/>
      <c r="G1431" s="113"/>
      <c r="H1431" s="117"/>
      <c r="I1431" s="111"/>
      <c r="J1431" s="118"/>
      <c r="K1431" s="81"/>
    </row>
    <row r="1432" ht="13.5" customHeight="1">
      <c r="A1432" s="111"/>
      <c r="B1432" s="111"/>
      <c r="C1432" s="111"/>
      <c r="D1432" s="111"/>
      <c r="E1432" s="115"/>
      <c r="F1432" s="116"/>
      <c r="G1432" s="113"/>
      <c r="H1432" s="117"/>
      <c r="I1432" s="111"/>
      <c r="J1432" s="118"/>
      <c r="K1432" s="81"/>
    </row>
    <row r="1433" ht="13.5" customHeight="1">
      <c r="A1433" s="111"/>
      <c r="B1433" s="111"/>
      <c r="C1433" s="111"/>
      <c r="D1433" s="111"/>
      <c r="E1433" s="115"/>
      <c r="F1433" s="116"/>
      <c r="G1433" s="113"/>
      <c r="H1433" s="117"/>
      <c r="I1433" s="111"/>
      <c r="J1433" s="118"/>
      <c r="K1433" s="81"/>
    </row>
    <row r="1434" ht="13.5" customHeight="1">
      <c r="A1434" s="111"/>
      <c r="B1434" s="111"/>
      <c r="C1434" s="111"/>
      <c r="D1434" s="111"/>
      <c r="E1434" s="115"/>
      <c r="F1434" s="116"/>
      <c r="G1434" s="113"/>
      <c r="H1434" s="117"/>
      <c r="I1434" s="111"/>
      <c r="J1434" s="118"/>
      <c r="K1434" s="81"/>
    </row>
    <row r="1435" ht="13.5" customHeight="1">
      <c r="A1435" s="111"/>
      <c r="B1435" s="111"/>
      <c r="C1435" s="111"/>
      <c r="D1435" s="111"/>
      <c r="E1435" s="115"/>
      <c r="F1435" s="116"/>
      <c r="G1435" s="113"/>
      <c r="H1435" s="117"/>
      <c r="I1435" s="111"/>
      <c r="J1435" s="118"/>
      <c r="K1435" s="81"/>
    </row>
    <row r="1436" ht="13.5" customHeight="1">
      <c r="A1436" s="111"/>
      <c r="B1436" s="111"/>
      <c r="C1436" s="111"/>
      <c r="D1436" s="111"/>
      <c r="E1436" s="115"/>
      <c r="F1436" s="116"/>
      <c r="G1436" s="113"/>
      <c r="H1436" s="117"/>
      <c r="I1436" s="111"/>
      <c r="J1436" s="118"/>
      <c r="K1436" s="81"/>
    </row>
    <row r="1437" ht="13.5" customHeight="1">
      <c r="A1437" s="111"/>
      <c r="B1437" s="111"/>
      <c r="C1437" s="111"/>
      <c r="D1437" s="111"/>
      <c r="E1437" s="115"/>
      <c r="F1437" s="116"/>
      <c r="G1437" s="113"/>
      <c r="H1437" s="117"/>
      <c r="I1437" s="111"/>
      <c r="J1437" s="118"/>
      <c r="K1437" s="81"/>
    </row>
    <row r="1438" ht="13.5" customHeight="1">
      <c r="A1438" s="111"/>
      <c r="B1438" s="111"/>
      <c r="C1438" s="111"/>
      <c r="D1438" s="111"/>
      <c r="E1438" s="115"/>
      <c r="F1438" s="116"/>
      <c r="G1438" s="113"/>
      <c r="H1438" s="117"/>
      <c r="I1438" s="111"/>
      <c r="J1438" s="118"/>
      <c r="K1438" s="81"/>
    </row>
    <row r="1439" ht="13.5" customHeight="1">
      <c r="A1439" s="111"/>
      <c r="B1439" s="111"/>
      <c r="C1439" s="111"/>
      <c r="D1439" s="111"/>
      <c r="E1439" s="115"/>
      <c r="F1439" s="116"/>
      <c r="G1439" s="113"/>
      <c r="H1439" s="117"/>
      <c r="I1439" s="111"/>
      <c r="J1439" s="118"/>
      <c r="K1439" s="81"/>
    </row>
    <row r="1440" ht="13.5" customHeight="1">
      <c r="A1440" s="111"/>
      <c r="B1440" s="111"/>
      <c r="C1440" s="111"/>
      <c r="D1440" s="111"/>
      <c r="E1440" s="115"/>
      <c r="F1440" s="116"/>
      <c r="G1440" s="113"/>
      <c r="H1440" s="117"/>
      <c r="I1440" s="111"/>
      <c r="J1440" s="118"/>
      <c r="K1440" s="81"/>
    </row>
    <row r="1441" ht="13.5" customHeight="1">
      <c r="A1441" s="111"/>
      <c r="B1441" s="111"/>
      <c r="C1441" s="111"/>
      <c r="D1441" s="111"/>
      <c r="E1441" s="115"/>
      <c r="F1441" s="116"/>
      <c r="G1441" s="113"/>
      <c r="H1441" s="117"/>
      <c r="I1441" s="111"/>
      <c r="J1441" s="118"/>
      <c r="K1441" s="81"/>
    </row>
    <row r="1442" ht="13.5" customHeight="1">
      <c r="A1442" s="111"/>
      <c r="B1442" s="111"/>
      <c r="C1442" s="111"/>
      <c r="D1442" s="111"/>
      <c r="E1442" s="115"/>
      <c r="F1442" s="116"/>
      <c r="G1442" s="113"/>
      <c r="H1442" s="117"/>
      <c r="I1442" s="111"/>
      <c r="J1442" s="118"/>
      <c r="K1442" s="81"/>
    </row>
    <row r="1443" ht="13.5" customHeight="1">
      <c r="A1443" s="111"/>
      <c r="B1443" s="111"/>
      <c r="C1443" s="111"/>
      <c r="D1443" s="111"/>
      <c r="E1443" s="115"/>
      <c r="F1443" s="116"/>
      <c r="G1443" s="113"/>
      <c r="H1443" s="117"/>
      <c r="I1443" s="111"/>
      <c r="J1443" s="118"/>
      <c r="K1443" s="81"/>
    </row>
    <row r="1444" ht="13.5" customHeight="1">
      <c r="A1444" s="111"/>
      <c r="B1444" s="111"/>
      <c r="C1444" s="111"/>
      <c r="D1444" s="111"/>
      <c r="E1444" s="115"/>
      <c r="F1444" s="116"/>
      <c r="G1444" s="113"/>
      <c r="H1444" s="117"/>
      <c r="I1444" s="111"/>
      <c r="J1444" s="118"/>
      <c r="K1444" s="81"/>
    </row>
    <row r="1445" ht="13.5" customHeight="1">
      <c r="A1445" s="111"/>
      <c r="B1445" s="111"/>
      <c r="C1445" s="111"/>
      <c r="D1445" s="111"/>
      <c r="E1445" s="115"/>
      <c r="F1445" s="116"/>
      <c r="G1445" s="113"/>
      <c r="H1445" s="117"/>
      <c r="I1445" s="111"/>
      <c r="J1445" s="100"/>
      <c r="K1445" s="81"/>
    </row>
    <row r="1446" ht="13.5" customHeight="1">
      <c r="A1446" s="111"/>
      <c r="B1446" s="111"/>
      <c r="C1446" s="111"/>
      <c r="D1446" s="111"/>
      <c r="E1446" s="115"/>
      <c r="F1446" s="116"/>
      <c r="G1446" s="113"/>
      <c r="H1446" s="117"/>
      <c r="I1446" s="111"/>
      <c r="J1446" s="100"/>
      <c r="K1446" s="81"/>
    </row>
    <row r="1447" ht="13.5" customHeight="1">
      <c r="A1447" s="95"/>
      <c r="B1447" s="95"/>
      <c r="C1447" s="111"/>
      <c r="D1447" s="111"/>
      <c r="E1447" s="115"/>
      <c r="F1447" s="116"/>
      <c r="G1447" s="113"/>
      <c r="H1447" s="117"/>
      <c r="I1447" s="111"/>
      <c r="J1447" s="100"/>
      <c r="K1447" s="81"/>
    </row>
    <row r="1448" ht="13.5" customHeight="1">
      <c r="A1448" s="95"/>
      <c r="B1448" s="95"/>
      <c r="C1448" s="95"/>
      <c r="D1448" s="95"/>
      <c r="E1448" s="98"/>
      <c r="F1448" s="99"/>
      <c r="G1448" s="95"/>
      <c r="H1448" s="117"/>
      <c r="I1448" s="111"/>
      <c r="J1448" s="118"/>
      <c r="K1448" s="81"/>
    </row>
    <row r="1449" ht="13.5" customHeight="1">
      <c r="A1449" s="95"/>
      <c r="B1449" s="95"/>
      <c r="C1449" s="95"/>
      <c r="D1449" s="111"/>
      <c r="E1449" s="115"/>
      <c r="F1449" s="116"/>
      <c r="G1449" s="113"/>
      <c r="H1449" s="117"/>
      <c r="I1449" s="111"/>
      <c r="J1449" s="118"/>
      <c r="K1449" s="81"/>
    </row>
    <row r="1450" ht="13.5" customHeight="1">
      <c r="A1450" s="111"/>
      <c r="B1450" s="111"/>
      <c r="C1450" s="111"/>
      <c r="D1450" s="111"/>
      <c r="E1450" s="115"/>
      <c r="F1450" s="116"/>
      <c r="G1450" s="113"/>
      <c r="H1450" s="117"/>
      <c r="I1450" s="111"/>
      <c r="J1450" s="118"/>
      <c r="K1450" s="81"/>
    </row>
    <row r="1451" ht="13.5" customHeight="1">
      <c r="A1451" s="111"/>
      <c r="B1451" s="111"/>
      <c r="C1451" s="111"/>
      <c r="D1451" s="111"/>
      <c r="E1451" s="115"/>
      <c r="F1451" s="116"/>
      <c r="G1451" s="113"/>
      <c r="H1451" s="117"/>
      <c r="I1451" s="111"/>
      <c r="J1451" s="118"/>
      <c r="K1451" s="81"/>
    </row>
    <row r="1452" ht="13.5" customHeight="1">
      <c r="A1452" s="111"/>
      <c r="B1452" s="111"/>
      <c r="C1452" s="111"/>
      <c r="D1452" s="111"/>
      <c r="E1452" s="115"/>
      <c r="F1452" s="116"/>
      <c r="G1452" s="113"/>
      <c r="H1452" s="117"/>
      <c r="I1452" s="111"/>
      <c r="J1452" s="118"/>
      <c r="K1452" s="81"/>
    </row>
    <row r="1453" ht="13.5" customHeight="1">
      <c r="A1453" s="111"/>
      <c r="B1453" s="111"/>
      <c r="C1453" s="111"/>
      <c r="D1453" s="111"/>
      <c r="E1453" s="115"/>
      <c r="F1453" s="116"/>
      <c r="G1453" s="113"/>
      <c r="H1453" s="117"/>
      <c r="I1453" s="111"/>
      <c r="J1453" s="118"/>
      <c r="K1453" s="81"/>
    </row>
    <row r="1454" ht="13.5" customHeight="1">
      <c r="A1454" s="111"/>
      <c r="B1454" s="111"/>
      <c r="C1454" s="111"/>
      <c r="D1454" s="111"/>
      <c r="E1454" s="115"/>
      <c r="F1454" s="116"/>
      <c r="G1454" s="113"/>
      <c r="H1454" s="117"/>
      <c r="I1454" s="111"/>
      <c r="J1454" s="118"/>
      <c r="K1454" s="81"/>
    </row>
    <row r="1455" ht="13.5" customHeight="1">
      <c r="A1455" s="111"/>
      <c r="B1455" s="111"/>
      <c r="C1455" s="111"/>
      <c r="D1455" s="111"/>
      <c r="E1455" s="115"/>
      <c r="F1455" s="116"/>
      <c r="G1455" s="113"/>
      <c r="H1455" s="117"/>
      <c r="I1455" s="111"/>
      <c r="J1455" s="118"/>
      <c r="K1455" s="81"/>
    </row>
    <row r="1456" ht="13.5" customHeight="1">
      <c r="A1456" s="111"/>
      <c r="B1456" s="111"/>
      <c r="C1456" s="111"/>
      <c r="D1456" s="111"/>
      <c r="E1456" s="115"/>
      <c r="F1456" s="116"/>
      <c r="G1456" s="113"/>
      <c r="H1456" s="117"/>
      <c r="I1456" s="111"/>
      <c r="J1456" s="118"/>
      <c r="K1456" s="81"/>
    </row>
    <row r="1457" ht="13.5" customHeight="1">
      <c r="A1457" s="111"/>
      <c r="B1457" s="111"/>
      <c r="C1457" s="111"/>
      <c r="D1457" s="111"/>
      <c r="E1457" s="115"/>
      <c r="F1457" s="116"/>
      <c r="G1457" s="113"/>
      <c r="H1457" s="117"/>
      <c r="I1457" s="111"/>
      <c r="J1457" s="118"/>
      <c r="K1457" s="81"/>
    </row>
    <row r="1458" ht="13.5" customHeight="1">
      <c r="A1458" s="111"/>
      <c r="B1458" s="111"/>
      <c r="C1458" s="111"/>
      <c r="D1458" s="111"/>
      <c r="E1458" s="115"/>
      <c r="F1458" s="116"/>
      <c r="G1458" s="113"/>
      <c r="H1458" s="117"/>
      <c r="I1458" s="111"/>
      <c r="J1458" s="118"/>
      <c r="K1458" s="81"/>
    </row>
    <row r="1459" ht="13.5" customHeight="1">
      <c r="A1459" s="111"/>
      <c r="B1459" s="111"/>
      <c r="C1459" s="111"/>
      <c r="D1459" s="111"/>
      <c r="E1459" s="115"/>
      <c r="F1459" s="116"/>
      <c r="G1459" s="113"/>
      <c r="H1459" s="117"/>
      <c r="I1459" s="111"/>
      <c r="J1459" s="118"/>
      <c r="K1459" s="81"/>
    </row>
    <row r="1460" ht="13.5" customHeight="1">
      <c r="A1460" s="111"/>
      <c r="B1460" s="111"/>
      <c r="C1460" s="111"/>
      <c r="D1460" s="111"/>
      <c r="E1460" s="115"/>
      <c r="F1460" s="116"/>
      <c r="G1460" s="113"/>
      <c r="H1460" s="117"/>
      <c r="I1460" s="111"/>
      <c r="J1460" s="118"/>
      <c r="K1460" s="81"/>
    </row>
    <row r="1461" ht="13.5" customHeight="1">
      <c r="A1461" s="111"/>
      <c r="B1461" s="111"/>
      <c r="C1461" s="111"/>
      <c r="D1461" s="111"/>
      <c r="E1461" s="115"/>
      <c r="F1461" s="116"/>
      <c r="G1461" s="113"/>
      <c r="H1461" s="117"/>
      <c r="I1461" s="111"/>
      <c r="J1461" s="118"/>
      <c r="K1461" s="81"/>
    </row>
    <row r="1462" ht="13.5" customHeight="1">
      <c r="A1462" s="111"/>
      <c r="B1462" s="111"/>
      <c r="C1462" s="111"/>
      <c r="D1462" s="111"/>
      <c r="E1462" s="115"/>
      <c r="F1462" s="116"/>
      <c r="G1462" s="113"/>
      <c r="H1462" s="117"/>
      <c r="I1462" s="111"/>
      <c r="J1462" s="118"/>
      <c r="K1462" s="81"/>
    </row>
    <row r="1463" ht="13.5" customHeight="1">
      <c r="A1463" s="111"/>
      <c r="B1463" s="111"/>
      <c r="C1463" s="111"/>
      <c r="D1463" s="111"/>
      <c r="E1463" s="115"/>
      <c r="F1463" s="116"/>
      <c r="G1463" s="113"/>
      <c r="H1463" s="117"/>
      <c r="I1463" s="111"/>
      <c r="J1463" s="118"/>
      <c r="K1463" s="81"/>
    </row>
    <row r="1464" ht="13.5" customHeight="1">
      <c r="A1464" s="111"/>
      <c r="B1464" s="111"/>
      <c r="C1464" s="111"/>
      <c r="D1464" s="111"/>
      <c r="E1464" s="115"/>
      <c r="F1464" s="116"/>
      <c r="G1464" s="113"/>
      <c r="H1464" s="117"/>
      <c r="I1464" s="111"/>
      <c r="J1464" s="118"/>
      <c r="K1464" s="81"/>
    </row>
    <row r="1465" ht="13.5" customHeight="1">
      <c r="A1465" s="111"/>
      <c r="B1465" s="111"/>
      <c r="C1465" s="111"/>
      <c r="D1465" s="111"/>
      <c r="E1465" s="115"/>
      <c r="F1465" s="116"/>
      <c r="G1465" s="113"/>
      <c r="H1465" s="117"/>
      <c r="I1465" s="111"/>
      <c r="J1465" s="118"/>
      <c r="K1465" s="81"/>
    </row>
    <row r="1466" ht="13.5" customHeight="1">
      <c r="A1466" s="111"/>
      <c r="B1466" s="111"/>
      <c r="C1466" s="111"/>
      <c r="D1466" s="111"/>
      <c r="E1466" s="115"/>
      <c r="F1466" s="116"/>
      <c r="G1466" s="113"/>
      <c r="H1466" s="117"/>
      <c r="I1466" s="111"/>
      <c r="J1466" s="118"/>
      <c r="K1466" s="81"/>
    </row>
    <row r="1467" ht="13.5" customHeight="1">
      <c r="A1467" s="111"/>
      <c r="B1467" s="111"/>
      <c r="C1467" s="111"/>
      <c r="D1467" s="111"/>
      <c r="E1467" s="115"/>
      <c r="F1467" s="116"/>
      <c r="G1467" s="113"/>
      <c r="H1467" s="117"/>
      <c r="I1467" s="111"/>
      <c r="J1467" s="118"/>
      <c r="K1467" s="81"/>
    </row>
    <row r="1468" ht="13.5" customHeight="1">
      <c r="A1468" s="111"/>
      <c r="B1468" s="111"/>
      <c r="C1468" s="111"/>
      <c r="D1468" s="111"/>
      <c r="E1468" s="115"/>
      <c r="F1468" s="116"/>
      <c r="G1468" s="113"/>
      <c r="H1468" s="117"/>
      <c r="I1468" s="111"/>
      <c r="J1468" s="118"/>
      <c r="K1468" s="81"/>
    </row>
    <row r="1469" ht="13.5" customHeight="1">
      <c r="A1469" s="111"/>
      <c r="B1469" s="111"/>
      <c r="C1469" s="111"/>
      <c r="D1469" s="111"/>
      <c r="E1469" s="115"/>
      <c r="F1469" s="116"/>
      <c r="G1469" s="113"/>
      <c r="H1469" s="117"/>
      <c r="I1469" s="111"/>
      <c r="J1469" s="118"/>
      <c r="K1469" s="81"/>
    </row>
    <row r="1470" ht="13.5" customHeight="1">
      <c r="A1470" s="111"/>
      <c r="B1470" s="111"/>
      <c r="C1470" s="111"/>
      <c r="D1470" s="111"/>
      <c r="E1470" s="115"/>
      <c r="F1470" s="116"/>
      <c r="G1470" s="113"/>
      <c r="H1470" s="117"/>
      <c r="I1470" s="111"/>
      <c r="J1470" s="118"/>
      <c r="K1470" s="81"/>
    </row>
    <row r="1471" ht="13.5" customHeight="1">
      <c r="A1471" s="111"/>
      <c r="B1471" s="111"/>
      <c r="C1471" s="111"/>
      <c r="D1471" s="111"/>
      <c r="E1471" s="115"/>
      <c r="F1471" s="116"/>
      <c r="G1471" s="113"/>
      <c r="H1471" s="117"/>
      <c r="I1471" s="111"/>
      <c r="J1471" s="118"/>
      <c r="K1471" s="81"/>
    </row>
    <row r="1472" ht="13.5" customHeight="1">
      <c r="A1472" s="111"/>
      <c r="B1472" s="111"/>
      <c r="C1472" s="111"/>
      <c r="D1472" s="111"/>
      <c r="E1472" s="115"/>
      <c r="F1472" s="116"/>
      <c r="G1472" s="113"/>
      <c r="H1472" s="117"/>
      <c r="I1472" s="111"/>
      <c r="J1472" s="118"/>
      <c r="K1472" s="81"/>
    </row>
    <row r="1473" ht="13.5" customHeight="1">
      <c r="A1473" s="111"/>
      <c r="B1473" s="111"/>
      <c r="C1473" s="111"/>
      <c r="D1473" s="111"/>
      <c r="E1473" s="115"/>
      <c r="F1473" s="116"/>
      <c r="G1473" s="113"/>
      <c r="H1473" s="117"/>
      <c r="I1473" s="111"/>
      <c r="J1473" s="118"/>
      <c r="K1473" s="81"/>
    </row>
    <row r="1474" ht="13.5" customHeight="1">
      <c r="A1474" s="111"/>
      <c r="B1474" s="111"/>
      <c r="C1474" s="111"/>
      <c r="D1474" s="111"/>
      <c r="E1474" s="115"/>
      <c r="F1474" s="116"/>
      <c r="G1474" s="113"/>
      <c r="H1474" s="117"/>
      <c r="I1474" s="111"/>
      <c r="J1474" s="118"/>
      <c r="K1474" s="81"/>
    </row>
    <row r="1475" ht="13.5" customHeight="1">
      <c r="A1475" s="111"/>
      <c r="B1475" s="111"/>
      <c r="C1475" s="111"/>
      <c r="D1475" s="111"/>
      <c r="E1475" s="115"/>
      <c r="F1475" s="116"/>
      <c r="G1475" s="113"/>
      <c r="H1475" s="117"/>
      <c r="I1475" s="111"/>
      <c r="J1475" s="118"/>
      <c r="K1475" s="81"/>
    </row>
    <row r="1476" ht="13.5" customHeight="1">
      <c r="A1476" s="111"/>
      <c r="B1476" s="111"/>
      <c r="C1476" s="111"/>
      <c r="D1476" s="111"/>
      <c r="E1476" s="115"/>
      <c r="F1476" s="116"/>
      <c r="G1476" s="113"/>
      <c r="H1476" s="117"/>
      <c r="I1476" s="111"/>
      <c r="J1476" s="118"/>
      <c r="K1476" s="81"/>
    </row>
    <row r="1477" ht="13.5" customHeight="1">
      <c r="A1477" s="111"/>
      <c r="B1477" s="111"/>
      <c r="C1477" s="111"/>
      <c r="D1477" s="111"/>
      <c r="E1477" s="115"/>
      <c r="F1477" s="116"/>
      <c r="G1477" s="113"/>
      <c r="H1477" s="117"/>
      <c r="I1477" s="111"/>
      <c r="J1477" s="118"/>
      <c r="K1477" s="81"/>
    </row>
    <row r="1478" ht="13.5" customHeight="1">
      <c r="A1478" s="111"/>
      <c r="B1478" s="111"/>
      <c r="C1478" s="111"/>
      <c r="D1478" s="111"/>
      <c r="E1478" s="115"/>
      <c r="F1478" s="116"/>
      <c r="G1478" s="113"/>
      <c r="H1478" s="117"/>
      <c r="I1478" s="111"/>
      <c r="J1478" s="118"/>
      <c r="K1478" s="81"/>
    </row>
    <row r="1479" ht="13.5" customHeight="1">
      <c r="A1479" s="111"/>
      <c r="B1479" s="111"/>
      <c r="C1479" s="111"/>
      <c r="D1479" s="111"/>
      <c r="E1479" s="115"/>
      <c r="F1479" s="116"/>
      <c r="G1479" s="113"/>
      <c r="H1479" s="117"/>
      <c r="I1479" s="111"/>
      <c r="J1479" s="118"/>
      <c r="K1479" s="81"/>
    </row>
    <row r="1480" ht="13.5" customHeight="1">
      <c r="A1480" s="111"/>
      <c r="B1480" s="111"/>
      <c r="C1480" s="111"/>
      <c r="D1480" s="111"/>
      <c r="E1480" s="115"/>
      <c r="F1480" s="116"/>
      <c r="G1480" s="113"/>
      <c r="H1480" s="117"/>
      <c r="I1480" s="111"/>
      <c r="J1480" s="118"/>
      <c r="K1480" s="81"/>
    </row>
    <row r="1481" ht="13.5" customHeight="1">
      <c r="A1481" s="111"/>
      <c r="B1481" s="111"/>
      <c r="C1481" s="111"/>
      <c r="D1481" s="111"/>
      <c r="E1481" s="115"/>
      <c r="F1481" s="116"/>
      <c r="G1481" s="113"/>
      <c r="H1481" s="117"/>
      <c r="I1481" s="111"/>
      <c r="J1481" s="118"/>
      <c r="K1481" s="81"/>
    </row>
    <row r="1482" ht="13.5" customHeight="1">
      <c r="A1482" s="111"/>
      <c r="B1482" s="111"/>
      <c r="C1482" s="111"/>
      <c r="D1482" s="111"/>
      <c r="E1482" s="115"/>
      <c r="F1482" s="116"/>
      <c r="G1482" s="113"/>
      <c r="H1482" s="117"/>
      <c r="I1482" s="111"/>
      <c r="J1482" s="118"/>
      <c r="K1482" s="81"/>
    </row>
    <row r="1483" ht="13.5" customHeight="1">
      <c r="A1483" s="111"/>
      <c r="B1483" s="111"/>
      <c r="C1483" s="111"/>
      <c r="D1483" s="111"/>
      <c r="E1483" s="115"/>
      <c r="F1483" s="116"/>
      <c r="G1483" s="113"/>
      <c r="H1483" s="117"/>
      <c r="I1483" s="111"/>
      <c r="J1483" s="118"/>
      <c r="K1483" s="81"/>
    </row>
    <row r="1484" ht="13.5" customHeight="1">
      <c r="A1484" s="111"/>
      <c r="B1484" s="111"/>
      <c r="C1484" s="111"/>
      <c r="D1484" s="111"/>
      <c r="E1484" s="115"/>
      <c r="F1484" s="116"/>
      <c r="G1484" s="113"/>
      <c r="H1484" s="117"/>
      <c r="I1484" s="111"/>
      <c r="J1484" s="118"/>
      <c r="K1484" s="81"/>
    </row>
    <row r="1485" ht="13.5" customHeight="1">
      <c r="A1485" s="111"/>
      <c r="B1485" s="111"/>
      <c r="C1485" s="111"/>
      <c r="D1485" s="111"/>
      <c r="E1485" s="115"/>
      <c r="F1485" s="116"/>
      <c r="G1485" s="113"/>
      <c r="H1485" s="117"/>
      <c r="I1485" s="111"/>
      <c r="J1485" s="118"/>
      <c r="K1485" s="81"/>
    </row>
    <row r="1486" ht="13.5" customHeight="1">
      <c r="A1486" s="111"/>
      <c r="B1486" s="111"/>
      <c r="C1486" s="111"/>
      <c r="D1486" s="111"/>
      <c r="E1486" s="115"/>
      <c r="F1486" s="116"/>
      <c r="G1486" s="113"/>
      <c r="H1486" s="117"/>
      <c r="I1486" s="111"/>
      <c r="J1486" s="118"/>
      <c r="K1486" s="81"/>
    </row>
    <row r="1487" ht="13.5" customHeight="1">
      <c r="A1487" s="111"/>
      <c r="B1487" s="111"/>
      <c r="C1487" s="111"/>
      <c r="D1487" s="111"/>
      <c r="E1487" s="115"/>
      <c r="F1487" s="116"/>
      <c r="G1487" s="113"/>
      <c r="H1487" s="117"/>
      <c r="I1487" s="111"/>
      <c r="J1487" s="118"/>
      <c r="K1487" s="81"/>
    </row>
    <row r="1488" ht="13.5" customHeight="1">
      <c r="A1488" s="111"/>
      <c r="B1488" s="111"/>
      <c r="C1488" s="111"/>
      <c r="D1488" s="111"/>
      <c r="E1488" s="115"/>
      <c r="F1488" s="116"/>
      <c r="G1488" s="113"/>
      <c r="H1488" s="117"/>
      <c r="I1488" s="111"/>
      <c r="J1488" s="118"/>
      <c r="K1488" s="81"/>
    </row>
    <row r="1489" ht="13.5" customHeight="1">
      <c r="A1489" s="111"/>
      <c r="B1489" s="111"/>
      <c r="C1489" s="111"/>
      <c r="D1489" s="111"/>
      <c r="E1489" s="115"/>
      <c r="F1489" s="116"/>
      <c r="G1489" s="113"/>
      <c r="H1489" s="117"/>
      <c r="I1489" s="111"/>
      <c r="J1489" s="118"/>
      <c r="K1489" s="81"/>
    </row>
    <row r="1490" ht="13.5" customHeight="1">
      <c r="A1490" s="111"/>
      <c r="B1490" s="111"/>
      <c r="C1490" s="111"/>
      <c r="D1490" s="111"/>
      <c r="E1490" s="115"/>
      <c r="F1490" s="116"/>
      <c r="G1490" s="113"/>
      <c r="H1490" s="117"/>
      <c r="I1490" s="111"/>
      <c r="J1490" s="118"/>
      <c r="K1490" s="81"/>
    </row>
    <row r="1491" ht="13.5" customHeight="1">
      <c r="A1491" s="111"/>
      <c r="B1491" s="111"/>
      <c r="C1491" s="111"/>
      <c r="D1491" s="111"/>
      <c r="E1491" s="115"/>
      <c r="F1491" s="116"/>
      <c r="G1491" s="113"/>
      <c r="H1491" s="117"/>
      <c r="I1491" s="111"/>
      <c r="J1491" s="118"/>
      <c r="K1491" s="81"/>
    </row>
    <row r="1492" ht="13.5" customHeight="1">
      <c r="A1492" s="111"/>
      <c r="B1492" s="111"/>
      <c r="C1492" s="111"/>
      <c r="D1492" s="111"/>
      <c r="E1492" s="115"/>
      <c r="F1492" s="116"/>
      <c r="G1492" s="113"/>
      <c r="H1492" s="117"/>
      <c r="I1492" s="111"/>
      <c r="J1492" s="118"/>
      <c r="K1492" s="81"/>
    </row>
    <row r="1493" ht="13.5" customHeight="1">
      <c r="A1493" s="111"/>
      <c r="B1493" s="111"/>
      <c r="C1493" s="111"/>
      <c r="D1493" s="111"/>
      <c r="E1493" s="115"/>
      <c r="F1493" s="116"/>
      <c r="G1493" s="113"/>
      <c r="H1493" s="117"/>
      <c r="I1493" s="111"/>
      <c r="J1493" s="118"/>
      <c r="K1493" s="81"/>
    </row>
    <row r="1494" ht="13.5" customHeight="1">
      <c r="A1494" s="111"/>
      <c r="B1494" s="111"/>
      <c r="C1494" s="111"/>
      <c r="D1494" s="111"/>
      <c r="E1494" s="115"/>
      <c r="F1494" s="116"/>
      <c r="G1494" s="113"/>
      <c r="H1494" s="117"/>
      <c r="I1494" s="111"/>
      <c r="J1494" s="118"/>
      <c r="K1494" s="81"/>
    </row>
    <row r="1495" ht="13.5" customHeight="1">
      <c r="A1495" s="111"/>
      <c r="B1495" s="111"/>
      <c r="C1495" s="111"/>
      <c r="D1495" s="111"/>
      <c r="E1495" s="115"/>
      <c r="F1495" s="116"/>
      <c r="G1495" s="113"/>
      <c r="H1495" s="117"/>
      <c r="I1495" s="111"/>
      <c r="J1495" s="118"/>
      <c r="K1495" s="81"/>
    </row>
    <row r="1496" ht="13.5" customHeight="1">
      <c r="A1496" s="111"/>
      <c r="B1496" s="111"/>
      <c r="C1496" s="111"/>
      <c r="D1496" s="111"/>
      <c r="E1496" s="115"/>
      <c r="F1496" s="116"/>
      <c r="G1496" s="113"/>
      <c r="H1496" s="117"/>
      <c r="I1496" s="111"/>
      <c r="J1496" s="118"/>
      <c r="K1496" s="81"/>
    </row>
    <row r="1497" ht="13.5" customHeight="1">
      <c r="A1497" s="111"/>
      <c r="B1497" s="111"/>
      <c r="C1497" s="111"/>
      <c r="D1497" s="111"/>
      <c r="E1497" s="115"/>
      <c r="F1497" s="116"/>
      <c r="G1497" s="113"/>
      <c r="H1497" s="117"/>
      <c r="I1497" s="111"/>
      <c r="J1497" s="118"/>
      <c r="K1497" s="81"/>
    </row>
    <row r="1498" ht="13.5" customHeight="1">
      <c r="A1498" s="111"/>
      <c r="B1498" s="111"/>
      <c r="C1498" s="111"/>
      <c r="D1498" s="111"/>
      <c r="E1498" s="115"/>
      <c r="F1498" s="116"/>
      <c r="G1498" s="113"/>
      <c r="H1498" s="117"/>
      <c r="I1498" s="111"/>
      <c r="J1498" s="118"/>
      <c r="K1498" s="81"/>
    </row>
    <row r="1499" ht="13.5" customHeight="1">
      <c r="A1499" s="111"/>
      <c r="B1499" s="111"/>
      <c r="C1499" s="111"/>
      <c r="D1499" s="111"/>
      <c r="E1499" s="115"/>
      <c r="F1499" s="116"/>
      <c r="G1499" s="113"/>
      <c r="H1499" s="117"/>
      <c r="I1499" s="111"/>
      <c r="J1499" s="118"/>
      <c r="K1499" s="81"/>
    </row>
    <row r="1500" ht="13.5" customHeight="1">
      <c r="A1500" s="111"/>
      <c r="B1500" s="111"/>
      <c r="C1500" s="111"/>
      <c r="D1500" s="111"/>
      <c r="E1500" s="115"/>
      <c r="F1500" s="116"/>
      <c r="G1500" s="113"/>
      <c r="H1500" s="117"/>
      <c r="I1500" s="111"/>
      <c r="J1500" s="118"/>
      <c r="K1500" s="81"/>
    </row>
    <row r="1501" ht="13.5" customHeight="1">
      <c r="A1501" s="111"/>
      <c r="B1501" s="111"/>
      <c r="C1501" s="111"/>
      <c r="D1501" s="111"/>
      <c r="E1501" s="115"/>
      <c r="F1501" s="116"/>
      <c r="G1501" s="113"/>
      <c r="H1501" s="117"/>
      <c r="I1501" s="111"/>
      <c r="J1501" s="118"/>
      <c r="K1501" s="81"/>
    </row>
    <row r="1502" ht="13.5" customHeight="1">
      <c r="A1502" s="111"/>
      <c r="B1502" s="111"/>
      <c r="C1502" s="111"/>
      <c r="D1502" s="111"/>
      <c r="E1502" s="115"/>
      <c r="F1502" s="116"/>
      <c r="G1502" s="113"/>
      <c r="H1502" s="117"/>
      <c r="I1502" s="111"/>
      <c r="J1502" s="118"/>
      <c r="K1502" s="81"/>
    </row>
    <row r="1503" ht="13.5" customHeight="1">
      <c r="A1503" s="111"/>
      <c r="B1503" s="111"/>
      <c r="C1503" s="111"/>
      <c r="D1503" s="111"/>
      <c r="E1503" s="115"/>
      <c r="F1503" s="116"/>
      <c r="G1503" s="113"/>
      <c r="H1503" s="117"/>
      <c r="I1503" s="111"/>
      <c r="J1503" s="118"/>
      <c r="K1503" s="81"/>
    </row>
    <row r="1504" ht="13.5" customHeight="1">
      <c r="A1504" s="111"/>
      <c r="B1504" s="111"/>
      <c r="C1504" s="111"/>
      <c r="D1504" s="111"/>
      <c r="E1504" s="115"/>
      <c r="F1504" s="116"/>
      <c r="G1504" s="113"/>
      <c r="H1504" s="117"/>
      <c r="I1504" s="111"/>
      <c r="J1504" s="118"/>
      <c r="K1504" s="81"/>
    </row>
    <row r="1505" ht="13.5" customHeight="1">
      <c r="A1505" s="111"/>
      <c r="B1505" s="111"/>
      <c r="C1505" s="111"/>
      <c r="D1505" s="111"/>
      <c r="E1505" s="115"/>
      <c r="F1505" s="116"/>
      <c r="G1505" s="113"/>
      <c r="H1505" s="117"/>
      <c r="I1505" s="111"/>
      <c r="J1505" s="118"/>
      <c r="K1505" s="81"/>
    </row>
    <row r="1506" ht="13.5" customHeight="1">
      <c r="A1506" s="111"/>
      <c r="B1506" s="111"/>
      <c r="C1506" s="111"/>
      <c r="D1506" s="111"/>
      <c r="E1506" s="115"/>
      <c r="F1506" s="116"/>
      <c r="G1506" s="113"/>
      <c r="H1506" s="117"/>
      <c r="I1506" s="111"/>
      <c r="J1506" s="118"/>
      <c r="K1506" s="81"/>
    </row>
    <row r="1507" ht="13.5" customHeight="1">
      <c r="A1507" s="111"/>
      <c r="B1507" s="111"/>
      <c r="C1507" s="111"/>
      <c r="D1507" s="111"/>
      <c r="E1507" s="115"/>
      <c r="F1507" s="116"/>
      <c r="G1507" s="113"/>
      <c r="H1507" s="117"/>
      <c r="I1507" s="111"/>
      <c r="J1507" s="118"/>
      <c r="K1507" s="81"/>
    </row>
    <row r="1508" ht="13.5" customHeight="1">
      <c r="A1508" s="111"/>
      <c r="B1508" s="111"/>
      <c r="C1508" s="111"/>
      <c r="D1508" s="111"/>
      <c r="E1508" s="115"/>
      <c r="F1508" s="116"/>
      <c r="G1508" s="113"/>
      <c r="H1508" s="117"/>
      <c r="I1508" s="111"/>
      <c r="J1508" s="118"/>
      <c r="K1508" s="81"/>
    </row>
    <row r="1509" ht="13.5" customHeight="1">
      <c r="A1509" s="111"/>
      <c r="B1509" s="111"/>
      <c r="C1509" s="111"/>
      <c r="D1509" s="111"/>
      <c r="E1509" s="115"/>
      <c r="F1509" s="116"/>
      <c r="G1509" s="113"/>
      <c r="H1509" s="117"/>
      <c r="I1509" s="111"/>
      <c r="J1509" s="118"/>
      <c r="K1509" s="81"/>
    </row>
    <row r="1510" ht="13.5" customHeight="1">
      <c r="A1510" s="111"/>
      <c r="B1510" s="111"/>
      <c r="C1510" s="111"/>
      <c r="D1510" s="111"/>
      <c r="E1510" s="115"/>
      <c r="F1510" s="116"/>
      <c r="G1510" s="113"/>
      <c r="H1510" s="117"/>
      <c r="I1510" s="111"/>
      <c r="J1510" s="118"/>
      <c r="K1510" s="81"/>
    </row>
    <row r="1511" ht="13.5" customHeight="1">
      <c r="A1511" s="111"/>
      <c r="B1511" s="111"/>
      <c r="C1511" s="111"/>
      <c r="D1511" s="111"/>
      <c r="E1511" s="115"/>
      <c r="F1511" s="116"/>
      <c r="G1511" s="113"/>
      <c r="H1511" s="117"/>
      <c r="I1511" s="111"/>
      <c r="J1511" s="118"/>
      <c r="K1511" s="81"/>
    </row>
    <row r="1512" ht="13.5" customHeight="1">
      <c r="A1512" s="111"/>
      <c r="B1512" s="111"/>
      <c r="C1512" s="111"/>
      <c r="D1512" s="111"/>
      <c r="E1512" s="115"/>
      <c r="F1512" s="116"/>
      <c r="G1512" s="113"/>
      <c r="H1512" s="117"/>
      <c r="I1512" s="111"/>
      <c r="J1512" s="118"/>
      <c r="K1512" s="81"/>
    </row>
    <row r="1513" ht="13.5" customHeight="1">
      <c r="A1513" s="111"/>
      <c r="B1513" s="111"/>
      <c r="C1513" s="111"/>
      <c r="D1513" s="111"/>
      <c r="E1513" s="115"/>
      <c r="F1513" s="116"/>
      <c r="G1513" s="113"/>
      <c r="H1513" s="117"/>
      <c r="I1513" s="111"/>
      <c r="J1513" s="118"/>
      <c r="K1513" s="81"/>
    </row>
    <row r="1514" ht="13.5" customHeight="1">
      <c r="A1514" s="111"/>
      <c r="B1514" s="111"/>
      <c r="C1514" s="111"/>
      <c r="D1514" s="111"/>
      <c r="E1514" s="115"/>
      <c r="F1514" s="116"/>
      <c r="G1514" s="113"/>
      <c r="H1514" s="117"/>
      <c r="I1514" s="111"/>
      <c r="J1514" s="118"/>
      <c r="K1514" s="81"/>
    </row>
    <row r="1515" ht="13.5" customHeight="1">
      <c r="A1515" s="111"/>
      <c r="B1515" s="111"/>
      <c r="C1515" s="111"/>
      <c r="D1515" s="111"/>
      <c r="E1515" s="115"/>
      <c r="F1515" s="116"/>
      <c r="G1515" s="113"/>
      <c r="H1515" s="117"/>
      <c r="I1515" s="111"/>
      <c r="J1515" s="118"/>
      <c r="K1515" s="81"/>
    </row>
    <row r="1516" ht="13.5" customHeight="1">
      <c r="A1516" s="111"/>
      <c r="B1516" s="111"/>
      <c r="C1516" s="111"/>
      <c r="D1516" s="111"/>
      <c r="E1516" s="115"/>
      <c r="F1516" s="116"/>
      <c r="G1516" s="113"/>
      <c r="H1516" s="117"/>
      <c r="I1516" s="111"/>
      <c r="J1516" s="118"/>
      <c r="K1516" s="81"/>
    </row>
    <row r="1517" ht="13.5" customHeight="1">
      <c r="A1517" s="111"/>
      <c r="B1517" s="111"/>
      <c r="C1517" s="111"/>
      <c r="D1517" s="111"/>
      <c r="E1517" s="115"/>
      <c r="F1517" s="116"/>
      <c r="G1517" s="113"/>
      <c r="H1517" s="117"/>
      <c r="I1517" s="111"/>
      <c r="J1517" s="118"/>
      <c r="K1517" s="81"/>
    </row>
    <row r="1518" ht="13.5" customHeight="1">
      <c r="A1518" s="111"/>
      <c r="B1518" s="111"/>
      <c r="C1518" s="111"/>
      <c r="D1518" s="111"/>
      <c r="E1518" s="115"/>
      <c r="F1518" s="116"/>
      <c r="G1518" s="113"/>
      <c r="H1518" s="117"/>
      <c r="I1518" s="111"/>
      <c r="J1518" s="118"/>
      <c r="K1518" s="81"/>
    </row>
    <row r="1519" ht="13.5" customHeight="1">
      <c r="A1519" s="111"/>
      <c r="B1519" s="111"/>
      <c r="C1519" s="111"/>
      <c r="D1519" s="111"/>
      <c r="E1519" s="115"/>
      <c r="F1519" s="116"/>
      <c r="G1519" s="113"/>
      <c r="H1519" s="117"/>
      <c r="I1519" s="111"/>
      <c r="J1519" s="118"/>
      <c r="K1519" s="81"/>
    </row>
    <row r="1520" ht="13.5" customHeight="1">
      <c r="A1520" s="111"/>
      <c r="B1520" s="111"/>
      <c r="C1520" s="111"/>
      <c r="D1520" s="111"/>
      <c r="E1520" s="115"/>
      <c r="F1520" s="116"/>
      <c r="G1520" s="113"/>
      <c r="H1520" s="117"/>
      <c r="I1520" s="111"/>
      <c r="J1520" s="118"/>
      <c r="K1520" s="81"/>
    </row>
    <row r="1521" ht="13.5" customHeight="1">
      <c r="A1521" s="111"/>
      <c r="B1521" s="111"/>
      <c r="C1521" s="111"/>
      <c r="D1521" s="111"/>
      <c r="E1521" s="115"/>
      <c r="F1521" s="116"/>
      <c r="G1521" s="113"/>
      <c r="H1521" s="117"/>
      <c r="I1521" s="111"/>
      <c r="J1521" s="118"/>
      <c r="K1521" s="81"/>
    </row>
    <row r="1522" ht="13.5" customHeight="1">
      <c r="A1522" s="111"/>
      <c r="B1522" s="111"/>
      <c r="C1522" s="111"/>
      <c r="D1522" s="111"/>
      <c r="E1522" s="115"/>
      <c r="F1522" s="116"/>
      <c r="G1522" s="113"/>
      <c r="H1522" s="117"/>
      <c r="I1522" s="111"/>
      <c r="J1522" s="118"/>
      <c r="K1522" s="81"/>
    </row>
    <row r="1523" ht="13.5" customHeight="1">
      <c r="A1523" s="111"/>
      <c r="B1523" s="111"/>
      <c r="C1523" s="111"/>
      <c r="D1523" s="111"/>
      <c r="E1523" s="115"/>
      <c r="F1523" s="116"/>
      <c r="G1523" s="113"/>
      <c r="H1523" s="117"/>
      <c r="I1523" s="111"/>
      <c r="J1523" s="118"/>
      <c r="K1523" s="81"/>
    </row>
    <row r="1524" ht="13.5" customHeight="1">
      <c r="A1524" s="111"/>
      <c r="B1524" s="111"/>
      <c r="C1524" s="111"/>
      <c r="D1524" s="111"/>
      <c r="E1524" s="115"/>
      <c r="F1524" s="116"/>
      <c r="G1524" s="113"/>
      <c r="H1524" s="117"/>
      <c r="I1524" s="111"/>
      <c r="J1524" s="118"/>
      <c r="K1524" s="81"/>
    </row>
    <row r="1525" ht="13.5" customHeight="1">
      <c r="A1525" s="111"/>
      <c r="B1525" s="111"/>
      <c r="C1525" s="111"/>
      <c r="D1525" s="111"/>
      <c r="E1525" s="115"/>
      <c r="F1525" s="116"/>
      <c r="G1525" s="113"/>
      <c r="H1525" s="117"/>
      <c r="I1525" s="111"/>
      <c r="J1525" s="118"/>
      <c r="K1525" s="81"/>
    </row>
    <row r="1526" ht="13.5" customHeight="1">
      <c r="A1526" s="111"/>
      <c r="B1526" s="111"/>
      <c r="C1526" s="111"/>
      <c r="D1526" s="111"/>
      <c r="E1526" s="115"/>
      <c r="F1526" s="116"/>
      <c r="G1526" s="113"/>
      <c r="H1526" s="117"/>
      <c r="I1526" s="111"/>
      <c r="J1526" s="118"/>
      <c r="K1526" s="81"/>
    </row>
    <row r="1527" ht="13.5" customHeight="1">
      <c r="A1527" s="111"/>
      <c r="B1527" s="111"/>
      <c r="C1527" s="111"/>
      <c r="D1527" s="111"/>
      <c r="E1527" s="115"/>
      <c r="F1527" s="116"/>
      <c r="G1527" s="113"/>
      <c r="H1527" s="117"/>
      <c r="I1527" s="111"/>
      <c r="J1527" s="118"/>
      <c r="K1527" s="81"/>
    </row>
    <row r="1528" ht="13.5" customHeight="1">
      <c r="A1528" s="111"/>
      <c r="B1528" s="111"/>
      <c r="C1528" s="111"/>
      <c r="D1528" s="111"/>
      <c r="E1528" s="115"/>
      <c r="F1528" s="116"/>
      <c r="G1528" s="113"/>
      <c r="H1528" s="117"/>
      <c r="I1528" s="111"/>
      <c r="J1528" s="118"/>
      <c r="K1528" s="81"/>
    </row>
    <row r="1529" ht="13.5" customHeight="1">
      <c r="A1529" s="111"/>
      <c r="B1529" s="111"/>
      <c r="C1529" s="111"/>
      <c r="D1529" s="111"/>
      <c r="E1529" s="115"/>
      <c r="F1529" s="116"/>
      <c r="G1529" s="113"/>
      <c r="H1529" s="117"/>
      <c r="I1529" s="111"/>
      <c r="J1529" s="118"/>
      <c r="K1529" s="81"/>
    </row>
    <row r="1530" ht="13.5" customHeight="1">
      <c r="A1530" s="111"/>
      <c r="B1530" s="111"/>
      <c r="C1530" s="111"/>
      <c r="D1530" s="111"/>
      <c r="E1530" s="115"/>
      <c r="F1530" s="116"/>
      <c r="G1530" s="113"/>
      <c r="H1530" s="117"/>
      <c r="I1530" s="111"/>
      <c r="J1530" s="118"/>
      <c r="K1530" s="81"/>
    </row>
    <row r="1531" ht="13.5" customHeight="1">
      <c r="A1531" s="111"/>
      <c r="B1531" s="111"/>
      <c r="C1531" s="111"/>
      <c r="D1531" s="111"/>
      <c r="E1531" s="115"/>
      <c r="F1531" s="116"/>
      <c r="G1531" s="113"/>
      <c r="H1531" s="117"/>
      <c r="I1531" s="111"/>
      <c r="J1531" s="118"/>
      <c r="K1531" s="81"/>
    </row>
    <row r="1532" ht="13.5" customHeight="1">
      <c r="A1532" s="111"/>
      <c r="B1532" s="111"/>
      <c r="C1532" s="111"/>
      <c r="D1532" s="111"/>
      <c r="E1532" s="115"/>
      <c r="F1532" s="116"/>
      <c r="G1532" s="113"/>
      <c r="H1532" s="117"/>
      <c r="I1532" s="111"/>
      <c r="J1532" s="118"/>
      <c r="K1532" s="81"/>
    </row>
    <row r="1533" ht="13.5" customHeight="1">
      <c r="A1533" s="111"/>
      <c r="B1533" s="111"/>
      <c r="C1533" s="111"/>
      <c r="D1533" s="111"/>
      <c r="E1533" s="115"/>
      <c r="F1533" s="116"/>
      <c r="G1533" s="113"/>
      <c r="H1533" s="117"/>
      <c r="I1533" s="111"/>
      <c r="J1533" s="118"/>
      <c r="K1533" s="81"/>
    </row>
    <row r="1534" ht="13.5" customHeight="1">
      <c r="A1534" s="111"/>
      <c r="B1534" s="111"/>
      <c r="C1534" s="111"/>
      <c r="D1534" s="111"/>
      <c r="E1534" s="115"/>
      <c r="F1534" s="116"/>
      <c r="G1534" s="113"/>
      <c r="H1534" s="117"/>
      <c r="I1534" s="111"/>
      <c r="J1534" s="118"/>
      <c r="K1534" s="81"/>
    </row>
    <row r="1535" ht="13.5" customHeight="1">
      <c r="A1535" s="111"/>
      <c r="B1535" s="111"/>
      <c r="C1535" s="111"/>
      <c r="D1535" s="111"/>
      <c r="E1535" s="115"/>
      <c r="F1535" s="116"/>
      <c r="G1535" s="113"/>
      <c r="H1535" s="117"/>
      <c r="I1535" s="111"/>
      <c r="J1535" s="118"/>
      <c r="K1535" s="81"/>
    </row>
    <row r="1536" ht="13.5" customHeight="1">
      <c r="A1536" s="111"/>
      <c r="B1536" s="111"/>
      <c r="C1536" s="111"/>
      <c r="D1536" s="111"/>
      <c r="E1536" s="115"/>
      <c r="F1536" s="116"/>
      <c r="G1536" s="113"/>
      <c r="H1536" s="117"/>
      <c r="I1536" s="111"/>
      <c r="J1536" s="118"/>
      <c r="K1536" s="81"/>
    </row>
    <row r="1537" ht="13.5" customHeight="1">
      <c r="A1537" s="111"/>
      <c r="B1537" s="111"/>
      <c r="C1537" s="111"/>
      <c r="D1537" s="111"/>
      <c r="E1537" s="115"/>
      <c r="F1537" s="116"/>
      <c r="G1537" s="113"/>
      <c r="H1537" s="117"/>
      <c r="I1537" s="111"/>
      <c r="J1537" s="118"/>
      <c r="K1537" s="81"/>
    </row>
    <row r="1538" ht="13.5" customHeight="1">
      <c r="A1538" s="111"/>
      <c r="B1538" s="111"/>
      <c r="C1538" s="111"/>
      <c r="D1538" s="111"/>
      <c r="E1538" s="115"/>
      <c r="F1538" s="116"/>
      <c r="G1538" s="113"/>
      <c r="H1538" s="117"/>
      <c r="I1538" s="111"/>
      <c r="J1538" s="118"/>
      <c r="K1538" s="81"/>
    </row>
    <row r="1539" ht="13.5" customHeight="1">
      <c r="A1539" s="111"/>
      <c r="B1539" s="111"/>
      <c r="C1539" s="111"/>
      <c r="D1539" s="111"/>
      <c r="E1539" s="115"/>
      <c r="F1539" s="116"/>
      <c r="G1539" s="113"/>
      <c r="H1539" s="117"/>
      <c r="I1539" s="111"/>
      <c r="J1539" s="118"/>
      <c r="K1539" s="81"/>
    </row>
    <row r="1540" ht="13.5" customHeight="1">
      <c r="A1540" s="111"/>
      <c r="B1540" s="111"/>
      <c r="C1540" s="111"/>
      <c r="D1540" s="111"/>
      <c r="E1540" s="115"/>
      <c r="F1540" s="116"/>
      <c r="G1540" s="113"/>
      <c r="H1540" s="117"/>
      <c r="I1540" s="111"/>
      <c r="J1540" s="118"/>
      <c r="K1540" s="81"/>
    </row>
    <row r="1541" ht="13.5" customHeight="1">
      <c r="A1541" s="111"/>
      <c r="B1541" s="111"/>
      <c r="C1541" s="111"/>
      <c r="D1541" s="111"/>
      <c r="E1541" s="115"/>
      <c r="F1541" s="116"/>
      <c r="G1541" s="113"/>
      <c r="H1541" s="117"/>
      <c r="I1541" s="111"/>
      <c r="J1541" s="118"/>
      <c r="K1541" s="81"/>
    </row>
    <row r="1542" ht="13.5" customHeight="1">
      <c r="A1542" s="111"/>
      <c r="B1542" s="111"/>
      <c r="C1542" s="111"/>
      <c r="D1542" s="111"/>
      <c r="E1542" s="115"/>
      <c r="F1542" s="116"/>
      <c r="G1542" s="113"/>
      <c r="H1542" s="117"/>
      <c r="I1542" s="111"/>
      <c r="J1542" s="118"/>
      <c r="K1542" s="81"/>
    </row>
    <row r="1543" ht="13.5" customHeight="1">
      <c r="A1543" s="111"/>
      <c r="B1543" s="111"/>
      <c r="C1543" s="111"/>
      <c r="D1543" s="111"/>
      <c r="E1543" s="115"/>
      <c r="F1543" s="116"/>
      <c r="G1543" s="113"/>
      <c r="H1543" s="117"/>
      <c r="I1543" s="111"/>
      <c r="J1543" s="118"/>
      <c r="K1543" s="81"/>
    </row>
    <row r="1544" ht="13.5" customHeight="1">
      <c r="A1544" s="111"/>
      <c r="B1544" s="111"/>
      <c r="C1544" s="111"/>
      <c r="D1544" s="111"/>
      <c r="E1544" s="115"/>
      <c r="F1544" s="116"/>
      <c r="G1544" s="113"/>
      <c r="H1544" s="117"/>
      <c r="I1544" s="111"/>
      <c r="J1544" s="118"/>
      <c r="K1544" s="81"/>
    </row>
    <row r="1545" ht="13.5" customHeight="1">
      <c r="A1545" s="111"/>
      <c r="B1545" s="111"/>
      <c r="C1545" s="111"/>
      <c r="D1545" s="111"/>
      <c r="E1545" s="115"/>
      <c r="F1545" s="116"/>
      <c r="G1545" s="113"/>
      <c r="H1545" s="117"/>
      <c r="I1545" s="111"/>
      <c r="J1545" s="118"/>
      <c r="K1545" s="81"/>
    </row>
    <row r="1546" ht="13.5" customHeight="1">
      <c r="A1546" s="111"/>
      <c r="B1546" s="111"/>
      <c r="C1546" s="111"/>
      <c r="D1546" s="111"/>
      <c r="E1546" s="115"/>
      <c r="F1546" s="116"/>
      <c r="G1546" s="113"/>
      <c r="H1546" s="117"/>
      <c r="I1546" s="111"/>
      <c r="J1546" s="118"/>
      <c r="K1546" s="81"/>
    </row>
    <row r="1547" ht="13.5" customHeight="1">
      <c r="A1547" s="111"/>
      <c r="B1547" s="111"/>
      <c r="C1547" s="111"/>
      <c r="D1547" s="111"/>
      <c r="E1547" s="115"/>
      <c r="F1547" s="116"/>
      <c r="G1547" s="113"/>
      <c r="H1547" s="117"/>
      <c r="I1547" s="111"/>
      <c r="J1547" s="118"/>
      <c r="K1547" s="81"/>
    </row>
    <row r="1548" ht="13.5" customHeight="1">
      <c r="A1548" s="111"/>
      <c r="B1548" s="111"/>
      <c r="C1548" s="111"/>
      <c r="D1548" s="111"/>
      <c r="E1548" s="115"/>
      <c r="F1548" s="116"/>
      <c r="G1548" s="113"/>
      <c r="H1548" s="117"/>
      <c r="I1548" s="111"/>
      <c r="J1548" s="118"/>
      <c r="K1548" s="81"/>
    </row>
    <row r="1549" ht="13.5" customHeight="1">
      <c r="A1549" s="111"/>
      <c r="B1549" s="111"/>
      <c r="C1549" s="111"/>
      <c r="D1549" s="111"/>
      <c r="E1549" s="115"/>
      <c r="F1549" s="116"/>
      <c r="G1549" s="113"/>
      <c r="H1549" s="117"/>
      <c r="I1549" s="111"/>
      <c r="J1549" s="118"/>
      <c r="K1549" s="81"/>
    </row>
    <row r="1550" ht="13.5" customHeight="1">
      <c r="A1550" s="111"/>
      <c r="B1550" s="111"/>
      <c r="C1550" s="111"/>
      <c r="D1550" s="111"/>
      <c r="E1550" s="115"/>
      <c r="F1550" s="116"/>
      <c r="G1550" s="113"/>
      <c r="H1550" s="117"/>
      <c r="I1550" s="111"/>
      <c r="J1550" s="118"/>
      <c r="K1550" s="81"/>
    </row>
    <row r="1551" ht="13.5" customHeight="1">
      <c r="A1551" s="111"/>
      <c r="B1551" s="111"/>
      <c r="C1551" s="111"/>
      <c r="D1551" s="111"/>
      <c r="E1551" s="115"/>
      <c r="F1551" s="116"/>
      <c r="G1551" s="113"/>
      <c r="H1551" s="117"/>
      <c r="I1551" s="111"/>
      <c r="J1551" s="118"/>
      <c r="K1551" s="81"/>
    </row>
    <row r="1552" ht="13.5" customHeight="1">
      <c r="A1552" s="111"/>
      <c r="B1552" s="111"/>
      <c r="C1552" s="111"/>
      <c r="D1552" s="111"/>
      <c r="E1552" s="115"/>
      <c r="F1552" s="116"/>
      <c r="G1552" s="113"/>
      <c r="H1552" s="117"/>
      <c r="I1552" s="111"/>
      <c r="J1552" s="118"/>
      <c r="K1552" s="81"/>
    </row>
    <row r="1553" ht="13.5" customHeight="1">
      <c r="A1553" s="111"/>
      <c r="B1553" s="111"/>
      <c r="C1553" s="111"/>
      <c r="D1553" s="111"/>
      <c r="E1553" s="115"/>
      <c r="F1553" s="116"/>
      <c r="G1553" s="113"/>
      <c r="H1553" s="117"/>
      <c r="I1553" s="111"/>
      <c r="J1553" s="118"/>
      <c r="K1553" s="81"/>
    </row>
    <row r="1554" ht="13.5" customHeight="1">
      <c r="A1554" s="111"/>
      <c r="B1554" s="111"/>
      <c r="C1554" s="111"/>
      <c r="D1554" s="111"/>
      <c r="E1554" s="115"/>
      <c r="F1554" s="116"/>
      <c r="G1554" s="113"/>
      <c r="H1554" s="117"/>
      <c r="I1554" s="111"/>
      <c r="J1554" s="118"/>
      <c r="K1554" s="81"/>
    </row>
    <row r="1555" ht="13.5" customHeight="1">
      <c r="A1555" s="111"/>
      <c r="B1555" s="111"/>
      <c r="C1555" s="111"/>
      <c r="D1555" s="111"/>
      <c r="E1555" s="115"/>
      <c r="F1555" s="116"/>
      <c r="G1555" s="113"/>
      <c r="H1555" s="117"/>
      <c r="I1555" s="111"/>
      <c r="J1555" s="118"/>
      <c r="K1555" s="81"/>
    </row>
    <row r="1556" ht="13.5" customHeight="1">
      <c r="A1556" s="111"/>
      <c r="B1556" s="111"/>
      <c r="C1556" s="111"/>
      <c r="D1556" s="111"/>
      <c r="E1556" s="115"/>
      <c r="F1556" s="116"/>
      <c r="G1556" s="113"/>
      <c r="H1556" s="117"/>
      <c r="I1556" s="111"/>
      <c r="J1556" s="118"/>
      <c r="K1556" s="81"/>
    </row>
    <row r="1557" ht="13.5" customHeight="1">
      <c r="A1557" s="111"/>
      <c r="B1557" s="111"/>
      <c r="C1557" s="111"/>
      <c r="D1557" s="111"/>
      <c r="E1557" s="115"/>
      <c r="F1557" s="116"/>
      <c r="G1557" s="113"/>
      <c r="H1557" s="117"/>
      <c r="I1557" s="111"/>
      <c r="J1557" s="118"/>
      <c r="K1557" s="81"/>
    </row>
    <row r="1558" ht="13.5" customHeight="1">
      <c r="A1558" s="111"/>
      <c r="B1558" s="111"/>
      <c r="C1558" s="111"/>
      <c r="D1558" s="111"/>
      <c r="E1558" s="115"/>
      <c r="F1558" s="116"/>
      <c r="G1558" s="113"/>
      <c r="H1558" s="117"/>
      <c r="I1558" s="111"/>
      <c r="J1558" s="118"/>
      <c r="K1558" s="81"/>
    </row>
    <row r="1559" ht="13.5" customHeight="1">
      <c r="A1559" s="111"/>
      <c r="B1559" s="111"/>
      <c r="C1559" s="111"/>
      <c r="D1559" s="111"/>
      <c r="E1559" s="115"/>
      <c r="F1559" s="116"/>
      <c r="G1559" s="113"/>
      <c r="H1559" s="117"/>
      <c r="I1559" s="111"/>
      <c r="J1559" s="118"/>
      <c r="K1559" s="81"/>
    </row>
    <row r="1560" ht="13.5" customHeight="1">
      <c r="A1560" s="111"/>
      <c r="B1560" s="111"/>
      <c r="C1560" s="111"/>
      <c r="D1560" s="111"/>
      <c r="E1560" s="115"/>
      <c r="F1560" s="116"/>
      <c r="G1560" s="113"/>
      <c r="H1560" s="117"/>
      <c r="I1560" s="111"/>
      <c r="J1560" s="118"/>
      <c r="K1560" s="81"/>
    </row>
    <row r="1561" ht="13.5" customHeight="1">
      <c r="A1561" s="111"/>
      <c r="B1561" s="111"/>
      <c r="C1561" s="111"/>
      <c r="D1561" s="111"/>
      <c r="E1561" s="115"/>
      <c r="F1561" s="116"/>
      <c r="G1561" s="113"/>
      <c r="H1561" s="117"/>
      <c r="I1561" s="111"/>
      <c r="J1561" s="118"/>
      <c r="K1561" s="81"/>
    </row>
    <row r="1562" ht="13.5" customHeight="1">
      <c r="A1562" s="111"/>
      <c r="B1562" s="111"/>
      <c r="C1562" s="111"/>
      <c r="D1562" s="111"/>
      <c r="E1562" s="115"/>
      <c r="F1562" s="116"/>
      <c r="G1562" s="113"/>
      <c r="H1562" s="117"/>
      <c r="I1562" s="111"/>
      <c r="J1562" s="118"/>
      <c r="K1562" s="81"/>
    </row>
    <row r="1563" ht="13.5" customHeight="1">
      <c r="A1563" s="111"/>
      <c r="B1563" s="111"/>
      <c r="C1563" s="111"/>
      <c r="D1563" s="111"/>
      <c r="E1563" s="115"/>
      <c r="F1563" s="116"/>
      <c r="G1563" s="113"/>
      <c r="H1563" s="117"/>
      <c r="I1563" s="111"/>
      <c r="J1563" s="118"/>
      <c r="K1563" s="81"/>
    </row>
    <row r="1564" ht="13.5" customHeight="1">
      <c r="A1564" s="111"/>
      <c r="B1564" s="111"/>
      <c r="C1564" s="111"/>
      <c r="D1564" s="111"/>
      <c r="E1564" s="115"/>
      <c r="F1564" s="116"/>
      <c r="G1564" s="113"/>
      <c r="H1564" s="117"/>
      <c r="I1564" s="111"/>
      <c r="J1564" s="118"/>
      <c r="K1564" s="81"/>
    </row>
    <row r="1565" ht="13.5" customHeight="1">
      <c r="A1565" s="111"/>
      <c r="B1565" s="111"/>
      <c r="C1565" s="111"/>
      <c r="D1565" s="111"/>
      <c r="E1565" s="115"/>
      <c r="F1565" s="116"/>
      <c r="G1565" s="113"/>
      <c r="H1565" s="117"/>
      <c r="I1565" s="111"/>
      <c r="J1565" s="118"/>
      <c r="K1565" s="81"/>
    </row>
    <row r="1566" ht="13.5" customHeight="1">
      <c r="A1566" s="111"/>
      <c r="B1566" s="111"/>
      <c r="C1566" s="111"/>
      <c r="D1566" s="111"/>
      <c r="E1566" s="115"/>
      <c r="F1566" s="116"/>
      <c r="G1566" s="113"/>
      <c r="H1566" s="117"/>
      <c r="I1566" s="111"/>
      <c r="J1566" s="118"/>
      <c r="K1566" s="81"/>
    </row>
    <row r="1567" ht="13.5" customHeight="1">
      <c r="A1567" s="111"/>
      <c r="B1567" s="111"/>
      <c r="C1567" s="111"/>
      <c r="D1567" s="111"/>
      <c r="E1567" s="115"/>
      <c r="F1567" s="116"/>
      <c r="G1567" s="113"/>
      <c r="H1567" s="117"/>
      <c r="I1567" s="111"/>
      <c r="J1567" s="118"/>
      <c r="K1567" s="81"/>
    </row>
    <row r="1568" ht="13.5" customHeight="1">
      <c r="A1568" s="111"/>
      <c r="B1568" s="111"/>
      <c r="C1568" s="111"/>
      <c r="D1568" s="111"/>
      <c r="E1568" s="115"/>
      <c r="F1568" s="116"/>
      <c r="G1568" s="113"/>
      <c r="H1568" s="117"/>
      <c r="I1568" s="111"/>
      <c r="J1568" s="118"/>
      <c r="K1568" s="81"/>
    </row>
    <row r="1569" ht="13.5" customHeight="1">
      <c r="A1569" s="111"/>
      <c r="B1569" s="111"/>
      <c r="C1569" s="111"/>
      <c r="D1569" s="111"/>
      <c r="E1569" s="115"/>
      <c r="F1569" s="116"/>
      <c r="G1569" s="113"/>
      <c r="H1569" s="117"/>
      <c r="I1569" s="111"/>
      <c r="J1569" s="118"/>
      <c r="K1569" s="81"/>
    </row>
    <row r="1570" ht="13.5" customHeight="1">
      <c r="A1570" s="111"/>
      <c r="B1570" s="111"/>
      <c r="C1570" s="111"/>
      <c r="D1570" s="111"/>
      <c r="E1570" s="115"/>
      <c r="F1570" s="116"/>
      <c r="G1570" s="113"/>
      <c r="H1570" s="117"/>
      <c r="I1570" s="111"/>
      <c r="J1570" s="118"/>
      <c r="K1570" s="81"/>
    </row>
    <row r="1571" ht="13.5" customHeight="1">
      <c r="A1571" s="111"/>
      <c r="B1571" s="111"/>
      <c r="C1571" s="111"/>
      <c r="D1571" s="111"/>
      <c r="E1571" s="115"/>
      <c r="F1571" s="116"/>
      <c r="G1571" s="113"/>
      <c r="H1571" s="117"/>
      <c r="I1571" s="111"/>
      <c r="J1571" s="118"/>
      <c r="K1571" s="81"/>
    </row>
    <row r="1572" ht="13.5" customHeight="1">
      <c r="A1572" s="111"/>
      <c r="B1572" s="111"/>
      <c r="C1572" s="111"/>
      <c r="D1572" s="111"/>
      <c r="E1572" s="115"/>
      <c r="F1572" s="116"/>
      <c r="G1572" s="113"/>
      <c r="H1572" s="117"/>
      <c r="I1572" s="111"/>
      <c r="J1572" s="118"/>
      <c r="K1572" s="81"/>
    </row>
    <row r="1573" ht="13.5" customHeight="1">
      <c r="A1573" s="111"/>
      <c r="B1573" s="111"/>
      <c r="C1573" s="111"/>
      <c r="D1573" s="111"/>
      <c r="E1573" s="115"/>
      <c r="F1573" s="116"/>
      <c r="G1573" s="113"/>
      <c r="H1573" s="117"/>
      <c r="I1573" s="111"/>
      <c r="J1573" s="118"/>
      <c r="K1573" s="81"/>
    </row>
    <row r="1574" ht="13.5" customHeight="1">
      <c r="A1574" s="111"/>
      <c r="B1574" s="111"/>
      <c r="C1574" s="111"/>
      <c r="D1574" s="111"/>
      <c r="E1574" s="115"/>
      <c r="F1574" s="116"/>
      <c r="G1574" s="113"/>
      <c r="H1574" s="117"/>
      <c r="I1574" s="111"/>
      <c r="J1574" s="118"/>
      <c r="K1574" s="81"/>
    </row>
    <row r="1575" ht="13.5" customHeight="1">
      <c r="A1575" s="111"/>
      <c r="B1575" s="111"/>
      <c r="C1575" s="111"/>
      <c r="D1575" s="111"/>
      <c r="E1575" s="115"/>
      <c r="F1575" s="116"/>
      <c r="G1575" s="113"/>
      <c r="H1575" s="117"/>
      <c r="I1575" s="111"/>
      <c r="J1575" s="118"/>
      <c r="K1575" s="81"/>
    </row>
    <row r="1576" ht="13.5" customHeight="1">
      <c r="A1576" s="111"/>
      <c r="B1576" s="111"/>
      <c r="C1576" s="111"/>
      <c r="D1576" s="111"/>
      <c r="E1576" s="115"/>
      <c r="F1576" s="116"/>
      <c r="G1576" s="113"/>
      <c r="H1576" s="117"/>
      <c r="I1576" s="111"/>
      <c r="J1576" s="118"/>
      <c r="K1576" s="81"/>
    </row>
    <row r="1577" ht="13.5" customHeight="1">
      <c r="A1577" s="111"/>
      <c r="B1577" s="111"/>
      <c r="C1577" s="111"/>
      <c r="D1577" s="111"/>
      <c r="E1577" s="115"/>
      <c r="F1577" s="116"/>
      <c r="G1577" s="113"/>
      <c r="H1577" s="117"/>
      <c r="I1577" s="111"/>
      <c r="J1577" s="118"/>
      <c r="K1577" s="81"/>
    </row>
    <row r="1578" ht="13.5" customHeight="1">
      <c r="A1578" s="111"/>
      <c r="B1578" s="111"/>
      <c r="C1578" s="111"/>
      <c r="D1578" s="111"/>
      <c r="E1578" s="115"/>
      <c r="F1578" s="116"/>
      <c r="G1578" s="113"/>
      <c r="H1578" s="117"/>
      <c r="I1578" s="111"/>
      <c r="J1578" s="118"/>
      <c r="K1578" s="81"/>
    </row>
    <row r="1579" ht="13.5" customHeight="1">
      <c r="A1579" s="111"/>
      <c r="B1579" s="111"/>
      <c r="C1579" s="111"/>
      <c r="D1579" s="111"/>
      <c r="E1579" s="115"/>
      <c r="F1579" s="116"/>
      <c r="G1579" s="113"/>
      <c r="H1579" s="117"/>
      <c r="I1579" s="111"/>
      <c r="J1579" s="118"/>
      <c r="K1579" s="81"/>
    </row>
    <row r="1580" ht="13.5" customHeight="1">
      <c r="A1580" s="111"/>
      <c r="B1580" s="111"/>
      <c r="C1580" s="111"/>
      <c r="D1580" s="111"/>
      <c r="E1580" s="115"/>
      <c r="F1580" s="116"/>
      <c r="G1580" s="113"/>
      <c r="H1580" s="117"/>
      <c r="I1580" s="111"/>
      <c r="J1580" s="118"/>
      <c r="K1580" s="81"/>
    </row>
    <row r="1581" ht="13.5" customHeight="1">
      <c r="A1581" s="111"/>
      <c r="B1581" s="111"/>
      <c r="C1581" s="111"/>
      <c r="D1581" s="111"/>
      <c r="E1581" s="115"/>
      <c r="F1581" s="116"/>
      <c r="G1581" s="113"/>
      <c r="H1581" s="117"/>
      <c r="I1581" s="111"/>
      <c r="J1581" s="118"/>
      <c r="K1581" s="81"/>
    </row>
    <row r="1582" ht="13.5" customHeight="1">
      <c r="A1582" s="111"/>
      <c r="B1582" s="111"/>
      <c r="C1582" s="111"/>
      <c r="D1582" s="111"/>
      <c r="E1582" s="115"/>
      <c r="F1582" s="116"/>
      <c r="G1582" s="113"/>
      <c r="H1582" s="117"/>
      <c r="I1582" s="111"/>
      <c r="J1582" s="118"/>
      <c r="K1582" s="81"/>
    </row>
    <row r="1583" ht="13.5" customHeight="1">
      <c r="A1583" s="111"/>
      <c r="B1583" s="111"/>
      <c r="C1583" s="111"/>
      <c r="D1583" s="111"/>
      <c r="E1583" s="115"/>
      <c r="F1583" s="116"/>
      <c r="G1583" s="113"/>
      <c r="H1583" s="117"/>
      <c r="I1583" s="111"/>
      <c r="J1583" s="118"/>
      <c r="K1583" s="81"/>
    </row>
    <row r="1584" ht="13.5" customHeight="1">
      <c r="A1584" s="111"/>
      <c r="B1584" s="111"/>
      <c r="C1584" s="111"/>
      <c r="D1584" s="111"/>
      <c r="E1584" s="115"/>
      <c r="F1584" s="116"/>
      <c r="G1584" s="113"/>
      <c r="H1584" s="117"/>
      <c r="I1584" s="111"/>
      <c r="J1584" s="118"/>
      <c r="K1584" s="81"/>
    </row>
    <row r="1585" ht="13.5" customHeight="1">
      <c r="A1585" s="111"/>
      <c r="B1585" s="111"/>
      <c r="C1585" s="111"/>
      <c r="D1585" s="111"/>
      <c r="E1585" s="115"/>
      <c r="F1585" s="116"/>
      <c r="G1585" s="113"/>
      <c r="H1585" s="117"/>
      <c r="I1585" s="111"/>
      <c r="J1585" s="118"/>
      <c r="K1585" s="81"/>
    </row>
    <row r="1586" ht="13.5" customHeight="1">
      <c r="A1586" s="111"/>
      <c r="B1586" s="111"/>
      <c r="C1586" s="111"/>
      <c r="D1586" s="111"/>
      <c r="E1586" s="115"/>
      <c r="F1586" s="116"/>
      <c r="G1586" s="113"/>
      <c r="H1586" s="117"/>
      <c r="I1586" s="111"/>
      <c r="J1586" s="118"/>
      <c r="K1586" s="81"/>
    </row>
    <row r="1587" ht="13.5" customHeight="1">
      <c r="A1587" s="111"/>
      <c r="B1587" s="111"/>
      <c r="C1587" s="111"/>
      <c r="D1587" s="111"/>
      <c r="E1587" s="115"/>
      <c r="F1587" s="116"/>
      <c r="G1587" s="113"/>
      <c r="H1587" s="117"/>
      <c r="I1587" s="111"/>
      <c r="J1587" s="118"/>
      <c r="K1587" s="81"/>
    </row>
    <row r="1588" ht="13.5" customHeight="1">
      <c r="A1588" s="111"/>
      <c r="B1588" s="111"/>
      <c r="C1588" s="111"/>
      <c r="D1588" s="111"/>
      <c r="E1588" s="115"/>
      <c r="F1588" s="116"/>
      <c r="G1588" s="113"/>
      <c r="H1588" s="117"/>
      <c r="I1588" s="111"/>
      <c r="J1588" s="118"/>
      <c r="K1588" s="81"/>
    </row>
    <row r="1589" ht="13.5" customHeight="1">
      <c r="A1589" s="111"/>
      <c r="B1589" s="111"/>
      <c r="C1589" s="111"/>
      <c r="D1589" s="111"/>
      <c r="E1589" s="115"/>
      <c r="F1589" s="116"/>
      <c r="G1589" s="113"/>
      <c r="H1589" s="117"/>
      <c r="I1589" s="111"/>
      <c r="J1589" s="118"/>
      <c r="K1589" s="81"/>
    </row>
    <row r="1590" ht="13.5" customHeight="1">
      <c r="A1590" s="111"/>
      <c r="B1590" s="111"/>
      <c r="C1590" s="111"/>
      <c r="D1590" s="111"/>
      <c r="E1590" s="115"/>
      <c r="F1590" s="116"/>
      <c r="G1590" s="113"/>
      <c r="H1590" s="117"/>
      <c r="I1590" s="111"/>
      <c r="J1590" s="118"/>
      <c r="K1590" s="81"/>
    </row>
    <row r="1591" ht="13.5" customHeight="1">
      <c r="A1591" s="111"/>
      <c r="B1591" s="111"/>
      <c r="C1591" s="111"/>
      <c r="D1591" s="111"/>
      <c r="E1591" s="115"/>
      <c r="F1591" s="116"/>
      <c r="G1591" s="113"/>
      <c r="H1591" s="117"/>
      <c r="I1591" s="111"/>
      <c r="J1591" s="118"/>
      <c r="K1591" s="81"/>
    </row>
    <row r="1592" ht="13.5" customHeight="1">
      <c r="A1592" s="111"/>
      <c r="B1592" s="111"/>
      <c r="C1592" s="111"/>
      <c r="D1592" s="111"/>
      <c r="E1592" s="115"/>
      <c r="F1592" s="116"/>
      <c r="G1592" s="113"/>
      <c r="H1592" s="117"/>
      <c r="I1592" s="111"/>
      <c r="J1592" s="118"/>
      <c r="K1592" s="81"/>
    </row>
    <row r="1593" ht="13.5" customHeight="1">
      <c r="A1593" s="111"/>
      <c r="B1593" s="111"/>
      <c r="C1593" s="111"/>
      <c r="D1593" s="111"/>
      <c r="E1593" s="115"/>
      <c r="F1593" s="116"/>
      <c r="G1593" s="113"/>
      <c r="H1593" s="117"/>
      <c r="I1593" s="111"/>
      <c r="J1593" s="118"/>
      <c r="K1593" s="81"/>
    </row>
    <row r="1594" ht="13.5" customHeight="1">
      <c r="A1594" s="111"/>
      <c r="B1594" s="111"/>
      <c r="C1594" s="111"/>
      <c r="D1594" s="111"/>
      <c r="E1594" s="115"/>
      <c r="F1594" s="116"/>
      <c r="G1594" s="113"/>
      <c r="H1594" s="117"/>
      <c r="I1594" s="111"/>
      <c r="J1594" s="118"/>
      <c r="K1594" s="81"/>
    </row>
    <row r="1595" ht="13.5" customHeight="1">
      <c r="A1595" s="111"/>
      <c r="B1595" s="111"/>
      <c r="C1595" s="111"/>
      <c r="D1595" s="111"/>
      <c r="E1595" s="115"/>
      <c r="F1595" s="116"/>
      <c r="G1595" s="113"/>
      <c r="H1595" s="117"/>
      <c r="I1595" s="111"/>
      <c r="J1595" s="118"/>
      <c r="K1595" s="81"/>
    </row>
    <row r="1596" ht="13.5" customHeight="1">
      <c r="A1596" s="111"/>
      <c r="B1596" s="111"/>
      <c r="C1596" s="111"/>
      <c r="D1596" s="111"/>
      <c r="E1596" s="115"/>
      <c r="F1596" s="116"/>
      <c r="G1596" s="113"/>
      <c r="H1596" s="117"/>
      <c r="I1596" s="111"/>
      <c r="J1596" s="118"/>
      <c r="K1596" s="81"/>
    </row>
    <row r="1597" ht="13.5" customHeight="1">
      <c r="A1597" s="111"/>
      <c r="B1597" s="111"/>
      <c r="C1597" s="111"/>
      <c r="D1597" s="111"/>
      <c r="E1597" s="115"/>
      <c r="F1597" s="116"/>
      <c r="G1597" s="113"/>
      <c r="H1597" s="117"/>
      <c r="I1597" s="111"/>
      <c r="J1597" s="118"/>
      <c r="K1597" s="81"/>
    </row>
    <row r="1598" ht="13.5" customHeight="1">
      <c r="A1598" s="111"/>
      <c r="B1598" s="111"/>
      <c r="C1598" s="111"/>
      <c r="D1598" s="111"/>
      <c r="E1598" s="115"/>
      <c r="F1598" s="116"/>
      <c r="G1598" s="113"/>
      <c r="H1598" s="117"/>
      <c r="I1598" s="111"/>
      <c r="J1598" s="118"/>
      <c r="K1598" s="81"/>
    </row>
    <row r="1599" ht="13.5" customHeight="1">
      <c r="A1599" s="111"/>
      <c r="B1599" s="111"/>
      <c r="C1599" s="111"/>
      <c r="D1599" s="111"/>
      <c r="E1599" s="115"/>
      <c r="F1599" s="116"/>
      <c r="G1599" s="113"/>
      <c r="H1599" s="117"/>
      <c r="I1599" s="111"/>
      <c r="J1599" s="118"/>
      <c r="K1599" s="81"/>
    </row>
    <row r="1600" ht="13.5" customHeight="1">
      <c r="A1600" s="111"/>
      <c r="B1600" s="111"/>
      <c r="C1600" s="111"/>
      <c r="D1600" s="111"/>
      <c r="E1600" s="115"/>
      <c r="F1600" s="116"/>
      <c r="G1600" s="113"/>
      <c r="H1600" s="117"/>
      <c r="I1600" s="111"/>
      <c r="J1600" s="118"/>
      <c r="K1600" s="81"/>
    </row>
    <row r="1601" ht="13.5" customHeight="1">
      <c r="A1601" s="111"/>
      <c r="B1601" s="111"/>
      <c r="C1601" s="111"/>
      <c r="D1601" s="111"/>
      <c r="E1601" s="115"/>
      <c r="F1601" s="116"/>
      <c r="G1601" s="113"/>
      <c r="H1601" s="117"/>
      <c r="I1601" s="111"/>
      <c r="J1601" s="118"/>
      <c r="K1601" s="81"/>
    </row>
    <row r="1602" ht="13.5" customHeight="1">
      <c r="A1602" s="111"/>
      <c r="B1602" s="111"/>
      <c r="C1602" s="111"/>
      <c r="D1602" s="111"/>
      <c r="E1602" s="115"/>
      <c r="F1602" s="116"/>
      <c r="G1602" s="113"/>
      <c r="H1602" s="117"/>
      <c r="I1602" s="111"/>
      <c r="J1602" s="118"/>
      <c r="K1602" s="81"/>
    </row>
    <row r="1603" ht="13.5" customHeight="1">
      <c r="A1603" s="111"/>
      <c r="B1603" s="111"/>
      <c r="C1603" s="111"/>
      <c r="D1603" s="111"/>
      <c r="E1603" s="115"/>
      <c r="F1603" s="116"/>
      <c r="G1603" s="113"/>
      <c r="H1603" s="117"/>
      <c r="I1603" s="111"/>
      <c r="J1603" s="118"/>
      <c r="K1603" s="81"/>
    </row>
    <row r="1604" ht="13.5" customHeight="1">
      <c r="A1604" s="111"/>
      <c r="B1604" s="111"/>
      <c r="C1604" s="111"/>
      <c r="D1604" s="111"/>
      <c r="E1604" s="115"/>
      <c r="F1604" s="116"/>
      <c r="G1604" s="113"/>
      <c r="H1604" s="117"/>
      <c r="I1604" s="111"/>
      <c r="J1604" s="118"/>
      <c r="K1604" s="81"/>
    </row>
    <row r="1605" ht="13.5" customHeight="1">
      <c r="A1605" s="111"/>
      <c r="B1605" s="111"/>
      <c r="C1605" s="111"/>
      <c r="D1605" s="111"/>
      <c r="E1605" s="115"/>
      <c r="F1605" s="116"/>
      <c r="G1605" s="113"/>
      <c r="H1605" s="117"/>
      <c r="I1605" s="111"/>
      <c r="J1605" s="118"/>
      <c r="K1605" s="81"/>
    </row>
    <row r="1606" ht="13.5" customHeight="1">
      <c r="A1606" s="111"/>
      <c r="B1606" s="111"/>
      <c r="C1606" s="111"/>
      <c r="D1606" s="111"/>
      <c r="E1606" s="115"/>
      <c r="F1606" s="116"/>
      <c r="G1606" s="113"/>
      <c r="H1606" s="117"/>
      <c r="I1606" s="111"/>
      <c r="J1606" s="118"/>
      <c r="K1606" s="81"/>
    </row>
    <row r="1607" ht="13.5" customHeight="1">
      <c r="A1607" s="111"/>
      <c r="B1607" s="111"/>
      <c r="C1607" s="111"/>
      <c r="D1607" s="111"/>
      <c r="E1607" s="115"/>
      <c r="F1607" s="116"/>
      <c r="G1607" s="113"/>
      <c r="H1607" s="117"/>
      <c r="I1607" s="111"/>
      <c r="J1607" s="118"/>
      <c r="K1607" s="81"/>
    </row>
    <row r="1608" ht="13.5" customHeight="1">
      <c r="A1608" s="111"/>
      <c r="B1608" s="111"/>
      <c r="C1608" s="111"/>
      <c r="D1608" s="111"/>
      <c r="E1608" s="115"/>
      <c r="F1608" s="116"/>
      <c r="G1608" s="113"/>
      <c r="H1608" s="117"/>
      <c r="I1608" s="111"/>
      <c r="J1608" s="118"/>
      <c r="K1608" s="81"/>
    </row>
    <row r="1609" ht="13.5" customHeight="1">
      <c r="A1609" s="111"/>
      <c r="B1609" s="111"/>
      <c r="C1609" s="111"/>
      <c r="D1609" s="111"/>
      <c r="E1609" s="115"/>
      <c r="F1609" s="116"/>
      <c r="G1609" s="113"/>
      <c r="H1609" s="117"/>
      <c r="I1609" s="111"/>
      <c r="J1609" s="118"/>
      <c r="K1609" s="81"/>
    </row>
    <row r="1610" ht="13.5" customHeight="1">
      <c r="A1610" s="111"/>
      <c r="B1610" s="111"/>
      <c r="C1610" s="111"/>
      <c r="D1610" s="111"/>
      <c r="E1610" s="115"/>
      <c r="F1610" s="116"/>
      <c r="G1610" s="113"/>
      <c r="H1610" s="117"/>
      <c r="I1610" s="111"/>
      <c r="J1610" s="118"/>
      <c r="K1610" s="81"/>
    </row>
    <row r="1611" ht="13.5" customHeight="1">
      <c r="A1611" s="111"/>
      <c r="B1611" s="111"/>
      <c r="C1611" s="111"/>
      <c r="D1611" s="111"/>
      <c r="E1611" s="115"/>
      <c r="F1611" s="116"/>
      <c r="G1611" s="113"/>
      <c r="H1611" s="117"/>
      <c r="I1611" s="111"/>
      <c r="J1611" s="118"/>
      <c r="K1611" s="81"/>
    </row>
    <row r="1612" ht="13.5" customHeight="1">
      <c r="A1612" s="111"/>
      <c r="B1612" s="111"/>
      <c r="C1612" s="111"/>
      <c r="D1612" s="111"/>
      <c r="E1612" s="115"/>
      <c r="F1612" s="116"/>
      <c r="G1612" s="113"/>
      <c r="H1612" s="117"/>
      <c r="I1612" s="111"/>
      <c r="J1612" s="118"/>
      <c r="K1612" s="81"/>
    </row>
    <row r="1613" ht="13.5" customHeight="1">
      <c r="A1613" s="111"/>
      <c r="B1613" s="111"/>
      <c r="C1613" s="111"/>
      <c r="D1613" s="111"/>
      <c r="E1613" s="115"/>
      <c r="F1613" s="116"/>
      <c r="G1613" s="113"/>
      <c r="H1613" s="117"/>
      <c r="I1613" s="111"/>
      <c r="J1613" s="118"/>
      <c r="K1613" s="81"/>
    </row>
    <row r="1614" ht="13.5" customHeight="1">
      <c r="A1614" s="111"/>
      <c r="B1614" s="111"/>
      <c r="C1614" s="111"/>
      <c r="D1614" s="111"/>
      <c r="E1614" s="115"/>
      <c r="F1614" s="116"/>
      <c r="G1614" s="113"/>
      <c r="H1614" s="117"/>
      <c r="I1614" s="111"/>
      <c r="J1614" s="118"/>
      <c r="K1614" s="81"/>
    </row>
    <row r="1615" ht="13.5" customHeight="1">
      <c r="A1615" s="111"/>
      <c r="B1615" s="111"/>
      <c r="C1615" s="111"/>
      <c r="D1615" s="111"/>
      <c r="E1615" s="115"/>
      <c r="F1615" s="116"/>
      <c r="G1615" s="113"/>
      <c r="H1615" s="117"/>
      <c r="I1615" s="111"/>
      <c r="J1615" s="118"/>
      <c r="K1615" s="81"/>
    </row>
    <row r="1616" ht="13.5" customHeight="1">
      <c r="A1616" s="111"/>
      <c r="B1616" s="111"/>
      <c r="C1616" s="111"/>
      <c r="D1616" s="111"/>
      <c r="E1616" s="115"/>
      <c r="F1616" s="116"/>
      <c r="G1616" s="113"/>
      <c r="H1616" s="117"/>
      <c r="I1616" s="111"/>
      <c r="J1616" s="118"/>
      <c r="K1616" s="81"/>
    </row>
    <row r="1617" ht="13.5" customHeight="1">
      <c r="A1617" s="111"/>
      <c r="B1617" s="111"/>
      <c r="C1617" s="111"/>
      <c r="D1617" s="111"/>
      <c r="E1617" s="115"/>
      <c r="F1617" s="116"/>
      <c r="G1617" s="113"/>
      <c r="H1617" s="117"/>
      <c r="I1617" s="111"/>
      <c r="J1617" s="118"/>
      <c r="K1617" s="81"/>
    </row>
    <row r="1618" ht="13.5" customHeight="1">
      <c r="A1618" s="111"/>
      <c r="B1618" s="111"/>
      <c r="C1618" s="111"/>
      <c r="D1618" s="111"/>
      <c r="E1618" s="115"/>
      <c r="F1618" s="116"/>
      <c r="G1618" s="113"/>
      <c r="H1618" s="117"/>
      <c r="I1618" s="111"/>
      <c r="J1618" s="118"/>
      <c r="K1618" s="81"/>
    </row>
    <row r="1619" ht="13.5" customHeight="1">
      <c r="A1619" s="111"/>
      <c r="B1619" s="111"/>
      <c r="C1619" s="111"/>
      <c r="D1619" s="111"/>
      <c r="E1619" s="115"/>
      <c r="F1619" s="116"/>
      <c r="G1619" s="113"/>
      <c r="H1619" s="117"/>
      <c r="I1619" s="111"/>
      <c r="J1619" s="118"/>
      <c r="K1619" s="81"/>
    </row>
    <row r="1620" ht="13.5" customHeight="1">
      <c r="A1620" s="111"/>
      <c r="B1620" s="111"/>
      <c r="C1620" s="111"/>
      <c r="D1620" s="111"/>
      <c r="E1620" s="115"/>
      <c r="F1620" s="116"/>
      <c r="G1620" s="113"/>
      <c r="H1620" s="117"/>
      <c r="I1620" s="111"/>
      <c r="J1620" s="118"/>
      <c r="K1620" s="81"/>
    </row>
    <row r="1621" ht="13.5" customHeight="1">
      <c r="A1621" s="111"/>
      <c r="B1621" s="111"/>
      <c r="C1621" s="111"/>
      <c r="D1621" s="111"/>
      <c r="E1621" s="115"/>
      <c r="F1621" s="116"/>
      <c r="G1621" s="113"/>
      <c r="H1621" s="117"/>
      <c r="I1621" s="111"/>
      <c r="J1621" s="118"/>
      <c r="K1621" s="81"/>
    </row>
    <row r="1622" ht="13.5" customHeight="1">
      <c r="A1622" s="111"/>
      <c r="B1622" s="111"/>
      <c r="C1622" s="111"/>
      <c r="D1622" s="111"/>
      <c r="E1622" s="115"/>
      <c r="F1622" s="116"/>
      <c r="G1622" s="113"/>
      <c r="H1622" s="117"/>
      <c r="I1622" s="111"/>
      <c r="J1622" s="118"/>
      <c r="K1622" s="81"/>
    </row>
    <row r="1623" ht="13.5" customHeight="1">
      <c r="A1623" s="111"/>
      <c r="B1623" s="111"/>
      <c r="C1623" s="111"/>
      <c r="D1623" s="111"/>
      <c r="E1623" s="115"/>
      <c r="F1623" s="116"/>
      <c r="G1623" s="113"/>
      <c r="H1623" s="117"/>
      <c r="I1623" s="111"/>
      <c r="J1623" s="118"/>
      <c r="K1623" s="81"/>
    </row>
    <row r="1624" ht="13.5" customHeight="1">
      <c r="A1624" s="111"/>
      <c r="B1624" s="111"/>
      <c r="C1624" s="111"/>
      <c r="D1624" s="111"/>
      <c r="E1624" s="115"/>
      <c r="F1624" s="116"/>
      <c r="G1624" s="113"/>
      <c r="H1624" s="117"/>
      <c r="I1624" s="111"/>
      <c r="J1624" s="118"/>
      <c r="K1624" s="81"/>
    </row>
    <row r="1625" ht="13.5" customHeight="1">
      <c r="A1625" s="111"/>
      <c r="B1625" s="111"/>
      <c r="C1625" s="111"/>
      <c r="D1625" s="111"/>
      <c r="E1625" s="115"/>
      <c r="F1625" s="116"/>
      <c r="G1625" s="113"/>
      <c r="H1625" s="117"/>
      <c r="I1625" s="111"/>
      <c r="J1625" s="118"/>
      <c r="K1625" s="81"/>
    </row>
    <row r="1626" ht="13.5" customHeight="1">
      <c r="A1626" s="111"/>
      <c r="B1626" s="111"/>
      <c r="C1626" s="111"/>
      <c r="D1626" s="111"/>
      <c r="E1626" s="115"/>
      <c r="F1626" s="116"/>
      <c r="G1626" s="113"/>
      <c r="H1626" s="117"/>
      <c r="I1626" s="111"/>
      <c r="J1626" s="118"/>
      <c r="K1626" s="81"/>
    </row>
    <row r="1627" ht="13.5" customHeight="1">
      <c r="A1627" s="111"/>
      <c r="B1627" s="111"/>
      <c r="C1627" s="111"/>
      <c r="D1627" s="111"/>
      <c r="E1627" s="115"/>
      <c r="F1627" s="116"/>
      <c r="G1627" s="113"/>
      <c r="H1627" s="117"/>
      <c r="I1627" s="111"/>
      <c r="J1627" s="118"/>
      <c r="K1627" s="81"/>
    </row>
    <row r="1628" ht="13.5" customHeight="1">
      <c r="A1628" s="111"/>
      <c r="B1628" s="111"/>
      <c r="C1628" s="111"/>
      <c r="D1628" s="111"/>
      <c r="E1628" s="115"/>
      <c r="F1628" s="116"/>
      <c r="G1628" s="113"/>
      <c r="H1628" s="117"/>
      <c r="I1628" s="111"/>
      <c r="J1628" s="118"/>
      <c r="K1628" s="81"/>
    </row>
    <row r="1629" ht="13.5" customHeight="1">
      <c r="A1629" s="111"/>
      <c r="B1629" s="111"/>
      <c r="C1629" s="111"/>
      <c r="D1629" s="111"/>
      <c r="E1629" s="115"/>
      <c r="F1629" s="116"/>
      <c r="G1629" s="113"/>
      <c r="H1629" s="117"/>
      <c r="I1629" s="111"/>
      <c r="J1629" s="118"/>
      <c r="K1629" s="81"/>
    </row>
    <row r="1630" ht="13.5" customHeight="1">
      <c r="A1630" s="111"/>
      <c r="B1630" s="111"/>
      <c r="C1630" s="111"/>
      <c r="D1630" s="111"/>
      <c r="E1630" s="115"/>
      <c r="F1630" s="116"/>
      <c r="G1630" s="113"/>
      <c r="H1630" s="117"/>
      <c r="I1630" s="111"/>
      <c r="J1630" s="118"/>
      <c r="K1630" s="81"/>
    </row>
    <row r="1631" ht="13.5" customHeight="1">
      <c r="A1631" s="111"/>
      <c r="B1631" s="111"/>
      <c r="C1631" s="111"/>
      <c r="D1631" s="111"/>
      <c r="E1631" s="115"/>
      <c r="F1631" s="116"/>
      <c r="G1631" s="113"/>
      <c r="H1631" s="117"/>
      <c r="I1631" s="111"/>
      <c r="J1631" s="118"/>
      <c r="K1631" s="81"/>
    </row>
    <row r="1632" ht="13.5" customHeight="1">
      <c r="A1632" s="111"/>
      <c r="B1632" s="111"/>
      <c r="C1632" s="111"/>
      <c r="D1632" s="111"/>
      <c r="E1632" s="115"/>
      <c r="F1632" s="116"/>
      <c r="G1632" s="113"/>
      <c r="H1632" s="117"/>
      <c r="I1632" s="111"/>
      <c r="J1632" s="118"/>
      <c r="K1632" s="81"/>
    </row>
    <row r="1633" ht="13.5" customHeight="1">
      <c r="A1633" s="111"/>
      <c r="B1633" s="111"/>
      <c r="C1633" s="111"/>
      <c r="D1633" s="111"/>
      <c r="E1633" s="115"/>
      <c r="F1633" s="116"/>
      <c r="G1633" s="113"/>
      <c r="H1633" s="117"/>
      <c r="I1633" s="111"/>
      <c r="J1633" s="118"/>
      <c r="K1633" s="81"/>
    </row>
    <row r="1634" ht="13.5" customHeight="1">
      <c r="A1634" s="111"/>
      <c r="B1634" s="111"/>
      <c r="C1634" s="111"/>
      <c r="D1634" s="111"/>
      <c r="E1634" s="115"/>
      <c r="F1634" s="116"/>
      <c r="G1634" s="113"/>
      <c r="H1634" s="117"/>
      <c r="I1634" s="111"/>
      <c r="J1634" s="118"/>
      <c r="K1634" s="81"/>
    </row>
    <row r="1635" ht="13.5" customHeight="1">
      <c r="A1635" s="111"/>
      <c r="B1635" s="111"/>
      <c r="C1635" s="111"/>
      <c r="D1635" s="111"/>
      <c r="E1635" s="115"/>
      <c r="F1635" s="116"/>
      <c r="G1635" s="113"/>
      <c r="H1635" s="117"/>
      <c r="I1635" s="111"/>
      <c r="J1635" s="118"/>
      <c r="K1635" s="81"/>
    </row>
    <row r="1636" ht="13.5" customHeight="1">
      <c r="A1636" s="111"/>
      <c r="B1636" s="111"/>
      <c r="C1636" s="111"/>
      <c r="D1636" s="111"/>
      <c r="E1636" s="115"/>
      <c r="F1636" s="116"/>
      <c r="G1636" s="113"/>
      <c r="H1636" s="117"/>
      <c r="I1636" s="111"/>
      <c r="J1636" s="118"/>
      <c r="K1636" s="81"/>
    </row>
    <row r="1637" ht="13.5" customHeight="1">
      <c r="A1637" s="111"/>
      <c r="B1637" s="111"/>
      <c r="C1637" s="111"/>
      <c r="D1637" s="111"/>
      <c r="E1637" s="115"/>
      <c r="F1637" s="116"/>
      <c r="G1637" s="113"/>
      <c r="H1637" s="117"/>
      <c r="I1637" s="111"/>
      <c r="J1637" s="118"/>
      <c r="K1637" s="81"/>
    </row>
    <row r="1638" ht="13.5" customHeight="1">
      <c r="A1638" s="111"/>
      <c r="B1638" s="111"/>
      <c r="C1638" s="111"/>
      <c r="D1638" s="111"/>
      <c r="E1638" s="115"/>
      <c r="F1638" s="116"/>
      <c r="G1638" s="113"/>
      <c r="H1638" s="117"/>
      <c r="I1638" s="111"/>
      <c r="J1638" s="118"/>
      <c r="K1638" s="81"/>
    </row>
    <row r="1639" ht="13.5" customHeight="1">
      <c r="A1639" s="111"/>
      <c r="B1639" s="111"/>
      <c r="C1639" s="111"/>
      <c r="D1639" s="111"/>
      <c r="E1639" s="115"/>
      <c r="F1639" s="116"/>
      <c r="G1639" s="113"/>
      <c r="H1639" s="117"/>
      <c r="I1639" s="111"/>
      <c r="J1639" s="118"/>
      <c r="K1639" s="81"/>
    </row>
    <row r="1640" ht="13.5" customHeight="1">
      <c r="A1640" s="111"/>
      <c r="B1640" s="111"/>
      <c r="C1640" s="111"/>
      <c r="D1640" s="111"/>
      <c r="E1640" s="115"/>
      <c r="F1640" s="116"/>
      <c r="G1640" s="113"/>
      <c r="H1640" s="117"/>
      <c r="I1640" s="111"/>
      <c r="J1640" s="118"/>
      <c r="K1640" s="81"/>
    </row>
    <row r="1641" ht="13.5" customHeight="1">
      <c r="A1641" s="111"/>
      <c r="B1641" s="111"/>
      <c r="C1641" s="111"/>
      <c r="D1641" s="111"/>
      <c r="E1641" s="115"/>
      <c r="F1641" s="116"/>
      <c r="G1641" s="113"/>
      <c r="H1641" s="117"/>
      <c r="I1641" s="111"/>
      <c r="J1641" s="118"/>
      <c r="K1641" s="81"/>
    </row>
    <row r="1642" ht="13.5" customHeight="1">
      <c r="A1642" s="111"/>
      <c r="B1642" s="111"/>
      <c r="C1642" s="111"/>
      <c r="D1642" s="111"/>
      <c r="E1642" s="115"/>
      <c r="F1642" s="116"/>
      <c r="G1642" s="113"/>
      <c r="H1642" s="117"/>
      <c r="I1642" s="111"/>
      <c r="J1642" s="118"/>
      <c r="K1642" s="81"/>
    </row>
    <row r="1643" ht="13.5" customHeight="1">
      <c r="A1643" s="111"/>
      <c r="B1643" s="111"/>
      <c r="C1643" s="111"/>
      <c r="D1643" s="111"/>
      <c r="E1643" s="115"/>
      <c r="F1643" s="116"/>
      <c r="G1643" s="113"/>
      <c r="H1643" s="117"/>
      <c r="I1643" s="111"/>
      <c r="J1643" s="118"/>
      <c r="K1643" s="81"/>
    </row>
    <row r="1644" ht="13.5" customHeight="1">
      <c r="A1644" s="111"/>
      <c r="B1644" s="111"/>
      <c r="C1644" s="111"/>
      <c r="D1644" s="111"/>
      <c r="E1644" s="115"/>
      <c r="F1644" s="116"/>
      <c r="G1644" s="113"/>
      <c r="H1644" s="117"/>
      <c r="I1644" s="111"/>
      <c r="J1644" s="118"/>
      <c r="K1644" s="81"/>
    </row>
    <row r="1645" ht="13.5" customHeight="1">
      <c r="A1645" s="111"/>
      <c r="B1645" s="111"/>
      <c r="C1645" s="111"/>
      <c r="D1645" s="111"/>
      <c r="E1645" s="115"/>
      <c r="F1645" s="116"/>
      <c r="G1645" s="113"/>
      <c r="H1645" s="117"/>
      <c r="I1645" s="111"/>
      <c r="J1645" s="118"/>
      <c r="K1645" s="81"/>
    </row>
    <row r="1646" ht="13.5" customHeight="1">
      <c r="A1646" s="111"/>
      <c r="B1646" s="111"/>
      <c r="C1646" s="111"/>
      <c r="D1646" s="111"/>
      <c r="E1646" s="115"/>
      <c r="F1646" s="116"/>
      <c r="G1646" s="113"/>
      <c r="H1646" s="117"/>
      <c r="I1646" s="111"/>
      <c r="J1646" s="118"/>
      <c r="K1646" s="81"/>
    </row>
    <row r="1647" ht="13.5" customHeight="1">
      <c r="A1647" s="111"/>
      <c r="B1647" s="111"/>
      <c r="C1647" s="111"/>
      <c r="D1647" s="111"/>
      <c r="E1647" s="115"/>
      <c r="F1647" s="116"/>
      <c r="G1647" s="113"/>
      <c r="H1647" s="117"/>
      <c r="I1647" s="111"/>
      <c r="J1647" s="118"/>
      <c r="K1647" s="81"/>
    </row>
    <row r="1648" ht="13.5" customHeight="1">
      <c r="A1648" s="111"/>
      <c r="B1648" s="111"/>
      <c r="C1648" s="111"/>
      <c r="D1648" s="111"/>
      <c r="E1648" s="115"/>
      <c r="F1648" s="116"/>
      <c r="G1648" s="113"/>
      <c r="H1648" s="117"/>
      <c r="I1648" s="111"/>
      <c r="J1648" s="118"/>
      <c r="K1648" s="81"/>
    </row>
    <row r="1649" ht="13.5" customHeight="1">
      <c r="A1649" s="111"/>
      <c r="B1649" s="111"/>
      <c r="C1649" s="111"/>
      <c r="D1649" s="111"/>
      <c r="E1649" s="115"/>
      <c r="F1649" s="116"/>
      <c r="G1649" s="113"/>
      <c r="H1649" s="117"/>
      <c r="I1649" s="111"/>
      <c r="J1649" s="118"/>
      <c r="K1649" s="81"/>
    </row>
    <row r="1650" ht="13.5" customHeight="1">
      <c r="A1650" s="111"/>
      <c r="B1650" s="111"/>
      <c r="C1650" s="111"/>
      <c r="D1650" s="111"/>
      <c r="E1650" s="115"/>
      <c r="F1650" s="116"/>
      <c r="G1650" s="113"/>
      <c r="H1650" s="117"/>
      <c r="I1650" s="111"/>
      <c r="J1650" s="118"/>
      <c r="K1650" s="81"/>
    </row>
    <row r="1651" ht="13.5" customHeight="1">
      <c r="A1651" s="111"/>
      <c r="B1651" s="111"/>
      <c r="C1651" s="111"/>
      <c r="D1651" s="111"/>
      <c r="E1651" s="115"/>
      <c r="F1651" s="116"/>
      <c r="G1651" s="113"/>
      <c r="H1651" s="117"/>
      <c r="I1651" s="111"/>
      <c r="J1651" s="118"/>
      <c r="K1651" s="81"/>
    </row>
    <row r="1652" ht="13.5" customHeight="1">
      <c r="A1652" s="111"/>
      <c r="B1652" s="111"/>
      <c r="C1652" s="111"/>
      <c r="D1652" s="111"/>
      <c r="E1652" s="115"/>
      <c r="F1652" s="116"/>
      <c r="G1652" s="113"/>
      <c r="H1652" s="117"/>
      <c r="I1652" s="111"/>
      <c r="J1652" s="118"/>
      <c r="K1652" s="81"/>
    </row>
    <row r="1653" ht="13.5" customHeight="1">
      <c r="A1653" s="111"/>
      <c r="B1653" s="111"/>
      <c r="C1653" s="111"/>
      <c r="D1653" s="111"/>
      <c r="E1653" s="115"/>
      <c r="F1653" s="116"/>
      <c r="G1653" s="113"/>
      <c r="H1653" s="117"/>
      <c r="I1653" s="111"/>
      <c r="J1653" s="118"/>
      <c r="K1653" s="81"/>
    </row>
    <row r="1654" ht="13.5" customHeight="1">
      <c r="A1654" s="111"/>
      <c r="B1654" s="111"/>
      <c r="C1654" s="111"/>
      <c r="D1654" s="111"/>
      <c r="E1654" s="115"/>
      <c r="F1654" s="116"/>
      <c r="G1654" s="113"/>
      <c r="H1654" s="117"/>
      <c r="I1654" s="111"/>
      <c r="J1654" s="118"/>
      <c r="K1654" s="81"/>
    </row>
    <row r="1655" ht="13.5" customHeight="1">
      <c r="A1655" s="111"/>
      <c r="B1655" s="111"/>
      <c r="C1655" s="111"/>
      <c r="D1655" s="111"/>
      <c r="E1655" s="115"/>
      <c r="F1655" s="116"/>
      <c r="G1655" s="113"/>
      <c r="H1655" s="117"/>
      <c r="I1655" s="111"/>
      <c r="J1655" s="118"/>
      <c r="K1655" s="81"/>
    </row>
    <row r="1656" ht="13.5" customHeight="1">
      <c r="A1656" s="111"/>
      <c r="B1656" s="111"/>
      <c r="C1656" s="111"/>
      <c r="D1656" s="111"/>
      <c r="E1656" s="115"/>
      <c r="F1656" s="116"/>
      <c r="G1656" s="113"/>
      <c r="H1656" s="117"/>
      <c r="I1656" s="111"/>
      <c r="J1656" s="118"/>
      <c r="K1656" s="81"/>
    </row>
    <row r="1657" ht="13.5" customHeight="1">
      <c r="A1657" s="111"/>
      <c r="B1657" s="111"/>
      <c r="C1657" s="111"/>
      <c r="D1657" s="111"/>
      <c r="E1657" s="115"/>
      <c r="F1657" s="116"/>
      <c r="G1657" s="113"/>
      <c r="H1657" s="117"/>
      <c r="I1657" s="111"/>
      <c r="J1657" s="118"/>
      <c r="K1657" s="81"/>
    </row>
    <row r="1658" ht="13.5" customHeight="1">
      <c r="A1658" s="111"/>
      <c r="B1658" s="111"/>
      <c r="C1658" s="111"/>
      <c r="D1658" s="111"/>
      <c r="E1658" s="115"/>
      <c r="F1658" s="116"/>
      <c r="G1658" s="113"/>
      <c r="H1658" s="117"/>
      <c r="I1658" s="111"/>
      <c r="J1658" s="118"/>
      <c r="K1658" s="81"/>
    </row>
    <row r="1659" ht="13.5" customHeight="1">
      <c r="A1659" s="111"/>
      <c r="B1659" s="111"/>
      <c r="C1659" s="111"/>
      <c r="D1659" s="111"/>
      <c r="E1659" s="115"/>
      <c r="F1659" s="116"/>
      <c r="G1659" s="113"/>
      <c r="H1659" s="117"/>
      <c r="I1659" s="111"/>
      <c r="J1659" s="118"/>
      <c r="K1659" s="81"/>
    </row>
    <row r="1660" ht="13.5" customHeight="1">
      <c r="A1660" s="111"/>
      <c r="B1660" s="111"/>
      <c r="C1660" s="111"/>
      <c r="D1660" s="111"/>
      <c r="E1660" s="115"/>
      <c r="F1660" s="116"/>
      <c r="G1660" s="113"/>
      <c r="H1660" s="117"/>
      <c r="I1660" s="111"/>
      <c r="J1660" s="118"/>
      <c r="K1660" s="81"/>
    </row>
    <row r="1661" ht="13.5" customHeight="1">
      <c r="A1661" s="111"/>
      <c r="B1661" s="111"/>
      <c r="C1661" s="111"/>
      <c r="D1661" s="111"/>
      <c r="E1661" s="115"/>
      <c r="F1661" s="116"/>
      <c r="G1661" s="113"/>
      <c r="H1661" s="117"/>
      <c r="I1661" s="111"/>
      <c r="J1661" s="118"/>
      <c r="K1661" s="81"/>
    </row>
    <row r="1662" ht="13.5" customHeight="1">
      <c r="A1662" s="111"/>
      <c r="B1662" s="111"/>
      <c r="C1662" s="111"/>
      <c r="D1662" s="111"/>
      <c r="E1662" s="115"/>
      <c r="F1662" s="116"/>
      <c r="G1662" s="113"/>
      <c r="H1662" s="117"/>
      <c r="I1662" s="111"/>
      <c r="J1662" s="118"/>
      <c r="K1662" s="81"/>
    </row>
    <row r="1663" ht="13.5" customHeight="1">
      <c r="A1663" s="111"/>
      <c r="B1663" s="111"/>
      <c r="C1663" s="111"/>
      <c r="D1663" s="111"/>
      <c r="E1663" s="115"/>
      <c r="F1663" s="116"/>
      <c r="G1663" s="113"/>
      <c r="H1663" s="117"/>
      <c r="I1663" s="111"/>
      <c r="J1663" s="118"/>
      <c r="K1663" s="81"/>
    </row>
    <row r="1664" ht="13.5" customHeight="1">
      <c r="A1664" s="111"/>
      <c r="B1664" s="111"/>
      <c r="C1664" s="111"/>
      <c r="D1664" s="111"/>
      <c r="E1664" s="115"/>
      <c r="F1664" s="116"/>
      <c r="G1664" s="113"/>
      <c r="H1664" s="117"/>
      <c r="I1664" s="111"/>
      <c r="J1664" s="118"/>
      <c r="K1664" s="81"/>
    </row>
    <row r="1665" ht="13.5" customHeight="1">
      <c r="A1665" s="111"/>
      <c r="B1665" s="111"/>
      <c r="C1665" s="111"/>
      <c r="D1665" s="111"/>
      <c r="E1665" s="115"/>
      <c r="F1665" s="116"/>
      <c r="G1665" s="113"/>
      <c r="H1665" s="117"/>
      <c r="I1665" s="111"/>
      <c r="J1665" s="118"/>
      <c r="K1665" s="81"/>
    </row>
    <row r="1666" ht="13.5" customHeight="1">
      <c r="A1666" s="111"/>
      <c r="B1666" s="111"/>
      <c r="C1666" s="111"/>
      <c r="D1666" s="111"/>
      <c r="E1666" s="115"/>
      <c r="F1666" s="116"/>
      <c r="G1666" s="113"/>
      <c r="H1666" s="117"/>
      <c r="I1666" s="111"/>
      <c r="J1666" s="118"/>
      <c r="K1666" s="81"/>
    </row>
    <row r="1667" ht="13.5" customHeight="1">
      <c r="A1667" s="111"/>
      <c r="B1667" s="111"/>
      <c r="C1667" s="111"/>
      <c r="D1667" s="111"/>
      <c r="E1667" s="115"/>
      <c r="F1667" s="116"/>
      <c r="G1667" s="113"/>
      <c r="H1667" s="117"/>
      <c r="I1667" s="111"/>
      <c r="J1667" s="118"/>
      <c r="K1667" s="81"/>
    </row>
    <row r="1668" ht="13.5" customHeight="1">
      <c r="A1668" s="111"/>
      <c r="B1668" s="111"/>
      <c r="C1668" s="111"/>
      <c r="D1668" s="111"/>
      <c r="E1668" s="115"/>
      <c r="F1668" s="116"/>
      <c r="G1668" s="113"/>
      <c r="H1668" s="117"/>
      <c r="I1668" s="111"/>
      <c r="J1668" s="118"/>
      <c r="K1668" s="81"/>
    </row>
    <row r="1669" ht="13.5" customHeight="1">
      <c r="A1669" s="111"/>
      <c r="B1669" s="111"/>
      <c r="C1669" s="111"/>
      <c r="D1669" s="111"/>
      <c r="E1669" s="115"/>
      <c r="F1669" s="116"/>
      <c r="G1669" s="113"/>
      <c r="H1669" s="117"/>
      <c r="I1669" s="111"/>
      <c r="J1669" s="118"/>
      <c r="K1669" s="81"/>
    </row>
    <row r="1670" ht="13.5" customHeight="1">
      <c r="A1670" s="111"/>
      <c r="B1670" s="111"/>
      <c r="C1670" s="111"/>
      <c r="D1670" s="111"/>
      <c r="E1670" s="115"/>
      <c r="F1670" s="116"/>
      <c r="G1670" s="113"/>
      <c r="H1670" s="117"/>
      <c r="I1670" s="111"/>
      <c r="J1670" s="118"/>
      <c r="K1670" s="81"/>
    </row>
    <row r="1671" ht="13.5" customHeight="1">
      <c r="A1671" s="111"/>
      <c r="B1671" s="111"/>
      <c r="C1671" s="111"/>
      <c r="D1671" s="111"/>
      <c r="E1671" s="115"/>
      <c r="F1671" s="116"/>
      <c r="G1671" s="113"/>
      <c r="H1671" s="117"/>
      <c r="I1671" s="111"/>
      <c r="J1671" s="118"/>
      <c r="K1671" s="81"/>
    </row>
    <row r="1672" ht="13.5" customHeight="1">
      <c r="A1672" s="111"/>
      <c r="B1672" s="111"/>
      <c r="C1672" s="111"/>
      <c r="D1672" s="111"/>
      <c r="E1672" s="115"/>
      <c r="F1672" s="116"/>
      <c r="G1672" s="113"/>
      <c r="H1672" s="117"/>
      <c r="I1672" s="111"/>
      <c r="J1672" s="118"/>
      <c r="K1672" s="81"/>
    </row>
    <row r="1673" ht="13.5" customHeight="1">
      <c r="A1673" s="111"/>
      <c r="B1673" s="111"/>
      <c r="C1673" s="111"/>
      <c r="D1673" s="111"/>
      <c r="E1673" s="115"/>
      <c r="F1673" s="116"/>
      <c r="G1673" s="113"/>
      <c r="H1673" s="117"/>
      <c r="I1673" s="111"/>
      <c r="J1673" s="118"/>
      <c r="K1673" s="81"/>
    </row>
    <row r="1674" ht="13.5" customHeight="1">
      <c r="A1674" s="111"/>
      <c r="B1674" s="111"/>
      <c r="C1674" s="111"/>
      <c r="D1674" s="111"/>
      <c r="E1674" s="115"/>
      <c r="F1674" s="116"/>
      <c r="G1674" s="113"/>
      <c r="H1674" s="117"/>
      <c r="I1674" s="111"/>
      <c r="J1674" s="118"/>
      <c r="K1674" s="81"/>
    </row>
    <row r="1675" ht="13.5" customHeight="1">
      <c r="A1675" s="111"/>
      <c r="B1675" s="111"/>
      <c r="C1675" s="111"/>
      <c r="D1675" s="111"/>
      <c r="E1675" s="115"/>
      <c r="F1675" s="116"/>
      <c r="G1675" s="113"/>
      <c r="H1675" s="117"/>
      <c r="I1675" s="111"/>
      <c r="J1675" s="118"/>
      <c r="K1675" s="81"/>
    </row>
    <row r="1676" ht="13.5" customHeight="1">
      <c r="A1676" s="111"/>
      <c r="B1676" s="111"/>
      <c r="C1676" s="111"/>
      <c r="D1676" s="111"/>
      <c r="E1676" s="115"/>
      <c r="F1676" s="116"/>
      <c r="G1676" s="113"/>
      <c r="H1676" s="117"/>
      <c r="I1676" s="111"/>
      <c r="J1676" s="118"/>
      <c r="K1676" s="81"/>
    </row>
    <row r="1677" ht="13.5" customHeight="1">
      <c r="A1677" s="111"/>
      <c r="B1677" s="111"/>
      <c r="C1677" s="111"/>
      <c r="D1677" s="111"/>
      <c r="E1677" s="115"/>
      <c r="F1677" s="116"/>
      <c r="G1677" s="113"/>
      <c r="H1677" s="117"/>
      <c r="I1677" s="111"/>
      <c r="J1677" s="118"/>
      <c r="K1677" s="81"/>
    </row>
    <row r="1678" ht="13.5" customHeight="1">
      <c r="A1678" s="111"/>
      <c r="B1678" s="111"/>
      <c r="C1678" s="111"/>
      <c r="D1678" s="111"/>
      <c r="E1678" s="115"/>
      <c r="F1678" s="116"/>
      <c r="G1678" s="113"/>
      <c r="H1678" s="117"/>
      <c r="I1678" s="111"/>
      <c r="J1678" s="118"/>
      <c r="K1678" s="81"/>
    </row>
    <row r="1679" ht="13.5" customHeight="1">
      <c r="A1679" s="111"/>
      <c r="B1679" s="111"/>
      <c r="C1679" s="111"/>
      <c r="D1679" s="111"/>
      <c r="E1679" s="115"/>
      <c r="F1679" s="116"/>
      <c r="G1679" s="113"/>
      <c r="H1679" s="117"/>
      <c r="I1679" s="111"/>
      <c r="J1679" s="118"/>
      <c r="K1679" s="81"/>
    </row>
    <row r="1680" ht="13.5" customHeight="1">
      <c r="A1680" s="111"/>
      <c r="B1680" s="111"/>
      <c r="C1680" s="111"/>
      <c r="D1680" s="111"/>
      <c r="E1680" s="115"/>
      <c r="F1680" s="116"/>
      <c r="G1680" s="113"/>
      <c r="H1680" s="117"/>
      <c r="I1680" s="111"/>
      <c r="J1680" s="118"/>
      <c r="K1680" s="81"/>
    </row>
    <row r="1681" ht="13.5" customHeight="1">
      <c r="A1681" s="111"/>
      <c r="B1681" s="111"/>
      <c r="C1681" s="111"/>
      <c r="D1681" s="111"/>
      <c r="E1681" s="115"/>
      <c r="F1681" s="116"/>
      <c r="G1681" s="113"/>
      <c r="H1681" s="117"/>
      <c r="I1681" s="111"/>
      <c r="J1681" s="118"/>
      <c r="K1681" s="81"/>
    </row>
    <row r="1682" ht="13.5" customHeight="1">
      <c r="A1682" s="111"/>
      <c r="B1682" s="111"/>
      <c r="C1682" s="111"/>
      <c r="D1682" s="111"/>
      <c r="E1682" s="115"/>
      <c r="F1682" s="116"/>
      <c r="G1682" s="113"/>
      <c r="H1682" s="117"/>
      <c r="I1682" s="111"/>
      <c r="J1682" s="118"/>
      <c r="K1682" s="81"/>
    </row>
    <row r="1683" ht="13.5" customHeight="1">
      <c r="A1683" s="111"/>
      <c r="B1683" s="111"/>
      <c r="C1683" s="111"/>
      <c r="D1683" s="111"/>
      <c r="E1683" s="115"/>
      <c r="F1683" s="116"/>
      <c r="G1683" s="113"/>
      <c r="H1683" s="117"/>
      <c r="I1683" s="111"/>
      <c r="J1683" s="118"/>
      <c r="K1683" s="81"/>
    </row>
    <row r="1684" ht="13.5" customHeight="1">
      <c r="A1684" s="111"/>
      <c r="B1684" s="111"/>
      <c r="C1684" s="111"/>
      <c r="D1684" s="111"/>
      <c r="E1684" s="115"/>
      <c r="F1684" s="116"/>
      <c r="G1684" s="113"/>
      <c r="H1684" s="117"/>
      <c r="I1684" s="111"/>
      <c r="J1684" s="118"/>
      <c r="K1684" s="81"/>
    </row>
    <row r="1685" ht="13.5" customHeight="1">
      <c r="A1685" s="111"/>
      <c r="B1685" s="111"/>
      <c r="C1685" s="111"/>
      <c r="D1685" s="111"/>
      <c r="E1685" s="115"/>
      <c r="F1685" s="116"/>
      <c r="G1685" s="113"/>
      <c r="H1685" s="117"/>
      <c r="I1685" s="111"/>
      <c r="J1685" s="118"/>
      <c r="K1685" s="81"/>
    </row>
    <row r="1686" ht="13.5" customHeight="1">
      <c r="A1686" s="111"/>
      <c r="B1686" s="111"/>
      <c r="C1686" s="111"/>
      <c r="D1686" s="111"/>
      <c r="E1686" s="115"/>
      <c r="F1686" s="116"/>
      <c r="G1686" s="113"/>
      <c r="H1686" s="117"/>
      <c r="I1686" s="111"/>
      <c r="J1686" s="118"/>
      <c r="K1686" s="81"/>
    </row>
    <row r="1687" ht="13.5" customHeight="1">
      <c r="A1687" s="111"/>
      <c r="B1687" s="111"/>
      <c r="C1687" s="111"/>
      <c r="D1687" s="111"/>
      <c r="E1687" s="115"/>
      <c r="F1687" s="116"/>
      <c r="G1687" s="113"/>
      <c r="H1687" s="117"/>
      <c r="I1687" s="111"/>
      <c r="J1687" s="118"/>
      <c r="K1687" s="81"/>
    </row>
    <row r="1688" ht="13.5" customHeight="1">
      <c r="A1688" s="111"/>
      <c r="B1688" s="111"/>
      <c r="C1688" s="111"/>
      <c r="D1688" s="111"/>
      <c r="E1688" s="115"/>
      <c r="F1688" s="116"/>
      <c r="G1688" s="113"/>
      <c r="H1688" s="117"/>
      <c r="I1688" s="111"/>
      <c r="J1688" s="118"/>
      <c r="K1688" s="81"/>
    </row>
    <row r="1689" ht="13.5" customHeight="1">
      <c r="A1689" s="111"/>
      <c r="B1689" s="111"/>
      <c r="C1689" s="111"/>
      <c r="D1689" s="111"/>
      <c r="E1689" s="115"/>
      <c r="F1689" s="116"/>
      <c r="G1689" s="113"/>
      <c r="H1689" s="117"/>
      <c r="I1689" s="111"/>
      <c r="J1689" s="118"/>
      <c r="K1689" s="81"/>
    </row>
    <row r="1690" ht="13.5" customHeight="1">
      <c r="A1690" s="111"/>
      <c r="B1690" s="111"/>
      <c r="C1690" s="111"/>
      <c r="D1690" s="111"/>
      <c r="E1690" s="115"/>
      <c r="F1690" s="116"/>
      <c r="G1690" s="113"/>
      <c r="H1690" s="117"/>
      <c r="I1690" s="111"/>
      <c r="J1690" s="118"/>
      <c r="K1690" s="81"/>
    </row>
    <row r="1691" ht="13.5" customHeight="1">
      <c r="A1691" s="111"/>
      <c r="B1691" s="111"/>
      <c r="C1691" s="111"/>
      <c r="D1691" s="111"/>
      <c r="E1691" s="115"/>
      <c r="F1691" s="116"/>
      <c r="G1691" s="113"/>
      <c r="H1691" s="117"/>
      <c r="I1691" s="111"/>
      <c r="J1691" s="118"/>
      <c r="K1691" s="81"/>
    </row>
    <row r="1692" ht="13.5" customHeight="1">
      <c r="A1692" s="111"/>
      <c r="B1692" s="111"/>
      <c r="C1692" s="111"/>
      <c r="D1692" s="111"/>
      <c r="E1692" s="115"/>
      <c r="F1692" s="116"/>
      <c r="G1692" s="113"/>
      <c r="H1692" s="117"/>
      <c r="I1692" s="111"/>
      <c r="J1692" s="118"/>
      <c r="K1692" s="81"/>
    </row>
    <row r="1693" ht="13.5" customHeight="1">
      <c r="A1693" s="111"/>
      <c r="B1693" s="111"/>
      <c r="C1693" s="111"/>
      <c r="D1693" s="111"/>
      <c r="E1693" s="115"/>
      <c r="F1693" s="116"/>
      <c r="G1693" s="113"/>
      <c r="H1693" s="117"/>
      <c r="I1693" s="111"/>
      <c r="J1693" s="118"/>
      <c r="K1693" s="81"/>
    </row>
    <row r="1694" ht="13.5" customHeight="1">
      <c r="A1694" s="111"/>
      <c r="B1694" s="111"/>
      <c r="C1694" s="111"/>
      <c r="D1694" s="111"/>
      <c r="E1694" s="115"/>
      <c r="F1694" s="116"/>
      <c r="G1694" s="113"/>
      <c r="H1694" s="117"/>
      <c r="I1694" s="111"/>
      <c r="J1694" s="118"/>
      <c r="K1694" s="81"/>
    </row>
    <row r="1695" ht="13.5" customHeight="1">
      <c r="A1695" s="111"/>
      <c r="B1695" s="111"/>
      <c r="C1695" s="111"/>
      <c r="D1695" s="111"/>
      <c r="E1695" s="115"/>
      <c r="F1695" s="116"/>
      <c r="G1695" s="113"/>
      <c r="H1695" s="117"/>
      <c r="I1695" s="111"/>
      <c r="J1695" s="118"/>
      <c r="K1695" s="81"/>
    </row>
    <row r="1696" ht="13.5" customHeight="1">
      <c r="A1696" s="111"/>
      <c r="B1696" s="111"/>
      <c r="C1696" s="111"/>
      <c r="D1696" s="111"/>
      <c r="E1696" s="115"/>
      <c r="F1696" s="116"/>
      <c r="G1696" s="113"/>
      <c r="H1696" s="117"/>
      <c r="I1696" s="111"/>
      <c r="J1696" s="118"/>
      <c r="K1696" s="81"/>
    </row>
    <row r="1697" ht="13.5" customHeight="1">
      <c r="A1697" s="111"/>
      <c r="B1697" s="111"/>
      <c r="C1697" s="111"/>
      <c r="D1697" s="111"/>
      <c r="E1697" s="115"/>
      <c r="F1697" s="116"/>
      <c r="G1697" s="113"/>
      <c r="H1697" s="117"/>
      <c r="I1697" s="111"/>
      <c r="J1697" s="118"/>
      <c r="K1697" s="81"/>
    </row>
    <row r="1698" ht="13.5" customHeight="1">
      <c r="A1698" s="111"/>
      <c r="B1698" s="111"/>
      <c r="C1698" s="111"/>
      <c r="D1698" s="111"/>
      <c r="E1698" s="115"/>
      <c r="F1698" s="116"/>
      <c r="G1698" s="113"/>
      <c r="H1698" s="117"/>
      <c r="I1698" s="111"/>
      <c r="J1698" s="118"/>
      <c r="K1698" s="81"/>
    </row>
    <row r="1699" ht="13.5" customHeight="1">
      <c r="A1699" s="111"/>
      <c r="B1699" s="111"/>
      <c r="C1699" s="111"/>
      <c r="D1699" s="111"/>
      <c r="E1699" s="115"/>
      <c r="F1699" s="116"/>
      <c r="G1699" s="113"/>
      <c r="H1699" s="117"/>
      <c r="I1699" s="111"/>
      <c r="J1699" s="118"/>
      <c r="K1699" s="81"/>
    </row>
    <row r="1700" ht="13.5" customHeight="1">
      <c r="A1700" s="111"/>
      <c r="B1700" s="111"/>
      <c r="C1700" s="111"/>
      <c r="D1700" s="111"/>
      <c r="E1700" s="115"/>
      <c r="F1700" s="116"/>
      <c r="G1700" s="113"/>
      <c r="H1700" s="117"/>
      <c r="I1700" s="111"/>
      <c r="J1700" s="118"/>
      <c r="K1700" s="81"/>
    </row>
    <row r="1701" ht="13.5" customHeight="1">
      <c r="A1701" s="111"/>
      <c r="B1701" s="111"/>
      <c r="C1701" s="111"/>
      <c r="D1701" s="111"/>
      <c r="E1701" s="115"/>
      <c r="F1701" s="116"/>
      <c r="G1701" s="113"/>
      <c r="H1701" s="117"/>
      <c r="I1701" s="111"/>
      <c r="J1701" s="118"/>
      <c r="K1701" s="81"/>
    </row>
    <row r="1702" ht="13.5" customHeight="1">
      <c r="A1702" s="111"/>
      <c r="B1702" s="111"/>
      <c r="C1702" s="111"/>
      <c r="D1702" s="111"/>
      <c r="E1702" s="115"/>
      <c r="F1702" s="116"/>
      <c r="G1702" s="113"/>
      <c r="H1702" s="117"/>
      <c r="I1702" s="111"/>
      <c r="J1702" s="118"/>
      <c r="K1702" s="81"/>
    </row>
    <row r="1703" ht="13.5" customHeight="1">
      <c r="A1703" s="111"/>
      <c r="B1703" s="111"/>
      <c r="C1703" s="111"/>
      <c r="D1703" s="111"/>
      <c r="E1703" s="115"/>
      <c r="F1703" s="116"/>
      <c r="G1703" s="113"/>
      <c r="H1703" s="117"/>
      <c r="I1703" s="111"/>
      <c r="J1703" s="118"/>
      <c r="K1703" s="81"/>
    </row>
    <row r="1704" ht="13.5" customHeight="1">
      <c r="A1704" s="111"/>
      <c r="B1704" s="111"/>
      <c r="C1704" s="111"/>
      <c r="D1704" s="111"/>
      <c r="E1704" s="115"/>
      <c r="F1704" s="116"/>
      <c r="G1704" s="113"/>
      <c r="H1704" s="117"/>
      <c r="I1704" s="111"/>
      <c r="J1704" s="118"/>
      <c r="K1704" s="81"/>
    </row>
    <row r="1705" ht="13.5" customHeight="1">
      <c r="A1705" s="111"/>
      <c r="B1705" s="111"/>
      <c r="C1705" s="111"/>
      <c r="D1705" s="111"/>
      <c r="E1705" s="115"/>
      <c r="F1705" s="116"/>
      <c r="G1705" s="113"/>
      <c r="H1705" s="117"/>
      <c r="I1705" s="111"/>
      <c r="J1705" s="118"/>
      <c r="K1705" s="81"/>
    </row>
    <row r="1706" ht="13.5" customHeight="1">
      <c r="A1706" s="111"/>
      <c r="B1706" s="111"/>
      <c r="C1706" s="111"/>
      <c r="D1706" s="111"/>
      <c r="E1706" s="115"/>
      <c r="F1706" s="116"/>
      <c r="G1706" s="113"/>
      <c r="H1706" s="117"/>
      <c r="I1706" s="111"/>
      <c r="J1706" s="118"/>
      <c r="K1706" s="81"/>
    </row>
    <row r="1707" ht="13.5" customHeight="1">
      <c r="A1707" s="111"/>
      <c r="B1707" s="111"/>
      <c r="C1707" s="111"/>
      <c r="D1707" s="111"/>
      <c r="E1707" s="115"/>
      <c r="F1707" s="116"/>
      <c r="G1707" s="113"/>
      <c r="H1707" s="117"/>
      <c r="I1707" s="111"/>
      <c r="J1707" s="118"/>
      <c r="K1707" s="81"/>
    </row>
    <row r="1708" ht="13.5" customHeight="1">
      <c r="A1708" s="111"/>
      <c r="B1708" s="111"/>
      <c r="C1708" s="111"/>
      <c r="D1708" s="111"/>
      <c r="E1708" s="115"/>
      <c r="F1708" s="116"/>
      <c r="G1708" s="113"/>
      <c r="H1708" s="117"/>
      <c r="I1708" s="111"/>
      <c r="J1708" s="118"/>
      <c r="K1708" s="81"/>
    </row>
    <row r="1709" ht="13.5" customHeight="1">
      <c r="A1709" s="111"/>
      <c r="B1709" s="111"/>
      <c r="C1709" s="111"/>
      <c r="D1709" s="111"/>
      <c r="E1709" s="115"/>
      <c r="F1709" s="116"/>
      <c r="G1709" s="113"/>
      <c r="H1709" s="117"/>
      <c r="I1709" s="111"/>
      <c r="J1709" s="118"/>
      <c r="K1709" s="81"/>
    </row>
    <row r="1710" ht="13.5" customHeight="1">
      <c r="A1710" s="111"/>
      <c r="B1710" s="111"/>
      <c r="C1710" s="111"/>
      <c r="D1710" s="111"/>
      <c r="E1710" s="115"/>
      <c r="F1710" s="116"/>
      <c r="G1710" s="113"/>
      <c r="H1710" s="117"/>
      <c r="I1710" s="111"/>
      <c r="J1710" s="118"/>
      <c r="K1710" s="81"/>
    </row>
    <row r="1711" ht="13.5" customHeight="1">
      <c r="A1711" s="111"/>
      <c r="B1711" s="111"/>
      <c r="C1711" s="111"/>
      <c r="D1711" s="111"/>
      <c r="E1711" s="115"/>
      <c r="F1711" s="116"/>
      <c r="G1711" s="113"/>
      <c r="H1711" s="117"/>
      <c r="I1711" s="111"/>
      <c r="J1711" s="118"/>
      <c r="K1711" s="81"/>
    </row>
    <row r="1712" ht="13.5" customHeight="1">
      <c r="A1712" s="111"/>
      <c r="B1712" s="111"/>
      <c r="C1712" s="111"/>
      <c r="D1712" s="111"/>
      <c r="E1712" s="115"/>
      <c r="F1712" s="116"/>
      <c r="G1712" s="113"/>
      <c r="H1712" s="117"/>
      <c r="I1712" s="111"/>
      <c r="J1712" s="118"/>
      <c r="K1712" s="81"/>
    </row>
    <row r="1713" ht="13.5" customHeight="1">
      <c r="A1713" s="111"/>
      <c r="B1713" s="111"/>
      <c r="C1713" s="111"/>
      <c r="D1713" s="111"/>
      <c r="E1713" s="115"/>
      <c r="F1713" s="116"/>
      <c r="G1713" s="113"/>
      <c r="H1713" s="117"/>
      <c r="I1713" s="111"/>
      <c r="J1713" s="118"/>
      <c r="K1713" s="81"/>
    </row>
    <row r="1714" ht="13.5" customHeight="1">
      <c r="A1714" s="111"/>
      <c r="B1714" s="111"/>
      <c r="C1714" s="111"/>
      <c r="D1714" s="111"/>
      <c r="E1714" s="115"/>
      <c r="F1714" s="116"/>
      <c r="G1714" s="113"/>
      <c r="H1714" s="117"/>
      <c r="I1714" s="111"/>
      <c r="J1714" s="118"/>
      <c r="K1714" s="81"/>
    </row>
    <row r="1715" ht="13.5" customHeight="1">
      <c r="A1715" s="111"/>
      <c r="B1715" s="111"/>
      <c r="C1715" s="111"/>
      <c r="D1715" s="111"/>
      <c r="E1715" s="115"/>
      <c r="F1715" s="116"/>
      <c r="G1715" s="113"/>
      <c r="H1715" s="117"/>
      <c r="I1715" s="111"/>
      <c r="J1715" s="118"/>
      <c r="K1715" s="81"/>
    </row>
    <row r="1716" ht="13.5" customHeight="1">
      <c r="A1716" s="111"/>
      <c r="B1716" s="111"/>
      <c r="C1716" s="111"/>
      <c r="D1716" s="111"/>
      <c r="E1716" s="115"/>
      <c r="F1716" s="116"/>
      <c r="G1716" s="113"/>
      <c r="H1716" s="117"/>
      <c r="I1716" s="111"/>
      <c r="J1716" s="118"/>
      <c r="K1716" s="81"/>
    </row>
    <row r="1717" ht="13.5" customHeight="1">
      <c r="A1717" s="111"/>
      <c r="B1717" s="111"/>
      <c r="C1717" s="111"/>
      <c r="D1717" s="111"/>
      <c r="E1717" s="115"/>
      <c r="F1717" s="116"/>
      <c r="G1717" s="113"/>
      <c r="H1717" s="117"/>
      <c r="I1717" s="111"/>
      <c r="J1717" s="118"/>
      <c r="K1717" s="81"/>
    </row>
    <row r="1718" ht="13.5" customHeight="1">
      <c r="A1718" s="111"/>
      <c r="B1718" s="111"/>
      <c r="C1718" s="111"/>
      <c r="D1718" s="111"/>
      <c r="E1718" s="115"/>
      <c r="F1718" s="116"/>
      <c r="G1718" s="113"/>
      <c r="H1718" s="117"/>
      <c r="I1718" s="111"/>
      <c r="J1718" s="118"/>
      <c r="K1718" s="81"/>
    </row>
    <row r="1719" ht="13.5" customHeight="1">
      <c r="A1719" s="111"/>
      <c r="B1719" s="111"/>
      <c r="C1719" s="111"/>
      <c r="D1719" s="111"/>
      <c r="E1719" s="115"/>
      <c r="F1719" s="116"/>
      <c r="G1719" s="113"/>
      <c r="H1719" s="117"/>
      <c r="I1719" s="111"/>
      <c r="J1719" s="118"/>
      <c r="K1719" s="81"/>
    </row>
    <row r="1720" ht="13.5" customHeight="1">
      <c r="A1720" s="111"/>
      <c r="B1720" s="111"/>
      <c r="C1720" s="111"/>
      <c r="D1720" s="111"/>
      <c r="E1720" s="115"/>
      <c r="F1720" s="116"/>
      <c r="G1720" s="113"/>
      <c r="H1720" s="117"/>
      <c r="I1720" s="111"/>
      <c r="J1720" s="118"/>
      <c r="K1720" s="81"/>
    </row>
    <row r="1721" ht="13.5" customHeight="1">
      <c r="A1721" s="111"/>
      <c r="B1721" s="111"/>
      <c r="C1721" s="111"/>
      <c r="D1721" s="111"/>
      <c r="E1721" s="115"/>
      <c r="F1721" s="116"/>
      <c r="G1721" s="113"/>
      <c r="H1721" s="117"/>
      <c r="I1721" s="111"/>
      <c r="J1721" s="118"/>
      <c r="K1721" s="81"/>
    </row>
    <row r="1722" ht="13.5" customHeight="1">
      <c r="A1722" s="111"/>
      <c r="B1722" s="111"/>
      <c r="C1722" s="111"/>
      <c r="D1722" s="111"/>
      <c r="E1722" s="115"/>
      <c r="F1722" s="116"/>
      <c r="G1722" s="113"/>
      <c r="H1722" s="117"/>
      <c r="I1722" s="111"/>
      <c r="J1722" s="118"/>
      <c r="K1722" s="81"/>
    </row>
    <row r="1723" ht="13.5" customHeight="1">
      <c r="A1723" s="111"/>
      <c r="B1723" s="111"/>
      <c r="C1723" s="111"/>
      <c r="D1723" s="111"/>
      <c r="E1723" s="115"/>
      <c r="F1723" s="116"/>
      <c r="G1723" s="113"/>
      <c r="H1723" s="117"/>
      <c r="I1723" s="111"/>
      <c r="J1723" s="118"/>
      <c r="K1723" s="81"/>
    </row>
    <row r="1724" ht="13.5" customHeight="1">
      <c r="A1724" s="111"/>
      <c r="B1724" s="111"/>
      <c r="C1724" s="111"/>
      <c r="D1724" s="111"/>
      <c r="E1724" s="115"/>
      <c r="F1724" s="116"/>
      <c r="G1724" s="113"/>
      <c r="H1724" s="117"/>
      <c r="I1724" s="111"/>
      <c r="J1724" s="118"/>
      <c r="K1724" s="81"/>
    </row>
    <row r="1725" ht="13.5" customHeight="1">
      <c r="A1725" s="111"/>
      <c r="B1725" s="111"/>
      <c r="C1725" s="111"/>
      <c r="D1725" s="111"/>
      <c r="E1725" s="115"/>
      <c r="F1725" s="116"/>
      <c r="G1725" s="113"/>
      <c r="H1725" s="117"/>
      <c r="I1725" s="111"/>
      <c r="J1725" s="118"/>
      <c r="K1725" s="81"/>
    </row>
    <row r="1726" ht="13.5" customHeight="1">
      <c r="A1726" s="111"/>
      <c r="B1726" s="111"/>
      <c r="C1726" s="111"/>
      <c r="D1726" s="111"/>
      <c r="E1726" s="115"/>
      <c r="F1726" s="116"/>
      <c r="G1726" s="113"/>
      <c r="H1726" s="117"/>
      <c r="I1726" s="111"/>
      <c r="J1726" s="118"/>
      <c r="K1726" s="81"/>
    </row>
    <row r="1727" ht="13.5" customHeight="1">
      <c r="A1727" s="111"/>
      <c r="B1727" s="111"/>
      <c r="C1727" s="111"/>
      <c r="D1727" s="111"/>
      <c r="E1727" s="115"/>
      <c r="F1727" s="116"/>
      <c r="G1727" s="113"/>
      <c r="H1727" s="117"/>
      <c r="I1727" s="111"/>
      <c r="J1727" s="118"/>
      <c r="K1727" s="81"/>
    </row>
    <row r="1728" ht="13.5" customHeight="1">
      <c r="A1728" s="111"/>
      <c r="B1728" s="111"/>
      <c r="C1728" s="111"/>
      <c r="D1728" s="111"/>
      <c r="E1728" s="115"/>
      <c r="F1728" s="116"/>
      <c r="G1728" s="113"/>
      <c r="H1728" s="117"/>
      <c r="I1728" s="111"/>
      <c r="J1728" s="118"/>
      <c r="K1728" s="81"/>
    </row>
    <row r="1729" ht="13.5" customHeight="1">
      <c r="A1729" s="111"/>
      <c r="B1729" s="111"/>
      <c r="C1729" s="111"/>
      <c r="D1729" s="111"/>
      <c r="E1729" s="115"/>
      <c r="F1729" s="116"/>
      <c r="G1729" s="113"/>
      <c r="H1729" s="117"/>
      <c r="I1729" s="111"/>
      <c r="J1729" s="118"/>
      <c r="K1729" s="81"/>
    </row>
    <row r="1730" ht="13.5" customHeight="1">
      <c r="A1730" s="111"/>
      <c r="B1730" s="111"/>
      <c r="C1730" s="111"/>
      <c r="D1730" s="111"/>
      <c r="E1730" s="115"/>
      <c r="F1730" s="116"/>
      <c r="G1730" s="113"/>
      <c r="H1730" s="117"/>
      <c r="I1730" s="111"/>
      <c r="J1730" s="118"/>
      <c r="K1730" s="81"/>
    </row>
    <row r="1731" ht="13.5" customHeight="1">
      <c r="A1731" s="111"/>
      <c r="B1731" s="111"/>
      <c r="C1731" s="111"/>
      <c r="D1731" s="111"/>
      <c r="E1731" s="115"/>
      <c r="F1731" s="116"/>
      <c r="G1731" s="113"/>
      <c r="H1731" s="117"/>
      <c r="I1731" s="111"/>
      <c r="J1731" s="118"/>
      <c r="K1731" s="81"/>
    </row>
    <row r="1732" ht="13.5" customHeight="1">
      <c r="A1732" s="111"/>
      <c r="B1732" s="111"/>
      <c r="C1732" s="111"/>
      <c r="D1732" s="111"/>
      <c r="E1732" s="115"/>
      <c r="F1732" s="116"/>
      <c r="G1732" s="113"/>
      <c r="H1732" s="117"/>
      <c r="I1732" s="111"/>
      <c r="J1732" s="118"/>
      <c r="K1732" s="81"/>
    </row>
    <row r="1733" ht="13.5" customHeight="1">
      <c r="A1733" s="111"/>
      <c r="B1733" s="111"/>
      <c r="C1733" s="111"/>
      <c r="D1733" s="111"/>
      <c r="E1733" s="115"/>
      <c r="F1733" s="116"/>
      <c r="G1733" s="113"/>
      <c r="H1733" s="117"/>
      <c r="I1733" s="111"/>
      <c r="J1733" s="118"/>
      <c r="K1733" s="81"/>
    </row>
    <row r="1734" ht="13.5" customHeight="1">
      <c r="A1734" s="111"/>
      <c r="B1734" s="111"/>
      <c r="C1734" s="111"/>
      <c r="D1734" s="111"/>
      <c r="E1734" s="115"/>
      <c r="F1734" s="116"/>
      <c r="G1734" s="113"/>
      <c r="H1734" s="117"/>
      <c r="I1734" s="111"/>
      <c r="J1734" s="118"/>
      <c r="K1734" s="81"/>
    </row>
    <row r="1735" ht="13.5" customHeight="1">
      <c r="A1735" s="111"/>
      <c r="B1735" s="111"/>
      <c r="C1735" s="111"/>
      <c r="D1735" s="111"/>
      <c r="E1735" s="115"/>
      <c r="F1735" s="116"/>
      <c r="G1735" s="113"/>
      <c r="H1735" s="117"/>
      <c r="I1735" s="111"/>
      <c r="J1735" s="118"/>
      <c r="K1735" s="81"/>
    </row>
    <row r="1736" ht="13.5" customHeight="1">
      <c r="A1736" s="111"/>
      <c r="B1736" s="111"/>
      <c r="C1736" s="111"/>
      <c r="D1736" s="111"/>
      <c r="E1736" s="115"/>
      <c r="F1736" s="116"/>
      <c r="G1736" s="113"/>
      <c r="H1736" s="117"/>
      <c r="I1736" s="111"/>
      <c r="J1736" s="118"/>
      <c r="K1736" s="81"/>
    </row>
    <row r="1737" ht="13.5" customHeight="1">
      <c r="A1737" s="111"/>
      <c r="B1737" s="111"/>
      <c r="C1737" s="111"/>
      <c r="D1737" s="111"/>
      <c r="E1737" s="115"/>
      <c r="F1737" s="116"/>
      <c r="G1737" s="113"/>
      <c r="H1737" s="117"/>
      <c r="I1737" s="111"/>
      <c r="J1737" s="118"/>
      <c r="K1737" s="81"/>
    </row>
    <row r="1738" ht="13.5" customHeight="1">
      <c r="A1738" s="111"/>
      <c r="B1738" s="111"/>
      <c r="C1738" s="111"/>
      <c r="D1738" s="111"/>
      <c r="E1738" s="115"/>
      <c r="F1738" s="116"/>
      <c r="G1738" s="113"/>
      <c r="H1738" s="117"/>
      <c r="I1738" s="111"/>
      <c r="J1738" s="118"/>
      <c r="K1738" s="81"/>
    </row>
    <row r="1739" ht="13.5" customHeight="1">
      <c r="A1739" s="111"/>
      <c r="B1739" s="111"/>
      <c r="C1739" s="111"/>
      <c r="D1739" s="111"/>
      <c r="E1739" s="115"/>
      <c r="F1739" s="116"/>
      <c r="G1739" s="113"/>
      <c r="H1739" s="117"/>
      <c r="I1739" s="111"/>
      <c r="J1739" s="118"/>
      <c r="K1739" s="81"/>
    </row>
    <row r="1740" ht="13.5" customHeight="1">
      <c r="A1740" s="111"/>
      <c r="B1740" s="111"/>
      <c r="C1740" s="111"/>
      <c r="D1740" s="111"/>
      <c r="E1740" s="115"/>
      <c r="F1740" s="116"/>
      <c r="G1740" s="113"/>
      <c r="H1740" s="117"/>
      <c r="I1740" s="111"/>
      <c r="J1740" s="118"/>
      <c r="K1740" s="81"/>
    </row>
    <row r="1741" ht="13.5" customHeight="1">
      <c r="A1741" s="111"/>
      <c r="B1741" s="111"/>
      <c r="C1741" s="111"/>
      <c r="D1741" s="111"/>
      <c r="E1741" s="115"/>
      <c r="F1741" s="116"/>
      <c r="G1741" s="113"/>
      <c r="H1741" s="117"/>
      <c r="I1741" s="111"/>
      <c r="J1741" s="118"/>
      <c r="K1741" s="81"/>
    </row>
    <row r="1742" ht="13.5" customHeight="1">
      <c r="A1742" s="111"/>
      <c r="B1742" s="111"/>
      <c r="C1742" s="111"/>
      <c r="D1742" s="111"/>
      <c r="E1742" s="115"/>
      <c r="F1742" s="116"/>
      <c r="G1742" s="113"/>
      <c r="H1742" s="117"/>
      <c r="I1742" s="111"/>
      <c r="J1742" s="118"/>
      <c r="K1742" s="81"/>
    </row>
    <row r="1743" ht="13.5" customHeight="1">
      <c r="A1743" s="111"/>
      <c r="B1743" s="111"/>
      <c r="C1743" s="111"/>
      <c r="D1743" s="111"/>
      <c r="E1743" s="115"/>
      <c r="F1743" s="116"/>
      <c r="G1743" s="113"/>
      <c r="H1743" s="117"/>
      <c r="I1743" s="111"/>
      <c r="J1743" s="118"/>
      <c r="K1743" s="81"/>
    </row>
    <row r="1744" ht="13.5" customHeight="1">
      <c r="A1744" s="111"/>
      <c r="B1744" s="111"/>
      <c r="C1744" s="111"/>
      <c r="D1744" s="111"/>
      <c r="E1744" s="115"/>
      <c r="F1744" s="116"/>
      <c r="G1744" s="113"/>
      <c r="H1744" s="117"/>
      <c r="I1744" s="111"/>
      <c r="J1744" s="118"/>
      <c r="K1744" s="81"/>
    </row>
    <row r="1745" ht="13.5" customHeight="1">
      <c r="A1745" s="111"/>
      <c r="B1745" s="111"/>
      <c r="C1745" s="111"/>
      <c r="D1745" s="111"/>
      <c r="E1745" s="115"/>
      <c r="F1745" s="116"/>
      <c r="G1745" s="113"/>
      <c r="H1745" s="117"/>
      <c r="I1745" s="111"/>
      <c r="J1745" s="118"/>
      <c r="K1745" s="81"/>
    </row>
    <row r="1746" ht="13.5" customHeight="1">
      <c r="A1746" s="111"/>
      <c r="B1746" s="111"/>
      <c r="C1746" s="111"/>
      <c r="D1746" s="111"/>
      <c r="E1746" s="115"/>
      <c r="F1746" s="116"/>
      <c r="G1746" s="113"/>
      <c r="H1746" s="117"/>
      <c r="I1746" s="111"/>
      <c r="J1746" s="118"/>
      <c r="K1746" s="81"/>
    </row>
    <row r="1747" ht="13.5" customHeight="1">
      <c r="A1747" s="111"/>
      <c r="B1747" s="111"/>
      <c r="C1747" s="111"/>
      <c r="D1747" s="111"/>
      <c r="E1747" s="115"/>
      <c r="F1747" s="116"/>
      <c r="G1747" s="113"/>
      <c r="H1747" s="117"/>
      <c r="I1747" s="111"/>
      <c r="J1747" s="118"/>
      <c r="K1747" s="81"/>
    </row>
    <row r="1748" ht="13.5" customHeight="1">
      <c r="A1748" s="111"/>
      <c r="B1748" s="111"/>
      <c r="C1748" s="111"/>
      <c r="D1748" s="111"/>
      <c r="E1748" s="115"/>
      <c r="F1748" s="116"/>
      <c r="G1748" s="113"/>
      <c r="H1748" s="117"/>
      <c r="I1748" s="111"/>
      <c r="J1748" s="118"/>
      <c r="K1748" s="81"/>
    </row>
    <row r="1749" ht="13.5" customHeight="1">
      <c r="A1749" s="111"/>
      <c r="B1749" s="111"/>
      <c r="C1749" s="111"/>
      <c r="D1749" s="111"/>
      <c r="E1749" s="115"/>
      <c r="F1749" s="116"/>
      <c r="G1749" s="113"/>
      <c r="H1749" s="117"/>
      <c r="I1749" s="111"/>
      <c r="J1749" s="118"/>
      <c r="K1749" s="81"/>
    </row>
    <row r="1750" ht="13.5" customHeight="1">
      <c r="A1750" s="111"/>
      <c r="B1750" s="111"/>
      <c r="C1750" s="111"/>
      <c r="D1750" s="111"/>
      <c r="E1750" s="115"/>
      <c r="F1750" s="116"/>
      <c r="G1750" s="113"/>
      <c r="H1750" s="117"/>
      <c r="I1750" s="111"/>
      <c r="J1750" s="118"/>
      <c r="K1750" s="81"/>
    </row>
    <row r="1751" ht="13.5" customHeight="1">
      <c r="A1751" s="111"/>
      <c r="B1751" s="111"/>
      <c r="C1751" s="111"/>
      <c r="D1751" s="111"/>
      <c r="E1751" s="115"/>
      <c r="F1751" s="116"/>
      <c r="G1751" s="113"/>
      <c r="H1751" s="117"/>
      <c r="I1751" s="111"/>
      <c r="J1751" s="118"/>
      <c r="K1751" s="81"/>
    </row>
    <row r="1752" ht="13.5" customHeight="1">
      <c r="A1752" s="111"/>
      <c r="B1752" s="111"/>
      <c r="C1752" s="111"/>
      <c r="D1752" s="111"/>
      <c r="E1752" s="115"/>
      <c r="F1752" s="116"/>
      <c r="G1752" s="113"/>
      <c r="H1752" s="117"/>
      <c r="I1752" s="111"/>
      <c r="J1752" s="118"/>
      <c r="K1752" s="81"/>
    </row>
    <row r="1753" ht="13.5" customHeight="1">
      <c r="A1753" s="111"/>
      <c r="B1753" s="111"/>
      <c r="C1753" s="111"/>
      <c r="D1753" s="111"/>
      <c r="E1753" s="115"/>
      <c r="F1753" s="116"/>
      <c r="G1753" s="113"/>
      <c r="H1753" s="117"/>
      <c r="I1753" s="111"/>
      <c r="J1753" s="118"/>
      <c r="K1753" s="81"/>
    </row>
    <row r="1754" ht="13.5" customHeight="1">
      <c r="A1754" s="111"/>
      <c r="B1754" s="111"/>
      <c r="C1754" s="111"/>
      <c r="D1754" s="111"/>
      <c r="E1754" s="115"/>
      <c r="F1754" s="116"/>
      <c r="G1754" s="113"/>
      <c r="H1754" s="117"/>
      <c r="I1754" s="111"/>
      <c r="J1754" s="118"/>
      <c r="K1754" s="81"/>
    </row>
    <row r="1755" ht="13.5" customHeight="1">
      <c r="A1755" s="111"/>
      <c r="B1755" s="111"/>
      <c r="C1755" s="111"/>
      <c r="D1755" s="111"/>
      <c r="E1755" s="115"/>
      <c r="F1755" s="116"/>
      <c r="G1755" s="113"/>
      <c r="H1755" s="117"/>
      <c r="I1755" s="111"/>
      <c r="J1755" s="118"/>
      <c r="K1755" s="81"/>
    </row>
    <row r="1756" ht="13.5" customHeight="1">
      <c r="A1756" s="111"/>
      <c r="B1756" s="111"/>
      <c r="C1756" s="111"/>
      <c r="D1756" s="111"/>
      <c r="E1756" s="115"/>
      <c r="F1756" s="116"/>
      <c r="G1756" s="113"/>
      <c r="H1756" s="117"/>
      <c r="I1756" s="111"/>
      <c r="J1756" s="118"/>
      <c r="K1756" s="81"/>
    </row>
    <row r="1757" ht="13.5" customHeight="1">
      <c r="A1757" s="111"/>
      <c r="B1757" s="111"/>
      <c r="C1757" s="111"/>
      <c r="D1757" s="111"/>
      <c r="E1757" s="115"/>
      <c r="F1757" s="116"/>
      <c r="G1757" s="113"/>
      <c r="H1757" s="117"/>
      <c r="I1757" s="111"/>
      <c r="J1757" s="118"/>
      <c r="K1757" s="81"/>
    </row>
    <row r="1758" ht="13.5" customHeight="1">
      <c r="A1758" s="111"/>
      <c r="B1758" s="111"/>
      <c r="C1758" s="111"/>
      <c r="D1758" s="111"/>
      <c r="E1758" s="115"/>
      <c r="F1758" s="116"/>
      <c r="G1758" s="113"/>
      <c r="H1758" s="117"/>
      <c r="I1758" s="111"/>
      <c r="J1758" s="118"/>
      <c r="K1758" s="81"/>
    </row>
    <row r="1759" ht="13.5" customHeight="1">
      <c r="A1759" s="111"/>
      <c r="B1759" s="111"/>
      <c r="C1759" s="111"/>
      <c r="D1759" s="111"/>
      <c r="E1759" s="115"/>
      <c r="F1759" s="116"/>
      <c r="G1759" s="113"/>
      <c r="H1759" s="117"/>
      <c r="I1759" s="111"/>
      <c r="J1759" s="118"/>
      <c r="K1759" s="81"/>
    </row>
    <row r="1760" ht="13.5" customHeight="1">
      <c r="A1760" s="111"/>
      <c r="B1760" s="111"/>
      <c r="C1760" s="111"/>
      <c r="D1760" s="111"/>
      <c r="E1760" s="115"/>
      <c r="F1760" s="116"/>
      <c r="G1760" s="113"/>
      <c r="H1760" s="117"/>
      <c r="I1760" s="111"/>
      <c r="J1760" s="118"/>
      <c r="K1760" s="81"/>
    </row>
    <row r="1761" ht="13.5" customHeight="1">
      <c r="A1761" s="111"/>
      <c r="B1761" s="111"/>
      <c r="C1761" s="111"/>
      <c r="D1761" s="111"/>
      <c r="E1761" s="115"/>
      <c r="F1761" s="116"/>
      <c r="G1761" s="113"/>
      <c r="H1761" s="117"/>
      <c r="I1761" s="111"/>
      <c r="J1761" s="118"/>
      <c r="K1761" s="81"/>
    </row>
    <row r="1762" ht="13.5" customHeight="1">
      <c r="A1762" s="111"/>
      <c r="B1762" s="111"/>
      <c r="C1762" s="111"/>
      <c r="D1762" s="111"/>
      <c r="E1762" s="115"/>
      <c r="F1762" s="116"/>
      <c r="G1762" s="113"/>
      <c r="H1762" s="117"/>
      <c r="I1762" s="111"/>
      <c r="J1762" s="118"/>
      <c r="K1762" s="81"/>
    </row>
    <row r="1763" ht="13.5" customHeight="1">
      <c r="A1763" s="111"/>
      <c r="B1763" s="111"/>
      <c r="C1763" s="111"/>
      <c r="D1763" s="111"/>
      <c r="E1763" s="115"/>
      <c r="F1763" s="116"/>
      <c r="G1763" s="113"/>
      <c r="H1763" s="117"/>
      <c r="I1763" s="111"/>
      <c r="J1763" s="118"/>
      <c r="K1763" s="81"/>
    </row>
    <row r="1764" ht="13.5" customHeight="1">
      <c r="A1764" s="111"/>
      <c r="B1764" s="111"/>
      <c r="C1764" s="111"/>
      <c r="D1764" s="111"/>
      <c r="E1764" s="115"/>
      <c r="F1764" s="116"/>
      <c r="G1764" s="113"/>
      <c r="H1764" s="117"/>
      <c r="I1764" s="111"/>
      <c r="J1764" s="118"/>
      <c r="K1764" s="81"/>
    </row>
    <row r="1765" ht="13.5" customHeight="1">
      <c r="A1765" s="111"/>
      <c r="B1765" s="111"/>
      <c r="C1765" s="111"/>
      <c r="D1765" s="111"/>
      <c r="E1765" s="115"/>
      <c r="F1765" s="116"/>
      <c r="G1765" s="113"/>
      <c r="H1765" s="117"/>
      <c r="I1765" s="111"/>
      <c r="J1765" s="118"/>
      <c r="K1765" s="81"/>
    </row>
    <row r="1766" ht="13.5" customHeight="1">
      <c r="A1766" s="111"/>
      <c r="B1766" s="111"/>
      <c r="C1766" s="111"/>
      <c r="D1766" s="111"/>
      <c r="E1766" s="115"/>
      <c r="F1766" s="116"/>
      <c r="G1766" s="113"/>
      <c r="H1766" s="117"/>
      <c r="I1766" s="111"/>
      <c r="J1766" s="118"/>
      <c r="K1766" s="81"/>
    </row>
    <row r="1767" ht="13.5" customHeight="1">
      <c r="A1767" s="111"/>
      <c r="B1767" s="111"/>
      <c r="C1767" s="111"/>
      <c r="D1767" s="111"/>
      <c r="E1767" s="115"/>
      <c r="F1767" s="116"/>
      <c r="G1767" s="113"/>
      <c r="H1767" s="117"/>
      <c r="I1767" s="111"/>
      <c r="J1767" s="118"/>
      <c r="K1767" s="81"/>
    </row>
    <row r="1768" ht="13.5" customHeight="1">
      <c r="A1768" s="111"/>
      <c r="B1768" s="111"/>
      <c r="C1768" s="111"/>
      <c r="D1768" s="111"/>
      <c r="E1768" s="115"/>
      <c r="F1768" s="116"/>
      <c r="G1768" s="113"/>
      <c r="H1768" s="117"/>
      <c r="I1768" s="111"/>
      <c r="J1768" s="118"/>
      <c r="K1768" s="81"/>
    </row>
    <row r="1769" ht="13.5" customHeight="1">
      <c r="A1769" s="111"/>
      <c r="B1769" s="111"/>
      <c r="C1769" s="111"/>
      <c r="D1769" s="111"/>
      <c r="E1769" s="115"/>
      <c r="F1769" s="116"/>
      <c r="G1769" s="113"/>
      <c r="H1769" s="117"/>
      <c r="I1769" s="111"/>
      <c r="J1769" s="118"/>
      <c r="K1769" s="81"/>
    </row>
    <row r="1770" ht="13.5" customHeight="1">
      <c r="A1770" s="111"/>
      <c r="B1770" s="111"/>
      <c r="C1770" s="111"/>
      <c r="D1770" s="111"/>
      <c r="E1770" s="115"/>
      <c r="F1770" s="116"/>
      <c r="G1770" s="113"/>
      <c r="H1770" s="117"/>
      <c r="I1770" s="111"/>
      <c r="J1770" s="118"/>
      <c r="K1770" s="81"/>
    </row>
    <row r="1771" ht="13.5" customHeight="1">
      <c r="A1771" s="111"/>
      <c r="B1771" s="111"/>
      <c r="C1771" s="111"/>
      <c r="D1771" s="111"/>
      <c r="E1771" s="115"/>
      <c r="F1771" s="116"/>
      <c r="G1771" s="113"/>
      <c r="H1771" s="117"/>
      <c r="I1771" s="111"/>
      <c r="J1771" s="118"/>
      <c r="K1771" s="81"/>
    </row>
    <row r="1772" ht="13.5" customHeight="1">
      <c r="A1772" s="111"/>
      <c r="B1772" s="111"/>
      <c r="C1772" s="111"/>
      <c r="D1772" s="111"/>
      <c r="E1772" s="115"/>
      <c r="F1772" s="116"/>
      <c r="G1772" s="113"/>
      <c r="H1772" s="117"/>
      <c r="I1772" s="111"/>
      <c r="J1772" s="118"/>
      <c r="K1772" s="81"/>
    </row>
    <row r="1773" ht="13.5" customHeight="1">
      <c r="A1773" s="111"/>
      <c r="B1773" s="111"/>
      <c r="C1773" s="111"/>
      <c r="D1773" s="111"/>
      <c r="E1773" s="115"/>
      <c r="F1773" s="116"/>
      <c r="G1773" s="113"/>
      <c r="H1773" s="117"/>
      <c r="I1773" s="111"/>
      <c r="J1773" s="118"/>
      <c r="K1773" s="81"/>
    </row>
    <row r="1774" ht="13.5" customHeight="1">
      <c r="A1774" s="111"/>
      <c r="B1774" s="111"/>
      <c r="C1774" s="111"/>
      <c r="D1774" s="111"/>
      <c r="E1774" s="115"/>
      <c r="F1774" s="116"/>
      <c r="G1774" s="113"/>
      <c r="H1774" s="117"/>
      <c r="I1774" s="111"/>
      <c r="J1774" s="118"/>
      <c r="K1774" s="81"/>
    </row>
    <row r="1775" ht="13.5" customHeight="1">
      <c r="A1775" s="111"/>
      <c r="B1775" s="111"/>
      <c r="C1775" s="111"/>
      <c r="D1775" s="111"/>
      <c r="E1775" s="115"/>
      <c r="F1775" s="116"/>
      <c r="G1775" s="113"/>
      <c r="H1775" s="117"/>
      <c r="I1775" s="111"/>
      <c r="J1775" s="118"/>
      <c r="K1775" s="81"/>
    </row>
    <row r="1776" ht="13.5" customHeight="1">
      <c r="A1776" s="111"/>
      <c r="B1776" s="111"/>
      <c r="C1776" s="111"/>
      <c r="D1776" s="111"/>
      <c r="E1776" s="115"/>
      <c r="F1776" s="116"/>
      <c r="G1776" s="113"/>
      <c r="H1776" s="117"/>
      <c r="I1776" s="111"/>
      <c r="J1776" s="118"/>
      <c r="K1776" s="81"/>
    </row>
    <row r="1777" ht="13.5" customHeight="1">
      <c r="A1777" s="111"/>
      <c r="B1777" s="111"/>
      <c r="C1777" s="111"/>
      <c r="D1777" s="111"/>
      <c r="E1777" s="115"/>
      <c r="F1777" s="116"/>
      <c r="G1777" s="113"/>
      <c r="H1777" s="117"/>
      <c r="I1777" s="111"/>
      <c r="J1777" s="118"/>
      <c r="K1777" s="81"/>
    </row>
    <row r="1778" ht="13.5" customHeight="1">
      <c r="A1778" s="111"/>
      <c r="B1778" s="111"/>
      <c r="C1778" s="111"/>
      <c r="D1778" s="111"/>
      <c r="E1778" s="115"/>
      <c r="F1778" s="116"/>
      <c r="G1778" s="113"/>
      <c r="H1778" s="117"/>
      <c r="I1778" s="111"/>
      <c r="J1778" s="118"/>
      <c r="K1778" s="81"/>
    </row>
    <row r="1779" ht="13.5" customHeight="1">
      <c r="A1779" s="111"/>
      <c r="B1779" s="111"/>
      <c r="C1779" s="111"/>
      <c r="D1779" s="111"/>
      <c r="E1779" s="115"/>
      <c r="F1779" s="116"/>
      <c r="G1779" s="113"/>
      <c r="H1779" s="117"/>
      <c r="I1779" s="111"/>
      <c r="J1779" s="118"/>
      <c r="K1779" s="81"/>
    </row>
    <row r="1780" ht="13.5" customHeight="1">
      <c r="A1780" s="111"/>
      <c r="B1780" s="111"/>
      <c r="C1780" s="111"/>
      <c r="D1780" s="111"/>
      <c r="E1780" s="115"/>
      <c r="F1780" s="116"/>
      <c r="G1780" s="113"/>
      <c r="H1780" s="117"/>
      <c r="I1780" s="111"/>
      <c r="J1780" s="118"/>
      <c r="K1780" s="81"/>
    </row>
    <row r="1781" ht="13.5" customHeight="1">
      <c r="A1781" s="111"/>
      <c r="B1781" s="111"/>
      <c r="C1781" s="111"/>
      <c r="D1781" s="111"/>
      <c r="E1781" s="115"/>
      <c r="F1781" s="116"/>
      <c r="G1781" s="113"/>
      <c r="H1781" s="117"/>
      <c r="I1781" s="111"/>
      <c r="J1781" s="118"/>
      <c r="K1781" s="81"/>
    </row>
    <row r="1782" ht="13.5" customHeight="1">
      <c r="A1782" s="111"/>
      <c r="B1782" s="111"/>
      <c r="C1782" s="111"/>
      <c r="D1782" s="111"/>
      <c r="E1782" s="115"/>
      <c r="F1782" s="116"/>
      <c r="G1782" s="113"/>
      <c r="H1782" s="117"/>
      <c r="I1782" s="111"/>
      <c r="J1782" s="118"/>
      <c r="K1782" s="81"/>
    </row>
    <row r="1783" ht="13.5" customHeight="1">
      <c r="A1783" s="111"/>
      <c r="B1783" s="111"/>
      <c r="C1783" s="111"/>
      <c r="D1783" s="111"/>
      <c r="E1783" s="115"/>
      <c r="F1783" s="116"/>
      <c r="G1783" s="113"/>
      <c r="H1783" s="117"/>
      <c r="I1783" s="111"/>
      <c r="J1783" s="118"/>
      <c r="K1783" s="81"/>
    </row>
    <row r="1784" ht="13.5" customHeight="1">
      <c r="A1784" s="111"/>
      <c r="B1784" s="111"/>
      <c r="C1784" s="111"/>
      <c r="D1784" s="111"/>
      <c r="E1784" s="115"/>
      <c r="F1784" s="116"/>
      <c r="G1784" s="113"/>
      <c r="H1784" s="117"/>
      <c r="I1784" s="111"/>
      <c r="J1784" s="118"/>
      <c r="K1784" s="81"/>
    </row>
    <row r="1785" ht="13.5" customHeight="1">
      <c r="A1785" s="111"/>
      <c r="B1785" s="111"/>
      <c r="C1785" s="111"/>
      <c r="D1785" s="111"/>
      <c r="E1785" s="115"/>
      <c r="F1785" s="116"/>
      <c r="G1785" s="113"/>
      <c r="H1785" s="117"/>
      <c r="I1785" s="111"/>
      <c r="J1785" s="118"/>
      <c r="K1785" s="81"/>
    </row>
    <row r="1786" ht="13.5" customHeight="1">
      <c r="A1786" s="111"/>
      <c r="B1786" s="111"/>
      <c r="C1786" s="111"/>
      <c r="D1786" s="111"/>
      <c r="E1786" s="115"/>
      <c r="F1786" s="116"/>
      <c r="G1786" s="113"/>
      <c r="H1786" s="117"/>
      <c r="I1786" s="111"/>
      <c r="J1786" s="118"/>
      <c r="K1786" s="81"/>
    </row>
    <row r="1787" ht="13.5" customHeight="1">
      <c r="A1787" s="111"/>
      <c r="B1787" s="111"/>
      <c r="C1787" s="111"/>
      <c r="D1787" s="111"/>
      <c r="E1787" s="115"/>
      <c r="F1787" s="116"/>
      <c r="G1787" s="113"/>
      <c r="H1787" s="117"/>
      <c r="I1787" s="111"/>
      <c r="J1787" s="118"/>
      <c r="K1787" s="81"/>
    </row>
    <row r="1788" ht="13.5" customHeight="1">
      <c r="A1788" s="111"/>
      <c r="B1788" s="111"/>
      <c r="C1788" s="111"/>
      <c r="D1788" s="111"/>
      <c r="E1788" s="115"/>
      <c r="F1788" s="116"/>
      <c r="G1788" s="113"/>
      <c r="H1788" s="117"/>
      <c r="I1788" s="111"/>
      <c r="J1788" s="118"/>
      <c r="K1788" s="81"/>
    </row>
    <row r="1789" ht="13.5" customHeight="1">
      <c r="A1789" s="111"/>
      <c r="B1789" s="111"/>
      <c r="C1789" s="111"/>
      <c r="D1789" s="111"/>
      <c r="E1789" s="115"/>
      <c r="F1789" s="116"/>
      <c r="G1789" s="113"/>
      <c r="H1789" s="117"/>
      <c r="I1789" s="111"/>
      <c r="J1789" s="118"/>
      <c r="K1789" s="81"/>
    </row>
    <row r="1790" ht="13.5" customHeight="1">
      <c r="A1790" s="111"/>
      <c r="B1790" s="111"/>
      <c r="C1790" s="111"/>
      <c r="D1790" s="111"/>
      <c r="E1790" s="115"/>
      <c r="F1790" s="116"/>
      <c r="G1790" s="113"/>
      <c r="H1790" s="117"/>
      <c r="I1790" s="111"/>
      <c r="J1790" s="118"/>
      <c r="K1790" s="81"/>
    </row>
    <row r="1791" ht="13.5" customHeight="1">
      <c r="A1791" s="111"/>
      <c r="B1791" s="111"/>
      <c r="C1791" s="111"/>
      <c r="D1791" s="111"/>
      <c r="E1791" s="115"/>
      <c r="F1791" s="116"/>
      <c r="G1791" s="113"/>
      <c r="H1791" s="117"/>
      <c r="I1791" s="111"/>
      <c r="J1791" s="118"/>
      <c r="K1791" s="81"/>
    </row>
    <row r="1792" ht="13.5" customHeight="1">
      <c r="A1792" s="111"/>
      <c r="B1792" s="111"/>
      <c r="C1792" s="111"/>
      <c r="D1792" s="111"/>
      <c r="E1792" s="115"/>
      <c r="F1792" s="116"/>
      <c r="G1792" s="113"/>
      <c r="H1792" s="117"/>
      <c r="I1792" s="111"/>
      <c r="J1792" s="118"/>
      <c r="K1792" s="81"/>
    </row>
    <row r="1793" ht="13.5" customHeight="1">
      <c r="A1793" s="111"/>
      <c r="B1793" s="111"/>
      <c r="C1793" s="111"/>
      <c r="D1793" s="111"/>
      <c r="E1793" s="115"/>
      <c r="F1793" s="116"/>
      <c r="G1793" s="113"/>
      <c r="H1793" s="117"/>
      <c r="I1793" s="111"/>
      <c r="J1793" s="118"/>
      <c r="K1793" s="81"/>
    </row>
    <row r="1794" ht="13.5" customHeight="1">
      <c r="A1794" s="111"/>
      <c r="B1794" s="111"/>
      <c r="C1794" s="111"/>
      <c r="D1794" s="111"/>
      <c r="E1794" s="115"/>
      <c r="F1794" s="116"/>
      <c r="G1794" s="113"/>
      <c r="H1794" s="117"/>
      <c r="I1794" s="111"/>
      <c r="J1794" s="118"/>
      <c r="K1794" s="81"/>
    </row>
    <row r="1795" ht="13.5" customHeight="1">
      <c r="A1795" s="111"/>
      <c r="B1795" s="111"/>
      <c r="C1795" s="111"/>
      <c r="D1795" s="111"/>
      <c r="E1795" s="115"/>
      <c r="F1795" s="116"/>
      <c r="G1795" s="113"/>
      <c r="H1795" s="117"/>
      <c r="I1795" s="111"/>
      <c r="J1795" s="118"/>
      <c r="K1795" s="81"/>
    </row>
    <row r="1796" ht="13.5" customHeight="1">
      <c r="A1796" s="111"/>
      <c r="B1796" s="111"/>
      <c r="C1796" s="111"/>
      <c r="D1796" s="111"/>
      <c r="E1796" s="115"/>
      <c r="F1796" s="116"/>
      <c r="G1796" s="113"/>
      <c r="H1796" s="117"/>
      <c r="I1796" s="111"/>
      <c r="J1796" s="118"/>
      <c r="K1796" s="81"/>
    </row>
    <row r="1797" ht="13.5" customHeight="1">
      <c r="A1797" s="111"/>
      <c r="B1797" s="111"/>
      <c r="C1797" s="111"/>
      <c r="D1797" s="111"/>
      <c r="E1797" s="115"/>
      <c r="F1797" s="116"/>
      <c r="G1797" s="113"/>
      <c r="H1797" s="117"/>
      <c r="I1797" s="111"/>
      <c r="J1797" s="118"/>
      <c r="K1797" s="81"/>
    </row>
    <row r="1798" ht="13.5" customHeight="1">
      <c r="A1798" s="111"/>
      <c r="B1798" s="111"/>
      <c r="C1798" s="111"/>
      <c r="D1798" s="111"/>
      <c r="E1798" s="115"/>
      <c r="F1798" s="116"/>
      <c r="G1798" s="113"/>
      <c r="H1798" s="117"/>
      <c r="I1798" s="111"/>
      <c r="J1798" s="118"/>
      <c r="K1798" s="81"/>
    </row>
    <row r="1799" ht="13.5" customHeight="1">
      <c r="A1799" s="111"/>
      <c r="B1799" s="111"/>
      <c r="C1799" s="111"/>
      <c r="D1799" s="111"/>
      <c r="E1799" s="115"/>
      <c r="F1799" s="116"/>
      <c r="G1799" s="113"/>
      <c r="H1799" s="117"/>
      <c r="I1799" s="111"/>
      <c r="J1799" s="118"/>
      <c r="K1799" s="81"/>
    </row>
    <row r="1800" ht="13.5" customHeight="1">
      <c r="A1800" s="111"/>
      <c r="B1800" s="111"/>
      <c r="C1800" s="111"/>
      <c r="D1800" s="111"/>
      <c r="E1800" s="115"/>
      <c r="F1800" s="116"/>
      <c r="G1800" s="113"/>
      <c r="H1800" s="117"/>
      <c r="I1800" s="111"/>
      <c r="J1800" s="118"/>
      <c r="K1800" s="81"/>
    </row>
    <row r="1801" ht="13.5" customHeight="1">
      <c r="A1801" s="111"/>
      <c r="B1801" s="111"/>
      <c r="C1801" s="111"/>
      <c r="D1801" s="111"/>
      <c r="E1801" s="115"/>
      <c r="F1801" s="116"/>
      <c r="G1801" s="113"/>
      <c r="H1801" s="117"/>
      <c r="I1801" s="111"/>
      <c r="J1801" s="118"/>
      <c r="K1801" s="81"/>
    </row>
    <row r="1802" ht="13.5" customHeight="1">
      <c r="A1802" s="111"/>
      <c r="B1802" s="111"/>
      <c r="C1802" s="111"/>
      <c r="D1802" s="111"/>
      <c r="E1802" s="115"/>
      <c r="F1802" s="116"/>
      <c r="G1802" s="113"/>
      <c r="H1802" s="117"/>
      <c r="I1802" s="111"/>
      <c r="J1802" s="118"/>
      <c r="K1802" s="81"/>
    </row>
    <row r="1803" ht="13.5" customHeight="1">
      <c r="A1803" s="111"/>
      <c r="B1803" s="111"/>
      <c r="C1803" s="111"/>
      <c r="D1803" s="111"/>
      <c r="E1803" s="115"/>
      <c r="F1803" s="116"/>
      <c r="G1803" s="113"/>
      <c r="H1803" s="117"/>
      <c r="I1803" s="111"/>
      <c r="J1803" s="118"/>
      <c r="K1803" s="81"/>
    </row>
    <row r="1804" ht="13.5" customHeight="1">
      <c r="A1804" s="111"/>
      <c r="B1804" s="111"/>
      <c r="C1804" s="111"/>
      <c r="D1804" s="111"/>
      <c r="E1804" s="115"/>
      <c r="F1804" s="116"/>
      <c r="G1804" s="113"/>
      <c r="H1804" s="117"/>
      <c r="I1804" s="111"/>
      <c r="J1804" s="118"/>
      <c r="K1804" s="81"/>
    </row>
    <row r="1805" ht="13.5" customHeight="1">
      <c r="A1805" s="111"/>
      <c r="B1805" s="111"/>
      <c r="C1805" s="111"/>
      <c r="D1805" s="111"/>
      <c r="E1805" s="115"/>
      <c r="F1805" s="116"/>
      <c r="G1805" s="113"/>
      <c r="H1805" s="117"/>
      <c r="I1805" s="111"/>
      <c r="J1805" s="118"/>
      <c r="K1805" s="81"/>
    </row>
    <row r="1806" ht="13.5" customHeight="1">
      <c r="A1806" s="111"/>
      <c r="B1806" s="111"/>
      <c r="C1806" s="111"/>
      <c r="D1806" s="111"/>
      <c r="E1806" s="115"/>
      <c r="F1806" s="116"/>
      <c r="G1806" s="113"/>
      <c r="H1806" s="117"/>
      <c r="I1806" s="111"/>
      <c r="J1806" s="118"/>
      <c r="K1806" s="81"/>
    </row>
    <row r="1807" ht="13.5" customHeight="1">
      <c r="A1807" s="111"/>
      <c r="B1807" s="111"/>
      <c r="C1807" s="111"/>
      <c r="D1807" s="111"/>
      <c r="E1807" s="115"/>
      <c r="F1807" s="116"/>
      <c r="G1807" s="113"/>
      <c r="H1807" s="117"/>
      <c r="I1807" s="111"/>
      <c r="J1807" s="118"/>
      <c r="K1807" s="81"/>
    </row>
    <row r="1808" ht="13.5" customHeight="1">
      <c r="A1808" s="111"/>
      <c r="B1808" s="111"/>
      <c r="C1808" s="111"/>
      <c r="D1808" s="111"/>
      <c r="E1808" s="115"/>
      <c r="F1808" s="116"/>
      <c r="G1808" s="113"/>
      <c r="H1808" s="117"/>
      <c r="I1808" s="111"/>
      <c r="J1808" s="118"/>
      <c r="K1808" s="81"/>
    </row>
    <row r="1809" ht="13.5" customHeight="1">
      <c r="A1809" s="111"/>
      <c r="B1809" s="111"/>
      <c r="C1809" s="111"/>
      <c r="D1809" s="111"/>
      <c r="E1809" s="115"/>
      <c r="F1809" s="116"/>
      <c r="G1809" s="113"/>
      <c r="H1809" s="117"/>
      <c r="I1809" s="111"/>
      <c r="J1809" s="118"/>
      <c r="K1809" s="81"/>
    </row>
    <row r="1810" ht="13.5" customHeight="1">
      <c r="A1810" s="111"/>
      <c r="B1810" s="111"/>
      <c r="C1810" s="111"/>
      <c r="D1810" s="111"/>
      <c r="E1810" s="115"/>
      <c r="F1810" s="116"/>
      <c r="G1810" s="113"/>
      <c r="H1810" s="117"/>
      <c r="I1810" s="111"/>
      <c r="J1810" s="118"/>
      <c r="K1810" s="81"/>
    </row>
    <row r="1811" ht="13.5" customHeight="1">
      <c r="A1811" s="111"/>
      <c r="B1811" s="111"/>
      <c r="C1811" s="111"/>
      <c r="D1811" s="111"/>
      <c r="E1811" s="115"/>
      <c r="F1811" s="116"/>
      <c r="G1811" s="113"/>
      <c r="H1811" s="117"/>
      <c r="I1811" s="111"/>
      <c r="J1811" s="118"/>
      <c r="K1811" s="81"/>
    </row>
    <row r="1812" ht="13.5" customHeight="1">
      <c r="A1812" s="111"/>
      <c r="B1812" s="111"/>
      <c r="C1812" s="111"/>
      <c r="D1812" s="111"/>
      <c r="E1812" s="115"/>
      <c r="F1812" s="116"/>
      <c r="G1812" s="113"/>
      <c r="H1812" s="117"/>
      <c r="I1812" s="111"/>
      <c r="J1812" s="118"/>
      <c r="K1812" s="81"/>
    </row>
    <row r="1813" ht="13.5" customHeight="1">
      <c r="A1813" s="111"/>
      <c r="B1813" s="111"/>
      <c r="C1813" s="111"/>
      <c r="D1813" s="111"/>
      <c r="E1813" s="115"/>
      <c r="F1813" s="116"/>
      <c r="G1813" s="113"/>
      <c r="H1813" s="117"/>
      <c r="I1813" s="111"/>
      <c r="J1813" s="118"/>
      <c r="K1813" s="81"/>
    </row>
    <row r="1814" ht="13.5" customHeight="1">
      <c r="A1814" s="111"/>
      <c r="B1814" s="111"/>
      <c r="C1814" s="111"/>
      <c r="D1814" s="111"/>
      <c r="E1814" s="115"/>
      <c r="F1814" s="116"/>
      <c r="G1814" s="113"/>
      <c r="H1814" s="117"/>
      <c r="I1814" s="111"/>
      <c r="J1814" s="118"/>
      <c r="K1814" s="81"/>
    </row>
    <row r="1815" ht="13.5" customHeight="1">
      <c r="A1815" s="111"/>
      <c r="B1815" s="111"/>
      <c r="C1815" s="111"/>
      <c r="D1815" s="111"/>
      <c r="E1815" s="115"/>
      <c r="F1815" s="116"/>
      <c r="G1815" s="113"/>
      <c r="H1815" s="117"/>
      <c r="I1815" s="111"/>
      <c r="J1815" s="118"/>
      <c r="K1815" s="81"/>
    </row>
    <row r="1816" ht="13.5" customHeight="1">
      <c r="A1816" s="111"/>
      <c r="B1816" s="111"/>
      <c r="C1816" s="111"/>
      <c r="D1816" s="111"/>
      <c r="E1816" s="115"/>
      <c r="F1816" s="116"/>
      <c r="G1816" s="113"/>
      <c r="H1816" s="117"/>
      <c r="I1816" s="111"/>
      <c r="J1816" s="118"/>
      <c r="K1816" s="81"/>
    </row>
    <row r="1817" ht="13.5" customHeight="1">
      <c r="A1817" s="111"/>
      <c r="B1817" s="111"/>
      <c r="C1817" s="111"/>
      <c r="D1817" s="111"/>
      <c r="E1817" s="115"/>
      <c r="F1817" s="116"/>
      <c r="G1817" s="113"/>
      <c r="H1817" s="117"/>
      <c r="I1817" s="111"/>
      <c r="J1817" s="118"/>
      <c r="K1817" s="81"/>
    </row>
    <row r="1818" ht="13.5" customHeight="1">
      <c r="A1818" s="111"/>
      <c r="B1818" s="111"/>
      <c r="C1818" s="111"/>
      <c r="D1818" s="111"/>
      <c r="E1818" s="115"/>
      <c r="F1818" s="116"/>
      <c r="G1818" s="113"/>
      <c r="H1818" s="117"/>
      <c r="I1818" s="111"/>
      <c r="J1818" s="118"/>
      <c r="K1818" s="81"/>
    </row>
    <row r="1819" ht="13.5" customHeight="1">
      <c r="A1819" s="111"/>
      <c r="B1819" s="111"/>
      <c r="C1819" s="111"/>
      <c r="D1819" s="111"/>
      <c r="E1819" s="115"/>
      <c r="F1819" s="116"/>
      <c r="G1819" s="113"/>
      <c r="H1819" s="117"/>
      <c r="I1819" s="111"/>
      <c r="J1819" s="118"/>
      <c r="K1819" s="81"/>
    </row>
    <row r="1820" ht="13.5" customHeight="1">
      <c r="A1820" s="111"/>
      <c r="B1820" s="111"/>
      <c r="C1820" s="111"/>
      <c r="D1820" s="111"/>
      <c r="E1820" s="115"/>
      <c r="F1820" s="116"/>
      <c r="G1820" s="113"/>
      <c r="H1820" s="117"/>
      <c r="I1820" s="111"/>
      <c r="J1820" s="118"/>
      <c r="K1820" s="81"/>
    </row>
    <row r="1821" ht="13.5" customHeight="1">
      <c r="A1821" s="111"/>
      <c r="B1821" s="111"/>
      <c r="C1821" s="111"/>
      <c r="D1821" s="111"/>
      <c r="E1821" s="115"/>
      <c r="F1821" s="116"/>
      <c r="G1821" s="113"/>
      <c r="H1821" s="117"/>
      <c r="I1821" s="111"/>
      <c r="J1821" s="118"/>
      <c r="K1821" s="81"/>
    </row>
    <row r="1822" ht="13.5" customHeight="1">
      <c r="A1822" s="111"/>
      <c r="B1822" s="111"/>
      <c r="C1822" s="111"/>
      <c r="D1822" s="111"/>
      <c r="E1822" s="115"/>
      <c r="F1822" s="116"/>
      <c r="G1822" s="113"/>
      <c r="H1822" s="117"/>
      <c r="I1822" s="111"/>
      <c r="J1822" s="118"/>
      <c r="K1822" s="81"/>
    </row>
    <row r="1823" ht="13.5" customHeight="1">
      <c r="A1823" s="111"/>
      <c r="B1823" s="111"/>
      <c r="C1823" s="111"/>
      <c r="D1823" s="111"/>
      <c r="E1823" s="115"/>
      <c r="F1823" s="116"/>
      <c r="G1823" s="113"/>
      <c r="H1823" s="117"/>
      <c r="I1823" s="111"/>
      <c r="J1823" s="118"/>
      <c r="K1823" s="81"/>
    </row>
    <row r="1824" ht="13.5" customHeight="1">
      <c r="A1824" s="111"/>
      <c r="B1824" s="111"/>
      <c r="C1824" s="111"/>
      <c r="D1824" s="111"/>
      <c r="E1824" s="115"/>
      <c r="F1824" s="116"/>
      <c r="G1824" s="113"/>
      <c r="H1824" s="117"/>
      <c r="I1824" s="111"/>
      <c r="J1824" s="118"/>
      <c r="K1824" s="81"/>
    </row>
    <row r="1825" ht="13.5" customHeight="1">
      <c r="A1825" s="111"/>
      <c r="B1825" s="111"/>
      <c r="C1825" s="111"/>
      <c r="D1825" s="111"/>
      <c r="E1825" s="115"/>
      <c r="F1825" s="116"/>
      <c r="G1825" s="113"/>
      <c r="H1825" s="117"/>
      <c r="I1825" s="111"/>
      <c r="J1825" s="118"/>
      <c r="K1825" s="81"/>
    </row>
    <row r="1826" ht="13.5" customHeight="1">
      <c r="A1826" s="111"/>
      <c r="B1826" s="111"/>
      <c r="C1826" s="111"/>
      <c r="D1826" s="111"/>
      <c r="E1826" s="115"/>
      <c r="F1826" s="116"/>
      <c r="G1826" s="113"/>
      <c r="H1826" s="117"/>
      <c r="I1826" s="111"/>
      <c r="J1826" s="118"/>
      <c r="K1826" s="81"/>
    </row>
    <row r="1827" ht="13.5" customHeight="1">
      <c r="A1827" s="111"/>
      <c r="B1827" s="111"/>
      <c r="C1827" s="111"/>
      <c r="D1827" s="111"/>
      <c r="E1827" s="115"/>
      <c r="F1827" s="116"/>
      <c r="G1827" s="113"/>
      <c r="H1827" s="117"/>
      <c r="I1827" s="111"/>
      <c r="J1827" s="118"/>
      <c r="K1827" s="81"/>
    </row>
    <row r="1828" ht="13.5" customHeight="1">
      <c r="A1828" s="111"/>
      <c r="B1828" s="111"/>
      <c r="C1828" s="111"/>
      <c r="D1828" s="111"/>
      <c r="E1828" s="115"/>
      <c r="F1828" s="116"/>
      <c r="G1828" s="113"/>
      <c r="H1828" s="117"/>
      <c r="I1828" s="111"/>
      <c r="J1828" s="118"/>
      <c r="K1828" s="81"/>
    </row>
    <row r="1829" ht="13.5" customHeight="1">
      <c r="A1829" s="111"/>
      <c r="B1829" s="111"/>
      <c r="C1829" s="111"/>
      <c r="D1829" s="111"/>
      <c r="E1829" s="115"/>
      <c r="F1829" s="116"/>
      <c r="G1829" s="113"/>
      <c r="H1829" s="117"/>
      <c r="I1829" s="111"/>
      <c r="J1829" s="118"/>
      <c r="K1829" s="81"/>
    </row>
    <row r="1830" ht="13.5" customHeight="1">
      <c r="A1830" s="111"/>
      <c r="B1830" s="111"/>
      <c r="C1830" s="111"/>
      <c r="D1830" s="111"/>
      <c r="E1830" s="115"/>
      <c r="F1830" s="116"/>
      <c r="G1830" s="113"/>
      <c r="H1830" s="117"/>
      <c r="I1830" s="111"/>
      <c r="J1830" s="118"/>
      <c r="K1830" s="81"/>
    </row>
    <row r="1831" ht="13.5" customHeight="1">
      <c r="A1831" s="111"/>
      <c r="B1831" s="111"/>
      <c r="C1831" s="111"/>
      <c r="D1831" s="111"/>
      <c r="E1831" s="115"/>
      <c r="F1831" s="116"/>
      <c r="G1831" s="113"/>
      <c r="H1831" s="117"/>
      <c r="I1831" s="111"/>
      <c r="J1831" s="118"/>
      <c r="K1831" s="81"/>
    </row>
    <row r="1832" ht="13.5" customHeight="1">
      <c r="A1832" s="111"/>
      <c r="B1832" s="111"/>
      <c r="C1832" s="111"/>
      <c r="D1832" s="111"/>
      <c r="E1832" s="115"/>
      <c r="F1832" s="116"/>
      <c r="G1832" s="113"/>
      <c r="H1832" s="117"/>
      <c r="I1832" s="111"/>
      <c r="J1832" s="118"/>
      <c r="K1832" s="81"/>
    </row>
    <row r="1833" ht="13.5" customHeight="1">
      <c r="A1833" s="111"/>
      <c r="B1833" s="111"/>
      <c r="C1833" s="111"/>
      <c r="D1833" s="111"/>
      <c r="E1833" s="115"/>
      <c r="F1833" s="116"/>
      <c r="G1833" s="113"/>
      <c r="H1833" s="117"/>
      <c r="I1833" s="111"/>
      <c r="J1833" s="118"/>
      <c r="K1833" s="81"/>
    </row>
    <row r="1834" ht="13.5" customHeight="1">
      <c r="A1834" s="111"/>
      <c r="B1834" s="111"/>
      <c r="C1834" s="111"/>
      <c r="D1834" s="111"/>
      <c r="E1834" s="115"/>
      <c r="F1834" s="116"/>
      <c r="G1834" s="113"/>
      <c r="H1834" s="117"/>
      <c r="I1834" s="111"/>
      <c r="J1834" s="118"/>
      <c r="K1834" s="81"/>
    </row>
    <row r="1835" ht="13.5" customHeight="1">
      <c r="A1835" s="111"/>
      <c r="B1835" s="111"/>
      <c r="C1835" s="111"/>
      <c r="D1835" s="111"/>
      <c r="E1835" s="115"/>
      <c r="F1835" s="116"/>
      <c r="G1835" s="113"/>
      <c r="H1835" s="117"/>
      <c r="I1835" s="111"/>
      <c r="J1835" s="118"/>
      <c r="K1835" s="81"/>
    </row>
    <row r="1836" ht="13.5" customHeight="1">
      <c r="A1836" s="111"/>
      <c r="B1836" s="111"/>
      <c r="C1836" s="111"/>
      <c r="D1836" s="111"/>
      <c r="E1836" s="115"/>
      <c r="F1836" s="116"/>
      <c r="G1836" s="113"/>
      <c r="H1836" s="117"/>
      <c r="I1836" s="111"/>
      <c r="J1836" s="118"/>
      <c r="K1836" s="81"/>
    </row>
    <row r="1837" ht="13.5" customHeight="1">
      <c r="A1837" s="111"/>
      <c r="B1837" s="111"/>
      <c r="C1837" s="111"/>
      <c r="D1837" s="111"/>
      <c r="E1837" s="115"/>
      <c r="F1837" s="116"/>
      <c r="G1837" s="113"/>
      <c r="H1837" s="117"/>
      <c r="I1837" s="111"/>
      <c r="J1837" s="118"/>
      <c r="K1837" s="81"/>
    </row>
    <row r="1838" ht="13.5" customHeight="1">
      <c r="A1838" s="111"/>
      <c r="B1838" s="111"/>
      <c r="C1838" s="111"/>
      <c r="D1838" s="111"/>
      <c r="E1838" s="115"/>
      <c r="F1838" s="116"/>
      <c r="G1838" s="113"/>
      <c r="H1838" s="117"/>
      <c r="I1838" s="111"/>
      <c r="J1838" s="118"/>
      <c r="K1838" s="81"/>
    </row>
    <row r="1839" ht="13.5" customHeight="1">
      <c r="A1839" s="111"/>
      <c r="B1839" s="111"/>
      <c r="C1839" s="111"/>
      <c r="D1839" s="111"/>
      <c r="E1839" s="115"/>
      <c r="F1839" s="116"/>
      <c r="G1839" s="113"/>
      <c r="H1839" s="117"/>
      <c r="I1839" s="111"/>
      <c r="J1839" s="118"/>
      <c r="K1839" s="81"/>
    </row>
    <row r="1840" ht="13.5" customHeight="1">
      <c r="A1840" s="111"/>
      <c r="B1840" s="111"/>
      <c r="C1840" s="111"/>
      <c r="D1840" s="111"/>
      <c r="E1840" s="115"/>
      <c r="F1840" s="116"/>
      <c r="G1840" s="113"/>
      <c r="H1840" s="117"/>
      <c r="I1840" s="111"/>
      <c r="J1840" s="118"/>
      <c r="K1840" s="81"/>
    </row>
    <row r="1841" ht="13.5" customHeight="1">
      <c r="A1841" s="111"/>
      <c r="B1841" s="111"/>
      <c r="C1841" s="111"/>
      <c r="D1841" s="111"/>
      <c r="E1841" s="115"/>
      <c r="F1841" s="116"/>
      <c r="G1841" s="113"/>
      <c r="H1841" s="117"/>
      <c r="I1841" s="111"/>
      <c r="J1841" s="118"/>
      <c r="K1841" s="81"/>
    </row>
    <row r="1842" ht="13.5" customHeight="1">
      <c r="A1842" s="111"/>
      <c r="B1842" s="111"/>
      <c r="C1842" s="111"/>
      <c r="D1842" s="111"/>
      <c r="E1842" s="115"/>
      <c r="F1842" s="116"/>
      <c r="G1842" s="113"/>
      <c r="H1842" s="117"/>
      <c r="I1842" s="111"/>
      <c r="J1842" s="118"/>
      <c r="K1842" s="81"/>
    </row>
    <row r="1843" ht="13.5" customHeight="1">
      <c r="A1843" s="111"/>
      <c r="B1843" s="111"/>
      <c r="C1843" s="111"/>
      <c r="D1843" s="111"/>
      <c r="E1843" s="115"/>
      <c r="F1843" s="116"/>
      <c r="G1843" s="113"/>
      <c r="H1843" s="117"/>
      <c r="I1843" s="111"/>
      <c r="J1843" s="118"/>
      <c r="K1843" s="81"/>
    </row>
    <row r="1844" ht="13.5" customHeight="1">
      <c r="A1844" s="111"/>
      <c r="B1844" s="111"/>
      <c r="C1844" s="111"/>
      <c r="D1844" s="111"/>
      <c r="E1844" s="115"/>
      <c r="F1844" s="116"/>
      <c r="G1844" s="113"/>
      <c r="H1844" s="117"/>
      <c r="I1844" s="111"/>
      <c r="J1844" s="118"/>
      <c r="K1844" s="81"/>
    </row>
    <row r="1845" ht="13.5" customHeight="1">
      <c r="A1845" s="111"/>
      <c r="B1845" s="111"/>
      <c r="C1845" s="111"/>
      <c r="D1845" s="111"/>
      <c r="E1845" s="115"/>
      <c r="F1845" s="116"/>
      <c r="G1845" s="113"/>
      <c r="H1845" s="117"/>
      <c r="I1845" s="111"/>
      <c r="J1845" s="118"/>
      <c r="K1845" s="81"/>
    </row>
    <row r="1846" ht="13.5" customHeight="1">
      <c r="A1846" s="111"/>
      <c r="B1846" s="111"/>
      <c r="C1846" s="111"/>
      <c r="D1846" s="111"/>
      <c r="E1846" s="115"/>
      <c r="F1846" s="116"/>
      <c r="G1846" s="113"/>
      <c r="H1846" s="117"/>
      <c r="I1846" s="111"/>
      <c r="J1846" s="118"/>
      <c r="K1846" s="81"/>
    </row>
    <row r="1847" ht="13.5" customHeight="1">
      <c r="A1847" s="111"/>
      <c r="B1847" s="111"/>
      <c r="C1847" s="111"/>
      <c r="D1847" s="111"/>
      <c r="E1847" s="115"/>
      <c r="F1847" s="116"/>
      <c r="G1847" s="113"/>
      <c r="H1847" s="117"/>
      <c r="I1847" s="111"/>
      <c r="J1847" s="118"/>
      <c r="K1847" s="81"/>
    </row>
    <row r="1848" ht="13.5" customHeight="1">
      <c r="A1848" s="111"/>
      <c r="B1848" s="111"/>
      <c r="C1848" s="111"/>
      <c r="D1848" s="111"/>
      <c r="E1848" s="115"/>
      <c r="F1848" s="116"/>
      <c r="G1848" s="113"/>
      <c r="H1848" s="117"/>
      <c r="I1848" s="111"/>
      <c r="J1848" s="118"/>
      <c r="K1848" s="81"/>
    </row>
    <row r="1849" ht="13.5" customHeight="1">
      <c r="A1849" s="111"/>
      <c r="B1849" s="111"/>
      <c r="C1849" s="111"/>
      <c r="D1849" s="111"/>
      <c r="E1849" s="115"/>
      <c r="F1849" s="116"/>
      <c r="G1849" s="113"/>
      <c r="H1849" s="117"/>
      <c r="I1849" s="111"/>
      <c r="J1849" s="118"/>
      <c r="K1849" s="81"/>
    </row>
    <row r="1850" ht="13.5" customHeight="1">
      <c r="A1850" s="111"/>
      <c r="B1850" s="111"/>
      <c r="C1850" s="111"/>
      <c r="D1850" s="111"/>
      <c r="E1850" s="115"/>
      <c r="F1850" s="116"/>
      <c r="G1850" s="113"/>
      <c r="H1850" s="117"/>
      <c r="I1850" s="111"/>
      <c r="J1850" s="118"/>
      <c r="K1850" s="81"/>
    </row>
    <row r="1851" ht="13.5" customHeight="1">
      <c r="A1851" s="111"/>
      <c r="B1851" s="111"/>
      <c r="C1851" s="111"/>
      <c r="D1851" s="111"/>
      <c r="E1851" s="115"/>
      <c r="F1851" s="116"/>
      <c r="G1851" s="113"/>
      <c r="H1851" s="117"/>
      <c r="I1851" s="111"/>
      <c r="J1851" s="118"/>
      <c r="K1851" s="81"/>
    </row>
    <row r="1852" ht="13.5" customHeight="1">
      <c r="A1852" s="111"/>
      <c r="B1852" s="111"/>
      <c r="C1852" s="111"/>
      <c r="D1852" s="111"/>
      <c r="E1852" s="115"/>
      <c r="F1852" s="116"/>
      <c r="G1852" s="113"/>
      <c r="H1852" s="117"/>
      <c r="I1852" s="111"/>
      <c r="J1852" s="118"/>
      <c r="K1852" s="81"/>
    </row>
    <row r="1853" ht="13.5" customHeight="1">
      <c r="A1853" s="111"/>
      <c r="B1853" s="111"/>
      <c r="C1853" s="111"/>
      <c r="D1853" s="111"/>
      <c r="E1853" s="115"/>
      <c r="F1853" s="116"/>
      <c r="G1853" s="113"/>
      <c r="H1853" s="117"/>
      <c r="I1853" s="111"/>
      <c r="J1853" s="118"/>
      <c r="K1853" s="81"/>
    </row>
    <row r="1854" ht="13.5" customHeight="1">
      <c r="A1854" s="111"/>
      <c r="B1854" s="111"/>
      <c r="C1854" s="111"/>
      <c r="D1854" s="111"/>
      <c r="E1854" s="115"/>
      <c r="F1854" s="116"/>
      <c r="G1854" s="113"/>
      <c r="H1854" s="117"/>
      <c r="I1854" s="111"/>
      <c r="J1854" s="118"/>
      <c r="K1854" s="81"/>
    </row>
    <row r="1855" ht="13.5" customHeight="1">
      <c r="A1855" s="111"/>
      <c r="B1855" s="111"/>
      <c r="C1855" s="111"/>
      <c r="D1855" s="111"/>
      <c r="E1855" s="115"/>
      <c r="F1855" s="116"/>
      <c r="G1855" s="113"/>
      <c r="H1855" s="117"/>
      <c r="I1855" s="111"/>
      <c r="J1855" s="118"/>
      <c r="K1855" s="81"/>
    </row>
    <row r="1856" ht="13.5" customHeight="1">
      <c r="A1856" s="111"/>
      <c r="B1856" s="111"/>
      <c r="C1856" s="111"/>
      <c r="D1856" s="111"/>
      <c r="E1856" s="115"/>
      <c r="F1856" s="116"/>
      <c r="G1856" s="113"/>
      <c r="H1856" s="117"/>
      <c r="I1856" s="111"/>
      <c r="J1856" s="118"/>
      <c r="K1856" s="81"/>
    </row>
    <row r="1857" ht="13.5" customHeight="1">
      <c r="A1857" s="111"/>
      <c r="B1857" s="111"/>
      <c r="C1857" s="111"/>
      <c r="D1857" s="111"/>
      <c r="E1857" s="115"/>
      <c r="F1857" s="116"/>
      <c r="G1857" s="113"/>
      <c r="H1857" s="117"/>
      <c r="I1857" s="111"/>
      <c r="J1857" s="118"/>
      <c r="K1857" s="81"/>
    </row>
    <row r="1858" ht="13.5" customHeight="1">
      <c r="A1858" s="111"/>
      <c r="B1858" s="111"/>
      <c r="C1858" s="111"/>
      <c r="D1858" s="111"/>
      <c r="E1858" s="115"/>
      <c r="F1858" s="116"/>
      <c r="G1858" s="113"/>
      <c r="H1858" s="117"/>
      <c r="I1858" s="111"/>
      <c r="J1858" s="118"/>
      <c r="K1858" s="81"/>
    </row>
    <row r="1859" ht="13.5" customHeight="1">
      <c r="A1859" s="111"/>
      <c r="B1859" s="111"/>
      <c r="C1859" s="111"/>
      <c r="D1859" s="111"/>
      <c r="E1859" s="115"/>
      <c r="F1859" s="116"/>
      <c r="G1859" s="113"/>
      <c r="H1859" s="117"/>
      <c r="I1859" s="111"/>
      <c r="J1859" s="118"/>
      <c r="K1859" s="81"/>
    </row>
    <row r="1860" ht="13.5" customHeight="1">
      <c r="A1860" s="111"/>
      <c r="B1860" s="111"/>
      <c r="C1860" s="111"/>
      <c r="D1860" s="111"/>
      <c r="E1860" s="115"/>
      <c r="F1860" s="116"/>
      <c r="G1860" s="113"/>
      <c r="H1860" s="117"/>
      <c r="I1860" s="111"/>
      <c r="J1860" s="118"/>
      <c r="K1860" s="81"/>
    </row>
    <row r="1861" ht="13.5" customHeight="1">
      <c r="A1861" s="111"/>
      <c r="B1861" s="111"/>
      <c r="C1861" s="111"/>
      <c r="D1861" s="111"/>
      <c r="E1861" s="115"/>
      <c r="F1861" s="116"/>
      <c r="G1861" s="113"/>
      <c r="H1861" s="117"/>
      <c r="I1861" s="111"/>
      <c r="J1861" s="118"/>
      <c r="K1861" s="81"/>
    </row>
    <row r="1862" ht="13.5" customHeight="1">
      <c r="A1862" s="111"/>
      <c r="B1862" s="111"/>
      <c r="C1862" s="111"/>
      <c r="D1862" s="111"/>
      <c r="E1862" s="115"/>
      <c r="F1862" s="116"/>
      <c r="G1862" s="113"/>
      <c r="H1862" s="117"/>
      <c r="I1862" s="111"/>
      <c r="J1862" s="118"/>
      <c r="K1862" s="81"/>
    </row>
    <row r="1863" ht="13.5" customHeight="1">
      <c r="A1863" s="111"/>
      <c r="B1863" s="111"/>
      <c r="C1863" s="111"/>
      <c r="D1863" s="111"/>
      <c r="E1863" s="115"/>
      <c r="F1863" s="116"/>
      <c r="G1863" s="113"/>
      <c r="H1863" s="117"/>
      <c r="I1863" s="111"/>
      <c r="J1863" s="118"/>
      <c r="K1863" s="81"/>
    </row>
    <row r="1864" ht="13.5" customHeight="1">
      <c r="A1864" s="111"/>
      <c r="B1864" s="111"/>
      <c r="C1864" s="111"/>
      <c r="D1864" s="111"/>
      <c r="E1864" s="115"/>
      <c r="F1864" s="116"/>
      <c r="G1864" s="113"/>
      <c r="H1864" s="117"/>
      <c r="I1864" s="111"/>
      <c r="J1864" s="118"/>
      <c r="K1864" s="81"/>
    </row>
    <row r="1865" ht="13.5" customHeight="1">
      <c r="A1865" s="111"/>
      <c r="B1865" s="111"/>
      <c r="C1865" s="111"/>
      <c r="D1865" s="111"/>
      <c r="E1865" s="115"/>
      <c r="F1865" s="116"/>
      <c r="G1865" s="113"/>
      <c r="H1865" s="117"/>
      <c r="I1865" s="111"/>
      <c r="J1865" s="118"/>
      <c r="K1865" s="81"/>
    </row>
    <row r="1866" ht="13.5" customHeight="1">
      <c r="A1866" s="111"/>
      <c r="B1866" s="111"/>
      <c r="C1866" s="111"/>
      <c r="D1866" s="111"/>
      <c r="E1866" s="115"/>
      <c r="F1866" s="116"/>
      <c r="G1866" s="113"/>
      <c r="H1866" s="117"/>
      <c r="I1866" s="111"/>
      <c r="J1866" s="118"/>
      <c r="K1866" s="81"/>
    </row>
    <row r="1867" ht="13.5" customHeight="1">
      <c r="A1867" s="111"/>
      <c r="B1867" s="111"/>
      <c r="C1867" s="111"/>
      <c r="D1867" s="111"/>
      <c r="E1867" s="115"/>
      <c r="F1867" s="116"/>
      <c r="G1867" s="113"/>
      <c r="H1867" s="117"/>
      <c r="I1867" s="111"/>
      <c r="J1867" s="118"/>
      <c r="K1867" s="81"/>
    </row>
    <row r="1868" ht="13.5" customHeight="1">
      <c r="A1868" s="111"/>
      <c r="B1868" s="111"/>
      <c r="C1868" s="111"/>
      <c r="D1868" s="111"/>
      <c r="E1868" s="115"/>
      <c r="F1868" s="116"/>
      <c r="G1868" s="113"/>
      <c r="H1868" s="117"/>
      <c r="I1868" s="111"/>
      <c r="J1868" s="118"/>
      <c r="K1868" s="81"/>
    </row>
    <row r="1869" ht="13.5" customHeight="1">
      <c r="A1869" s="111"/>
      <c r="B1869" s="111"/>
      <c r="C1869" s="111"/>
      <c r="D1869" s="111"/>
      <c r="E1869" s="115"/>
      <c r="F1869" s="116"/>
      <c r="G1869" s="113"/>
      <c r="H1869" s="117"/>
      <c r="I1869" s="111"/>
      <c r="J1869" s="118"/>
      <c r="K1869" s="81"/>
    </row>
    <row r="1870" ht="13.5" customHeight="1">
      <c r="A1870" s="111"/>
      <c r="B1870" s="111"/>
      <c r="C1870" s="111"/>
      <c r="D1870" s="111"/>
      <c r="E1870" s="115"/>
      <c r="F1870" s="116"/>
      <c r="G1870" s="113"/>
      <c r="H1870" s="117"/>
      <c r="I1870" s="111"/>
      <c r="J1870" s="118"/>
      <c r="K1870" s="81"/>
    </row>
    <row r="1871" ht="13.5" customHeight="1">
      <c r="A1871" s="111"/>
      <c r="B1871" s="111"/>
      <c r="C1871" s="111"/>
      <c r="D1871" s="111"/>
      <c r="E1871" s="115"/>
      <c r="F1871" s="116"/>
      <c r="G1871" s="113"/>
      <c r="H1871" s="117"/>
      <c r="I1871" s="111"/>
      <c r="J1871" s="118"/>
      <c r="K1871" s="81"/>
    </row>
    <row r="1872" ht="13.5" customHeight="1">
      <c r="A1872" s="111"/>
      <c r="B1872" s="111"/>
      <c r="C1872" s="111"/>
      <c r="D1872" s="111"/>
      <c r="E1872" s="115"/>
      <c r="F1872" s="116"/>
      <c r="G1872" s="113"/>
      <c r="H1872" s="117"/>
      <c r="I1872" s="111"/>
      <c r="J1872" s="118"/>
      <c r="K1872" s="81"/>
    </row>
    <row r="1873" ht="13.5" customHeight="1">
      <c r="A1873" s="111"/>
      <c r="B1873" s="111"/>
      <c r="C1873" s="111"/>
      <c r="D1873" s="111"/>
      <c r="E1873" s="115"/>
      <c r="F1873" s="116"/>
      <c r="G1873" s="113"/>
      <c r="H1873" s="117"/>
      <c r="I1873" s="111"/>
      <c r="J1873" s="118"/>
      <c r="K1873" s="81"/>
    </row>
    <row r="1874" ht="13.5" customHeight="1">
      <c r="A1874" s="111"/>
      <c r="B1874" s="111"/>
      <c r="C1874" s="111"/>
      <c r="D1874" s="111"/>
      <c r="E1874" s="115"/>
      <c r="F1874" s="116"/>
      <c r="G1874" s="113"/>
      <c r="H1874" s="117"/>
      <c r="I1874" s="111"/>
      <c r="J1874" s="118"/>
      <c r="K1874" s="81"/>
    </row>
    <row r="1875" ht="13.5" customHeight="1">
      <c r="A1875" s="111"/>
      <c r="B1875" s="111"/>
      <c r="C1875" s="111"/>
      <c r="D1875" s="111"/>
      <c r="E1875" s="115"/>
      <c r="F1875" s="116"/>
      <c r="G1875" s="113"/>
      <c r="H1875" s="117"/>
      <c r="I1875" s="111"/>
      <c r="J1875" s="118"/>
      <c r="K1875" s="81"/>
    </row>
    <row r="1876" ht="13.5" customHeight="1">
      <c r="A1876" s="111"/>
      <c r="B1876" s="111"/>
      <c r="C1876" s="111"/>
      <c r="D1876" s="111"/>
      <c r="E1876" s="115"/>
      <c r="F1876" s="116"/>
      <c r="G1876" s="113"/>
      <c r="H1876" s="117"/>
      <c r="I1876" s="111"/>
      <c r="J1876" s="118"/>
      <c r="K1876" s="81"/>
    </row>
    <row r="1877" ht="13.5" customHeight="1">
      <c r="A1877" s="111"/>
      <c r="B1877" s="111"/>
      <c r="C1877" s="111"/>
      <c r="D1877" s="111"/>
      <c r="E1877" s="115"/>
      <c r="F1877" s="116"/>
      <c r="G1877" s="113"/>
      <c r="H1877" s="117"/>
      <c r="I1877" s="111"/>
      <c r="J1877" s="118"/>
      <c r="K1877" s="81"/>
    </row>
    <row r="1878" ht="13.5" customHeight="1">
      <c r="A1878" s="111"/>
      <c r="B1878" s="111"/>
      <c r="C1878" s="111"/>
      <c r="D1878" s="111"/>
      <c r="E1878" s="115"/>
      <c r="F1878" s="116"/>
      <c r="G1878" s="113"/>
      <c r="H1878" s="117"/>
      <c r="I1878" s="111"/>
      <c r="J1878" s="118"/>
      <c r="K1878" s="81"/>
    </row>
    <row r="1879" ht="13.5" customHeight="1">
      <c r="A1879" s="111"/>
      <c r="B1879" s="111"/>
      <c r="C1879" s="111"/>
      <c r="D1879" s="111"/>
      <c r="E1879" s="115"/>
      <c r="F1879" s="116"/>
      <c r="G1879" s="113"/>
      <c r="H1879" s="117"/>
      <c r="I1879" s="111"/>
      <c r="J1879" s="118"/>
      <c r="K1879" s="81"/>
    </row>
    <row r="1880" ht="13.5" customHeight="1">
      <c r="A1880" s="111"/>
      <c r="B1880" s="111"/>
      <c r="C1880" s="111"/>
      <c r="D1880" s="111"/>
      <c r="E1880" s="115"/>
      <c r="F1880" s="116"/>
      <c r="G1880" s="113"/>
      <c r="H1880" s="117"/>
      <c r="I1880" s="111"/>
      <c r="J1880" s="118"/>
      <c r="K1880" s="81"/>
    </row>
    <row r="1881" ht="13.5" customHeight="1">
      <c r="A1881" s="111"/>
      <c r="B1881" s="111"/>
      <c r="C1881" s="111"/>
      <c r="D1881" s="111"/>
      <c r="E1881" s="115"/>
      <c r="F1881" s="116"/>
      <c r="G1881" s="113"/>
      <c r="H1881" s="117"/>
      <c r="I1881" s="111"/>
      <c r="J1881" s="118"/>
      <c r="K1881" s="81"/>
    </row>
    <row r="1882" ht="13.5" customHeight="1">
      <c r="A1882" s="111"/>
      <c r="B1882" s="111"/>
      <c r="C1882" s="111"/>
      <c r="D1882" s="111"/>
      <c r="E1882" s="115"/>
      <c r="F1882" s="116"/>
      <c r="G1882" s="113"/>
      <c r="H1882" s="117"/>
      <c r="I1882" s="111"/>
      <c r="J1882" s="118"/>
      <c r="K1882" s="81"/>
    </row>
    <row r="1883" ht="13.5" customHeight="1">
      <c r="A1883" s="111"/>
      <c r="B1883" s="111"/>
      <c r="C1883" s="111"/>
      <c r="D1883" s="111"/>
      <c r="E1883" s="115"/>
      <c r="F1883" s="116"/>
      <c r="G1883" s="113"/>
      <c r="H1883" s="117"/>
      <c r="I1883" s="111"/>
      <c r="J1883" s="118"/>
      <c r="K1883" s="81"/>
    </row>
    <row r="1884" ht="13.5" customHeight="1">
      <c r="A1884" s="111"/>
      <c r="B1884" s="111"/>
      <c r="C1884" s="111"/>
      <c r="D1884" s="111"/>
      <c r="E1884" s="115"/>
      <c r="F1884" s="116"/>
      <c r="G1884" s="113"/>
      <c r="H1884" s="117"/>
      <c r="I1884" s="111"/>
      <c r="J1884" s="118"/>
      <c r="K1884" s="81"/>
    </row>
    <row r="1885" ht="13.5" customHeight="1">
      <c r="A1885" s="111"/>
      <c r="B1885" s="111"/>
      <c r="C1885" s="111"/>
      <c r="D1885" s="111"/>
      <c r="E1885" s="115"/>
      <c r="F1885" s="116"/>
      <c r="G1885" s="113"/>
      <c r="H1885" s="117"/>
      <c r="I1885" s="111"/>
      <c r="J1885" s="118"/>
      <c r="K1885" s="81"/>
    </row>
    <row r="1886" ht="13.5" customHeight="1">
      <c r="A1886" s="111"/>
      <c r="B1886" s="111"/>
      <c r="C1886" s="111"/>
      <c r="D1886" s="111"/>
      <c r="E1886" s="115"/>
      <c r="F1886" s="116"/>
      <c r="G1886" s="113"/>
      <c r="H1886" s="117"/>
      <c r="I1886" s="111"/>
      <c r="J1886" s="118"/>
      <c r="K1886" s="81"/>
    </row>
    <row r="1887" ht="13.5" customHeight="1">
      <c r="A1887" s="111"/>
      <c r="B1887" s="111"/>
      <c r="C1887" s="111"/>
      <c r="D1887" s="111"/>
      <c r="E1887" s="115"/>
      <c r="F1887" s="116"/>
      <c r="G1887" s="113"/>
      <c r="H1887" s="117"/>
      <c r="I1887" s="111"/>
      <c r="J1887" s="118"/>
      <c r="K1887" s="81"/>
    </row>
    <row r="1888" ht="13.5" customHeight="1">
      <c r="A1888" s="111"/>
      <c r="B1888" s="111"/>
      <c r="C1888" s="111"/>
      <c r="D1888" s="111"/>
      <c r="E1888" s="115"/>
      <c r="F1888" s="116"/>
      <c r="G1888" s="113"/>
      <c r="H1888" s="117"/>
      <c r="I1888" s="111"/>
      <c r="J1888" s="118"/>
      <c r="K1888" s="81"/>
    </row>
    <row r="1889" ht="13.5" customHeight="1">
      <c r="A1889" s="111"/>
      <c r="B1889" s="111"/>
      <c r="C1889" s="111"/>
      <c r="D1889" s="111"/>
      <c r="E1889" s="115"/>
      <c r="F1889" s="116"/>
      <c r="G1889" s="113"/>
      <c r="H1889" s="117"/>
      <c r="I1889" s="111"/>
      <c r="J1889" s="118"/>
      <c r="K1889" s="81"/>
    </row>
    <row r="1890" ht="13.5" customHeight="1">
      <c r="A1890" s="111"/>
      <c r="B1890" s="111"/>
      <c r="C1890" s="111"/>
      <c r="D1890" s="111"/>
      <c r="E1890" s="115"/>
      <c r="F1890" s="116"/>
      <c r="G1890" s="113"/>
      <c r="H1890" s="117"/>
      <c r="I1890" s="111"/>
      <c r="J1890" s="118"/>
      <c r="K1890" s="81"/>
    </row>
    <row r="1891" ht="13.5" customHeight="1">
      <c r="A1891" s="111"/>
      <c r="B1891" s="111"/>
      <c r="C1891" s="111"/>
      <c r="D1891" s="111"/>
      <c r="E1891" s="115"/>
      <c r="F1891" s="116"/>
      <c r="G1891" s="113"/>
      <c r="H1891" s="117"/>
      <c r="I1891" s="111"/>
      <c r="J1891" s="118"/>
      <c r="K1891" s="81"/>
    </row>
    <row r="1892" ht="13.5" customHeight="1">
      <c r="A1892" s="111"/>
      <c r="B1892" s="111"/>
      <c r="C1892" s="111"/>
      <c r="D1892" s="111"/>
      <c r="E1892" s="115"/>
      <c r="F1892" s="116"/>
      <c r="G1892" s="113"/>
      <c r="H1892" s="117"/>
      <c r="I1892" s="111"/>
      <c r="J1892" s="118"/>
      <c r="K1892" s="81"/>
    </row>
    <row r="1893" ht="13.5" customHeight="1">
      <c r="A1893" s="111"/>
      <c r="B1893" s="111"/>
      <c r="C1893" s="111"/>
      <c r="D1893" s="111"/>
      <c r="E1893" s="115"/>
      <c r="F1893" s="116"/>
      <c r="G1893" s="113"/>
      <c r="H1893" s="117"/>
      <c r="I1893" s="111"/>
      <c r="J1893" s="118"/>
      <c r="K1893" s="81"/>
    </row>
    <row r="1894" ht="13.5" customHeight="1">
      <c r="A1894" s="111"/>
      <c r="B1894" s="111"/>
      <c r="C1894" s="111"/>
      <c r="D1894" s="111"/>
      <c r="E1894" s="115"/>
      <c r="F1894" s="116"/>
      <c r="G1894" s="113"/>
      <c r="H1894" s="117"/>
      <c r="I1894" s="111"/>
      <c r="J1894" s="118"/>
      <c r="K1894" s="81"/>
    </row>
    <row r="1895" ht="13.5" customHeight="1">
      <c r="A1895" s="111"/>
      <c r="B1895" s="111"/>
      <c r="C1895" s="111"/>
      <c r="D1895" s="111"/>
      <c r="E1895" s="115"/>
      <c r="F1895" s="116"/>
      <c r="G1895" s="113"/>
      <c r="H1895" s="117"/>
      <c r="I1895" s="111"/>
      <c r="J1895" s="118"/>
      <c r="K1895" s="81"/>
    </row>
    <row r="1896" ht="13.5" customHeight="1">
      <c r="A1896" s="111"/>
      <c r="B1896" s="111"/>
      <c r="C1896" s="111"/>
      <c r="D1896" s="111"/>
      <c r="E1896" s="115"/>
      <c r="F1896" s="116"/>
      <c r="G1896" s="113"/>
      <c r="H1896" s="117"/>
      <c r="I1896" s="111"/>
      <c r="J1896" s="118"/>
      <c r="K1896" s="81"/>
    </row>
    <row r="1897" ht="13.5" customHeight="1">
      <c r="A1897" s="111"/>
      <c r="B1897" s="111"/>
      <c r="C1897" s="111"/>
      <c r="D1897" s="111"/>
      <c r="E1897" s="115"/>
      <c r="F1897" s="116"/>
      <c r="G1897" s="113"/>
      <c r="H1897" s="117"/>
      <c r="I1897" s="111"/>
      <c r="J1897" s="118"/>
      <c r="K1897" s="81"/>
    </row>
    <row r="1898" ht="13.5" customHeight="1">
      <c r="A1898" s="111"/>
      <c r="B1898" s="111"/>
      <c r="C1898" s="111"/>
      <c r="D1898" s="111"/>
      <c r="E1898" s="115"/>
      <c r="F1898" s="116"/>
      <c r="G1898" s="113"/>
      <c r="H1898" s="117"/>
      <c r="I1898" s="111"/>
      <c r="J1898" s="118"/>
      <c r="K1898" s="81"/>
    </row>
    <row r="1899" ht="13.5" customHeight="1">
      <c r="A1899" s="111"/>
      <c r="B1899" s="111"/>
      <c r="C1899" s="111"/>
      <c r="D1899" s="111"/>
      <c r="E1899" s="115"/>
      <c r="F1899" s="116"/>
      <c r="G1899" s="113"/>
      <c r="H1899" s="117"/>
      <c r="I1899" s="111"/>
      <c r="J1899" s="118"/>
      <c r="K1899" s="81"/>
    </row>
    <row r="1900" ht="13.5" customHeight="1">
      <c r="A1900" s="111"/>
      <c r="B1900" s="111"/>
      <c r="C1900" s="111"/>
      <c r="D1900" s="111"/>
      <c r="E1900" s="115"/>
      <c r="F1900" s="116"/>
      <c r="G1900" s="113"/>
      <c r="H1900" s="117"/>
      <c r="I1900" s="111"/>
      <c r="J1900" s="118"/>
      <c r="K1900" s="81"/>
    </row>
    <row r="1901" ht="13.5" customHeight="1">
      <c r="A1901" s="111"/>
      <c r="B1901" s="111"/>
      <c r="C1901" s="111"/>
      <c r="D1901" s="111"/>
      <c r="E1901" s="115"/>
      <c r="F1901" s="116"/>
      <c r="G1901" s="113"/>
      <c r="H1901" s="117"/>
      <c r="I1901" s="111"/>
      <c r="J1901" s="118"/>
      <c r="K1901" s="81"/>
    </row>
    <row r="1902" ht="13.5" customHeight="1">
      <c r="A1902" s="111"/>
      <c r="B1902" s="111"/>
      <c r="C1902" s="111"/>
      <c r="D1902" s="111"/>
      <c r="E1902" s="115"/>
      <c r="F1902" s="116"/>
      <c r="G1902" s="113"/>
      <c r="H1902" s="117"/>
      <c r="I1902" s="111"/>
      <c r="J1902" s="118"/>
      <c r="K1902" s="81"/>
    </row>
    <row r="1903" ht="13.5" customHeight="1">
      <c r="A1903" s="111"/>
      <c r="B1903" s="111"/>
      <c r="C1903" s="111"/>
      <c r="D1903" s="111"/>
      <c r="E1903" s="115"/>
      <c r="F1903" s="116"/>
      <c r="G1903" s="113"/>
      <c r="H1903" s="117"/>
      <c r="I1903" s="111"/>
      <c r="J1903" s="118"/>
      <c r="K1903" s="81"/>
    </row>
    <row r="1904" ht="13.5" customHeight="1">
      <c r="A1904" s="111"/>
      <c r="B1904" s="111"/>
      <c r="C1904" s="111"/>
      <c r="D1904" s="111"/>
      <c r="E1904" s="115"/>
      <c r="F1904" s="116"/>
      <c r="G1904" s="113"/>
      <c r="H1904" s="117"/>
      <c r="I1904" s="111"/>
      <c r="J1904" s="118"/>
      <c r="K1904" s="81"/>
    </row>
    <row r="1905" ht="13.5" customHeight="1">
      <c r="A1905" s="111"/>
      <c r="B1905" s="111"/>
      <c r="C1905" s="111"/>
      <c r="D1905" s="111"/>
      <c r="E1905" s="115"/>
      <c r="F1905" s="116"/>
      <c r="G1905" s="113"/>
      <c r="H1905" s="117"/>
      <c r="I1905" s="111"/>
      <c r="J1905" s="118"/>
      <c r="K1905" s="81"/>
    </row>
    <row r="1906" ht="13.5" customHeight="1">
      <c r="A1906" s="111"/>
      <c r="B1906" s="111"/>
      <c r="C1906" s="111"/>
      <c r="D1906" s="111"/>
      <c r="E1906" s="115"/>
      <c r="F1906" s="116"/>
      <c r="G1906" s="113"/>
      <c r="H1906" s="117"/>
      <c r="I1906" s="111"/>
      <c r="J1906" s="118"/>
      <c r="K1906" s="81"/>
    </row>
    <row r="1907" ht="13.5" customHeight="1">
      <c r="A1907" s="111"/>
      <c r="B1907" s="111"/>
      <c r="C1907" s="111"/>
      <c r="D1907" s="111"/>
      <c r="E1907" s="115"/>
      <c r="F1907" s="116"/>
      <c r="G1907" s="113"/>
      <c r="H1907" s="117"/>
      <c r="I1907" s="111"/>
      <c r="J1907" s="118"/>
      <c r="K1907" s="81"/>
    </row>
    <row r="1908" ht="13.5" customHeight="1">
      <c r="A1908" s="111"/>
      <c r="B1908" s="111"/>
      <c r="C1908" s="111"/>
      <c r="D1908" s="111"/>
      <c r="E1908" s="115"/>
      <c r="F1908" s="116"/>
      <c r="G1908" s="113"/>
      <c r="H1908" s="117"/>
      <c r="I1908" s="111"/>
      <c r="J1908" s="118"/>
      <c r="K1908" s="81"/>
    </row>
    <row r="1909" ht="13.5" customHeight="1">
      <c r="A1909" s="111"/>
      <c r="B1909" s="111"/>
      <c r="C1909" s="111"/>
      <c r="D1909" s="111"/>
      <c r="E1909" s="115"/>
      <c r="F1909" s="116"/>
      <c r="G1909" s="113"/>
      <c r="H1909" s="117"/>
      <c r="I1909" s="111"/>
      <c r="J1909" s="118"/>
      <c r="K1909" s="81"/>
    </row>
    <row r="1910" ht="13.5" customHeight="1">
      <c r="A1910" s="111"/>
      <c r="B1910" s="111"/>
      <c r="C1910" s="111"/>
      <c r="D1910" s="111"/>
      <c r="E1910" s="115"/>
      <c r="F1910" s="116"/>
      <c r="G1910" s="113"/>
      <c r="H1910" s="117"/>
      <c r="I1910" s="111"/>
      <c r="J1910" s="118"/>
      <c r="K1910" s="81"/>
    </row>
    <row r="1911" ht="13.5" customHeight="1">
      <c r="A1911" s="111"/>
      <c r="B1911" s="111"/>
      <c r="C1911" s="111"/>
      <c r="D1911" s="111"/>
      <c r="E1911" s="115"/>
      <c r="F1911" s="116"/>
      <c r="G1911" s="113"/>
      <c r="H1911" s="117"/>
      <c r="I1911" s="111"/>
      <c r="J1911" s="118"/>
      <c r="K1911" s="81"/>
    </row>
    <row r="1912" ht="13.5" customHeight="1">
      <c r="A1912" s="111"/>
      <c r="B1912" s="111"/>
      <c r="C1912" s="111"/>
      <c r="D1912" s="111"/>
      <c r="E1912" s="115"/>
      <c r="F1912" s="116"/>
      <c r="G1912" s="113"/>
      <c r="H1912" s="117"/>
      <c r="I1912" s="111"/>
      <c r="J1912" s="118"/>
      <c r="K1912" s="81"/>
    </row>
    <row r="1913" ht="13.5" customHeight="1">
      <c r="A1913" s="111"/>
      <c r="B1913" s="111"/>
      <c r="C1913" s="111"/>
      <c r="D1913" s="111"/>
      <c r="E1913" s="115"/>
      <c r="F1913" s="116"/>
      <c r="G1913" s="113"/>
      <c r="H1913" s="117"/>
      <c r="I1913" s="111"/>
      <c r="J1913" s="118"/>
      <c r="K1913" s="81"/>
    </row>
    <row r="1914" ht="13.5" customHeight="1">
      <c r="A1914" s="111"/>
      <c r="B1914" s="111"/>
      <c r="C1914" s="111"/>
      <c r="D1914" s="111"/>
      <c r="E1914" s="115"/>
      <c r="F1914" s="116"/>
      <c r="G1914" s="113"/>
      <c r="H1914" s="117"/>
      <c r="I1914" s="111"/>
      <c r="J1914" s="118"/>
      <c r="K1914" s="81"/>
    </row>
    <row r="1915" ht="13.5" customHeight="1">
      <c r="A1915" s="111"/>
      <c r="B1915" s="111"/>
      <c r="C1915" s="111"/>
      <c r="D1915" s="111"/>
      <c r="E1915" s="115"/>
      <c r="F1915" s="116"/>
      <c r="G1915" s="113"/>
      <c r="H1915" s="117"/>
      <c r="I1915" s="111"/>
      <c r="J1915" s="118"/>
      <c r="K1915" s="81"/>
    </row>
    <row r="1916" ht="13.5" customHeight="1">
      <c r="A1916" s="111"/>
      <c r="B1916" s="111"/>
      <c r="C1916" s="111"/>
      <c r="D1916" s="111"/>
      <c r="E1916" s="115"/>
      <c r="F1916" s="116"/>
      <c r="G1916" s="113"/>
      <c r="H1916" s="117"/>
      <c r="I1916" s="111"/>
      <c r="J1916" s="118"/>
      <c r="K1916" s="81"/>
    </row>
    <row r="1917" ht="13.5" customHeight="1">
      <c r="A1917" s="111"/>
      <c r="B1917" s="111"/>
      <c r="C1917" s="111"/>
      <c r="D1917" s="111"/>
      <c r="E1917" s="115"/>
      <c r="F1917" s="116"/>
      <c r="G1917" s="113"/>
      <c r="H1917" s="117"/>
      <c r="I1917" s="111"/>
      <c r="J1917" s="118"/>
      <c r="K1917" s="81"/>
    </row>
    <row r="1918" ht="13.5" customHeight="1">
      <c r="A1918" s="111"/>
      <c r="B1918" s="111"/>
      <c r="C1918" s="111"/>
      <c r="D1918" s="111"/>
      <c r="E1918" s="115"/>
      <c r="F1918" s="116"/>
      <c r="G1918" s="113"/>
      <c r="H1918" s="117"/>
      <c r="I1918" s="111"/>
      <c r="J1918" s="118"/>
      <c r="K1918" s="81"/>
    </row>
    <row r="1919" ht="13.5" customHeight="1">
      <c r="A1919" s="111"/>
      <c r="B1919" s="111"/>
      <c r="C1919" s="111"/>
      <c r="D1919" s="111"/>
      <c r="E1919" s="115"/>
      <c r="F1919" s="116"/>
      <c r="G1919" s="113"/>
      <c r="H1919" s="117"/>
      <c r="I1919" s="111"/>
      <c r="J1919" s="118"/>
      <c r="K1919" s="81"/>
    </row>
    <row r="1920" ht="13.5" customHeight="1">
      <c r="A1920" s="111"/>
      <c r="B1920" s="111"/>
      <c r="C1920" s="111"/>
      <c r="D1920" s="111"/>
      <c r="E1920" s="115"/>
      <c r="F1920" s="116"/>
      <c r="G1920" s="113"/>
      <c r="H1920" s="117"/>
      <c r="I1920" s="111"/>
      <c r="J1920" s="118"/>
      <c r="K1920" s="81"/>
    </row>
    <row r="1921" ht="13.5" customHeight="1">
      <c r="A1921" s="111"/>
      <c r="B1921" s="111"/>
      <c r="C1921" s="111"/>
      <c r="D1921" s="111"/>
      <c r="E1921" s="115"/>
      <c r="F1921" s="116"/>
      <c r="G1921" s="113"/>
      <c r="H1921" s="117"/>
      <c r="I1921" s="111"/>
      <c r="J1921" s="118"/>
      <c r="K1921" s="81"/>
    </row>
    <row r="1922" ht="13.5" customHeight="1">
      <c r="A1922" s="111"/>
      <c r="B1922" s="111"/>
      <c r="C1922" s="111"/>
      <c r="D1922" s="111"/>
      <c r="E1922" s="115"/>
      <c r="F1922" s="116"/>
      <c r="G1922" s="113"/>
      <c r="H1922" s="117"/>
      <c r="I1922" s="111"/>
      <c r="J1922" s="118"/>
      <c r="K1922" s="81"/>
    </row>
    <row r="1923" ht="13.5" customHeight="1">
      <c r="A1923" s="111"/>
      <c r="B1923" s="111"/>
      <c r="C1923" s="111"/>
      <c r="D1923" s="111"/>
      <c r="E1923" s="115"/>
      <c r="F1923" s="116"/>
      <c r="G1923" s="113"/>
      <c r="H1923" s="117"/>
      <c r="I1923" s="111"/>
      <c r="J1923" s="118"/>
      <c r="K1923" s="81"/>
    </row>
    <row r="1924" ht="13.5" customHeight="1">
      <c r="A1924" s="111"/>
      <c r="B1924" s="111"/>
      <c r="C1924" s="111"/>
      <c r="D1924" s="111"/>
      <c r="E1924" s="115"/>
      <c r="F1924" s="116"/>
      <c r="G1924" s="113"/>
      <c r="H1924" s="117"/>
      <c r="I1924" s="111"/>
      <c r="J1924" s="118"/>
      <c r="K1924" s="81"/>
    </row>
    <row r="1925" ht="13.5" customHeight="1">
      <c r="A1925" s="111"/>
      <c r="B1925" s="111"/>
      <c r="C1925" s="111"/>
      <c r="D1925" s="111"/>
      <c r="E1925" s="115"/>
      <c r="F1925" s="116"/>
      <c r="G1925" s="113"/>
      <c r="H1925" s="117"/>
      <c r="I1925" s="111"/>
      <c r="J1925" s="118"/>
      <c r="K1925" s="81"/>
    </row>
    <row r="1926" ht="13.5" customHeight="1">
      <c r="A1926" s="111"/>
      <c r="B1926" s="111"/>
      <c r="C1926" s="111"/>
      <c r="D1926" s="111"/>
      <c r="E1926" s="115"/>
      <c r="F1926" s="116"/>
      <c r="G1926" s="113"/>
      <c r="H1926" s="117"/>
      <c r="I1926" s="111"/>
      <c r="J1926" s="118"/>
      <c r="K1926" s="81"/>
    </row>
    <row r="1927" ht="13.5" customHeight="1">
      <c r="A1927" s="111"/>
      <c r="B1927" s="111"/>
      <c r="C1927" s="111"/>
      <c r="D1927" s="111"/>
      <c r="E1927" s="115"/>
      <c r="F1927" s="116"/>
      <c r="G1927" s="113"/>
      <c r="H1927" s="117"/>
      <c r="I1927" s="111"/>
      <c r="J1927" s="118"/>
      <c r="K1927" s="81"/>
    </row>
    <row r="1928" ht="13.5" customHeight="1">
      <c r="A1928" s="111"/>
      <c r="B1928" s="111"/>
      <c r="C1928" s="111"/>
      <c r="D1928" s="111"/>
      <c r="E1928" s="115"/>
      <c r="F1928" s="116"/>
      <c r="G1928" s="113"/>
      <c r="H1928" s="117"/>
      <c r="I1928" s="111"/>
      <c r="J1928" s="118"/>
      <c r="K1928" s="81"/>
    </row>
    <row r="1929" ht="13.5" customHeight="1">
      <c r="A1929" s="111"/>
      <c r="B1929" s="111"/>
      <c r="C1929" s="111"/>
      <c r="D1929" s="111"/>
      <c r="E1929" s="115"/>
      <c r="F1929" s="116"/>
      <c r="G1929" s="113"/>
      <c r="H1929" s="117"/>
      <c r="I1929" s="111"/>
      <c r="J1929" s="118"/>
      <c r="K1929" s="81"/>
    </row>
    <row r="1930" ht="13.5" customHeight="1">
      <c r="A1930" s="111"/>
      <c r="B1930" s="111"/>
      <c r="C1930" s="111"/>
      <c r="D1930" s="111"/>
      <c r="E1930" s="115"/>
      <c r="F1930" s="116"/>
      <c r="G1930" s="113"/>
      <c r="H1930" s="117"/>
      <c r="I1930" s="111"/>
      <c r="J1930" s="118"/>
      <c r="K1930" s="81"/>
    </row>
    <row r="1931" ht="13.5" customHeight="1">
      <c r="A1931" s="111"/>
      <c r="B1931" s="111"/>
      <c r="C1931" s="111"/>
      <c r="D1931" s="111"/>
      <c r="E1931" s="115"/>
      <c r="F1931" s="116"/>
      <c r="G1931" s="113"/>
      <c r="H1931" s="117"/>
      <c r="I1931" s="111"/>
      <c r="J1931" s="118"/>
      <c r="K1931" s="81"/>
    </row>
    <row r="1932" ht="13.5" customHeight="1">
      <c r="A1932" s="111"/>
      <c r="B1932" s="111"/>
      <c r="C1932" s="111"/>
      <c r="D1932" s="111"/>
      <c r="E1932" s="115"/>
      <c r="F1932" s="116"/>
      <c r="G1932" s="113"/>
      <c r="H1932" s="117"/>
      <c r="I1932" s="111"/>
      <c r="J1932" s="118"/>
      <c r="K1932" s="81"/>
    </row>
    <row r="1933" ht="13.5" customHeight="1">
      <c r="A1933" s="111"/>
      <c r="B1933" s="111"/>
      <c r="C1933" s="111"/>
      <c r="D1933" s="111"/>
      <c r="E1933" s="115"/>
      <c r="F1933" s="116"/>
      <c r="G1933" s="113"/>
      <c r="H1933" s="117"/>
      <c r="I1933" s="111"/>
      <c r="J1933" s="118"/>
      <c r="K1933" s="81"/>
    </row>
    <row r="1934" ht="13.5" customHeight="1">
      <c r="A1934" s="111"/>
      <c r="B1934" s="111"/>
      <c r="C1934" s="111"/>
      <c r="D1934" s="111"/>
      <c r="E1934" s="115"/>
      <c r="F1934" s="116"/>
      <c r="G1934" s="113"/>
      <c r="H1934" s="117"/>
      <c r="I1934" s="111"/>
      <c r="J1934" s="118"/>
      <c r="K1934" s="81"/>
    </row>
    <row r="1935" ht="13.5" customHeight="1">
      <c r="A1935" s="111"/>
      <c r="B1935" s="111"/>
      <c r="C1935" s="111"/>
      <c r="D1935" s="111"/>
      <c r="E1935" s="115"/>
      <c r="F1935" s="116"/>
      <c r="G1935" s="113"/>
      <c r="H1935" s="117"/>
      <c r="I1935" s="111"/>
      <c r="J1935" s="118"/>
      <c r="K1935" s="81"/>
    </row>
    <row r="1936" ht="13.5" customHeight="1">
      <c r="A1936" s="111"/>
      <c r="B1936" s="111"/>
      <c r="C1936" s="111"/>
      <c r="D1936" s="111"/>
      <c r="E1936" s="115"/>
      <c r="F1936" s="116"/>
      <c r="G1936" s="113"/>
      <c r="H1936" s="117"/>
      <c r="I1936" s="111"/>
      <c r="J1936" s="118"/>
      <c r="K1936" s="81"/>
    </row>
    <row r="1937" ht="13.5" customHeight="1">
      <c r="A1937" s="111"/>
      <c r="B1937" s="111"/>
      <c r="C1937" s="111"/>
      <c r="D1937" s="111"/>
      <c r="E1937" s="115"/>
      <c r="F1937" s="116"/>
      <c r="G1937" s="113"/>
      <c r="H1937" s="117"/>
      <c r="I1937" s="111"/>
      <c r="J1937" s="118"/>
      <c r="K1937" s="81"/>
    </row>
    <row r="1938" ht="13.5" customHeight="1">
      <c r="A1938" s="111"/>
      <c r="B1938" s="111"/>
      <c r="C1938" s="111"/>
      <c r="D1938" s="111"/>
      <c r="E1938" s="115"/>
      <c r="F1938" s="116"/>
      <c r="G1938" s="113"/>
      <c r="H1938" s="117"/>
      <c r="I1938" s="111"/>
      <c r="J1938" s="118"/>
      <c r="K1938" s="81"/>
    </row>
    <row r="1939" ht="13.5" customHeight="1">
      <c r="A1939" s="111"/>
      <c r="B1939" s="111"/>
      <c r="C1939" s="111"/>
      <c r="D1939" s="111"/>
      <c r="E1939" s="115"/>
      <c r="F1939" s="116"/>
      <c r="G1939" s="113"/>
      <c r="H1939" s="117"/>
      <c r="I1939" s="111"/>
      <c r="J1939" s="118"/>
      <c r="K1939" s="81"/>
    </row>
    <row r="1940" ht="13.5" customHeight="1">
      <c r="A1940" s="111"/>
      <c r="B1940" s="111"/>
      <c r="C1940" s="111"/>
      <c r="D1940" s="111"/>
      <c r="E1940" s="115"/>
      <c r="F1940" s="116"/>
      <c r="G1940" s="113"/>
      <c r="H1940" s="117"/>
      <c r="I1940" s="111"/>
      <c r="J1940" s="118"/>
      <c r="K1940" s="81"/>
    </row>
    <row r="1941" ht="13.5" customHeight="1">
      <c r="A1941" s="111"/>
      <c r="B1941" s="111"/>
      <c r="C1941" s="111"/>
      <c r="D1941" s="111"/>
      <c r="E1941" s="115"/>
      <c r="F1941" s="116"/>
      <c r="G1941" s="113"/>
      <c r="H1941" s="117"/>
      <c r="I1941" s="111"/>
      <c r="J1941" s="118"/>
      <c r="K1941" s="81"/>
    </row>
    <row r="1942" ht="13.5" customHeight="1">
      <c r="A1942" s="111"/>
      <c r="B1942" s="111"/>
      <c r="C1942" s="111"/>
      <c r="D1942" s="111"/>
      <c r="E1942" s="115"/>
      <c r="F1942" s="116"/>
      <c r="G1942" s="113"/>
      <c r="H1942" s="117"/>
      <c r="I1942" s="111"/>
      <c r="J1942" s="118"/>
      <c r="K1942" s="81"/>
    </row>
    <row r="1943" ht="13.5" customHeight="1">
      <c r="A1943" s="111"/>
      <c r="B1943" s="111"/>
      <c r="C1943" s="111"/>
      <c r="D1943" s="111"/>
      <c r="E1943" s="115"/>
      <c r="F1943" s="116"/>
      <c r="G1943" s="113"/>
      <c r="H1943" s="117"/>
      <c r="I1943" s="111"/>
      <c r="J1943" s="118"/>
      <c r="K1943" s="81"/>
    </row>
    <row r="1944" ht="13.5" customHeight="1">
      <c r="A1944" s="111"/>
      <c r="B1944" s="111"/>
      <c r="C1944" s="111"/>
      <c r="D1944" s="111"/>
      <c r="E1944" s="115"/>
      <c r="F1944" s="116"/>
      <c r="G1944" s="113"/>
      <c r="H1944" s="117"/>
      <c r="I1944" s="111"/>
      <c r="J1944" s="118"/>
      <c r="K1944" s="81"/>
    </row>
    <row r="1945" ht="13.5" customHeight="1">
      <c r="A1945" s="111"/>
      <c r="B1945" s="111"/>
      <c r="C1945" s="111"/>
      <c r="D1945" s="111"/>
      <c r="E1945" s="115"/>
      <c r="F1945" s="116"/>
      <c r="G1945" s="113"/>
      <c r="H1945" s="117"/>
      <c r="I1945" s="111"/>
      <c r="J1945" s="118"/>
      <c r="K1945" s="81"/>
    </row>
    <row r="1946" ht="13.5" customHeight="1">
      <c r="A1946" s="111"/>
      <c r="B1946" s="111"/>
      <c r="C1946" s="111"/>
      <c r="D1946" s="111"/>
      <c r="E1946" s="115"/>
      <c r="F1946" s="116"/>
      <c r="G1946" s="113"/>
      <c r="H1946" s="117"/>
      <c r="I1946" s="111"/>
      <c r="J1946" s="118"/>
      <c r="K1946" s="81"/>
    </row>
    <row r="1947" ht="13.5" customHeight="1">
      <c r="A1947" s="111"/>
      <c r="B1947" s="111"/>
      <c r="C1947" s="111"/>
      <c r="D1947" s="111"/>
      <c r="E1947" s="115"/>
      <c r="F1947" s="116"/>
      <c r="G1947" s="113"/>
      <c r="H1947" s="117"/>
      <c r="I1947" s="111"/>
      <c r="J1947" s="118"/>
      <c r="K1947" s="81"/>
    </row>
    <row r="1948" ht="13.5" customHeight="1">
      <c r="A1948" s="111"/>
      <c r="B1948" s="111"/>
      <c r="C1948" s="111"/>
      <c r="D1948" s="111"/>
      <c r="E1948" s="115"/>
      <c r="F1948" s="116"/>
      <c r="G1948" s="113"/>
      <c r="H1948" s="117"/>
      <c r="I1948" s="111"/>
      <c r="J1948" s="118"/>
      <c r="K1948" s="81"/>
    </row>
    <row r="1949" ht="13.5" customHeight="1">
      <c r="A1949" s="111"/>
      <c r="B1949" s="111"/>
      <c r="C1949" s="111"/>
      <c r="D1949" s="111"/>
      <c r="E1949" s="115"/>
      <c r="F1949" s="116"/>
      <c r="G1949" s="113"/>
      <c r="H1949" s="117"/>
      <c r="I1949" s="111"/>
      <c r="J1949" s="118"/>
      <c r="K1949" s="81"/>
    </row>
    <row r="1950" ht="13.5" customHeight="1">
      <c r="A1950" s="111"/>
      <c r="B1950" s="111"/>
      <c r="C1950" s="111"/>
      <c r="D1950" s="111"/>
      <c r="E1950" s="115"/>
      <c r="F1950" s="116"/>
      <c r="G1950" s="113"/>
      <c r="H1950" s="117"/>
      <c r="I1950" s="111"/>
      <c r="J1950" s="118"/>
      <c r="K1950" s="81"/>
    </row>
    <row r="1951" ht="13.5" customHeight="1">
      <c r="A1951" s="111"/>
      <c r="B1951" s="111"/>
      <c r="C1951" s="111"/>
      <c r="D1951" s="111"/>
      <c r="E1951" s="115"/>
      <c r="F1951" s="116"/>
      <c r="G1951" s="113"/>
      <c r="H1951" s="117"/>
      <c r="I1951" s="111"/>
      <c r="J1951" s="118"/>
      <c r="K1951" s="81"/>
    </row>
    <row r="1952" ht="13.5" customHeight="1">
      <c r="A1952" s="111"/>
      <c r="B1952" s="111"/>
      <c r="C1952" s="111"/>
      <c r="D1952" s="111"/>
      <c r="E1952" s="115"/>
      <c r="F1952" s="116"/>
      <c r="G1952" s="113"/>
      <c r="H1952" s="117"/>
      <c r="I1952" s="111"/>
      <c r="J1952" s="118"/>
      <c r="K1952" s="81"/>
    </row>
    <row r="1953" ht="13.5" customHeight="1">
      <c r="A1953" s="111"/>
      <c r="B1953" s="111"/>
      <c r="C1953" s="111"/>
      <c r="D1953" s="111"/>
      <c r="E1953" s="115"/>
      <c r="F1953" s="116"/>
      <c r="G1953" s="113"/>
      <c r="H1953" s="117"/>
      <c r="I1953" s="111"/>
      <c r="J1953" s="118"/>
      <c r="K1953" s="81"/>
    </row>
    <row r="1954" ht="13.5" customHeight="1">
      <c r="A1954" s="111"/>
      <c r="B1954" s="111"/>
      <c r="C1954" s="111"/>
      <c r="D1954" s="111"/>
      <c r="E1954" s="115"/>
      <c r="F1954" s="116"/>
      <c r="G1954" s="113"/>
      <c r="H1954" s="117"/>
      <c r="I1954" s="111"/>
      <c r="J1954" s="118"/>
      <c r="K1954" s="81"/>
    </row>
    <row r="1955" ht="13.5" customHeight="1">
      <c r="A1955" s="111"/>
      <c r="B1955" s="111"/>
      <c r="C1955" s="111"/>
      <c r="D1955" s="111"/>
      <c r="E1955" s="115"/>
      <c r="F1955" s="116"/>
      <c r="G1955" s="113"/>
      <c r="H1955" s="117"/>
      <c r="I1955" s="111"/>
      <c r="J1955" s="118"/>
      <c r="K1955" s="81"/>
    </row>
    <row r="1956" ht="13.5" customHeight="1">
      <c r="A1956" s="111"/>
      <c r="B1956" s="111"/>
      <c r="C1956" s="111"/>
      <c r="D1956" s="111"/>
      <c r="E1956" s="115"/>
      <c r="F1956" s="116"/>
      <c r="G1956" s="113"/>
      <c r="H1956" s="117"/>
      <c r="I1956" s="111"/>
      <c r="J1956" s="118"/>
      <c r="K1956" s="81"/>
    </row>
    <row r="1957" ht="13.5" customHeight="1">
      <c r="A1957" s="111"/>
      <c r="B1957" s="111"/>
      <c r="C1957" s="111"/>
      <c r="D1957" s="111"/>
      <c r="E1957" s="115"/>
      <c r="F1957" s="116"/>
      <c r="G1957" s="113"/>
      <c r="H1957" s="117"/>
      <c r="I1957" s="111"/>
      <c r="J1957" s="118"/>
      <c r="K1957" s="81"/>
    </row>
    <row r="1958" ht="13.5" customHeight="1">
      <c r="A1958" s="111"/>
      <c r="B1958" s="111"/>
      <c r="C1958" s="111"/>
      <c r="D1958" s="111"/>
      <c r="E1958" s="115"/>
      <c r="F1958" s="116"/>
      <c r="G1958" s="113"/>
      <c r="H1958" s="117"/>
      <c r="I1958" s="111"/>
      <c r="J1958" s="118"/>
      <c r="K1958" s="81"/>
    </row>
    <row r="1959" ht="13.5" customHeight="1">
      <c r="A1959" s="111"/>
      <c r="B1959" s="111"/>
      <c r="C1959" s="111"/>
      <c r="D1959" s="111"/>
      <c r="E1959" s="115"/>
      <c r="F1959" s="116"/>
      <c r="G1959" s="113"/>
      <c r="H1959" s="117"/>
      <c r="I1959" s="111"/>
      <c r="J1959" s="118"/>
      <c r="K1959" s="81"/>
    </row>
    <row r="1960" ht="13.5" customHeight="1">
      <c r="A1960" s="111"/>
      <c r="B1960" s="111"/>
      <c r="C1960" s="111"/>
      <c r="D1960" s="111"/>
      <c r="E1960" s="115"/>
      <c r="F1960" s="116"/>
      <c r="G1960" s="113"/>
      <c r="H1960" s="117"/>
      <c r="I1960" s="111"/>
      <c r="J1960" s="118"/>
      <c r="K1960" s="81"/>
    </row>
    <row r="1961" ht="13.5" customHeight="1">
      <c r="A1961" s="111"/>
      <c r="B1961" s="111"/>
      <c r="C1961" s="111"/>
      <c r="D1961" s="111"/>
      <c r="E1961" s="115"/>
      <c r="F1961" s="116"/>
      <c r="G1961" s="113"/>
      <c r="H1961" s="117"/>
      <c r="I1961" s="111"/>
      <c r="J1961" s="118"/>
      <c r="K1961" s="81"/>
    </row>
    <row r="1962" ht="13.5" customHeight="1">
      <c r="A1962" s="111"/>
      <c r="B1962" s="111"/>
      <c r="C1962" s="111"/>
      <c r="D1962" s="111"/>
      <c r="E1962" s="115"/>
      <c r="F1962" s="116"/>
      <c r="G1962" s="113"/>
      <c r="H1962" s="117"/>
      <c r="I1962" s="111"/>
      <c r="J1962" s="118"/>
      <c r="K1962" s="81"/>
    </row>
    <row r="1963" ht="13.5" customHeight="1">
      <c r="A1963" s="111"/>
      <c r="B1963" s="111"/>
      <c r="C1963" s="111"/>
      <c r="D1963" s="111"/>
      <c r="E1963" s="115"/>
      <c r="F1963" s="116"/>
      <c r="G1963" s="113"/>
      <c r="H1963" s="117"/>
      <c r="I1963" s="111"/>
      <c r="J1963" s="118"/>
      <c r="K1963" s="81"/>
    </row>
    <row r="1964" ht="13.5" customHeight="1">
      <c r="A1964" s="111"/>
      <c r="B1964" s="111"/>
      <c r="C1964" s="111"/>
      <c r="D1964" s="111"/>
      <c r="E1964" s="115"/>
      <c r="F1964" s="116"/>
      <c r="G1964" s="113"/>
      <c r="H1964" s="117"/>
      <c r="I1964" s="111"/>
      <c r="J1964" s="118"/>
      <c r="K1964" s="81"/>
    </row>
    <row r="1965" ht="13.5" customHeight="1">
      <c r="A1965" s="111"/>
      <c r="B1965" s="111"/>
      <c r="C1965" s="111"/>
      <c r="D1965" s="111"/>
      <c r="E1965" s="115"/>
      <c r="F1965" s="116"/>
      <c r="G1965" s="113"/>
      <c r="H1965" s="117"/>
      <c r="I1965" s="111"/>
      <c r="J1965" s="118"/>
      <c r="K1965" s="81"/>
    </row>
    <row r="1966" ht="13.5" customHeight="1">
      <c r="A1966" s="111"/>
      <c r="B1966" s="111"/>
      <c r="C1966" s="111"/>
      <c r="D1966" s="111"/>
      <c r="E1966" s="115"/>
      <c r="F1966" s="116"/>
      <c r="G1966" s="113"/>
      <c r="H1966" s="117"/>
      <c r="I1966" s="111"/>
      <c r="J1966" s="118"/>
      <c r="K1966" s="81"/>
    </row>
    <row r="1967" ht="13.5" customHeight="1">
      <c r="A1967" s="111"/>
      <c r="B1967" s="111"/>
      <c r="C1967" s="111"/>
      <c r="D1967" s="111"/>
      <c r="E1967" s="115"/>
      <c r="F1967" s="116"/>
      <c r="G1967" s="113"/>
      <c r="H1967" s="117"/>
      <c r="I1967" s="111"/>
      <c r="J1967" s="118"/>
      <c r="K1967" s="81"/>
    </row>
    <row r="1968" ht="13.5" customHeight="1">
      <c r="A1968" s="111"/>
      <c r="B1968" s="111"/>
      <c r="C1968" s="111"/>
      <c r="D1968" s="111"/>
      <c r="E1968" s="115"/>
      <c r="F1968" s="116"/>
      <c r="G1968" s="113"/>
      <c r="H1968" s="117"/>
      <c r="I1968" s="111"/>
      <c r="J1968" s="118"/>
      <c r="K1968" s="81"/>
    </row>
    <row r="1969" ht="13.5" customHeight="1">
      <c r="A1969" s="111"/>
      <c r="B1969" s="111"/>
      <c r="C1969" s="111"/>
      <c r="D1969" s="111"/>
      <c r="E1969" s="115"/>
      <c r="F1969" s="116"/>
      <c r="G1969" s="113"/>
      <c r="H1969" s="117"/>
      <c r="I1969" s="111"/>
      <c r="J1969" s="118"/>
      <c r="K1969" s="81"/>
    </row>
    <row r="1970" ht="13.5" customHeight="1">
      <c r="A1970" s="111"/>
      <c r="B1970" s="111"/>
      <c r="C1970" s="111"/>
      <c r="D1970" s="111"/>
      <c r="E1970" s="115"/>
      <c r="F1970" s="116"/>
      <c r="G1970" s="113"/>
      <c r="H1970" s="117"/>
      <c r="I1970" s="111"/>
      <c r="J1970" s="118"/>
      <c r="K1970" s="81"/>
    </row>
    <row r="1971" ht="13.5" customHeight="1">
      <c r="A1971" s="111"/>
      <c r="B1971" s="111"/>
      <c r="C1971" s="111"/>
      <c r="D1971" s="111"/>
      <c r="E1971" s="115"/>
      <c r="F1971" s="116"/>
      <c r="G1971" s="113"/>
      <c r="H1971" s="117"/>
      <c r="I1971" s="111"/>
      <c r="J1971" s="118"/>
      <c r="K1971" s="81"/>
    </row>
    <row r="1972" ht="13.5" customHeight="1">
      <c r="A1972" s="111"/>
      <c r="B1972" s="111"/>
      <c r="C1972" s="111"/>
      <c r="D1972" s="111"/>
      <c r="E1972" s="115"/>
      <c r="F1972" s="116"/>
      <c r="G1972" s="113"/>
      <c r="H1972" s="117"/>
      <c r="I1972" s="111"/>
      <c r="J1972" s="118"/>
      <c r="K1972" s="81"/>
    </row>
    <row r="1973" ht="13.5" customHeight="1">
      <c r="A1973" s="111"/>
      <c r="B1973" s="111"/>
      <c r="C1973" s="111"/>
      <c r="D1973" s="111"/>
      <c r="E1973" s="115"/>
      <c r="F1973" s="116"/>
      <c r="G1973" s="113"/>
      <c r="H1973" s="117"/>
      <c r="I1973" s="111"/>
      <c r="J1973" s="118"/>
      <c r="K1973" s="81"/>
    </row>
    <row r="1974" ht="13.5" customHeight="1">
      <c r="A1974" s="111"/>
      <c r="B1974" s="111"/>
      <c r="C1974" s="111"/>
      <c r="D1974" s="111"/>
      <c r="E1974" s="115"/>
      <c r="F1974" s="116"/>
      <c r="G1974" s="113"/>
      <c r="H1974" s="117"/>
      <c r="I1974" s="111"/>
      <c r="J1974" s="118"/>
      <c r="K1974" s="81"/>
    </row>
    <row r="1975" ht="13.5" customHeight="1">
      <c r="A1975" s="111"/>
      <c r="B1975" s="111"/>
      <c r="C1975" s="111"/>
      <c r="D1975" s="111"/>
      <c r="E1975" s="115"/>
      <c r="F1975" s="116"/>
      <c r="G1975" s="113"/>
      <c r="H1975" s="117"/>
      <c r="I1975" s="111"/>
      <c r="J1975" s="118"/>
      <c r="K1975" s="81"/>
    </row>
    <row r="1976" ht="13.5" customHeight="1">
      <c r="A1976" s="111"/>
      <c r="B1976" s="111"/>
      <c r="C1976" s="111"/>
      <c r="D1976" s="111"/>
      <c r="E1976" s="115"/>
      <c r="F1976" s="116"/>
      <c r="G1976" s="113"/>
      <c r="H1976" s="117"/>
      <c r="I1976" s="111"/>
      <c r="J1976" s="118"/>
      <c r="K1976" s="81"/>
    </row>
    <row r="1977" ht="13.5" customHeight="1">
      <c r="A1977" s="111"/>
      <c r="B1977" s="111"/>
      <c r="C1977" s="111"/>
      <c r="D1977" s="111"/>
      <c r="E1977" s="115"/>
      <c r="F1977" s="116"/>
      <c r="G1977" s="113"/>
      <c r="H1977" s="117"/>
      <c r="I1977" s="111"/>
      <c r="J1977" s="118"/>
      <c r="K1977" s="81"/>
    </row>
    <row r="1978" ht="13.5" customHeight="1">
      <c r="A1978" s="111"/>
      <c r="B1978" s="111"/>
      <c r="C1978" s="111"/>
      <c r="D1978" s="111"/>
      <c r="E1978" s="115"/>
      <c r="F1978" s="116"/>
      <c r="G1978" s="113"/>
      <c r="H1978" s="117"/>
      <c r="I1978" s="111"/>
      <c r="J1978" s="118"/>
      <c r="K1978" s="81"/>
    </row>
    <row r="1979" ht="13.5" customHeight="1">
      <c r="A1979" s="111"/>
      <c r="B1979" s="111"/>
      <c r="C1979" s="111"/>
      <c r="D1979" s="111"/>
      <c r="E1979" s="115"/>
      <c r="F1979" s="116"/>
      <c r="G1979" s="113"/>
      <c r="H1979" s="117"/>
      <c r="I1979" s="111"/>
      <c r="J1979" s="118"/>
      <c r="K1979" s="81"/>
    </row>
    <row r="1980" ht="13.5" customHeight="1">
      <c r="A1980" s="111"/>
      <c r="B1980" s="111"/>
      <c r="C1980" s="111"/>
      <c r="D1980" s="111"/>
      <c r="E1980" s="115"/>
      <c r="F1980" s="116"/>
      <c r="G1980" s="113"/>
      <c r="H1980" s="117"/>
      <c r="I1980" s="111"/>
      <c r="J1980" s="118"/>
      <c r="K1980" s="81"/>
    </row>
    <row r="1981" ht="13.5" customHeight="1">
      <c r="A1981" s="111"/>
      <c r="B1981" s="111"/>
      <c r="C1981" s="111"/>
      <c r="D1981" s="111"/>
      <c r="E1981" s="115"/>
      <c r="F1981" s="116"/>
      <c r="G1981" s="113"/>
      <c r="H1981" s="117"/>
      <c r="I1981" s="111"/>
      <c r="J1981" s="118"/>
      <c r="K1981" s="81"/>
    </row>
    <row r="1982" ht="13.5" customHeight="1">
      <c r="A1982" s="111"/>
      <c r="B1982" s="111"/>
      <c r="C1982" s="111"/>
      <c r="D1982" s="111"/>
      <c r="E1982" s="115"/>
      <c r="F1982" s="116"/>
      <c r="G1982" s="113"/>
      <c r="H1982" s="117"/>
      <c r="I1982" s="111"/>
      <c r="J1982" s="118"/>
      <c r="K1982" s="81"/>
    </row>
    <row r="1983" ht="13.5" customHeight="1">
      <c r="A1983" s="111"/>
      <c r="B1983" s="111"/>
      <c r="C1983" s="111"/>
      <c r="D1983" s="111"/>
      <c r="E1983" s="115"/>
      <c r="F1983" s="116"/>
      <c r="G1983" s="113"/>
      <c r="H1983" s="117"/>
      <c r="I1983" s="111"/>
      <c r="J1983" s="118"/>
      <c r="K1983" s="81"/>
    </row>
    <row r="1984" ht="13.5" customHeight="1">
      <c r="A1984" s="111"/>
      <c r="B1984" s="111"/>
      <c r="C1984" s="111"/>
      <c r="D1984" s="111"/>
      <c r="E1984" s="115"/>
      <c r="F1984" s="116"/>
      <c r="G1984" s="113"/>
      <c r="H1984" s="117"/>
      <c r="I1984" s="111"/>
      <c r="J1984" s="118"/>
      <c r="K1984" s="81"/>
    </row>
    <row r="1985" ht="13.5" customHeight="1">
      <c r="A1985" s="111"/>
      <c r="B1985" s="111"/>
      <c r="C1985" s="111"/>
      <c r="D1985" s="111"/>
      <c r="E1985" s="115"/>
      <c r="F1985" s="116"/>
      <c r="G1985" s="113"/>
      <c r="H1985" s="117"/>
      <c r="I1985" s="111"/>
      <c r="J1985" s="118"/>
      <c r="K1985" s="81"/>
    </row>
    <row r="1986" ht="13.5" customHeight="1">
      <c r="A1986" s="111"/>
      <c r="B1986" s="111"/>
      <c r="C1986" s="111"/>
      <c r="D1986" s="111"/>
      <c r="E1986" s="115"/>
      <c r="F1986" s="116"/>
      <c r="G1986" s="113"/>
      <c r="H1986" s="117"/>
      <c r="I1986" s="111"/>
      <c r="J1986" s="118"/>
      <c r="K1986" s="81"/>
    </row>
    <row r="1987" ht="13.5" customHeight="1">
      <c r="A1987" s="111"/>
      <c r="B1987" s="111"/>
      <c r="C1987" s="111"/>
      <c r="D1987" s="111"/>
      <c r="E1987" s="115"/>
      <c r="F1987" s="116"/>
      <c r="G1987" s="113"/>
      <c r="H1987" s="117"/>
      <c r="I1987" s="111"/>
      <c r="J1987" s="118"/>
      <c r="K1987" s="81"/>
    </row>
    <row r="1988" ht="13.5" customHeight="1">
      <c r="A1988" s="111"/>
      <c r="B1988" s="111"/>
      <c r="C1988" s="111"/>
      <c r="D1988" s="111"/>
      <c r="E1988" s="115"/>
      <c r="F1988" s="116"/>
      <c r="G1988" s="113"/>
      <c r="H1988" s="117"/>
      <c r="I1988" s="111"/>
      <c r="J1988" s="118"/>
      <c r="K1988" s="81"/>
    </row>
    <row r="1989" ht="13.5" customHeight="1">
      <c r="A1989" s="111"/>
      <c r="B1989" s="111"/>
      <c r="C1989" s="111"/>
      <c r="D1989" s="111"/>
      <c r="E1989" s="115"/>
      <c r="F1989" s="116"/>
      <c r="G1989" s="113"/>
      <c r="H1989" s="117"/>
      <c r="I1989" s="111"/>
      <c r="J1989" s="118"/>
      <c r="K1989" s="81"/>
    </row>
    <row r="1990" ht="13.5" customHeight="1">
      <c r="A1990" s="111"/>
      <c r="B1990" s="111"/>
      <c r="C1990" s="111"/>
      <c r="D1990" s="111"/>
      <c r="E1990" s="115"/>
      <c r="F1990" s="116"/>
      <c r="G1990" s="113"/>
      <c r="H1990" s="117"/>
      <c r="I1990" s="111"/>
      <c r="J1990" s="118"/>
      <c r="K1990" s="81"/>
    </row>
    <row r="1991" ht="13.5" customHeight="1">
      <c r="A1991" s="111"/>
      <c r="B1991" s="111"/>
      <c r="C1991" s="111"/>
      <c r="D1991" s="111"/>
      <c r="E1991" s="115"/>
      <c r="F1991" s="116"/>
      <c r="G1991" s="113"/>
      <c r="H1991" s="117"/>
      <c r="I1991" s="111"/>
      <c r="J1991" s="118"/>
      <c r="K1991" s="81"/>
    </row>
    <row r="1992" ht="13.5" customHeight="1">
      <c r="A1992" s="111"/>
      <c r="B1992" s="111"/>
      <c r="C1992" s="111"/>
      <c r="D1992" s="111"/>
      <c r="E1992" s="115"/>
      <c r="F1992" s="116"/>
      <c r="G1992" s="113"/>
      <c r="H1992" s="117"/>
      <c r="I1992" s="111"/>
      <c r="J1992" s="118"/>
      <c r="K1992" s="81"/>
    </row>
    <row r="1993" ht="13.5" customHeight="1">
      <c r="A1993" s="111"/>
      <c r="B1993" s="111"/>
      <c r="C1993" s="111"/>
      <c r="D1993" s="111"/>
      <c r="E1993" s="115"/>
      <c r="F1993" s="116"/>
      <c r="G1993" s="113"/>
      <c r="H1993" s="117"/>
      <c r="I1993" s="111"/>
      <c r="J1993" s="118"/>
      <c r="K1993" s="81"/>
    </row>
    <row r="1994" ht="13.5" customHeight="1">
      <c r="A1994" s="111"/>
      <c r="B1994" s="111"/>
      <c r="C1994" s="111"/>
      <c r="D1994" s="111"/>
      <c r="E1994" s="115"/>
      <c r="F1994" s="116"/>
      <c r="G1994" s="113"/>
      <c r="H1994" s="117"/>
      <c r="I1994" s="111"/>
      <c r="J1994" s="118"/>
      <c r="K1994" s="81"/>
    </row>
    <row r="1995" ht="13.5" customHeight="1">
      <c r="A1995" s="111"/>
      <c r="B1995" s="111"/>
      <c r="C1995" s="111"/>
      <c r="D1995" s="111"/>
      <c r="E1995" s="115"/>
      <c r="F1995" s="116"/>
      <c r="G1995" s="113"/>
      <c r="H1995" s="117"/>
      <c r="I1995" s="111"/>
      <c r="J1995" s="118"/>
      <c r="K1995" s="81"/>
    </row>
    <row r="1996" ht="13.5" customHeight="1">
      <c r="A1996" s="111"/>
      <c r="B1996" s="111"/>
      <c r="C1996" s="111"/>
      <c r="D1996" s="111"/>
      <c r="E1996" s="115"/>
      <c r="F1996" s="116"/>
      <c r="G1996" s="113"/>
      <c r="H1996" s="117"/>
      <c r="I1996" s="111"/>
      <c r="J1996" s="118"/>
      <c r="K1996" s="81"/>
    </row>
    <row r="1997" ht="13.5" customHeight="1">
      <c r="A1997" s="111"/>
      <c r="B1997" s="111"/>
      <c r="C1997" s="111"/>
      <c r="D1997" s="111"/>
      <c r="E1997" s="115"/>
      <c r="F1997" s="116"/>
      <c r="G1997" s="113"/>
      <c r="H1997" s="117"/>
      <c r="I1997" s="111"/>
      <c r="J1997" s="118"/>
      <c r="K1997" s="81"/>
    </row>
    <row r="1998" ht="13.5" customHeight="1">
      <c r="A1998" s="111"/>
      <c r="B1998" s="111"/>
      <c r="C1998" s="111"/>
      <c r="D1998" s="111"/>
      <c r="E1998" s="115"/>
      <c r="F1998" s="116"/>
      <c r="G1998" s="113"/>
      <c r="H1998" s="117"/>
      <c r="I1998" s="111"/>
      <c r="J1998" s="118"/>
      <c r="K1998" s="81"/>
    </row>
    <row r="1999" ht="13.5" customHeight="1">
      <c r="A1999" s="111"/>
      <c r="B1999" s="111"/>
      <c r="C1999" s="111"/>
      <c r="D1999" s="111"/>
      <c r="E1999" s="115"/>
      <c r="F1999" s="116"/>
      <c r="G1999" s="113"/>
      <c r="H1999" s="117"/>
      <c r="I1999" s="111"/>
      <c r="J1999" s="118"/>
      <c r="K1999" s="81"/>
    </row>
    <row r="2000" ht="13.5" customHeight="1">
      <c r="A2000" s="111"/>
      <c r="B2000" s="111"/>
      <c r="C2000" s="111"/>
      <c r="D2000" s="111"/>
      <c r="E2000" s="115"/>
      <c r="F2000" s="116"/>
      <c r="G2000" s="113"/>
      <c r="H2000" s="117"/>
      <c r="I2000" s="111"/>
      <c r="J2000" s="118"/>
      <c r="K2000" s="81"/>
    </row>
    <row r="2001" ht="13.5" customHeight="1">
      <c r="A2001" s="111"/>
      <c r="B2001" s="111"/>
      <c r="C2001" s="111"/>
      <c r="D2001" s="111"/>
      <c r="E2001" s="115"/>
      <c r="F2001" s="116"/>
      <c r="G2001" s="113"/>
      <c r="H2001" s="117"/>
      <c r="I2001" s="111"/>
      <c r="J2001" s="118"/>
      <c r="K2001" s="81"/>
    </row>
    <row r="2002" ht="13.5" customHeight="1">
      <c r="A2002" s="111"/>
      <c r="B2002" s="111"/>
      <c r="C2002" s="111"/>
      <c r="D2002" s="111"/>
      <c r="E2002" s="115"/>
      <c r="F2002" s="116"/>
      <c r="G2002" s="113"/>
      <c r="H2002" s="117"/>
      <c r="I2002" s="111"/>
      <c r="J2002" s="118"/>
      <c r="K2002" s="81"/>
    </row>
    <row r="2003" ht="13.5" customHeight="1">
      <c r="A2003" s="111"/>
      <c r="B2003" s="111"/>
      <c r="C2003" s="111"/>
      <c r="D2003" s="111"/>
      <c r="E2003" s="115"/>
      <c r="F2003" s="116"/>
      <c r="G2003" s="113"/>
      <c r="H2003" s="117"/>
      <c r="I2003" s="111"/>
      <c r="J2003" s="118"/>
      <c r="K2003" s="81"/>
    </row>
    <row r="2004" ht="13.5" customHeight="1">
      <c r="A2004" s="111"/>
      <c r="B2004" s="111"/>
      <c r="C2004" s="111"/>
      <c r="D2004" s="111"/>
      <c r="E2004" s="115"/>
      <c r="F2004" s="116"/>
      <c r="G2004" s="113"/>
      <c r="H2004" s="117"/>
      <c r="I2004" s="111"/>
      <c r="J2004" s="118"/>
      <c r="K2004" s="81"/>
    </row>
    <row r="2005" ht="13.5" customHeight="1">
      <c r="A2005" s="111"/>
      <c r="B2005" s="111"/>
      <c r="C2005" s="111"/>
      <c r="D2005" s="111"/>
      <c r="E2005" s="115"/>
      <c r="F2005" s="116"/>
      <c r="G2005" s="113"/>
      <c r="H2005" s="117"/>
      <c r="I2005" s="111"/>
      <c r="J2005" s="118"/>
      <c r="K2005" s="81"/>
    </row>
    <row r="2006" ht="13.5" customHeight="1">
      <c r="A2006" s="111"/>
      <c r="B2006" s="111"/>
      <c r="C2006" s="111"/>
      <c r="D2006" s="111"/>
      <c r="E2006" s="115"/>
      <c r="F2006" s="116"/>
      <c r="G2006" s="113"/>
      <c r="H2006" s="117"/>
      <c r="I2006" s="111"/>
      <c r="J2006" s="118"/>
      <c r="K2006" s="81"/>
    </row>
    <row r="2007" ht="13.5" customHeight="1">
      <c r="A2007" s="111"/>
      <c r="B2007" s="111"/>
      <c r="C2007" s="111"/>
      <c r="D2007" s="111"/>
      <c r="E2007" s="115"/>
      <c r="F2007" s="116"/>
      <c r="G2007" s="113"/>
      <c r="H2007" s="117"/>
      <c r="I2007" s="111"/>
      <c r="J2007" s="118"/>
      <c r="K2007" s="81"/>
    </row>
    <row r="2008" ht="13.5" customHeight="1">
      <c r="A2008" s="111"/>
      <c r="B2008" s="111"/>
      <c r="C2008" s="111"/>
      <c r="D2008" s="111"/>
      <c r="E2008" s="115"/>
      <c r="F2008" s="116"/>
      <c r="G2008" s="113"/>
      <c r="H2008" s="117"/>
      <c r="I2008" s="111"/>
      <c r="J2008" s="118"/>
      <c r="K2008" s="81"/>
    </row>
    <row r="2009" ht="13.5" customHeight="1">
      <c r="A2009" s="111"/>
      <c r="B2009" s="111"/>
      <c r="C2009" s="111"/>
      <c r="D2009" s="111"/>
      <c r="E2009" s="115"/>
      <c r="F2009" s="116"/>
      <c r="G2009" s="113"/>
      <c r="H2009" s="117"/>
      <c r="I2009" s="111"/>
      <c r="J2009" s="118"/>
      <c r="K2009" s="81"/>
    </row>
    <row r="2010" ht="13.5" customHeight="1">
      <c r="A2010" s="111"/>
      <c r="B2010" s="111"/>
      <c r="C2010" s="111"/>
      <c r="D2010" s="111"/>
      <c r="E2010" s="115"/>
      <c r="F2010" s="116"/>
      <c r="G2010" s="113"/>
      <c r="H2010" s="117"/>
      <c r="I2010" s="111"/>
      <c r="J2010" s="118"/>
      <c r="K2010" s="81"/>
    </row>
    <row r="2011" ht="13.5" customHeight="1">
      <c r="A2011" s="111"/>
      <c r="B2011" s="111"/>
      <c r="C2011" s="111"/>
      <c r="D2011" s="111"/>
      <c r="E2011" s="115"/>
      <c r="F2011" s="116"/>
      <c r="G2011" s="113"/>
      <c r="H2011" s="117"/>
      <c r="I2011" s="111"/>
      <c r="J2011" s="118"/>
      <c r="K2011" s="81"/>
    </row>
    <row r="2012" ht="13.5" customHeight="1">
      <c r="A2012" s="111"/>
      <c r="B2012" s="111"/>
      <c r="C2012" s="111"/>
      <c r="D2012" s="111"/>
      <c r="E2012" s="115"/>
      <c r="F2012" s="116"/>
      <c r="G2012" s="113"/>
      <c r="H2012" s="117"/>
      <c r="I2012" s="111"/>
      <c r="J2012" s="118"/>
      <c r="K2012" s="81"/>
    </row>
    <row r="2013" ht="13.5" customHeight="1">
      <c r="A2013" s="111"/>
      <c r="B2013" s="111"/>
      <c r="C2013" s="111"/>
      <c r="D2013" s="111"/>
      <c r="E2013" s="115"/>
      <c r="F2013" s="116"/>
      <c r="G2013" s="113"/>
      <c r="H2013" s="117"/>
      <c r="I2013" s="111"/>
      <c r="J2013" s="118"/>
      <c r="K2013" s="81"/>
    </row>
    <row r="2014" ht="13.5" customHeight="1">
      <c r="A2014" s="111"/>
      <c r="B2014" s="111"/>
      <c r="C2014" s="111"/>
      <c r="D2014" s="111"/>
      <c r="E2014" s="115"/>
      <c r="F2014" s="116"/>
      <c r="G2014" s="113"/>
      <c r="H2014" s="117"/>
      <c r="I2014" s="111"/>
      <c r="J2014" s="118"/>
      <c r="K2014" s="81"/>
    </row>
    <row r="2015" ht="13.5" customHeight="1">
      <c r="A2015" s="111"/>
      <c r="B2015" s="111"/>
      <c r="C2015" s="111"/>
      <c r="D2015" s="111"/>
      <c r="E2015" s="115"/>
      <c r="F2015" s="116"/>
      <c r="G2015" s="113"/>
      <c r="H2015" s="117"/>
      <c r="I2015" s="111"/>
      <c r="J2015" s="118"/>
      <c r="K2015" s="81"/>
    </row>
    <row r="2016" ht="13.5" customHeight="1">
      <c r="A2016" s="111"/>
      <c r="B2016" s="111"/>
      <c r="C2016" s="111"/>
      <c r="D2016" s="111"/>
      <c r="E2016" s="115"/>
      <c r="F2016" s="116"/>
      <c r="G2016" s="113"/>
      <c r="H2016" s="117"/>
      <c r="I2016" s="111"/>
      <c r="J2016" s="118"/>
      <c r="K2016" s="81"/>
    </row>
    <row r="2017" ht="13.5" customHeight="1">
      <c r="A2017" s="111"/>
      <c r="B2017" s="111"/>
      <c r="C2017" s="111"/>
      <c r="D2017" s="111"/>
      <c r="E2017" s="115"/>
      <c r="F2017" s="116"/>
      <c r="G2017" s="113"/>
      <c r="H2017" s="117"/>
      <c r="I2017" s="111"/>
      <c r="J2017" s="118"/>
      <c r="K2017" s="81"/>
    </row>
    <row r="2018" ht="13.5" customHeight="1">
      <c r="A2018" s="111"/>
      <c r="B2018" s="111"/>
      <c r="C2018" s="111"/>
      <c r="D2018" s="111"/>
      <c r="E2018" s="115"/>
      <c r="F2018" s="116"/>
      <c r="G2018" s="113"/>
      <c r="H2018" s="117"/>
      <c r="I2018" s="111"/>
      <c r="J2018" s="118"/>
      <c r="K2018" s="81"/>
    </row>
    <row r="2019" ht="13.5" customHeight="1">
      <c r="A2019" s="111"/>
      <c r="B2019" s="111"/>
      <c r="C2019" s="111"/>
      <c r="D2019" s="111"/>
      <c r="E2019" s="115"/>
      <c r="F2019" s="116"/>
      <c r="G2019" s="113"/>
      <c r="H2019" s="117"/>
      <c r="I2019" s="111"/>
      <c r="J2019" s="118"/>
      <c r="K2019" s="81"/>
    </row>
    <row r="2020" ht="13.5" customHeight="1">
      <c r="A2020" s="111"/>
      <c r="B2020" s="111"/>
      <c r="C2020" s="111"/>
      <c r="D2020" s="111"/>
      <c r="E2020" s="115"/>
      <c r="F2020" s="116"/>
      <c r="G2020" s="113"/>
      <c r="H2020" s="117"/>
      <c r="I2020" s="111"/>
      <c r="J2020" s="118"/>
      <c r="K2020" s="81"/>
    </row>
    <row r="2021" ht="13.5" customHeight="1">
      <c r="A2021" s="111"/>
      <c r="B2021" s="111"/>
      <c r="C2021" s="111"/>
      <c r="D2021" s="111"/>
      <c r="E2021" s="115"/>
      <c r="F2021" s="116"/>
      <c r="G2021" s="113"/>
      <c r="H2021" s="117"/>
      <c r="I2021" s="111"/>
      <c r="J2021" s="118"/>
      <c r="K2021" s="81"/>
    </row>
    <row r="2022" ht="13.5" customHeight="1">
      <c r="A2022" s="111"/>
      <c r="B2022" s="111"/>
      <c r="C2022" s="111"/>
      <c r="D2022" s="111"/>
      <c r="E2022" s="115"/>
      <c r="F2022" s="116"/>
      <c r="G2022" s="113"/>
      <c r="H2022" s="117"/>
      <c r="I2022" s="111"/>
      <c r="J2022" s="118"/>
      <c r="K2022" s="81"/>
    </row>
    <row r="2023" ht="13.5" customHeight="1">
      <c r="A2023" s="111"/>
      <c r="B2023" s="111"/>
      <c r="C2023" s="111"/>
      <c r="D2023" s="111"/>
      <c r="E2023" s="115"/>
      <c r="F2023" s="116"/>
      <c r="G2023" s="113"/>
      <c r="H2023" s="117"/>
      <c r="I2023" s="111"/>
      <c r="J2023" s="118"/>
      <c r="K2023" s="81"/>
    </row>
    <row r="2024" ht="13.5" customHeight="1">
      <c r="A2024" s="111"/>
      <c r="B2024" s="111"/>
      <c r="C2024" s="111"/>
      <c r="D2024" s="111"/>
      <c r="E2024" s="115"/>
      <c r="F2024" s="116"/>
      <c r="G2024" s="113"/>
      <c r="H2024" s="117"/>
      <c r="I2024" s="111"/>
      <c r="J2024" s="118"/>
      <c r="K2024" s="81"/>
    </row>
    <row r="2025" ht="13.5" customHeight="1">
      <c r="A2025" s="111"/>
      <c r="B2025" s="111"/>
      <c r="C2025" s="111"/>
      <c r="D2025" s="111"/>
      <c r="E2025" s="115"/>
      <c r="F2025" s="116"/>
      <c r="G2025" s="113"/>
      <c r="H2025" s="117"/>
      <c r="I2025" s="111"/>
      <c r="J2025" s="118"/>
      <c r="K2025" s="81"/>
    </row>
    <row r="2026" ht="13.5" customHeight="1">
      <c r="A2026" s="111"/>
      <c r="B2026" s="111"/>
      <c r="C2026" s="111"/>
      <c r="D2026" s="111"/>
      <c r="E2026" s="115"/>
      <c r="F2026" s="116"/>
      <c r="G2026" s="113"/>
      <c r="H2026" s="117"/>
      <c r="I2026" s="111"/>
      <c r="J2026" s="118"/>
      <c r="K2026" s="81"/>
    </row>
    <row r="2027" ht="13.5" customHeight="1">
      <c r="A2027" s="111"/>
      <c r="B2027" s="111"/>
      <c r="C2027" s="111"/>
      <c r="D2027" s="111"/>
      <c r="E2027" s="115"/>
      <c r="F2027" s="116"/>
      <c r="G2027" s="113"/>
      <c r="H2027" s="117"/>
      <c r="I2027" s="111"/>
      <c r="J2027" s="118"/>
      <c r="K2027" s="81"/>
    </row>
    <row r="2028" ht="13.5" customHeight="1">
      <c r="A2028" s="111"/>
      <c r="B2028" s="111"/>
      <c r="C2028" s="111"/>
      <c r="D2028" s="111"/>
      <c r="E2028" s="115"/>
      <c r="F2028" s="116"/>
      <c r="G2028" s="113"/>
      <c r="H2028" s="117"/>
      <c r="I2028" s="111"/>
      <c r="J2028" s="118"/>
      <c r="K2028" s="81"/>
    </row>
    <row r="2029" ht="13.5" customHeight="1">
      <c r="A2029" s="111"/>
      <c r="B2029" s="111"/>
      <c r="C2029" s="111"/>
      <c r="D2029" s="111"/>
      <c r="E2029" s="115"/>
      <c r="F2029" s="116"/>
      <c r="G2029" s="113"/>
      <c r="H2029" s="117"/>
      <c r="I2029" s="111"/>
      <c r="J2029" s="118"/>
      <c r="K2029" s="81"/>
    </row>
    <row r="2030" ht="13.5" customHeight="1">
      <c r="A2030" s="111"/>
      <c r="B2030" s="111"/>
      <c r="C2030" s="111"/>
      <c r="D2030" s="111"/>
      <c r="E2030" s="115"/>
      <c r="F2030" s="116"/>
      <c r="G2030" s="113"/>
      <c r="H2030" s="117"/>
      <c r="I2030" s="111"/>
      <c r="J2030" s="118"/>
      <c r="K2030" s="81"/>
    </row>
    <row r="2031" ht="13.5" customHeight="1">
      <c r="A2031" s="111"/>
      <c r="B2031" s="111"/>
      <c r="C2031" s="111"/>
      <c r="D2031" s="111"/>
      <c r="E2031" s="115"/>
      <c r="F2031" s="116"/>
      <c r="G2031" s="113"/>
      <c r="H2031" s="117"/>
      <c r="I2031" s="111"/>
      <c r="J2031" s="118"/>
      <c r="K2031" s="81"/>
    </row>
    <row r="2032" ht="13.5" customHeight="1">
      <c r="A2032" s="111"/>
      <c r="B2032" s="111"/>
      <c r="C2032" s="111"/>
      <c r="D2032" s="111"/>
      <c r="E2032" s="115"/>
      <c r="F2032" s="116"/>
      <c r="G2032" s="113"/>
      <c r="H2032" s="117"/>
      <c r="I2032" s="111"/>
      <c r="J2032" s="118"/>
      <c r="K2032" s="81"/>
    </row>
    <row r="2033" ht="13.5" customHeight="1">
      <c r="A2033" s="111"/>
      <c r="B2033" s="111"/>
      <c r="C2033" s="111"/>
      <c r="D2033" s="111"/>
      <c r="E2033" s="115"/>
      <c r="F2033" s="116"/>
      <c r="G2033" s="113"/>
      <c r="H2033" s="117"/>
      <c r="I2033" s="111"/>
      <c r="J2033" s="118"/>
      <c r="K2033" s="81"/>
    </row>
    <row r="2034" ht="13.5" customHeight="1">
      <c r="A2034" s="111"/>
      <c r="B2034" s="111"/>
      <c r="C2034" s="111"/>
      <c r="D2034" s="111"/>
      <c r="E2034" s="115"/>
      <c r="F2034" s="116"/>
      <c r="G2034" s="113"/>
      <c r="H2034" s="117"/>
      <c r="I2034" s="111"/>
      <c r="J2034" s="118"/>
      <c r="K2034" s="81"/>
    </row>
    <row r="2035" ht="13.5" customHeight="1">
      <c r="A2035" s="111"/>
      <c r="B2035" s="111"/>
      <c r="C2035" s="111"/>
      <c r="D2035" s="111"/>
      <c r="E2035" s="115"/>
      <c r="F2035" s="116"/>
      <c r="G2035" s="113"/>
      <c r="H2035" s="117"/>
      <c r="I2035" s="111"/>
      <c r="J2035" s="118"/>
      <c r="K2035" s="81"/>
    </row>
    <row r="2036" ht="13.5" customHeight="1">
      <c r="A2036" s="111"/>
      <c r="B2036" s="111"/>
      <c r="C2036" s="111"/>
      <c r="D2036" s="111"/>
      <c r="E2036" s="115"/>
      <c r="F2036" s="116"/>
      <c r="G2036" s="113"/>
      <c r="H2036" s="117"/>
      <c r="I2036" s="111"/>
      <c r="J2036" s="118"/>
      <c r="K2036" s="81"/>
    </row>
    <row r="2037" ht="13.5" customHeight="1">
      <c r="A2037" s="111"/>
      <c r="B2037" s="111"/>
      <c r="C2037" s="111"/>
      <c r="D2037" s="111"/>
      <c r="E2037" s="115"/>
      <c r="F2037" s="116"/>
      <c r="G2037" s="113"/>
      <c r="H2037" s="117"/>
      <c r="I2037" s="111"/>
      <c r="J2037" s="118"/>
      <c r="K2037" s="81"/>
    </row>
    <row r="2038" ht="13.5" customHeight="1">
      <c r="A2038" s="111"/>
      <c r="B2038" s="111"/>
      <c r="C2038" s="111"/>
      <c r="D2038" s="111"/>
      <c r="E2038" s="115"/>
      <c r="F2038" s="116"/>
      <c r="G2038" s="113"/>
      <c r="H2038" s="117"/>
      <c r="I2038" s="111"/>
      <c r="J2038" s="118"/>
      <c r="K2038" s="81"/>
    </row>
    <row r="2039" ht="13.5" customHeight="1">
      <c r="A2039" s="111"/>
      <c r="B2039" s="111"/>
      <c r="C2039" s="111"/>
      <c r="D2039" s="111"/>
      <c r="E2039" s="115"/>
      <c r="F2039" s="116"/>
      <c r="G2039" s="113"/>
      <c r="H2039" s="117"/>
      <c r="I2039" s="111"/>
      <c r="J2039" s="118"/>
      <c r="K2039" s="81"/>
    </row>
    <row r="2040" ht="13.5" customHeight="1">
      <c r="A2040" s="111"/>
      <c r="B2040" s="111"/>
      <c r="C2040" s="111"/>
      <c r="D2040" s="111"/>
      <c r="E2040" s="115"/>
      <c r="F2040" s="116"/>
      <c r="G2040" s="113"/>
      <c r="H2040" s="117"/>
      <c r="I2040" s="111"/>
      <c r="J2040" s="118"/>
      <c r="K2040" s="81"/>
    </row>
    <row r="2041" ht="13.5" customHeight="1">
      <c r="A2041" s="111"/>
      <c r="B2041" s="111"/>
      <c r="C2041" s="111"/>
      <c r="D2041" s="111"/>
      <c r="E2041" s="115"/>
      <c r="F2041" s="116"/>
      <c r="G2041" s="113"/>
      <c r="H2041" s="117"/>
      <c r="I2041" s="111"/>
      <c r="J2041" s="118"/>
      <c r="K2041" s="81"/>
    </row>
    <row r="2042" ht="13.5" customHeight="1">
      <c r="A2042" s="111"/>
      <c r="B2042" s="111"/>
      <c r="C2042" s="111"/>
      <c r="D2042" s="111"/>
      <c r="E2042" s="115"/>
      <c r="F2042" s="116"/>
      <c r="G2042" s="113"/>
      <c r="H2042" s="117"/>
      <c r="I2042" s="111"/>
      <c r="J2042" s="118"/>
      <c r="K2042" s="81"/>
    </row>
    <row r="2043" ht="13.5" customHeight="1">
      <c r="A2043" s="111"/>
      <c r="B2043" s="111"/>
      <c r="C2043" s="111"/>
      <c r="D2043" s="111"/>
      <c r="E2043" s="115"/>
      <c r="F2043" s="116"/>
      <c r="G2043" s="113"/>
      <c r="H2043" s="117"/>
      <c r="I2043" s="111"/>
      <c r="J2043" s="118"/>
      <c r="K2043" s="81"/>
    </row>
    <row r="2044" ht="13.5" customHeight="1">
      <c r="A2044" s="111"/>
      <c r="B2044" s="111"/>
      <c r="C2044" s="111"/>
      <c r="D2044" s="111"/>
      <c r="E2044" s="115"/>
      <c r="F2044" s="116"/>
      <c r="G2044" s="113"/>
      <c r="H2044" s="117"/>
      <c r="I2044" s="111"/>
      <c r="J2044" s="118"/>
      <c r="K2044" s="81"/>
    </row>
    <row r="2045" ht="13.5" customHeight="1">
      <c r="A2045" s="111"/>
      <c r="B2045" s="111"/>
      <c r="C2045" s="111"/>
      <c r="D2045" s="111"/>
      <c r="E2045" s="115"/>
      <c r="F2045" s="116"/>
      <c r="G2045" s="113"/>
      <c r="H2045" s="117"/>
      <c r="I2045" s="111"/>
      <c r="J2045" s="118"/>
      <c r="K2045" s="81"/>
    </row>
    <row r="2046" ht="13.5" customHeight="1">
      <c r="A2046" s="111"/>
      <c r="B2046" s="111"/>
      <c r="C2046" s="111"/>
      <c r="D2046" s="111"/>
      <c r="E2046" s="115"/>
      <c r="F2046" s="116"/>
      <c r="G2046" s="113"/>
      <c r="H2046" s="117"/>
      <c r="I2046" s="111"/>
      <c r="J2046" s="118"/>
      <c r="K2046" s="81"/>
    </row>
    <row r="2047" ht="13.5" customHeight="1">
      <c r="A2047" s="111"/>
      <c r="B2047" s="111"/>
      <c r="C2047" s="111"/>
      <c r="D2047" s="111"/>
      <c r="E2047" s="115"/>
      <c r="F2047" s="116"/>
      <c r="G2047" s="113"/>
      <c r="H2047" s="117"/>
      <c r="I2047" s="111"/>
      <c r="J2047" s="118"/>
      <c r="K2047" s="81"/>
    </row>
    <row r="2048" ht="13.5" customHeight="1">
      <c r="A2048" s="111"/>
      <c r="B2048" s="111"/>
      <c r="C2048" s="111"/>
      <c r="D2048" s="111"/>
      <c r="E2048" s="115"/>
      <c r="F2048" s="116"/>
      <c r="G2048" s="113"/>
      <c r="H2048" s="117"/>
      <c r="I2048" s="111"/>
      <c r="J2048" s="118"/>
      <c r="K2048" s="81"/>
    </row>
    <row r="2049" ht="13.5" customHeight="1">
      <c r="A2049" s="111"/>
      <c r="B2049" s="111"/>
      <c r="C2049" s="111"/>
      <c r="D2049" s="111"/>
      <c r="E2049" s="115"/>
      <c r="F2049" s="116"/>
      <c r="G2049" s="113"/>
      <c r="H2049" s="117"/>
      <c r="I2049" s="111"/>
      <c r="J2049" s="118"/>
      <c r="K2049" s="81"/>
    </row>
    <row r="2050" ht="13.5" customHeight="1">
      <c r="A2050" s="111"/>
      <c r="B2050" s="111"/>
      <c r="C2050" s="111"/>
      <c r="D2050" s="111"/>
      <c r="E2050" s="115"/>
      <c r="F2050" s="116"/>
      <c r="G2050" s="113"/>
      <c r="H2050" s="117"/>
      <c r="I2050" s="111"/>
      <c r="J2050" s="118"/>
      <c r="K2050" s="81"/>
    </row>
    <row r="2051" ht="13.5" customHeight="1">
      <c r="A2051" s="111"/>
      <c r="B2051" s="111"/>
      <c r="C2051" s="111"/>
      <c r="D2051" s="111"/>
      <c r="E2051" s="115"/>
      <c r="F2051" s="116"/>
      <c r="G2051" s="113"/>
      <c r="H2051" s="117"/>
      <c r="I2051" s="111"/>
      <c r="J2051" s="118"/>
      <c r="K2051" s="81"/>
    </row>
    <row r="2052" ht="13.5" customHeight="1">
      <c r="A2052" s="111"/>
      <c r="B2052" s="111"/>
      <c r="C2052" s="111"/>
      <c r="D2052" s="111"/>
      <c r="E2052" s="115"/>
      <c r="F2052" s="116"/>
      <c r="G2052" s="113"/>
      <c r="H2052" s="117"/>
      <c r="I2052" s="111"/>
      <c r="J2052" s="118"/>
      <c r="K2052" s="81"/>
    </row>
    <row r="2053" ht="13.5" customHeight="1">
      <c r="A2053" s="111"/>
      <c r="B2053" s="111"/>
      <c r="C2053" s="111"/>
      <c r="D2053" s="111"/>
      <c r="E2053" s="115"/>
      <c r="F2053" s="116"/>
      <c r="G2053" s="113"/>
      <c r="H2053" s="117"/>
      <c r="I2053" s="111"/>
      <c r="J2053" s="118"/>
      <c r="K2053" s="81"/>
    </row>
    <row r="2054" ht="13.5" customHeight="1">
      <c r="A2054" s="111"/>
      <c r="B2054" s="111"/>
      <c r="C2054" s="111"/>
      <c r="D2054" s="111"/>
      <c r="E2054" s="115"/>
      <c r="F2054" s="116"/>
      <c r="G2054" s="113"/>
      <c r="H2054" s="117"/>
      <c r="I2054" s="111"/>
      <c r="J2054" s="118"/>
      <c r="K2054" s="81"/>
    </row>
    <row r="2055" ht="13.5" customHeight="1">
      <c r="A2055" s="111"/>
      <c r="B2055" s="111"/>
      <c r="C2055" s="111"/>
      <c r="D2055" s="111"/>
      <c r="E2055" s="115"/>
      <c r="F2055" s="116"/>
      <c r="G2055" s="113"/>
      <c r="H2055" s="117"/>
      <c r="I2055" s="111"/>
      <c r="J2055" s="118"/>
      <c r="K2055" s="81"/>
    </row>
    <row r="2056" ht="13.5" customHeight="1">
      <c r="A2056" s="111"/>
      <c r="B2056" s="111"/>
      <c r="C2056" s="111"/>
      <c r="D2056" s="111"/>
      <c r="E2056" s="115"/>
      <c r="F2056" s="116"/>
      <c r="G2056" s="113"/>
      <c r="H2056" s="117"/>
      <c r="I2056" s="111"/>
      <c r="J2056" s="118"/>
      <c r="K2056" s="81"/>
    </row>
    <row r="2057" ht="13.5" customHeight="1">
      <c r="A2057" s="111"/>
      <c r="B2057" s="111"/>
      <c r="C2057" s="111"/>
      <c r="D2057" s="111"/>
      <c r="E2057" s="115"/>
      <c r="F2057" s="116"/>
      <c r="G2057" s="113"/>
      <c r="H2057" s="117"/>
      <c r="I2057" s="111"/>
      <c r="J2057" s="118"/>
      <c r="K2057" s="81"/>
    </row>
    <row r="2058" ht="13.5" customHeight="1">
      <c r="A2058" s="111"/>
      <c r="B2058" s="111"/>
      <c r="C2058" s="111"/>
      <c r="D2058" s="111"/>
      <c r="E2058" s="115"/>
      <c r="F2058" s="116"/>
      <c r="G2058" s="113"/>
      <c r="H2058" s="117"/>
      <c r="I2058" s="111"/>
      <c r="J2058" s="118"/>
      <c r="K2058" s="81"/>
    </row>
    <row r="2059" ht="13.5" customHeight="1">
      <c r="A2059" s="111"/>
      <c r="B2059" s="111"/>
      <c r="C2059" s="111"/>
      <c r="D2059" s="111"/>
      <c r="E2059" s="115"/>
      <c r="F2059" s="116"/>
      <c r="G2059" s="113"/>
      <c r="H2059" s="117"/>
      <c r="I2059" s="111"/>
      <c r="J2059" s="118"/>
      <c r="K2059" s="81"/>
    </row>
    <row r="2060" ht="13.5" customHeight="1">
      <c r="A2060" s="111"/>
      <c r="B2060" s="111"/>
      <c r="C2060" s="111"/>
      <c r="D2060" s="111"/>
      <c r="E2060" s="115"/>
      <c r="F2060" s="116"/>
      <c r="G2060" s="113"/>
      <c r="H2060" s="117"/>
      <c r="I2060" s="111"/>
      <c r="J2060" s="118"/>
      <c r="K2060" s="81"/>
    </row>
    <row r="2061" ht="13.5" customHeight="1">
      <c r="A2061" s="111"/>
      <c r="B2061" s="111"/>
      <c r="C2061" s="111"/>
      <c r="D2061" s="111"/>
      <c r="E2061" s="115"/>
      <c r="F2061" s="116"/>
      <c r="G2061" s="113"/>
      <c r="H2061" s="117"/>
      <c r="I2061" s="111"/>
      <c r="J2061" s="118"/>
      <c r="K2061" s="81"/>
    </row>
    <row r="2062" ht="13.5" customHeight="1">
      <c r="A2062" s="111"/>
      <c r="B2062" s="111"/>
      <c r="C2062" s="111"/>
      <c r="D2062" s="111"/>
      <c r="E2062" s="115"/>
      <c r="F2062" s="116"/>
      <c r="G2062" s="113"/>
      <c r="H2062" s="117"/>
      <c r="I2062" s="111"/>
      <c r="J2062" s="118"/>
      <c r="K2062" s="81"/>
    </row>
    <row r="2063" ht="13.5" customHeight="1">
      <c r="A2063" s="111"/>
      <c r="B2063" s="111"/>
      <c r="C2063" s="111"/>
      <c r="D2063" s="111"/>
      <c r="E2063" s="115"/>
      <c r="F2063" s="116"/>
      <c r="G2063" s="113"/>
      <c r="H2063" s="117"/>
      <c r="I2063" s="111"/>
      <c r="J2063" s="118"/>
      <c r="K2063" s="81"/>
    </row>
    <row r="2064" ht="13.5" customHeight="1">
      <c r="A2064" s="111"/>
      <c r="B2064" s="111"/>
      <c r="C2064" s="111"/>
      <c r="D2064" s="111"/>
      <c r="E2064" s="115"/>
      <c r="F2064" s="116"/>
      <c r="G2064" s="113"/>
      <c r="H2064" s="117"/>
      <c r="I2064" s="111"/>
      <c r="J2064" s="118"/>
      <c r="K2064" s="81"/>
    </row>
    <row r="2065" ht="13.5" customHeight="1">
      <c r="A2065" s="111"/>
      <c r="B2065" s="111"/>
      <c r="C2065" s="111"/>
      <c r="D2065" s="111"/>
      <c r="E2065" s="115"/>
      <c r="F2065" s="116"/>
      <c r="G2065" s="113"/>
      <c r="H2065" s="117"/>
      <c r="I2065" s="111"/>
      <c r="J2065" s="118"/>
      <c r="K2065" s="81"/>
    </row>
    <row r="2066" ht="13.5" customHeight="1">
      <c r="A2066" s="111"/>
      <c r="B2066" s="111"/>
      <c r="C2066" s="111"/>
      <c r="D2066" s="111"/>
      <c r="E2066" s="115"/>
      <c r="F2066" s="116"/>
      <c r="G2066" s="113"/>
      <c r="H2066" s="117"/>
      <c r="I2066" s="111"/>
      <c r="J2066" s="118"/>
      <c r="K2066" s="81"/>
    </row>
    <row r="2067" ht="13.5" customHeight="1">
      <c r="A2067" s="111"/>
      <c r="B2067" s="111"/>
      <c r="C2067" s="111"/>
      <c r="D2067" s="111"/>
      <c r="E2067" s="115"/>
      <c r="F2067" s="116"/>
      <c r="G2067" s="113"/>
      <c r="H2067" s="117"/>
      <c r="I2067" s="111"/>
      <c r="J2067" s="118"/>
      <c r="K2067" s="81"/>
    </row>
    <row r="2068" ht="13.5" customHeight="1">
      <c r="A2068" s="111"/>
      <c r="B2068" s="111"/>
      <c r="C2068" s="111"/>
      <c r="D2068" s="111"/>
      <c r="E2068" s="115"/>
      <c r="F2068" s="116"/>
      <c r="G2068" s="113"/>
      <c r="H2068" s="117"/>
      <c r="I2068" s="111"/>
      <c r="J2068" s="118"/>
      <c r="K2068" s="81"/>
    </row>
    <row r="2069" ht="13.5" customHeight="1">
      <c r="A2069" s="111"/>
      <c r="B2069" s="111"/>
      <c r="C2069" s="111"/>
      <c r="D2069" s="111"/>
      <c r="E2069" s="115"/>
      <c r="F2069" s="116"/>
      <c r="G2069" s="113"/>
      <c r="H2069" s="117"/>
      <c r="I2069" s="111"/>
      <c r="J2069" s="118"/>
      <c r="K2069" s="81"/>
    </row>
    <row r="2070" ht="13.5" customHeight="1">
      <c r="A2070" s="111"/>
      <c r="B2070" s="111"/>
      <c r="C2070" s="111"/>
      <c r="D2070" s="111"/>
      <c r="E2070" s="115"/>
      <c r="F2070" s="116"/>
      <c r="G2070" s="113"/>
      <c r="H2070" s="117"/>
      <c r="I2070" s="111"/>
      <c r="J2070" s="118"/>
      <c r="K2070" s="81"/>
    </row>
    <row r="2071" ht="13.5" customHeight="1">
      <c r="A2071" s="111"/>
      <c r="B2071" s="111"/>
      <c r="C2071" s="111"/>
      <c r="D2071" s="111"/>
      <c r="E2071" s="115"/>
      <c r="F2071" s="116"/>
      <c r="G2071" s="113"/>
      <c r="H2071" s="117"/>
      <c r="I2071" s="111"/>
      <c r="J2071" s="118"/>
      <c r="K2071" s="81"/>
    </row>
    <row r="2072" ht="13.5" customHeight="1">
      <c r="A2072" s="111"/>
      <c r="B2072" s="111"/>
      <c r="C2072" s="111"/>
      <c r="D2072" s="111"/>
      <c r="E2072" s="115"/>
      <c r="F2072" s="116"/>
      <c r="G2072" s="113"/>
      <c r="H2072" s="117"/>
      <c r="I2072" s="111"/>
      <c r="J2072" s="118"/>
      <c r="K2072" s="81"/>
    </row>
    <row r="2073" ht="13.5" customHeight="1">
      <c r="A2073" s="111"/>
      <c r="B2073" s="111"/>
      <c r="C2073" s="111"/>
      <c r="D2073" s="111"/>
      <c r="E2073" s="115"/>
      <c r="F2073" s="116"/>
      <c r="G2073" s="113"/>
      <c r="H2073" s="117"/>
      <c r="I2073" s="111"/>
      <c r="J2073" s="118"/>
      <c r="K2073" s="81"/>
    </row>
    <row r="2074" ht="13.5" customHeight="1">
      <c r="A2074" s="111"/>
      <c r="B2074" s="111"/>
      <c r="C2074" s="111"/>
      <c r="D2074" s="111"/>
      <c r="E2074" s="115"/>
      <c r="F2074" s="116"/>
      <c r="G2074" s="113"/>
      <c r="H2074" s="117"/>
      <c r="I2074" s="111"/>
      <c r="J2074" s="118"/>
      <c r="K2074" s="81"/>
    </row>
    <row r="2075" ht="13.5" customHeight="1">
      <c r="A2075" s="111"/>
      <c r="B2075" s="111"/>
      <c r="C2075" s="111"/>
      <c r="D2075" s="111"/>
      <c r="E2075" s="115"/>
      <c r="F2075" s="116"/>
      <c r="G2075" s="113"/>
      <c r="H2075" s="117"/>
      <c r="I2075" s="111"/>
      <c r="J2075" s="118"/>
      <c r="K2075" s="81"/>
    </row>
    <row r="2076" ht="13.5" customHeight="1">
      <c r="A2076" s="111"/>
      <c r="B2076" s="111"/>
      <c r="C2076" s="111"/>
      <c r="D2076" s="111"/>
      <c r="E2076" s="115"/>
      <c r="F2076" s="116"/>
      <c r="G2076" s="113"/>
      <c r="H2076" s="117"/>
      <c r="I2076" s="111"/>
      <c r="J2076" s="118"/>
      <c r="K2076" s="81"/>
    </row>
    <row r="2077" ht="13.5" customHeight="1">
      <c r="A2077" s="111"/>
      <c r="B2077" s="111"/>
      <c r="C2077" s="111"/>
      <c r="D2077" s="111"/>
      <c r="E2077" s="115"/>
      <c r="F2077" s="116"/>
      <c r="G2077" s="113"/>
      <c r="H2077" s="117"/>
      <c r="I2077" s="111"/>
      <c r="J2077" s="118"/>
      <c r="K2077" s="81"/>
    </row>
    <row r="2078" ht="13.5" customHeight="1">
      <c r="A2078" s="111"/>
      <c r="B2078" s="111"/>
      <c r="C2078" s="111"/>
      <c r="D2078" s="111"/>
      <c r="E2078" s="115"/>
      <c r="F2078" s="116"/>
      <c r="G2078" s="113"/>
      <c r="H2078" s="117"/>
      <c r="I2078" s="111"/>
      <c r="J2078" s="118"/>
      <c r="K2078" s="81"/>
    </row>
    <row r="2079" ht="13.5" customHeight="1">
      <c r="A2079" s="111"/>
      <c r="B2079" s="111"/>
      <c r="C2079" s="111"/>
      <c r="D2079" s="111"/>
      <c r="E2079" s="115"/>
      <c r="F2079" s="116"/>
      <c r="G2079" s="113"/>
      <c r="H2079" s="117"/>
      <c r="I2079" s="111"/>
      <c r="J2079" s="118"/>
      <c r="K2079" s="81"/>
    </row>
    <row r="2080" ht="13.5" customHeight="1">
      <c r="A2080" s="111"/>
      <c r="B2080" s="111"/>
      <c r="C2080" s="111"/>
      <c r="D2080" s="111"/>
      <c r="E2080" s="115"/>
      <c r="F2080" s="116"/>
      <c r="G2080" s="113"/>
      <c r="H2080" s="117"/>
      <c r="I2080" s="111"/>
      <c r="J2080" s="118"/>
      <c r="K2080" s="81"/>
    </row>
    <row r="2081" ht="13.5" customHeight="1">
      <c r="A2081" s="111"/>
      <c r="B2081" s="111"/>
      <c r="C2081" s="111"/>
      <c r="D2081" s="111"/>
      <c r="E2081" s="115"/>
      <c r="F2081" s="116"/>
      <c r="G2081" s="113"/>
      <c r="H2081" s="117"/>
      <c r="I2081" s="111"/>
      <c r="J2081" s="118"/>
      <c r="K2081" s="81"/>
    </row>
    <row r="2082" ht="13.5" customHeight="1">
      <c r="A2082" s="111"/>
      <c r="B2082" s="111"/>
      <c r="C2082" s="111"/>
      <c r="D2082" s="111"/>
      <c r="E2082" s="115"/>
      <c r="F2082" s="116"/>
      <c r="G2082" s="113"/>
      <c r="H2082" s="117"/>
      <c r="I2082" s="111"/>
      <c r="J2082" s="118"/>
      <c r="K2082" s="81"/>
    </row>
    <row r="2083" ht="13.5" customHeight="1">
      <c r="A2083" s="111"/>
      <c r="B2083" s="111"/>
      <c r="C2083" s="111"/>
      <c r="D2083" s="111"/>
      <c r="E2083" s="115"/>
      <c r="F2083" s="116"/>
      <c r="G2083" s="113"/>
      <c r="H2083" s="117"/>
      <c r="I2083" s="111"/>
      <c r="J2083" s="118"/>
      <c r="K2083" s="81"/>
    </row>
    <row r="2084" ht="13.5" customHeight="1">
      <c r="A2084" s="111"/>
      <c r="B2084" s="111"/>
      <c r="C2084" s="111"/>
      <c r="D2084" s="111"/>
      <c r="E2084" s="115"/>
      <c r="F2084" s="116"/>
      <c r="G2084" s="113"/>
      <c r="H2084" s="117"/>
      <c r="I2084" s="111"/>
      <c r="J2084" s="118"/>
      <c r="K2084" s="81"/>
    </row>
    <row r="2085" ht="13.5" customHeight="1">
      <c r="A2085" s="111"/>
      <c r="B2085" s="111"/>
      <c r="C2085" s="111"/>
      <c r="D2085" s="111"/>
      <c r="E2085" s="115"/>
      <c r="F2085" s="116"/>
      <c r="G2085" s="113"/>
      <c r="H2085" s="117"/>
      <c r="I2085" s="111"/>
      <c r="J2085" s="118"/>
      <c r="K2085" s="81"/>
    </row>
    <row r="2086" ht="13.5" customHeight="1">
      <c r="A2086" s="111"/>
      <c r="B2086" s="111"/>
      <c r="C2086" s="111"/>
      <c r="D2086" s="111"/>
      <c r="E2086" s="115"/>
      <c r="F2086" s="116"/>
      <c r="G2086" s="113"/>
      <c r="H2086" s="117"/>
      <c r="I2086" s="111"/>
      <c r="J2086" s="118"/>
      <c r="K2086" s="81"/>
    </row>
    <row r="2087" ht="13.5" customHeight="1">
      <c r="A2087" s="111"/>
      <c r="B2087" s="111"/>
      <c r="C2087" s="111"/>
      <c r="D2087" s="111"/>
      <c r="E2087" s="115"/>
      <c r="F2087" s="116"/>
      <c r="G2087" s="113"/>
      <c r="H2087" s="117"/>
      <c r="I2087" s="111"/>
      <c r="J2087" s="118"/>
      <c r="K2087" s="81"/>
    </row>
    <row r="2088" ht="13.5" customHeight="1">
      <c r="A2088" s="111"/>
      <c r="B2088" s="111"/>
      <c r="C2088" s="111"/>
      <c r="D2088" s="111"/>
      <c r="E2088" s="115"/>
      <c r="F2088" s="116"/>
      <c r="G2088" s="113"/>
      <c r="H2088" s="117"/>
      <c r="I2088" s="111"/>
      <c r="J2088" s="118"/>
      <c r="K2088" s="81"/>
    </row>
    <row r="2089" ht="13.5" customHeight="1">
      <c r="A2089" s="111"/>
      <c r="B2089" s="111"/>
      <c r="C2089" s="111"/>
      <c r="D2089" s="111"/>
      <c r="E2089" s="115"/>
      <c r="F2089" s="116"/>
      <c r="G2089" s="113"/>
      <c r="H2089" s="117"/>
      <c r="I2089" s="111"/>
      <c r="J2089" s="118"/>
      <c r="K2089" s="81"/>
    </row>
    <row r="2090" ht="13.5" customHeight="1">
      <c r="A2090" s="111"/>
      <c r="B2090" s="111"/>
      <c r="C2090" s="111"/>
      <c r="D2090" s="111"/>
      <c r="E2090" s="115"/>
      <c r="F2090" s="116"/>
      <c r="G2090" s="113"/>
      <c r="H2090" s="117"/>
      <c r="I2090" s="111"/>
      <c r="J2090" s="118"/>
      <c r="K2090" s="81"/>
    </row>
    <row r="2091" ht="13.5" customHeight="1">
      <c r="A2091" s="111"/>
      <c r="B2091" s="111"/>
      <c r="C2091" s="111"/>
      <c r="D2091" s="111"/>
      <c r="E2091" s="115"/>
      <c r="F2091" s="116"/>
      <c r="G2091" s="113"/>
      <c r="H2091" s="117"/>
      <c r="I2091" s="111"/>
      <c r="J2091" s="118"/>
      <c r="K2091" s="81"/>
    </row>
    <row r="2092" ht="13.5" customHeight="1">
      <c r="A2092" s="111"/>
      <c r="B2092" s="111"/>
      <c r="C2092" s="111"/>
      <c r="D2092" s="111"/>
      <c r="E2092" s="115"/>
      <c r="F2092" s="116"/>
      <c r="G2092" s="113"/>
      <c r="H2092" s="117"/>
      <c r="I2092" s="111"/>
      <c r="J2092" s="118"/>
      <c r="K2092" s="81"/>
    </row>
    <row r="2093" ht="13.5" customHeight="1">
      <c r="A2093" s="111"/>
      <c r="B2093" s="111"/>
      <c r="C2093" s="111"/>
      <c r="D2093" s="111"/>
      <c r="E2093" s="115"/>
      <c r="F2093" s="116"/>
      <c r="G2093" s="113"/>
      <c r="H2093" s="117"/>
      <c r="I2093" s="111"/>
      <c r="J2093" s="118"/>
      <c r="K2093" s="81"/>
    </row>
    <row r="2094" ht="13.5" customHeight="1">
      <c r="A2094" s="111"/>
      <c r="B2094" s="111"/>
      <c r="C2094" s="111"/>
      <c r="D2094" s="111"/>
      <c r="E2094" s="115"/>
      <c r="F2094" s="116"/>
      <c r="G2094" s="113"/>
      <c r="H2094" s="117"/>
      <c r="I2094" s="111"/>
      <c r="J2094" s="118"/>
      <c r="K2094" s="81"/>
    </row>
    <row r="2095" ht="13.5" customHeight="1">
      <c r="A2095" s="111"/>
      <c r="B2095" s="111"/>
      <c r="C2095" s="111"/>
      <c r="D2095" s="111"/>
      <c r="E2095" s="115"/>
      <c r="F2095" s="116"/>
      <c r="G2095" s="113"/>
      <c r="H2095" s="117"/>
      <c r="I2095" s="111"/>
      <c r="J2095" s="118"/>
      <c r="K2095" s="81"/>
    </row>
    <row r="2096" ht="13.5" customHeight="1">
      <c r="A2096" s="111"/>
      <c r="B2096" s="111"/>
      <c r="C2096" s="111"/>
      <c r="D2096" s="111"/>
      <c r="E2096" s="115"/>
      <c r="F2096" s="116"/>
      <c r="G2096" s="113"/>
      <c r="H2096" s="117"/>
      <c r="I2096" s="111"/>
      <c r="J2096" s="118"/>
      <c r="K2096" s="81"/>
    </row>
    <row r="2097" ht="13.5" customHeight="1">
      <c r="A2097" s="111"/>
      <c r="B2097" s="111"/>
      <c r="C2097" s="111"/>
      <c r="D2097" s="111"/>
      <c r="E2097" s="115"/>
      <c r="F2097" s="116"/>
      <c r="G2097" s="113"/>
      <c r="H2097" s="117"/>
      <c r="I2097" s="111"/>
      <c r="J2097" s="118"/>
      <c r="K2097" s="81"/>
    </row>
    <row r="2098" ht="13.5" customHeight="1">
      <c r="A2098" s="111"/>
      <c r="B2098" s="111"/>
      <c r="C2098" s="111"/>
      <c r="D2098" s="111"/>
      <c r="E2098" s="115"/>
      <c r="F2098" s="116"/>
      <c r="G2098" s="113"/>
      <c r="H2098" s="117"/>
      <c r="I2098" s="111"/>
      <c r="J2098" s="118"/>
      <c r="K2098" s="81"/>
    </row>
    <row r="2099" ht="13.5" customHeight="1">
      <c r="A2099" s="111"/>
      <c r="B2099" s="111"/>
      <c r="C2099" s="111"/>
      <c r="D2099" s="111"/>
      <c r="E2099" s="115"/>
      <c r="F2099" s="116"/>
      <c r="G2099" s="113"/>
      <c r="H2099" s="117"/>
      <c r="I2099" s="111"/>
      <c r="J2099" s="118"/>
      <c r="K2099" s="81"/>
    </row>
    <row r="2100" ht="13.5" customHeight="1">
      <c r="A2100" s="111"/>
      <c r="B2100" s="111"/>
      <c r="C2100" s="111"/>
      <c r="D2100" s="111"/>
      <c r="E2100" s="115"/>
      <c r="F2100" s="116"/>
      <c r="G2100" s="113"/>
      <c r="H2100" s="117"/>
      <c r="I2100" s="111"/>
      <c r="J2100" s="118"/>
      <c r="K2100" s="81"/>
    </row>
    <row r="2101" ht="13.5" customHeight="1">
      <c r="A2101" s="111"/>
      <c r="B2101" s="111"/>
      <c r="C2101" s="111"/>
      <c r="D2101" s="111"/>
      <c r="E2101" s="115"/>
      <c r="F2101" s="116"/>
      <c r="G2101" s="113"/>
      <c r="H2101" s="117"/>
      <c r="I2101" s="111"/>
      <c r="J2101" s="118"/>
      <c r="K2101" s="81"/>
    </row>
    <row r="2102" ht="13.5" customHeight="1">
      <c r="A2102" s="111"/>
      <c r="B2102" s="111"/>
      <c r="C2102" s="111"/>
      <c r="D2102" s="111"/>
      <c r="E2102" s="115"/>
      <c r="F2102" s="116"/>
      <c r="G2102" s="113"/>
      <c r="H2102" s="117"/>
      <c r="I2102" s="111"/>
      <c r="J2102" s="118"/>
      <c r="K2102" s="81"/>
    </row>
    <row r="2103" ht="13.5" customHeight="1">
      <c r="A2103" s="111"/>
      <c r="B2103" s="111"/>
      <c r="C2103" s="111"/>
      <c r="D2103" s="111"/>
      <c r="E2103" s="115"/>
      <c r="F2103" s="116"/>
      <c r="G2103" s="113"/>
      <c r="H2103" s="117"/>
      <c r="I2103" s="111"/>
      <c r="J2103" s="118"/>
      <c r="K2103" s="81"/>
    </row>
    <row r="2104" ht="13.5" customHeight="1">
      <c r="A2104" s="111"/>
      <c r="B2104" s="111"/>
      <c r="C2104" s="111"/>
      <c r="D2104" s="111"/>
      <c r="E2104" s="115"/>
      <c r="F2104" s="116"/>
      <c r="G2104" s="113"/>
      <c r="H2104" s="117"/>
      <c r="I2104" s="111"/>
      <c r="J2104" s="118"/>
      <c r="K2104" s="81"/>
    </row>
    <row r="2105" ht="13.5" customHeight="1">
      <c r="A2105" s="111"/>
      <c r="B2105" s="111"/>
      <c r="C2105" s="111"/>
      <c r="D2105" s="111"/>
      <c r="E2105" s="115"/>
      <c r="F2105" s="116"/>
      <c r="G2105" s="113"/>
      <c r="H2105" s="117"/>
      <c r="I2105" s="111"/>
      <c r="J2105" s="118"/>
      <c r="K2105" s="81"/>
    </row>
    <row r="2106" ht="13.5" customHeight="1">
      <c r="A2106" s="111"/>
      <c r="B2106" s="111"/>
      <c r="C2106" s="111"/>
      <c r="D2106" s="111"/>
      <c r="E2106" s="115"/>
      <c r="F2106" s="116"/>
      <c r="G2106" s="113"/>
      <c r="H2106" s="117"/>
      <c r="I2106" s="111"/>
      <c r="J2106" s="118"/>
      <c r="K2106" s="81"/>
    </row>
    <row r="2107" ht="13.5" customHeight="1">
      <c r="A2107" s="111"/>
      <c r="B2107" s="111"/>
      <c r="C2107" s="111"/>
      <c r="D2107" s="111"/>
      <c r="E2107" s="115"/>
      <c r="F2107" s="116"/>
      <c r="G2107" s="113"/>
      <c r="H2107" s="117"/>
      <c r="I2107" s="111"/>
      <c r="J2107" s="118"/>
      <c r="K2107" s="81"/>
    </row>
    <row r="2108" ht="13.5" customHeight="1">
      <c r="A2108" s="111"/>
      <c r="B2108" s="111"/>
      <c r="C2108" s="111"/>
      <c r="D2108" s="111"/>
      <c r="E2108" s="115"/>
      <c r="F2108" s="116"/>
      <c r="G2108" s="113"/>
      <c r="H2108" s="117"/>
      <c r="I2108" s="111"/>
      <c r="J2108" s="118"/>
      <c r="K2108" s="81"/>
    </row>
    <row r="2109" ht="13.5" customHeight="1">
      <c r="A2109" s="111"/>
      <c r="B2109" s="111"/>
      <c r="C2109" s="111"/>
      <c r="D2109" s="111"/>
      <c r="E2109" s="115"/>
      <c r="F2109" s="116"/>
      <c r="G2109" s="113"/>
      <c r="H2109" s="117"/>
      <c r="I2109" s="111"/>
      <c r="J2109" s="118"/>
      <c r="K2109" s="81"/>
    </row>
    <row r="2110" ht="13.5" customHeight="1">
      <c r="A2110" s="111"/>
      <c r="B2110" s="111"/>
      <c r="C2110" s="111"/>
      <c r="D2110" s="111"/>
      <c r="E2110" s="115"/>
      <c r="F2110" s="116"/>
      <c r="G2110" s="113"/>
      <c r="H2110" s="117"/>
      <c r="I2110" s="111"/>
      <c r="J2110" s="118"/>
      <c r="K2110" s="81"/>
    </row>
    <row r="2111" ht="13.5" customHeight="1">
      <c r="A2111" s="111"/>
      <c r="B2111" s="111"/>
      <c r="C2111" s="111"/>
      <c r="D2111" s="111"/>
      <c r="E2111" s="115"/>
      <c r="F2111" s="116"/>
      <c r="G2111" s="113"/>
      <c r="H2111" s="117"/>
      <c r="I2111" s="111"/>
      <c r="J2111" s="118"/>
      <c r="K2111" s="81"/>
    </row>
    <row r="2112" ht="13.5" customHeight="1">
      <c r="A2112" s="111"/>
      <c r="B2112" s="111"/>
      <c r="C2112" s="111"/>
      <c r="D2112" s="111"/>
      <c r="E2112" s="115"/>
      <c r="F2112" s="116"/>
      <c r="G2112" s="113"/>
      <c r="H2112" s="117"/>
      <c r="I2112" s="111"/>
      <c r="J2112" s="118"/>
      <c r="K2112" s="81"/>
    </row>
    <row r="2113" ht="13.5" customHeight="1">
      <c r="A2113" s="111"/>
      <c r="B2113" s="111"/>
      <c r="C2113" s="111"/>
      <c r="D2113" s="111"/>
      <c r="E2113" s="115"/>
      <c r="F2113" s="116"/>
      <c r="G2113" s="113"/>
      <c r="H2113" s="117"/>
      <c r="I2113" s="111"/>
      <c r="J2113" s="118"/>
      <c r="K2113" s="81"/>
    </row>
    <row r="2114" ht="13.5" customHeight="1">
      <c r="A2114" s="111"/>
      <c r="B2114" s="111"/>
      <c r="C2114" s="111"/>
      <c r="D2114" s="111"/>
      <c r="E2114" s="115"/>
      <c r="F2114" s="116"/>
      <c r="G2114" s="113"/>
      <c r="H2114" s="117"/>
      <c r="I2114" s="111"/>
      <c r="J2114" s="118"/>
      <c r="K2114" s="81"/>
    </row>
    <row r="2115" ht="13.5" customHeight="1">
      <c r="A2115" s="111"/>
      <c r="B2115" s="111"/>
      <c r="C2115" s="111"/>
      <c r="D2115" s="111"/>
      <c r="E2115" s="115"/>
      <c r="F2115" s="116"/>
      <c r="G2115" s="113"/>
      <c r="H2115" s="117"/>
      <c r="I2115" s="111"/>
      <c r="J2115" s="118"/>
      <c r="K2115" s="81"/>
    </row>
    <row r="2116" ht="13.5" customHeight="1">
      <c r="A2116" s="111"/>
      <c r="B2116" s="111"/>
      <c r="C2116" s="111"/>
      <c r="D2116" s="111"/>
      <c r="E2116" s="115"/>
      <c r="F2116" s="116"/>
      <c r="G2116" s="113"/>
      <c r="H2116" s="117"/>
      <c r="I2116" s="111"/>
      <c r="J2116" s="118"/>
      <c r="K2116" s="81"/>
    </row>
    <row r="2117" ht="13.5" customHeight="1">
      <c r="A2117" s="111"/>
      <c r="B2117" s="111"/>
      <c r="C2117" s="111"/>
      <c r="D2117" s="111"/>
      <c r="E2117" s="115"/>
      <c r="F2117" s="116"/>
      <c r="G2117" s="113"/>
      <c r="H2117" s="117"/>
      <c r="I2117" s="111"/>
      <c r="J2117" s="118"/>
      <c r="K2117" s="81"/>
    </row>
    <row r="2118" ht="13.5" customHeight="1">
      <c r="A2118" s="111"/>
      <c r="B2118" s="111"/>
      <c r="C2118" s="111"/>
      <c r="D2118" s="111"/>
      <c r="E2118" s="115"/>
      <c r="F2118" s="116"/>
      <c r="G2118" s="113"/>
      <c r="H2118" s="117"/>
      <c r="I2118" s="111"/>
      <c r="J2118" s="118"/>
      <c r="K2118" s="81"/>
    </row>
    <row r="2119" ht="13.5" customHeight="1">
      <c r="A2119" s="111"/>
      <c r="B2119" s="111"/>
      <c r="C2119" s="111"/>
      <c r="D2119" s="111"/>
      <c r="E2119" s="115"/>
      <c r="F2119" s="116"/>
      <c r="G2119" s="113"/>
      <c r="H2119" s="117"/>
      <c r="I2119" s="111"/>
      <c r="J2119" s="118"/>
      <c r="K2119" s="81"/>
    </row>
    <row r="2120" ht="13.5" customHeight="1">
      <c r="A2120" s="111"/>
      <c r="B2120" s="111"/>
      <c r="C2120" s="111"/>
      <c r="D2120" s="111"/>
      <c r="E2120" s="115"/>
      <c r="F2120" s="116"/>
      <c r="G2120" s="113"/>
      <c r="H2120" s="117"/>
      <c r="I2120" s="111"/>
      <c r="J2120" s="118"/>
      <c r="K2120" s="81"/>
    </row>
    <row r="2121" ht="13.5" customHeight="1">
      <c r="A2121" s="111"/>
      <c r="B2121" s="111"/>
      <c r="C2121" s="111"/>
      <c r="D2121" s="111"/>
      <c r="E2121" s="115"/>
      <c r="F2121" s="116"/>
      <c r="G2121" s="113"/>
      <c r="H2121" s="117"/>
      <c r="I2121" s="111"/>
      <c r="J2121" s="118"/>
      <c r="K2121" s="81"/>
    </row>
    <row r="2122" ht="13.5" customHeight="1">
      <c r="A2122" s="111"/>
      <c r="B2122" s="111"/>
      <c r="C2122" s="111"/>
      <c r="D2122" s="111"/>
      <c r="E2122" s="115"/>
      <c r="F2122" s="116"/>
      <c r="G2122" s="113"/>
      <c r="H2122" s="117"/>
      <c r="I2122" s="111"/>
      <c r="J2122" s="118"/>
      <c r="K2122" s="81"/>
    </row>
    <row r="2123" ht="13.5" customHeight="1">
      <c r="A2123" s="111"/>
      <c r="B2123" s="111"/>
      <c r="C2123" s="111"/>
      <c r="D2123" s="111"/>
      <c r="E2123" s="115"/>
      <c r="F2123" s="116"/>
      <c r="G2123" s="113"/>
      <c r="H2123" s="117"/>
      <c r="I2123" s="111"/>
      <c r="J2123" s="118"/>
      <c r="K2123" s="81"/>
    </row>
    <row r="2124" ht="13.5" customHeight="1">
      <c r="A2124" s="111"/>
      <c r="B2124" s="111"/>
      <c r="C2124" s="111"/>
      <c r="D2124" s="111"/>
      <c r="E2124" s="115"/>
      <c r="F2124" s="116"/>
      <c r="G2124" s="113"/>
      <c r="H2124" s="117"/>
      <c r="I2124" s="111"/>
      <c r="J2124" s="118"/>
      <c r="K2124" s="81"/>
    </row>
    <row r="2125" ht="13.5" customHeight="1">
      <c r="A2125" s="111"/>
      <c r="B2125" s="111"/>
      <c r="C2125" s="111"/>
      <c r="D2125" s="111"/>
      <c r="E2125" s="115"/>
      <c r="F2125" s="116"/>
      <c r="G2125" s="113"/>
      <c r="H2125" s="117"/>
      <c r="I2125" s="111"/>
      <c r="J2125" s="118"/>
      <c r="K2125" s="81"/>
    </row>
    <row r="2126" ht="13.5" customHeight="1">
      <c r="A2126" s="111"/>
      <c r="B2126" s="111"/>
      <c r="C2126" s="111"/>
      <c r="D2126" s="111"/>
      <c r="E2126" s="115"/>
      <c r="F2126" s="116"/>
      <c r="G2126" s="113"/>
      <c r="H2126" s="117"/>
      <c r="I2126" s="111"/>
      <c r="J2126" s="118"/>
      <c r="K2126" s="81"/>
    </row>
    <row r="2127" ht="13.5" customHeight="1">
      <c r="A2127" s="111"/>
      <c r="B2127" s="111"/>
      <c r="C2127" s="111"/>
      <c r="D2127" s="111"/>
      <c r="E2127" s="115"/>
      <c r="F2127" s="116"/>
      <c r="G2127" s="113"/>
      <c r="H2127" s="117"/>
      <c r="I2127" s="111"/>
      <c r="J2127" s="118"/>
      <c r="K2127" s="81"/>
    </row>
    <row r="2128" ht="13.5" customHeight="1">
      <c r="A2128" s="111"/>
      <c r="B2128" s="111"/>
      <c r="C2128" s="111"/>
      <c r="D2128" s="111"/>
      <c r="E2128" s="115"/>
      <c r="F2128" s="116"/>
      <c r="G2128" s="113"/>
      <c r="H2128" s="117"/>
      <c r="I2128" s="111"/>
      <c r="J2128" s="118"/>
      <c r="K2128" s="81"/>
    </row>
    <row r="2129" ht="13.5" customHeight="1">
      <c r="A2129" s="111"/>
      <c r="B2129" s="111"/>
      <c r="C2129" s="111"/>
      <c r="D2129" s="111"/>
      <c r="E2129" s="115"/>
      <c r="F2129" s="116"/>
      <c r="G2129" s="113"/>
      <c r="H2129" s="117"/>
      <c r="I2129" s="111"/>
      <c r="J2129" s="118"/>
      <c r="K2129" s="81"/>
    </row>
    <row r="2130" ht="13.5" customHeight="1">
      <c r="A2130" s="111"/>
      <c r="B2130" s="111"/>
      <c r="C2130" s="111"/>
      <c r="D2130" s="111"/>
      <c r="E2130" s="115"/>
      <c r="F2130" s="116"/>
      <c r="G2130" s="113"/>
      <c r="H2130" s="117"/>
      <c r="I2130" s="111"/>
      <c r="J2130" s="118"/>
      <c r="K2130" s="81"/>
    </row>
    <row r="2131" ht="13.5" customHeight="1">
      <c r="A2131" s="111"/>
      <c r="B2131" s="111"/>
      <c r="C2131" s="111"/>
      <c r="D2131" s="111"/>
      <c r="E2131" s="115"/>
      <c r="F2131" s="116"/>
      <c r="G2131" s="113"/>
      <c r="H2131" s="117"/>
      <c r="I2131" s="111"/>
      <c r="J2131" s="118"/>
      <c r="K2131" s="81"/>
    </row>
    <row r="2132" ht="13.5" customHeight="1">
      <c r="A2132" s="111"/>
      <c r="B2132" s="111"/>
      <c r="C2132" s="111"/>
      <c r="D2132" s="111"/>
      <c r="E2132" s="115"/>
      <c r="F2132" s="116"/>
      <c r="G2132" s="113"/>
      <c r="H2132" s="117"/>
      <c r="I2132" s="111"/>
      <c r="J2132" s="118"/>
      <c r="K2132" s="81"/>
    </row>
    <row r="2133" ht="13.5" customHeight="1">
      <c r="A2133" s="111"/>
      <c r="B2133" s="111"/>
      <c r="C2133" s="111"/>
      <c r="D2133" s="111"/>
      <c r="E2133" s="115"/>
      <c r="F2133" s="116"/>
      <c r="G2133" s="113"/>
      <c r="H2133" s="117"/>
      <c r="I2133" s="111"/>
      <c r="J2133" s="118"/>
      <c r="K2133" s="81"/>
    </row>
    <row r="2134" ht="13.5" customHeight="1">
      <c r="A2134" s="111"/>
      <c r="B2134" s="111"/>
      <c r="C2134" s="111"/>
      <c r="D2134" s="111"/>
      <c r="E2134" s="115"/>
      <c r="F2134" s="116"/>
      <c r="G2134" s="113"/>
      <c r="H2134" s="117"/>
      <c r="I2134" s="111"/>
      <c r="J2134" s="118"/>
      <c r="K2134" s="81"/>
    </row>
    <row r="2135" ht="13.5" customHeight="1">
      <c r="A2135" s="111"/>
      <c r="B2135" s="111"/>
      <c r="C2135" s="111"/>
      <c r="D2135" s="111"/>
      <c r="E2135" s="115"/>
      <c r="F2135" s="116"/>
      <c r="G2135" s="113"/>
      <c r="H2135" s="117"/>
      <c r="I2135" s="111"/>
      <c r="J2135" s="118"/>
      <c r="K2135" s="81"/>
    </row>
    <row r="2136" ht="13.5" customHeight="1">
      <c r="A2136" s="111"/>
      <c r="B2136" s="111"/>
      <c r="C2136" s="111"/>
      <c r="D2136" s="111"/>
      <c r="E2136" s="115"/>
      <c r="F2136" s="116"/>
      <c r="G2136" s="113"/>
      <c r="H2136" s="117"/>
      <c r="I2136" s="111"/>
      <c r="J2136" s="118"/>
      <c r="K2136" s="81"/>
    </row>
    <row r="2137" ht="13.5" customHeight="1">
      <c r="A2137" s="111"/>
      <c r="B2137" s="111"/>
      <c r="C2137" s="111"/>
      <c r="D2137" s="111"/>
      <c r="E2137" s="115"/>
      <c r="F2137" s="116"/>
      <c r="G2137" s="113"/>
      <c r="H2137" s="117"/>
      <c r="I2137" s="111"/>
      <c r="J2137" s="118"/>
      <c r="K2137" s="81"/>
    </row>
    <row r="2138" ht="13.5" customHeight="1">
      <c r="A2138" s="111"/>
      <c r="B2138" s="111"/>
      <c r="C2138" s="111"/>
      <c r="D2138" s="111"/>
      <c r="E2138" s="115"/>
      <c r="F2138" s="116"/>
      <c r="G2138" s="113"/>
      <c r="H2138" s="117"/>
      <c r="I2138" s="111"/>
      <c r="J2138" s="118"/>
      <c r="K2138" s="81"/>
    </row>
    <row r="2139" ht="13.5" customHeight="1">
      <c r="A2139" s="111"/>
      <c r="B2139" s="111"/>
      <c r="C2139" s="111"/>
      <c r="D2139" s="111"/>
      <c r="E2139" s="115"/>
      <c r="F2139" s="116"/>
      <c r="G2139" s="113"/>
      <c r="H2139" s="117"/>
      <c r="I2139" s="111"/>
      <c r="J2139" s="118"/>
      <c r="K2139" s="81"/>
    </row>
    <row r="2140" ht="13.5" customHeight="1">
      <c r="A2140" s="111"/>
      <c r="B2140" s="111"/>
      <c r="C2140" s="111"/>
      <c r="D2140" s="111"/>
      <c r="E2140" s="115"/>
      <c r="F2140" s="116"/>
      <c r="G2140" s="113"/>
      <c r="H2140" s="117"/>
      <c r="I2140" s="111"/>
      <c r="J2140" s="118"/>
      <c r="K2140" s="81"/>
    </row>
    <row r="2141" ht="13.5" customHeight="1">
      <c r="A2141" s="111"/>
      <c r="B2141" s="111"/>
      <c r="C2141" s="111"/>
      <c r="D2141" s="111"/>
      <c r="E2141" s="115"/>
      <c r="F2141" s="116"/>
      <c r="G2141" s="113"/>
      <c r="H2141" s="117"/>
      <c r="I2141" s="111"/>
      <c r="J2141" s="118"/>
      <c r="K2141" s="81"/>
    </row>
    <row r="2142" ht="13.5" customHeight="1">
      <c r="A2142" s="111"/>
      <c r="B2142" s="111"/>
      <c r="C2142" s="111"/>
      <c r="D2142" s="111"/>
      <c r="E2142" s="115"/>
      <c r="F2142" s="116"/>
      <c r="G2142" s="113"/>
      <c r="H2142" s="117"/>
      <c r="I2142" s="111"/>
      <c r="J2142" s="118"/>
      <c r="K2142" s="81"/>
    </row>
    <row r="2143" ht="13.5" customHeight="1">
      <c r="A2143" s="111"/>
      <c r="B2143" s="111"/>
      <c r="C2143" s="111"/>
      <c r="D2143" s="111"/>
      <c r="E2143" s="115"/>
      <c r="F2143" s="116"/>
      <c r="G2143" s="113"/>
      <c r="H2143" s="117"/>
      <c r="I2143" s="111"/>
      <c r="J2143" s="118"/>
      <c r="K2143" s="81"/>
    </row>
    <row r="2144" ht="13.5" customHeight="1">
      <c r="A2144" s="111"/>
      <c r="B2144" s="111"/>
      <c r="C2144" s="111"/>
      <c r="D2144" s="111"/>
      <c r="E2144" s="115"/>
      <c r="F2144" s="116"/>
      <c r="G2144" s="113"/>
      <c r="H2144" s="117"/>
      <c r="I2144" s="111"/>
      <c r="J2144" s="118"/>
      <c r="K2144" s="81"/>
    </row>
    <row r="2145" ht="13.5" customHeight="1">
      <c r="A2145" s="111"/>
      <c r="B2145" s="111"/>
      <c r="C2145" s="111"/>
      <c r="D2145" s="111"/>
      <c r="E2145" s="115"/>
      <c r="F2145" s="116"/>
      <c r="G2145" s="113"/>
      <c r="H2145" s="117"/>
      <c r="I2145" s="111"/>
      <c r="J2145" s="118"/>
      <c r="K2145" s="81"/>
    </row>
    <row r="2146" ht="13.5" customHeight="1">
      <c r="A2146" s="111"/>
      <c r="B2146" s="111"/>
      <c r="C2146" s="111"/>
      <c r="D2146" s="111"/>
      <c r="E2146" s="115"/>
      <c r="F2146" s="116"/>
      <c r="G2146" s="113"/>
      <c r="H2146" s="117"/>
      <c r="I2146" s="111"/>
      <c r="J2146" s="118"/>
      <c r="K2146" s="81"/>
    </row>
    <row r="2147" ht="13.5" customHeight="1">
      <c r="A2147" s="111"/>
      <c r="B2147" s="111"/>
      <c r="C2147" s="111"/>
      <c r="D2147" s="111"/>
      <c r="E2147" s="115"/>
      <c r="F2147" s="116"/>
      <c r="G2147" s="113"/>
      <c r="H2147" s="117"/>
      <c r="I2147" s="111"/>
      <c r="J2147" s="118"/>
      <c r="K2147" s="81"/>
    </row>
    <row r="2148" ht="13.5" customHeight="1">
      <c r="A2148" s="111"/>
      <c r="B2148" s="111"/>
      <c r="C2148" s="111"/>
      <c r="D2148" s="111"/>
      <c r="E2148" s="115"/>
      <c r="F2148" s="116"/>
      <c r="G2148" s="113"/>
      <c r="H2148" s="117"/>
      <c r="I2148" s="111"/>
      <c r="J2148" s="118"/>
      <c r="K2148" s="81"/>
    </row>
    <row r="2149" ht="13.5" customHeight="1">
      <c r="A2149" s="111"/>
      <c r="B2149" s="111"/>
      <c r="C2149" s="111"/>
      <c r="D2149" s="111"/>
      <c r="E2149" s="115"/>
      <c r="F2149" s="116"/>
      <c r="G2149" s="113"/>
      <c r="H2149" s="117"/>
      <c r="I2149" s="111"/>
      <c r="J2149" s="118"/>
      <c r="K2149" s="81"/>
    </row>
    <row r="2150" ht="13.5" customHeight="1">
      <c r="A2150" s="111"/>
      <c r="B2150" s="111"/>
      <c r="C2150" s="111"/>
      <c r="D2150" s="111"/>
      <c r="E2150" s="115"/>
      <c r="F2150" s="116"/>
      <c r="G2150" s="113"/>
      <c r="H2150" s="117"/>
      <c r="I2150" s="111"/>
      <c r="J2150" s="118"/>
      <c r="K2150" s="81"/>
    </row>
    <row r="2151" ht="13.5" customHeight="1">
      <c r="A2151" s="111"/>
      <c r="B2151" s="111"/>
      <c r="C2151" s="111"/>
      <c r="D2151" s="111"/>
      <c r="E2151" s="115"/>
      <c r="F2151" s="116"/>
      <c r="G2151" s="113"/>
      <c r="H2151" s="117"/>
      <c r="I2151" s="111"/>
      <c r="J2151" s="118"/>
      <c r="K2151" s="81"/>
    </row>
    <row r="2152" ht="13.5" customHeight="1">
      <c r="A2152" s="111"/>
      <c r="B2152" s="111"/>
      <c r="C2152" s="111"/>
      <c r="D2152" s="111"/>
      <c r="E2152" s="115"/>
      <c r="F2152" s="116"/>
      <c r="G2152" s="113"/>
      <c r="H2152" s="117"/>
      <c r="I2152" s="111"/>
      <c r="J2152" s="118"/>
      <c r="K2152" s="81"/>
    </row>
    <row r="2153" ht="13.5" customHeight="1">
      <c r="A2153" s="111"/>
      <c r="B2153" s="111"/>
      <c r="C2153" s="111"/>
      <c r="D2153" s="111"/>
      <c r="E2153" s="115"/>
      <c r="F2153" s="116"/>
      <c r="G2153" s="113"/>
      <c r="H2153" s="117"/>
      <c r="I2153" s="111"/>
      <c r="J2153" s="118"/>
      <c r="K2153" s="81"/>
    </row>
    <row r="2154" ht="13.5" customHeight="1">
      <c r="A2154" s="111"/>
      <c r="B2154" s="111"/>
      <c r="C2154" s="111"/>
      <c r="D2154" s="111"/>
      <c r="E2154" s="115"/>
      <c r="F2154" s="116"/>
      <c r="G2154" s="113"/>
      <c r="H2154" s="117"/>
      <c r="I2154" s="111"/>
      <c r="J2154" s="118"/>
      <c r="K2154" s="81"/>
    </row>
    <row r="2155" ht="13.5" customHeight="1">
      <c r="A2155" s="111"/>
      <c r="B2155" s="111"/>
      <c r="C2155" s="111"/>
      <c r="D2155" s="111"/>
      <c r="E2155" s="115"/>
      <c r="F2155" s="116"/>
      <c r="G2155" s="113"/>
      <c r="H2155" s="117"/>
      <c r="I2155" s="111"/>
      <c r="J2155" s="118"/>
      <c r="K2155" s="81"/>
    </row>
    <row r="2156" ht="13.5" customHeight="1">
      <c r="A2156" s="111"/>
      <c r="B2156" s="111"/>
      <c r="C2156" s="111"/>
      <c r="D2156" s="111"/>
      <c r="E2156" s="115"/>
      <c r="F2156" s="116"/>
      <c r="G2156" s="113"/>
      <c r="H2156" s="117"/>
      <c r="I2156" s="111"/>
      <c r="J2156" s="118"/>
      <c r="K2156" s="81"/>
    </row>
    <row r="2157" ht="13.5" customHeight="1">
      <c r="A2157" s="111"/>
      <c r="B2157" s="111"/>
      <c r="C2157" s="111"/>
      <c r="D2157" s="111"/>
      <c r="E2157" s="115"/>
      <c r="F2157" s="116"/>
      <c r="G2157" s="113"/>
      <c r="H2157" s="117"/>
      <c r="I2157" s="111"/>
      <c r="J2157" s="118"/>
      <c r="K2157" s="81"/>
    </row>
    <row r="2158" ht="13.5" customHeight="1">
      <c r="A2158" s="111"/>
      <c r="B2158" s="111"/>
      <c r="C2158" s="111"/>
      <c r="D2158" s="111"/>
      <c r="E2158" s="115"/>
      <c r="F2158" s="116"/>
      <c r="G2158" s="113"/>
      <c r="H2158" s="117"/>
      <c r="I2158" s="111"/>
      <c r="J2158" s="118"/>
      <c r="K2158" s="81"/>
    </row>
    <row r="2159" ht="13.5" customHeight="1">
      <c r="A2159" s="111"/>
      <c r="B2159" s="111"/>
      <c r="C2159" s="111"/>
      <c r="D2159" s="111"/>
      <c r="E2159" s="115"/>
      <c r="F2159" s="116"/>
      <c r="G2159" s="113"/>
      <c r="H2159" s="117"/>
      <c r="I2159" s="111"/>
      <c r="J2159" s="118"/>
      <c r="K2159" s="81"/>
    </row>
    <row r="2160" ht="13.5" customHeight="1">
      <c r="A2160" s="111"/>
      <c r="B2160" s="111"/>
      <c r="C2160" s="111"/>
      <c r="D2160" s="111"/>
      <c r="E2160" s="115"/>
      <c r="F2160" s="116"/>
      <c r="G2160" s="113"/>
      <c r="H2160" s="117"/>
      <c r="I2160" s="111"/>
      <c r="J2160" s="118"/>
      <c r="K2160" s="81"/>
    </row>
    <row r="2161" ht="13.5" customHeight="1">
      <c r="A2161" s="111"/>
      <c r="B2161" s="111"/>
      <c r="C2161" s="111"/>
      <c r="D2161" s="111"/>
      <c r="E2161" s="115"/>
      <c r="F2161" s="116"/>
      <c r="G2161" s="113"/>
      <c r="H2161" s="117"/>
      <c r="I2161" s="111"/>
      <c r="J2161" s="118"/>
      <c r="K2161" s="81"/>
    </row>
    <row r="2162" ht="13.5" customHeight="1">
      <c r="A2162" s="111"/>
      <c r="B2162" s="111"/>
      <c r="C2162" s="111"/>
      <c r="D2162" s="111"/>
      <c r="E2162" s="115"/>
      <c r="F2162" s="116"/>
      <c r="G2162" s="113"/>
      <c r="H2162" s="117"/>
      <c r="I2162" s="111"/>
      <c r="J2162" s="118"/>
      <c r="K2162" s="81"/>
    </row>
    <row r="2163" ht="13.5" customHeight="1">
      <c r="A2163" s="111"/>
      <c r="B2163" s="111"/>
      <c r="C2163" s="111"/>
      <c r="D2163" s="111"/>
      <c r="E2163" s="115"/>
      <c r="F2163" s="116"/>
      <c r="G2163" s="113"/>
      <c r="H2163" s="117"/>
      <c r="I2163" s="111"/>
      <c r="J2163" s="118"/>
      <c r="K2163" s="81"/>
    </row>
    <row r="2164" ht="13.5" customHeight="1">
      <c r="A2164" s="111"/>
      <c r="B2164" s="111"/>
      <c r="C2164" s="111"/>
      <c r="D2164" s="111"/>
      <c r="E2164" s="115"/>
      <c r="F2164" s="116"/>
      <c r="G2164" s="113"/>
      <c r="H2164" s="117"/>
      <c r="I2164" s="111"/>
      <c r="J2164" s="118"/>
      <c r="K2164" s="81"/>
    </row>
    <row r="2165" ht="13.5" customHeight="1">
      <c r="A2165" s="111"/>
      <c r="B2165" s="111"/>
      <c r="C2165" s="111"/>
      <c r="D2165" s="111"/>
      <c r="E2165" s="115"/>
      <c r="F2165" s="116"/>
      <c r="G2165" s="113"/>
      <c r="H2165" s="117"/>
      <c r="I2165" s="111"/>
      <c r="J2165" s="118"/>
      <c r="K2165" s="81"/>
    </row>
    <row r="2166" ht="13.5" customHeight="1">
      <c r="A2166" s="111"/>
      <c r="B2166" s="111"/>
      <c r="C2166" s="111"/>
      <c r="D2166" s="111"/>
      <c r="E2166" s="115"/>
      <c r="F2166" s="116"/>
      <c r="G2166" s="113"/>
      <c r="H2166" s="117"/>
      <c r="I2166" s="111"/>
      <c r="J2166" s="118"/>
      <c r="K2166" s="81"/>
    </row>
    <row r="2167" ht="13.5" customHeight="1">
      <c r="A2167" s="111"/>
      <c r="B2167" s="111"/>
      <c r="C2167" s="111"/>
      <c r="D2167" s="111"/>
      <c r="E2167" s="115"/>
      <c r="F2167" s="116"/>
      <c r="G2167" s="113"/>
      <c r="H2167" s="117"/>
      <c r="I2167" s="111"/>
      <c r="J2167" s="118"/>
      <c r="K2167" s="81"/>
    </row>
    <row r="2168" ht="13.5" customHeight="1">
      <c r="A2168" s="111"/>
      <c r="B2168" s="111"/>
      <c r="C2168" s="111"/>
      <c r="D2168" s="111"/>
      <c r="E2168" s="115"/>
      <c r="F2168" s="116"/>
      <c r="G2168" s="113"/>
      <c r="H2168" s="117"/>
      <c r="I2168" s="111"/>
      <c r="J2168" s="118"/>
      <c r="K2168" s="81"/>
    </row>
    <row r="2169" ht="13.5" customHeight="1">
      <c r="A2169" s="111"/>
      <c r="B2169" s="111"/>
      <c r="C2169" s="111"/>
      <c r="D2169" s="111"/>
      <c r="E2169" s="115"/>
      <c r="F2169" s="116"/>
      <c r="G2169" s="113"/>
      <c r="H2169" s="117"/>
      <c r="I2169" s="111"/>
      <c r="J2169" s="118"/>
      <c r="K2169" s="81"/>
    </row>
    <row r="2170" ht="13.5" customHeight="1">
      <c r="A2170" s="111"/>
      <c r="B2170" s="111"/>
      <c r="C2170" s="111"/>
      <c r="D2170" s="111"/>
      <c r="E2170" s="115"/>
      <c r="F2170" s="116"/>
      <c r="G2170" s="113"/>
      <c r="H2170" s="117"/>
      <c r="I2170" s="111"/>
      <c r="J2170" s="118"/>
      <c r="K2170" s="81"/>
    </row>
    <row r="2171" ht="13.5" customHeight="1">
      <c r="A2171" s="111"/>
      <c r="B2171" s="111"/>
      <c r="C2171" s="111"/>
      <c r="D2171" s="111"/>
      <c r="E2171" s="115"/>
      <c r="F2171" s="116"/>
      <c r="G2171" s="113"/>
      <c r="H2171" s="117"/>
      <c r="I2171" s="111"/>
      <c r="J2171" s="118"/>
      <c r="K2171" s="81"/>
    </row>
    <row r="2172" ht="13.5" customHeight="1">
      <c r="A2172" s="111"/>
      <c r="B2172" s="111"/>
      <c r="C2172" s="111"/>
      <c r="D2172" s="111"/>
      <c r="E2172" s="115"/>
      <c r="F2172" s="116"/>
      <c r="G2172" s="113"/>
      <c r="H2172" s="117"/>
      <c r="I2172" s="111"/>
      <c r="J2172" s="118"/>
      <c r="K2172" s="81"/>
    </row>
    <row r="2173" ht="13.5" customHeight="1">
      <c r="A2173" s="111"/>
      <c r="B2173" s="111"/>
      <c r="C2173" s="111"/>
      <c r="D2173" s="111"/>
      <c r="E2173" s="115"/>
      <c r="F2173" s="116"/>
      <c r="G2173" s="113"/>
      <c r="H2173" s="117"/>
      <c r="I2173" s="111"/>
      <c r="J2173" s="118"/>
      <c r="K2173" s="81"/>
    </row>
    <row r="2174" ht="13.5" customHeight="1">
      <c r="A2174" s="111"/>
      <c r="B2174" s="111"/>
      <c r="C2174" s="111"/>
      <c r="D2174" s="111"/>
      <c r="E2174" s="115"/>
      <c r="F2174" s="116"/>
      <c r="G2174" s="113"/>
      <c r="H2174" s="117"/>
      <c r="I2174" s="111"/>
      <c r="J2174" s="118"/>
      <c r="K2174" s="81"/>
    </row>
    <row r="2175" ht="13.5" customHeight="1">
      <c r="A2175" s="111"/>
      <c r="B2175" s="111"/>
      <c r="C2175" s="111"/>
      <c r="D2175" s="111"/>
      <c r="E2175" s="115"/>
      <c r="F2175" s="116"/>
      <c r="G2175" s="113"/>
      <c r="H2175" s="117"/>
      <c r="I2175" s="111"/>
      <c r="J2175" s="118"/>
      <c r="K2175" s="81"/>
    </row>
    <row r="2176" ht="13.5" customHeight="1">
      <c r="A2176" s="111"/>
      <c r="B2176" s="111"/>
      <c r="C2176" s="111"/>
      <c r="D2176" s="111"/>
      <c r="E2176" s="115"/>
      <c r="F2176" s="116"/>
      <c r="G2176" s="113"/>
      <c r="H2176" s="117"/>
      <c r="I2176" s="111"/>
      <c r="J2176" s="118"/>
      <c r="K2176" s="81"/>
    </row>
    <row r="2177" ht="13.5" customHeight="1">
      <c r="A2177" s="111"/>
      <c r="B2177" s="111"/>
      <c r="C2177" s="111"/>
      <c r="D2177" s="111"/>
      <c r="E2177" s="115"/>
      <c r="F2177" s="116"/>
      <c r="G2177" s="113"/>
      <c r="H2177" s="117"/>
      <c r="I2177" s="111"/>
      <c r="J2177" s="118"/>
      <c r="K2177" s="81"/>
    </row>
    <row r="2178" ht="13.5" customHeight="1">
      <c r="A2178" s="111"/>
      <c r="B2178" s="111"/>
      <c r="C2178" s="111"/>
      <c r="D2178" s="111"/>
      <c r="E2178" s="115"/>
      <c r="F2178" s="116"/>
      <c r="G2178" s="113"/>
      <c r="H2178" s="117"/>
      <c r="I2178" s="111"/>
      <c r="J2178" s="118"/>
      <c r="K2178" s="81"/>
    </row>
    <row r="2179" ht="13.5" customHeight="1">
      <c r="A2179" s="111"/>
      <c r="B2179" s="111"/>
      <c r="C2179" s="111"/>
      <c r="D2179" s="111"/>
      <c r="E2179" s="115"/>
      <c r="F2179" s="116"/>
      <c r="G2179" s="113"/>
      <c r="H2179" s="117"/>
      <c r="I2179" s="111"/>
      <c r="J2179" s="118"/>
      <c r="K2179" s="81"/>
    </row>
    <row r="2180" ht="13.5" customHeight="1">
      <c r="A2180" s="111"/>
      <c r="B2180" s="111"/>
      <c r="C2180" s="111"/>
      <c r="D2180" s="111"/>
      <c r="E2180" s="115"/>
      <c r="F2180" s="116"/>
      <c r="G2180" s="113"/>
      <c r="H2180" s="117"/>
      <c r="I2180" s="111"/>
      <c r="J2180" s="118"/>
      <c r="K2180" s="81"/>
    </row>
    <row r="2181" ht="13.5" customHeight="1">
      <c r="A2181" s="111"/>
      <c r="B2181" s="111"/>
      <c r="C2181" s="111"/>
      <c r="D2181" s="111"/>
      <c r="E2181" s="115"/>
      <c r="F2181" s="116"/>
      <c r="G2181" s="113"/>
      <c r="H2181" s="117"/>
      <c r="I2181" s="111"/>
      <c r="J2181" s="118"/>
      <c r="K2181" s="81"/>
    </row>
    <row r="2182" ht="13.5" customHeight="1">
      <c r="A2182" s="111"/>
      <c r="B2182" s="111"/>
      <c r="C2182" s="111"/>
      <c r="D2182" s="111"/>
      <c r="E2182" s="115"/>
      <c r="F2182" s="116"/>
      <c r="G2182" s="113"/>
      <c r="H2182" s="117"/>
      <c r="I2182" s="111"/>
      <c r="J2182" s="118"/>
      <c r="K2182" s="81"/>
    </row>
    <row r="2183" ht="13.5" customHeight="1">
      <c r="A2183" s="111"/>
      <c r="B2183" s="111"/>
      <c r="C2183" s="111"/>
      <c r="D2183" s="111"/>
      <c r="E2183" s="115"/>
      <c r="F2183" s="116"/>
      <c r="G2183" s="113"/>
      <c r="H2183" s="117"/>
      <c r="I2183" s="111"/>
      <c r="J2183" s="118"/>
      <c r="K2183" s="81"/>
    </row>
    <row r="2184" ht="13.5" customHeight="1">
      <c r="A2184" s="111"/>
      <c r="B2184" s="111"/>
      <c r="C2184" s="111"/>
      <c r="D2184" s="111"/>
      <c r="E2184" s="115"/>
      <c r="F2184" s="116"/>
      <c r="G2184" s="113"/>
      <c r="H2184" s="117"/>
      <c r="I2184" s="111"/>
      <c r="J2184" s="118"/>
      <c r="K2184" s="81"/>
    </row>
    <row r="2185" ht="13.5" customHeight="1">
      <c r="A2185" s="111"/>
      <c r="B2185" s="111"/>
      <c r="C2185" s="111"/>
      <c r="D2185" s="111"/>
      <c r="E2185" s="115"/>
      <c r="F2185" s="116"/>
      <c r="G2185" s="113"/>
      <c r="H2185" s="117"/>
      <c r="I2185" s="111"/>
      <c r="J2185" s="118"/>
      <c r="K2185" s="81"/>
    </row>
    <row r="2186" ht="13.5" customHeight="1">
      <c r="A2186" s="111"/>
      <c r="B2186" s="111"/>
      <c r="C2186" s="111"/>
      <c r="D2186" s="111"/>
      <c r="E2186" s="115"/>
      <c r="F2186" s="116"/>
      <c r="G2186" s="113"/>
      <c r="H2186" s="117"/>
      <c r="I2186" s="111"/>
      <c r="J2186" s="118"/>
      <c r="K2186" s="81"/>
    </row>
    <row r="2187" ht="13.5" customHeight="1">
      <c r="A2187" s="111"/>
      <c r="B2187" s="111"/>
      <c r="C2187" s="111"/>
      <c r="D2187" s="111"/>
      <c r="E2187" s="115"/>
      <c r="F2187" s="116"/>
      <c r="G2187" s="113"/>
      <c r="H2187" s="117"/>
      <c r="I2187" s="111"/>
      <c r="J2187" s="118"/>
      <c r="K2187" s="81"/>
    </row>
    <row r="2188" ht="13.5" customHeight="1">
      <c r="A2188" s="111"/>
      <c r="B2188" s="111"/>
      <c r="C2188" s="111"/>
      <c r="D2188" s="111"/>
      <c r="E2188" s="115"/>
      <c r="F2188" s="116"/>
      <c r="G2188" s="113"/>
      <c r="H2188" s="117"/>
      <c r="I2188" s="111"/>
      <c r="J2188" s="118"/>
      <c r="K2188" s="81"/>
    </row>
    <row r="2189" ht="13.5" customHeight="1">
      <c r="A2189" s="111"/>
      <c r="B2189" s="111"/>
      <c r="C2189" s="111"/>
      <c r="D2189" s="111"/>
      <c r="E2189" s="115"/>
      <c r="F2189" s="116"/>
      <c r="G2189" s="113"/>
      <c r="H2189" s="117"/>
      <c r="I2189" s="111"/>
      <c r="J2189" s="118"/>
      <c r="K2189" s="81"/>
    </row>
    <row r="2190" ht="13.5" customHeight="1">
      <c r="A2190" s="111"/>
      <c r="B2190" s="111"/>
      <c r="C2190" s="111"/>
      <c r="D2190" s="111"/>
      <c r="E2190" s="115"/>
      <c r="F2190" s="116"/>
      <c r="G2190" s="113"/>
      <c r="H2190" s="117"/>
      <c r="I2190" s="111"/>
      <c r="J2190" s="118"/>
      <c r="K2190" s="81"/>
    </row>
    <row r="2191" ht="13.5" customHeight="1">
      <c r="A2191" s="111"/>
      <c r="B2191" s="111"/>
      <c r="C2191" s="111"/>
      <c r="D2191" s="111"/>
      <c r="E2191" s="115"/>
      <c r="F2191" s="116"/>
      <c r="G2191" s="113"/>
      <c r="H2191" s="117"/>
      <c r="I2191" s="111"/>
      <c r="J2191" s="118"/>
      <c r="K2191" s="81"/>
    </row>
    <row r="2192" ht="13.5" customHeight="1">
      <c r="A2192" s="111"/>
      <c r="B2192" s="111"/>
      <c r="C2192" s="111"/>
      <c r="D2192" s="111"/>
      <c r="E2192" s="115"/>
      <c r="F2192" s="116"/>
      <c r="G2192" s="113"/>
      <c r="H2192" s="117"/>
      <c r="I2192" s="111"/>
      <c r="J2192" s="118"/>
      <c r="K2192" s="81"/>
    </row>
    <row r="2193" ht="13.5" customHeight="1">
      <c r="A2193" s="111"/>
      <c r="B2193" s="111"/>
      <c r="C2193" s="111"/>
      <c r="D2193" s="111"/>
      <c r="E2193" s="115"/>
      <c r="F2193" s="116"/>
      <c r="G2193" s="113"/>
      <c r="H2193" s="117"/>
      <c r="I2193" s="111"/>
      <c r="J2193" s="118"/>
      <c r="K2193" s="81"/>
    </row>
    <row r="2194" ht="13.5" customHeight="1">
      <c r="A2194" s="111"/>
      <c r="B2194" s="111"/>
      <c r="C2194" s="111"/>
      <c r="D2194" s="111"/>
      <c r="E2194" s="115"/>
      <c r="F2194" s="116"/>
      <c r="G2194" s="113"/>
      <c r="H2194" s="117"/>
      <c r="I2194" s="111"/>
      <c r="J2194" s="118"/>
      <c r="K2194" s="81"/>
    </row>
    <row r="2195" ht="13.5" customHeight="1">
      <c r="A2195" s="111"/>
      <c r="B2195" s="111"/>
      <c r="C2195" s="111"/>
      <c r="D2195" s="111"/>
      <c r="E2195" s="115"/>
      <c r="F2195" s="116"/>
      <c r="G2195" s="113"/>
      <c r="H2195" s="117"/>
      <c r="I2195" s="111"/>
      <c r="J2195" s="118"/>
      <c r="K2195" s="81"/>
    </row>
    <row r="2196" ht="13.5" customHeight="1">
      <c r="A2196" s="111"/>
      <c r="B2196" s="111"/>
      <c r="C2196" s="111"/>
      <c r="D2196" s="111"/>
      <c r="E2196" s="115"/>
      <c r="F2196" s="116"/>
      <c r="G2196" s="113"/>
      <c r="H2196" s="117"/>
      <c r="I2196" s="111"/>
      <c r="J2196" s="118"/>
      <c r="K2196" s="81"/>
    </row>
    <row r="2197" ht="13.5" customHeight="1">
      <c r="A2197" s="111"/>
      <c r="B2197" s="111"/>
      <c r="C2197" s="111"/>
      <c r="D2197" s="111"/>
      <c r="E2197" s="115"/>
      <c r="F2197" s="116"/>
      <c r="G2197" s="113"/>
      <c r="H2197" s="117"/>
      <c r="I2197" s="111"/>
      <c r="J2197" s="118"/>
      <c r="K2197" s="81"/>
    </row>
    <row r="2198" ht="13.5" customHeight="1">
      <c r="A2198" s="111"/>
      <c r="B2198" s="111"/>
      <c r="C2198" s="111"/>
      <c r="D2198" s="111"/>
      <c r="E2198" s="115"/>
      <c r="F2198" s="116"/>
      <c r="G2198" s="113"/>
      <c r="H2198" s="117"/>
      <c r="I2198" s="111"/>
      <c r="J2198" s="118"/>
      <c r="K2198" s="81"/>
    </row>
    <row r="2199" ht="13.5" customHeight="1">
      <c r="A2199" s="111"/>
      <c r="B2199" s="111"/>
      <c r="C2199" s="111"/>
      <c r="D2199" s="111"/>
      <c r="E2199" s="115"/>
      <c r="F2199" s="116"/>
      <c r="G2199" s="113"/>
      <c r="H2199" s="117"/>
      <c r="I2199" s="111"/>
      <c r="J2199" s="118"/>
      <c r="K2199" s="81"/>
    </row>
    <row r="2200" ht="13.5" customHeight="1">
      <c r="A2200" s="111"/>
      <c r="B2200" s="111"/>
      <c r="C2200" s="111"/>
      <c r="D2200" s="111"/>
      <c r="E2200" s="115"/>
      <c r="F2200" s="116"/>
      <c r="G2200" s="113"/>
      <c r="H2200" s="117"/>
      <c r="I2200" s="111"/>
      <c r="J2200" s="118"/>
      <c r="K2200" s="81"/>
    </row>
    <row r="2201" ht="13.5" customHeight="1">
      <c r="A2201" s="111"/>
      <c r="B2201" s="111"/>
      <c r="C2201" s="111"/>
      <c r="D2201" s="111"/>
      <c r="E2201" s="115"/>
      <c r="F2201" s="116"/>
      <c r="G2201" s="113"/>
      <c r="H2201" s="117"/>
      <c r="I2201" s="111"/>
      <c r="J2201" s="118"/>
      <c r="K2201" s="81"/>
    </row>
    <row r="2202" ht="13.5" customHeight="1">
      <c r="A2202" s="111"/>
      <c r="B2202" s="111"/>
      <c r="C2202" s="111"/>
      <c r="D2202" s="111"/>
      <c r="E2202" s="115"/>
      <c r="F2202" s="116"/>
      <c r="G2202" s="113"/>
      <c r="H2202" s="117"/>
      <c r="I2202" s="111"/>
      <c r="J2202" s="118"/>
      <c r="K2202" s="81"/>
    </row>
    <row r="2203" ht="13.5" customHeight="1">
      <c r="A2203" s="111"/>
      <c r="B2203" s="111"/>
      <c r="C2203" s="111"/>
      <c r="D2203" s="111"/>
      <c r="E2203" s="115"/>
      <c r="F2203" s="116"/>
      <c r="G2203" s="113"/>
      <c r="H2203" s="117"/>
      <c r="I2203" s="111"/>
      <c r="J2203" s="118"/>
      <c r="K2203" s="81"/>
    </row>
    <row r="2204" ht="13.5" customHeight="1">
      <c r="A2204" s="111"/>
      <c r="B2204" s="111"/>
      <c r="C2204" s="111"/>
      <c r="D2204" s="111"/>
      <c r="E2204" s="115"/>
      <c r="F2204" s="116"/>
      <c r="G2204" s="113"/>
      <c r="H2204" s="117"/>
      <c r="I2204" s="111"/>
      <c r="J2204" s="118"/>
      <c r="K2204" s="81"/>
    </row>
    <row r="2205" ht="13.5" customHeight="1">
      <c r="A2205" s="111"/>
      <c r="B2205" s="111"/>
      <c r="C2205" s="111"/>
      <c r="D2205" s="111"/>
      <c r="E2205" s="115"/>
      <c r="F2205" s="116"/>
      <c r="G2205" s="113"/>
      <c r="H2205" s="117"/>
      <c r="I2205" s="111"/>
      <c r="J2205" s="118"/>
      <c r="K2205" s="81"/>
    </row>
    <row r="2206" ht="13.5" customHeight="1">
      <c r="A2206" s="111"/>
      <c r="B2206" s="111"/>
      <c r="C2206" s="111"/>
      <c r="D2206" s="111"/>
      <c r="E2206" s="115"/>
      <c r="F2206" s="116"/>
      <c r="G2206" s="113"/>
      <c r="H2206" s="117"/>
      <c r="I2206" s="111"/>
      <c r="J2206" s="118"/>
      <c r="K2206" s="81"/>
    </row>
    <row r="2207" ht="13.5" customHeight="1">
      <c r="A2207" s="111"/>
      <c r="B2207" s="111"/>
      <c r="C2207" s="111"/>
      <c r="D2207" s="111"/>
      <c r="E2207" s="115"/>
      <c r="F2207" s="116"/>
      <c r="G2207" s="113"/>
      <c r="H2207" s="117"/>
      <c r="I2207" s="111"/>
      <c r="J2207" s="118"/>
      <c r="K2207" s="81"/>
    </row>
    <row r="2208" ht="13.5" customHeight="1">
      <c r="A2208" s="111"/>
      <c r="B2208" s="111"/>
      <c r="C2208" s="111"/>
      <c r="D2208" s="111"/>
      <c r="E2208" s="115"/>
      <c r="F2208" s="116"/>
      <c r="G2208" s="113"/>
      <c r="H2208" s="117"/>
      <c r="I2208" s="111"/>
      <c r="J2208" s="118"/>
      <c r="K2208" s="81"/>
    </row>
    <row r="2209" ht="13.5" customHeight="1">
      <c r="A2209" s="111"/>
      <c r="B2209" s="111"/>
      <c r="C2209" s="111"/>
      <c r="D2209" s="111"/>
      <c r="E2209" s="115"/>
      <c r="F2209" s="116"/>
      <c r="G2209" s="113"/>
      <c r="H2209" s="117"/>
      <c r="I2209" s="111"/>
      <c r="J2209" s="118"/>
      <c r="K2209" s="81"/>
    </row>
    <row r="2210" ht="13.5" customHeight="1">
      <c r="A2210" s="111"/>
      <c r="B2210" s="111"/>
      <c r="C2210" s="111"/>
      <c r="D2210" s="111"/>
      <c r="E2210" s="115"/>
      <c r="F2210" s="116"/>
      <c r="G2210" s="113"/>
      <c r="H2210" s="117"/>
      <c r="I2210" s="111"/>
      <c r="J2210" s="118"/>
      <c r="K2210" s="81"/>
    </row>
    <row r="2211" ht="13.5" customHeight="1">
      <c r="A2211" s="111"/>
      <c r="B2211" s="111"/>
      <c r="C2211" s="111"/>
      <c r="D2211" s="111"/>
      <c r="E2211" s="115"/>
      <c r="F2211" s="116"/>
      <c r="G2211" s="113"/>
      <c r="H2211" s="117"/>
      <c r="I2211" s="111"/>
      <c r="J2211" s="118"/>
      <c r="K2211" s="81"/>
    </row>
    <row r="2212" ht="13.5" customHeight="1">
      <c r="A2212" s="111"/>
      <c r="B2212" s="111"/>
      <c r="C2212" s="111"/>
      <c r="D2212" s="111"/>
      <c r="E2212" s="115"/>
      <c r="F2212" s="116"/>
      <c r="G2212" s="113"/>
      <c r="H2212" s="117"/>
      <c r="I2212" s="111"/>
      <c r="J2212" s="118"/>
      <c r="K2212" s="81"/>
    </row>
    <row r="2213" ht="13.5" customHeight="1">
      <c r="A2213" s="111"/>
      <c r="B2213" s="111"/>
      <c r="C2213" s="111"/>
      <c r="D2213" s="111"/>
      <c r="E2213" s="115"/>
      <c r="F2213" s="116"/>
      <c r="G2213" s="113"/>
      <c r="H2213" s="117"/>
      <c r="I2213" s="111"/>
      <c r="J2213" s="118"/>
      <c r="K2213" s="81"/>
    </row>
    <row r="2214" ht="13.5" customHeight="1">
      <c r="A2214" s="111"/>
      <c r="B2214" s="111"/>
      <c r="C2214" s="111"/>
      <c r="D2214" s="111"/>
      <c r="E2214" s="115"/>
      <c r="F2214" s="116"/>
      <c r="G2214" s="113"/>
      <c r="H2214" s="117"/>
      <c r="I2214" s="111"/>
      <c r="J2214" s="118"/>
      <c r="K2214" s="81"/>
    </row>
    <row r="2215" ht="13.5" customHeight="1">
      <c r="A2215" s="111"/>
      <c r="B2215" s="111"/>
      <c r="C2215" s="111"/>
      <c r="D2215" s="111"/>
      <c r="E2215" s="115"/>
      <c r="F2215" s="116"/>
      <c r="G2215" s="113"/>
      <c r="H2215" s="117"/>
      <c r="I2215" s="111"/>
      <c r="J2215" s="118"/>
      <c r="K2215" s="81"/>
    </row>
    <row r="2216" ht="13.5" customHeight="1">
      <c r="A2216" s="111"/>
      <c r="B2216" s="111"/>
      <c r="C2216" s="111"/>
      <c r="D2216" s="111"/>
      <c r="E2216" s="115"/>
      <c r="F2216" s="116"/>
      <c r="G2216" s="113"/>
      <c r="H2216" s="117"/>
      <c r="I2216" s="111"/>
      <c r="J2216" s="118"/>
      <c r="K2216" s="81"/>
    </row>
    <row r="2217" ht="13.5" customHeight="1">
      <c r="A2217" s="111"/>
      <c r="B2217" s="111"/>
      <c r="C2217" s="111"/>
      <c r="D2217" s="111"/>
      <c r="E2217" s="115"/>
      <c r="F2217" s="116"/>
      <c r="G2217" s="113"/>
      <c r="H2217" s="117"/>
      <c r="I2217" s="111"/>
      <c r="J2217" s="118"/>
      <c r="K2217" s="81"/>
    </row>
    <row r="2218" ht="13.5" customHeight="1">
      <c r="A2218" s="111"/>
      <c r="B2218" s="111"/>
      <c r="C2218" s="111"/>
      <c r="D2218" s="111"/>
      <c r="E2218" s="115"/>
      <c r="F2218" s="116"/>
      <c r="G2218" s="113"/>
      <c r="H2218" s="117"/>
      <c r="I2218" s="111"/>
      <c r="J2218" s="118"/>
      <c r="K2218" s="81"/>
    </row>
    <row r="2219" ht="13.5" customHeight="1">
      <c r="A2219" s="111"/>
      <c r="B2219" s="111"/>
      <c r="C2219" s="111"/>
      <c r="D2219" s="111"/>
      <c r="E2219" s="115"/>
      <c r="F2219" s="116"/>
      <c r="G2219" s="113"/>
      <c r="H2219" s="117"/>
      <c r="I2219" s="111"/>
      <c r="J2219" s="118"/>
      <c r="K2219" s="81"/>
    </row>
    <row r="2220" ht="13.5" customHeight="1">
      <c r="A2220" s="111"/>
      <c r="B2220" s="111"/>
      <c r="C2220" s="111"/>
      <c r="D2220" s="111"/>
      <c r="E2220" s="115"/>
      <c r="F2220" s="116"/>
      <c r="G2220" s="113"/>
      <c r="H2220" s="117"/>
      <c r="I2220" s="111"/>
      <c r="J2220" s="118"/>
      <c r="K2220" s="81"/>
    </row>
    <row r="2221" ht="13.5" customHeight="1">
      <c r="A2221" s="111"/>
      <c r="B2221" s="111"/>
      <c r="C2221" s="111"/>
      <c r="D2221" s="111"/>
      <c r="E2221" s="115"/>
      <c r="F2221" s="116"/>
      <c r="G2221" s="113"/>
      <c r="H2221" s="117"/>
      <c r="I2221" s="111"/>
      <c r="J2221" s="118"/>
      <c r="K2221" s="81"/>
    </row>
    <row r="2222" ht="13.5" customHeight="1">
      <c r="A2222" s="111"/>
      <c r="B2222" s="111"/>
      <c r="C2222" s="111"/>
      <c r="D2222" s="111"/>
      <c r="E2222" s="115"/>
      <c r="F2222" s="116"/>
      <c r="G2222" s="113"/>
      <c r="H2222" s="117"/>
      <c r="I2222" s="111"/>
      <c r="J2222" s="118"/>
      <c r="K2222" s="81"/>
    </row>
    <row r="2223" ht="13.5" customHeight="1">
      <c r="A2223" s="111"/>
      <c r="B2223" s="111"/>
      <c r="C2223" s="111"/>
      <c r="D2223" s="111"/>
      <c r="E2223" s="115"/>
      <c r="F2223" s="116"/>
      <c r="G2223" s="113"/>
      <c r="H2223" s="117"/>
      <c r="I2223" s="111"/>
      <c r="J2223" s="118"/>
      <c r="K2223" s="81"/>
    </row>
    <row r="2224" ht="13.5" customHeight="1">
      <c r="A2224" s="111"/>
      <c r="B2224" s="111"/>
      <c r="C2224" s="111"/>
      <c r="D2224" s="111"/>
      <c r="E2224" s="115"/>
      <c r="F2224" s="116"/>
      <c r="G2224" s="113"/>
      <c r="H2224" s="117"/>
      <c r="I2224" s="111"/>
      <c r="J2224" s="118"/>
      <c r="K2224" s="81"/>
    </row>
    <row r="2225" ht="13.5" customHeight="1">
      <c r="A2225" s="111"/>
      <c r="B2225" s="111"/>
      <c r="C2225" s="111"/>
      <c r="D2225" s="111"/>
      <c r="E2225" s="115"/>
      <c r="F2225" s="116"/>
      <c r="G2225" s="113"/>
      <c r="H2225" s="117"/>
      <c r="I2225" s="111"/>
      <c r="J2225" s="118"/>
      <c r="K2225" s="81"/>
    </row>
    <row r="2226" ht="13.5" customHeight="1">
      <c r="A2226" s="111"/>
      <c r="B2226" s="111"/>
      <c r="C2226" s="111"/>
      <c r="D2226" s="111"/>
      <c r="E2226" s="115"/>
      <c r="F2226" s="116"/>
      <c r="G2226" s="113"/>
      <c r="H2226" s="117"/>
      <c r="I2226" s="111"/>
      <c r="J2226" s="118"/>
      <c r="K2226" s="81"/>
    </row>
    <row r="2227" ht="13.5" customHeight="1">
      <c r="A2227" s="111"/>
      <c r="B2227" s="111"/>
      <c r="C2227" s="111"/>
      <c r="D2227" s="111"/>
      <c r="E2227" s="115"/>
      <c r="F2227" s="116"/>
      <c r="G2227" s="113"/>
      <c r="H2227" s="117"/>
      <c r="I2227" s="111"/>
      <c r="J2227" s="118"/>
      <c r="K2227" s="81"/>
    </row>
    <row r="2228" ht="13.5" customHeight="1">
      <c r="A2228" s="111"/>
      <c r="B2228" s="111"/>
      <c r="C2228" s="111"/>
      <c r="D2228" s="111"/>
      <c r="E2228" s="115"/>
      <c r="F2228" s="116"/>
      <c r="G2228" s="113"/>
      <c r="H2228" s="117"/>
      <c r="I2228" s="111"/>
      <c r="J2228" s="118"/>
      <c r="K2228" s="81"/>
    </row>
    <row r="2229" ht="13.5" customHeight="1">
      <c r="A2229" s="111"/>
      <c r="B2229" s="111"/>
      <c r="C2229" s="111"/>
      <c r="D2229" s="111"/>
      <c r="E2229" s="115"/>
      <c r="F2229" s="116"/>
      <c r="G2229" s="113"/>
      <c r="H2229" s="117"/>
      <c r="I2229" s="111"/>
      <c r="J2229" s="118"/>
      <c r="K2229" s="81"/>
    </row>
    <row r="2230" ht="13.5" customHeight="1">
      <c r="A2230" s="111"/>
      <c r="B2230" s="111"/>
      <c r="C2230" s="111"/>
      <c r="D2230" s="111"/>
      <c r="E2230" s="115"/>
      <c r="F2230" s="116"/>
      <c r="G2230" s="113"/>
      <c r="H2230" s="117"/>
      <c r="I2230" s="111"/>
      <c r="J2230" s="118"/>
      <c r="K2230" s="81"/>
    </row>
    <row r="2231" ht="13.5" customHeight="1">
      <c r="A2231" s="111"/>
      <c r="B2231" s="111"/>
      <c r="C2231" s="111"/>
      <c r="D2231" s="111"/>
      <c r="E2231" s="115"/>
      <c r="F2231" s="116"/>
      <c r="G2231" s="113"/>
      <c r="H2231" s="117"/>
      <c r="I2231" s="111"/>
      <c r="J2231" s="118"/>
      <c r="K2231" s="81"/>
    </row>
    <row r="2232" ht="13.5" customHeight="1">
      <c r="A2232" s="111"/>
      <c r="B2232" s="111"/>
      <c r="C2232" s="111"/>
      <c r="D2232" s="111"/>
      <c r="E2232" s="115"/>
      <c r="F2232" s="116"/>
      <c r="G2232" s="113"/>
      <c r="H2232" s="117"/>
      <c r="I2232" s="111"/>
      <c r="J2232" s="118"/>
      <c r="K2232" s="81"/>
    </row>
    <row r="2233" ht="13.5" customHeight="1">
      <c r="A2233" s="111"/>
      <c r="B2233" s="111"/>
      <c r="C2233" s="111"/>
      <c r="D2233" s="111"/>
      <c r="E2233" s="115"/>
      <c r="F2233" s="116"/>
      <c r="G2233" s="113"/>
      <c r="H2233" s="117"/>
      <c r="I2233" s="111"/>
      <c r="J2233" s="118"/>
      <c r="K2233" s="81"/>
    </row>
    <row r="2234" ht="13.5" customHeight="1">
      <c r="A2234" s="111"/>
      <c r="B2234" s="111"/>
      <c r="C2234" s="111"/>
      <c r="D2234" s="111"/>
      <c r="E2234" s="115"/>
      <c r="F2234" s="116"/>
      <c r="G2234" s="113"/>
      <c r="H2234" s="117"/>
      <c r="I2234" s="111"/>
      <c r="J2234" s="118"/>
      <c r="K2234" s="81"/>
    </row>
    <row r="2235" ht="13.5" customHeight="1">
      <c r="A2235" s="111"/>
      <c r="B2235" s="111"/>
      <c r="C2235" s="111"/>
      <c r="D2235" s="111"/>
      <c r="E2235" s="115"/>
      <c r="F2235" s="116"/>
      <c r="G2235" s="113"/>
      <c r="H2235" s="117"/>
      <c r="I2235" s="111"/>
      <c r="J2235" s="118"/>
      <c r="K2235" s="81"/>
    </row>
    <row r="2236" ht="13.5" customHeight="1">
      <c r="A2236" s="111"/>
      <c r="B2236" s="111"/>
      <c r="C2236" s="111"/>
      <c r="D2236" s="111"/>
      <c r="E2236" s="115"/>
      <c r="F2236" s="116"/>
      <c r="G2236" s="113"/>
      <c r="H2236" s="117"/>
      <c r="I2236" s="111"/>
      <c r="J2236" s="118"/>
      <c r="K2236" s="81"/>
    </row>
    <row r="2237" ht="13.5" customHeight="1">
      <c r="A2237" s="111"/>
      <c r="B2237" s="111"/>
      <c r="C2237" s="111"/>
      <c r="D2237" s="111"/>
      <c r="E2237" s="115"/>
      <c r="F2237" s="116"/>
      <c r="G2237" s="113"/>
      <c r="H2237" s="117"/>
      <c r="I2237" s="111"/>
      <c r="J2237" s="118"/>
      <c r="K2237" s="81"/>
    </row>
    <row r="2238" ht="13.5" customHeight="1">
      <c r="A2238" s="111"/>
      <c r="B2238" s="111"/>
      <c r="C2238" s="111"/>
      <c r="D2238" s="111"/>
      <c r="E2238" s="115"/>
      <c r="F2238" s="116"/>
      <c r="G2238" s="113"/>
      <c r="H2238" s="117"/>
      <c r="I2238" s="111"/>
      <c r="J2238" s="118"/>
      <c r="K2238" s="81"/>
    </row>
    <row r="2239" ht="13.5" customHeight="1">
      <c r="A2239" s="111"/>
      <c r="B2239" s="111"/>
      <c r="C2239" s="111"/>
      <c r="D2239" s="111"/>
      <c r="E2239" s="115"/>
      <c r="F2239" s="116"/>
      <c r="G2239" s="113"/>
      <c r="H2239" s="117"/>
      <c r="I2239" s="111"/>
      <c r="J2239" s="118"/>
      <c r="K2239" s="81"/>
    </row>
    <row r="2240" ht="13.5" customHeight="1">
      <c r="A2240" s="111"/>
      <c r="B2240" s="111"/>
      <c r="C2240" s="111"/>
      <c r="D2240" s="111"/>
      <c r="E2240" s="115"/>
      <c r="F2240" s="116"/>
      <c r="G2240" s="113"/>
      <c r="H2240" s="117"/>
      <c r="I2240" s="111"/>
      <c r="J2240" s="118"/>
      <c r="K2240" s="81"/>
    </row>
    <row r="2241" ht="13.5" customHeight="1">
      <c r="A2241" s="111"/>
      <c r="B2241" s="111"/>
      <c r="C2241" s="111"/>
      <c r="D2241" s="111"/>
      <c r="E2241" s="115"/>
      <c r="F2241" s="116"/>
      <c r="G2241" s="113"/>
      <c r="H2241" s="117"/>
      <c r="I2241" s="111"/>
      <c r="J2241" s="118"/>
      <c r="K2241" s="81"/>
    </row>
    <row r="2242" ht="13.5" customHeight="1">
      <c r="A2242" s="111"/>
      <c r="B2242" s="111"/>
      <c r="C2242" s="111"/>
      <c r="D2242" s="111"/>
      <c r="E2242" s="115"/>
      <c r="F2242" s="116"/>
      <c r="G2242" s="113"/>
      <c r="H2242" s="117"/>
      <c r="I2242" s="111"/>
      <c r="J2242" s="118"/>
      <c r="K2242" s="81"/>
    </row>
    <row r="2243" ht="13.5" customHeight="1">
      <c r="A2243" s="111"/>
      <c r="B2243" s="111"/>
      <c r="C2243" s="111"/>
      <c r="D2243" s="111"/>
      <c r="E2243" s="115"/>
      <c r="F2243" s="116"/>
      <c r="G2243" s="113"/>
      <c r="H2243" s="117"/>
      <c r="I2243" s="111"/>
      <c r="J2243" s="118"/>
      <c r="K2243" s="81"/>
    </row>
    <row r="2244" ht="13.5" customHeight="1">
      <c r="A2244" s="111"/>
      <c r="B2244" s="111"/>
      <c r="C2244" s="111"/>
      <c r="D2244" s="111"/>
      <c r="E2244" s="115"/>
      <c r="F2244" s="116"/>
      <c r="G2244" s="113"/>
      <c r="H2244" s="117"/>
      <c r="I2244" s="111"/>
      <c r="J2244" s="118"/>
      <c r="K2244" s="81"/>
    </row>
    <row r="2245" ht="13.5" customHeight="1">
      <c r="A2245" s="111"/>
      <c r="B2245" s="111"/>
      <c r="C2245" s="111"/>
      <c r="D2245" s="111"/>
      <c r="E2245" s="115"/>
      <c r="F2245" s="116"/>
      <c r="G2245" s="113"/>
      <c r="H2245" s="117"/>
      <c r="I2245" s="111"/>
      <c r="J2245" s="118"/>
      <c r="K2245" s="81"/>
    </row>
    <row r="2246" ht="13.5" customHeight="1">
      <c r="A2246" s="111"/>
      <c r="B2246" s="111"/>
      <c r="C2246" s="111"/>
      <c r="D2246" s="111"/>
      <c r="E2246" s="115"/>
      <c r="F2246" s="116"/>
      <c r="G2246" s="113"/>
      <c r="H2246" s="117"/>
      <c r="I2246" s="111"/>
      <c r="J2246" s="118"/>
      <c r="K2246" s="81"/>
    </row>
    <row r="2247" ht="13.5" customHeight="1">
      <c r="A2247" s="111"/>
      <c r="B2247" s="111"/>
      <c r="C2247" s="111"/>
      <c r="D2247" s="111"/>
      <c r="E2247" s="115"/>
      <c r="F2247" s="116"/>
      <c r="G2247" s="113"/>
      <c r="H2247" s="117"/>
      <c r="I2247" s="111"/>
      <c r="J2247" s="118"/>
      <c r="K2247" s="81"/>
    </row>
    <row r="2248" ht="13.5" customHeight="1">
      <c r="A2248" s="111"/>
      <c r="B2248" s="111"/>
      <c r="C2248" s="111"/>
      <c r="D2248" s="111"/>
      <c r="E2248" s="115"/>
      <c r="F2248" s="116"/>
      <c r="G2248" s="113"/>
      <c r="H2248" s="117"/>
      <c r="I2248" s="111"/>
      <c r="J2248" s="118"/>
      <c r="K2248" s="81"/>
    </row>
    <row r="2249" ht="13.5" customHeight="1">
      <c r="A2249" s="111"/>
      <c r="B2249" s="111"/>
      <c r="C2249" s="111"/>
      <c r="D2249" s="111"/>
      <c r="E2249" s="115"/>
      <c r="F2249" s="116"/>
      <c r="G2249" s="113"/>
      <c r="H2249" s="117"/>
      <c r="I2249" s="111"/>
      <c r="J2249" s="118"/>
      <c r="K2249" s="81"/>
    </row>
    <row r="2250" ht="13.5" customHeight="1">
      <c r="A2250" s="111"/>
      <c r="B2250" s="111"/>
      <c r="C2250" s="111"/>
      <c r="D2250" s="111"/>
      <c r="E2250" s="115"/>
      <c r="F2250" s="116"/>
      <c r="G2250" s="113"/>
      <c r="H2250" s="117"/>
      <c r="I2250" s="111"/>
      <c r="J2250" s="118"/>
      <c r="K2250" s="81"/>
    </row>
    <row r="2251" ht="13.5" customHeight="1">
      <c r="A2251" s="111"/>
      <c r="B2251" s="111"/>
      <c r="C2251" s="111"/>
      <c r="D2251" s="111"/>
      <c r="E2251" s="115"/>
      <c r="F2251" s="116"/>
      <c r="G2251" s="113"/>
      <c r="H2251" s="117"/>
      <c r="I2251" s="111"/>
      <c r="J2251" s="118"/>
      <c r="K2251" s="81"/>
    </row>
    <row r="2252" ht="13.5" customHeight="1">
      <c r="A2252" s="111"/>
      <c r="B2252" s="111"/>
      <c r="C2252" s="111"/>
      <c r="D2252" s="111"/>
      <c r="E2252" s="115"/>
      <c r="F2252" s="116"/>
      <c r="G2252" s="113"/>
      <c r="H2252" s="117"/>
      <c r="I2252" s="111"/>
      <c r="J2252" s="118"/>
      <c r="K2252" s="81"/>
    </row>
    <row r="2253" ht="13.5" customHeight="1">
      <c r="A2253" s="111"/>
      <c r="B2253" s="111"/>
      <c r="C2253" s="111"/>
      <c r="D2253" s="111"/>
      <c r="E2253" s="115"/>
      <c r="F2253" s="116"/>
      <c r="G2253" s="113"/>
      <c r="H2253" s="117"/>
      <c r="I2253" s="111"/>
      <c r="J2253" s="118"/>
      <c r="K2253" s="81"/>
    </row>
    <row r="2254" ht="13.5" customHeight="1">
      <c r="A2254" s="111"/>
      <c r="B2254" s="111"/>
      <c r="C2254" s="111"/>
      <c r="D2254" s="111"/>
      <c r="E2254" s="115"/>
      <c r="F2254" s="116"/>
      <c r="G2254" s="113"/>
      <c r="H2254" s="117"/>
      <c r="I2254" s="111"/>
      <c r="J2254" s="118"/>
      <c r="K2254" s="81"/>
    </row>
    <row r="2255" ht="13.5" customHeight="1">
      <c r="A2255" s="111"/>
      <c r="B2255" s="111"/>
      <c r="C2255" s="111"/>
      <c r="D2255" s="111"/>
      <c r="E2255" s="115"/>
      <c r="F2255" s="116"/>
      <c r="G2255" s="113"/>
      <c r="H2255" s="117"/>
      <c r="I2255" s="111"/>
      <c r="J2255" s="118"/>
      <c r="K2255" s="81"/>
    </row>
    <row r="2256" ht="13.5" customHeight="1">
      <c r="A2256" s="111"/>
      <c r="B2256" s="111"/>
      <c r="C2256" s="111"/>
      <c r="D2256" s="111"/>
      <c r="E2256" s="115"/>
      <c r="F2256" s="116"/>
      <c r="G2256" s="113"/>
      <c r="H2256" s="117"/>
      <c r="I2256" s="111"/>
      <c r="J2256" s="118"/>
      <c r="K2256" s="81"/>
    </row>
    <row r="2257" ht="13.5" customHeight="1">
      <c r="A2257" s="111"/>
      <c r="B2257" s="111"/>
      <c r="C2257" s="111"/>
      <c r="D2257" s="111"/>
      <c r="E2257" s="115"/>
      <c r="F2257" s="116"/>
      <c r="G2257" s="113"/>
      <c r="H2257" s="117"/>
      <c r="I2257" s="111"/>
      <c r="J2257" s="118"/>
      <c r="K2257" s="81"/>
    </row>
    <row r="2258" ht="13.5" customHeight="1">
      <c r="A2258" s="111"/>
      <c r="B2258" s="111"/>
      <c r="C2258" s="111"/>
      <c r="D2258" s="111"/>
      <c r="E2258" s="115"/>
      <c r="F2258" s="116"/>
      <c r="G2258" s="113"/>
      <c r="H2258" s="117"/>
      <c r="I2258" s="111"/>
      <c r="J2258" s="118"/>
      <c r="K2258" s="81"/>
    </row>
    <row r="2259" ht="13.5" customHeight="1">
      <c r="A2259" s="111"/>
      <c r="B2259" s="111"/>
      <c r="C2259" s="111"/>
      <c r="D2259" s="111"/>
      <c r="E2259" s="115"/>
      <c r="F2259" s="116"/>
      <c r="G2259" s="113"/>
      <c r="H2259" s="117"/>
      <c r="I2259" s="111"/>
      <c r="J2259" s="118"/>
      <c r="K2259" s="81"/>
    </row>
    <row r="2260" ht="13.5" customHeight="1">
      <c r="A2260" s="111"/>
      <c r="B2260" s="111"/>
      <c r="C2260" s="111"/>
      <c r="D2260" s="111"/>
      <c r="E2260" s="115"/>
      <c r="F2260" s="116"/>
      <c r="G2260" s="113"/>
      <c r="H2260" s="117"/>
      <c r="I2260" s="111"/>
      <c r="J2260" s="118"/>
      <c r="K2260" s="81"/>
    </row>
    <row r="2261" ht="13.5" customHeight="1">
      <c r="A2261" s="111"/>
      <c r="B2261" s="111"/>
      <c r="C2261" s="111"/>
      <c r="D2261" s="111"/>
      <c r="E2261" s="115"/>
      <c r="F2261" s="116"/>
      <c r="G2261" s="113"/>
      <c r="H2261" s="117"/>
      <c r="I2261" s="111"/>
      <c r="J2261" s="118"/>
      <c r="K2261" s="81"/>
    </row>
    <row r="2262" ht="13.5" customHeight="1">
      <c r="A2262" s="111"/>
      <c r="B2262" s="111"/>
      <c r="C2262" s="111"/>
      <c r="D2262" s="111"/>
      <c r="E2262" s="115"/>
      <c r="F2262" s="116"/>
      <c r="G2262" s="113"/>
      <c r="H2262" s="117"/>
      <c r="I2262" s="111"/>
      <c r="J2262" s="118"/>
      <c r="K2262" s="81"/>
    </row>
    <row r="2263" ht="13.5" customHeight="1">
      <c r="A2263" s="111"/>
      <c r="B2263" s="111"/>
      <c r="C2263" s="111"/>
      <c r="D2263" s="111"/>
      <c r="E2263" s="115"/>
      <c r="F2263" s="116"/>
      <c r="G2263" s="113"/>
      <c r="H2263" s="117"/>
      <c r="I2263" s="111"/>
      <c r="J2263" s="118"/>
      <c r="K2263" s="81"/>
    </row>
    <row r="2264" ht="13.5" customHeight="1">
      <c r="A2264" s="111"/>
      <c r="B2264" s="111"/>
      <c r="C2264" s="111"/>
      <c r="D2264" s="111"/>
      <c r="E2264" s="115"/>
      <c r="F2264" s="116"/>
      <c r="G2264" s="113"/>
      <c r="H2264" s="117"/>
      <c r="I2264" s="111"/>
      <c r="J2264" s="118"/>
      <c r="K2264" s="81"/>
    </row>
    <row r="2265" ht="13.5" customHeight="1">
      <c r="A2265" s="111"/>
      <c r="B2265" s="111"/>
      <c r="C2265" s="111"/>
      <c r="D2265" s="111"/>
      <c r="E2265" s="115"/>
      <c r="F2265" s="116"/>
      <c r="G2265" s="113"/>
      <c r="H2265" s="117"/>
      <c r="I2265" s="111"/>
      <c r="J2265" s="118"/>
      <c r="K2265" s="81"/>
    </row>
    <row r="2266" ht="13.5" customHeight="1">
      <c r="A2266" s="111"/>
      <c r="B2266" s="111"/>
      <c r="C2266" s="111"/>
      <c r="D2266" s="111"/>
      <c r="E2266" s="115"/>
      <c r="F2266" s="116"/>
      <c r="G2266" s="113"/>
      <c r="H2266" s="117"/>
      <c r="I2266" s="111"/>
      <c r="J2266" s="118"/>
      <c r="K2266" s="81"/>
    </row>
    <row r="2267" ht="13.5" customHeight="1">
      <c r="A2267" s="111"/>
      <c r="B2267" s="111"/>
      <c r="C2267" s="111"/>
      <c r="D2267" s="111"/>
      <c r="E2267" s="115"/>
      <c r="F2267" s="116"/>
      <c r="G2267" s="113"/>
      <c r="H2267" s="117"/>
      <c r="I2267" s="111"/>
      <c r="J2267" s="118"/>
      <c r="K2267" s="81"/>
    </row>
    <row r="2268" ht="13.5" customHeight="1">
      <c r="A2268" s="111"/>
      <c r="B2268" s="111"/>
      <c r="C2268" s="111"/>
      <c r="D2268" s="111"/>
      <c r="E2268" s="115"/>
      <c r="F2268" s="116"/>
      <c r="G2268" s="113"/>
      <c r="H2268" s="117"/>
      <c r="I2268" s="111"/>
      <c r="J2268" s="118"/>
      <c r="K2268" s="81"/>
    </row>
    <row r="2269" ht="13.5" customHeight="1">
      <c r="A2269" s="111"/>
      <c r="B2269" s="111"/>
      <c r="C2269" s="111"/>
      <c r="D2269" s="111"/>
      <c r="E2269" s="115"/>
      <c r="F2269" s="116"/>
      <c r="G2269" s="113"/>
      <c r="H2269" s="117"/>
      <c r="I2269" s="111"/>
      <c r="J2269" s="118"/>
      <c r="K2269" s="81"/>
    </row>
    <row r="2270" ht="13.5" customHeight="1">
      <c r="A2270" s="111"/>
      <c r="B2270" s="111"/>
      <c r="C2270" s="111"/>
      <c r="D2270" s="111"/>
      <c r="E2270" s="115"/>
      <c r="F2270" s="116"/>
      <c r="G2270" s="113"/>
      <c r="H2270" s="117"/>
      <c r="I2270" s="111"/>
      <c r="J2270" s="118"/>
      <c r="K2270" s="81"/>
    </row>
    <row r="2271" ht="13.5" customHeight="1">
      <c r="A2271" s="111"/>
      <c r="B2271" s="111"/>
      <c r="C2271" s="111"/>
      <c r="D2271" s="111"/>
      <c r="E2271" s="115"/>
      <c r="F2271" s="116"/>
      <c r="G2271" s="113"/>
      <c r="H2271" s="117"/>
      <c r="I2271" s="111"/>
      <c r="J2271" s="118"/>
      <c r="K2271" s="81"/>
    </row>
    <row r="2272" ht="13.5" customHeight="1">
      <c r="A2272" s="111"/>
      <c r="B2272" s="111"/>
      <c r="C2272" s="111"/>
      <c r="D2272" s="111"/>
      <c r="E2272" s="115"/>
      <c r="F2272" s="116"/>
      <c r="G2272" s="113"/>
      <c r="H2272" s="117"/>
      <c r="I2272" s="111"/>
      <c r="J2272" s="118"/>
      <c r="K2272" s="81"/>
    </row>
    <row r="2273" ht="13.5" customHeight="1">
      <c r="A2273" s="111"/>
      <c r="B2273" s="111"/>
      <c r="C2273" s="111"/>
      <c r="D2273" s="111"/>
      <c r="E2273" s="115"/>
      <c r="F2273" s="116"/>
      <c r="G2273" s="113"/>
      <c r="H2273" s="117"/>
      <c r="I2273" s="111"/>
      <c r="J2273" s="118"/>
      <c r="K2273" s="81"/>
    </row>
    <row r="2274" ht="13.5" customHeight="1">
      <c r="A2274" s="111"/>
      <c r="B2274" s="111"/>
      <c r="C2274" s="111"/>
      <c r="D2274" s="111"/>
      <c r="E2274" s="115"/>
      <c r="F2274" s="116"/>
      <c r="G2274" s="113"/>
      <c r="H2274" s="117"/>
      <c r="I2274" s="111"/>
      <c r="J2274" s="118"/>
      <c r="K2274" s="81"/>
    </row>
    <row r="2275" ht="13.5" customHeight="1">
      <c r="A2275" s="111"/>
      <c r="B2275" s="111"/>
      <c r="C2275" s="111"/>
      <c r="D2275" s="111"/>
      <c r="E2275" s="115"/>
      <c r="F2275" s="116"/>
      <c r="G2275" s="113"/>
      <c r="H2275" s="117"/>
      <c r="I2275" s="111"/>
      <c r="J2275" s="118"/>
      <c r="K2275" s="81"/>
    </row>
    <row r="2276" ht="13.5" customHeight="1">
      <c r="A2276" s="111"/>
      <c r="B2276" s="111"/>
      <c r="C2276" s="111"/>
      <c r="D2276" s="111"/>
      <c r="E2276" s="115"/>
      <c r="F2276" s="116"/>
      <c r="G2276" s="113"/>
      <c r="H2276" s="117"/>
      <c r="I2276" s="111"/>
      <c r="J2276" s="118"/>
      <c r="K2276" s="81"/>
    </row>
    <row r="2277" ht="13.5" customHeight="1">
      <c r="A2277" s="111"/>
      <c r="B2277" s="111"/>
      <c r="C2277" s="111"/>
      <c r="D2277" s="111"/>
      <c r="E2277" s="115"/>
      <c r="F2277" s="116"/>
      <c r="G2277" s="113"/>
      <c r="H2277" s="117"/>
      <c r="I2277" s="111"/>
      <c r="J2277" s="118"/>
      <c r="K2277" s="81"/>
    </row>
    <row r="2278" ht="13.5" customHeight="1">
      <c r="A2278" s="111"/>
      <c r="B2278" s="111"/>
      <c r="C2278" s="111"/>
      <c r="D2278" s="111"/>
      <c r="E2278" s="115"/>
      <c r="F2278" s="116"/>
      <c r="G2278" s="113"/>
      <c r="H2278" s="117"/>
      <c r="I2278" s="111"/>
      <c r="J2278" s="118"/>
      <c r="K2278" s="81"/>
    </row>
    <row r="2279" ht="13.5" customHeight="1">
      <c r="A2279" s="111"/>
      <c r="B2279" s="111"/>
      <c r="C2279" s="111"/>
      <c r="D2279" s="111"/>
      <c r="E2279" s="115"/>
      <c r="F2279" s="116"/>
      <c r="G2279" s="113"/>
      <c r="H2279" s="117"/>
      <c r="I2279" s="111"/>
      <c r="J2279" s="118"/>
      <c r="K2279" s="81"/>
    </row>
    <row r="2280" ht="13.5" customHeight="1">
      <c r="A2280" s="111"/>
      <c r="B2280" s="111"/>
      <c r="C2280" s="111"/>
      <c r="D2280" s="111"/>
      <c r="E2280" s="115"/>
      <c r="F2280" s="116"/>
      <c r="G2280" s="113"/>
      <c r="H2280" s="117"/>
      <c r="I2280" s="111"/>
      <c r="J2280" s="118"/>
      <c r="K2280" s="81"/>
    </row>
    <row r="2281" ht="13.5" customHeight="1">
      <c r="A2281" s="111"/>
      <c r="B2281" s="111"/>
      <c r="C2281" s="111"/>
      <c r="D2281" s="111"/>
      <c r="E2281" s="115"/>
      <c r="F2281" s="116"/>
      <c r="G2281" s="113"/>
      <c r="H2281" s="117"/>
      <c r="I2281" s="111"/>
      <c r="J2281" s="118"/>
      <c r="K2281" s="81"/>
    </row>
    <row r="2282" ht="13.5" customHeight="1">
      <c r="A2282" s="111"/>
      <c r="B2282" s="111"/>
      <c r="C2282" s="111"/>
      <c r="D2282" s="111"/>
      <c r="E2282" s="115"/>
      <c r="F2282" s="116"/>
      <c r="G2282" s="113"/>
      <c r="H2282" s="117"/>
      <c r="I2282" s="111"/>
      <c r="J2282" s="118"/>
      <c r="K2282" s="81"/>
    </row>
    <row r="2283" ht="13.5" customHeight="1">
      <c r="A2283" s="111"/>
      <c r="B2283" s="111"/>
      <c r="C2283" s="111"/>
      <c r="D2283" s="111"/>
      <c r="E2283" s="115"/>
      <c r="F2283" s="116"/>
      <c r="G2283" s="113"/>
      <c r="H2283" s="117"/>
      <c r="I2283" s="111"/>
      <c r="J2283" s="118"/>
      <c r="K2283" s="81"/>
    </row>
    <row r="2284" ht="13.5" customHeight="1">
      <c r="A2284" s="111"/>
      <c r="B2284" s="111"/>
      <c r="C2284" s="111"/>
      <c r="D2284" s="111"/>
      <c r="E2284" s="115"/>
      <c r="F2284" s="116"/>
      <c r="G2284" s="113"/>
      <c r="H2284" s="117"/>
      <c r="I2284" s="111"/>
      <c r="J2284" s="118"/>
      <c r="K2284" s="81"/>
    </row>
    <row r="2285" ht="13.5" customHeight="1">
      <c r="A2285" s="111"/>
      <c r="B2285" s="111"/>
      <c r="C2285" s="111"/>
      <c r="D2285" s="111"/>
      <c r="E2285" s="115"/>
      <c r="F2285" s="116"/>
      <c r="G2285" s="113"/>
      <c r="H2285" s="117"/>
      <c r="I2285" s="111"/>
      <c r="J2285" s="118"/>
      <c r="K2285" s="81"/>
    </row>
    <row r="2286" ht="13.5" customHeight="1">
      <c r="A2286" s="111"/>
      <c r="B2286" s="111"/>
      <c r="C2286" s="111"/>
      <c r="D2286" s="111"/>
      <c r="E2286" s="115"/>
      <c r="F2286" s="116"/>
      <c r="G2286" s="113"/>
      <c r="H2286" s="117"/>
      <c r="I2286" s="111"/>
      <c r="J2286" s="118"/>
      <c r="K2286" s="81"/>
    </row>
    <row r="2287" ht="13.5" customHeight="1">
      <c r="A2287" s="111"/>
      <c r="B2287" s="111"/>
      <c r="C2287" s="111"/>
      <c r="D2287" s="111"/>
      <c r="E2287" s="115"/>
      <c r="F2287" s="116"/>
      <c r="G2287" s="113"/>
      <c r="H2287" s="117"/>
      <c r="I2287" s="111"/>
      <c r="J2287" s="118"/>
      <c r="K2287" s="81"/>
    </row>
    <row r="2288" ht="13.5" customHeight="1">
      <c r="A2288" s="111"/>
      <c r="B2288" s="111"/>
      <c r="C2288" s="111"/>
      <c r="D2288" s="111"/>
      <c r="E2288" s="115"/>
      <c r="F2288" s="116"/>
      <c r="G2288" s="113"/>
      <c r="H2288" s="117"/>
      <c r="I2288" s="111"/>
      <c r="J2288" s="118"/>
      <c r="K2288" s="81"/>
    </row>
    <row r="2289" ht="13.5" customHeight="1">
      <c r="A2289" s="111"/>
      <c r="B2289" s="111"/>
      <c r="C2289" s="111"/>
      <c r="D2289" s="111"/>
      <c r="E2289" s="115"/>
      <c r="F2289" s="116"/>
      <c r="G2289" s="113"/>
      <c r="H2289" s="117"/>
      <c r="I2289" s="111"/>
      <c r="J2289" s="118"/>
      <c r="K2289" s="81"/>
    </row>
    <row r="2290" ht="13.5" customHeight="1">
      <c r="A2290" s="111"/>
      <c r="B2290" s="111"/>
      <c r="C2290" s="111"/>
      <c r="D2290" s="111"/>
      <c r="E2290" s="115"/>
      <c r="F2290" s="116"/>
      <c r="G2290" s="113"/>
      <c r="H2290" s="117"/>
      <c r="I2290" s="111"/>
      <c r="J2290" s="118"/>
      <c r="K2290" s="81"/>
    </row>
    <row r="2291" ht="13.5" customHeight="1">
      <c r="A2291" s="111"/>
      <c r="B2291" s="111"/>
      <c r="C2291" s="111"/>
      <c r="D2291" s="111"/>
      <c r="E2291" s="115"/>
      <c r="F2291" s="116"/>
      <c r="G2291" s="113"/>
      <c r="H2291" s="117"/>
      <c r="I2291" s="111"/>
      <c r="J2291" s="118"/>
      <c r="K2291" s="81"/>
    </row>
    <row r="2292" ht="13.5" customHeight="1">
      <c r="A2292" s="111"/>
      <c r="B2292" s="111"/>
      <c r="C2292" s="111"/>
      <c r="D2292" s="111"/>
      <c r="E2292" s="115"/>
      <c r="F2292" s="116"/>
      <c r="G2292" s="113"/>
      <c r="H2292" s="117"/>
      <c r="I2292" s="111"/>
      <c r="J2292" s="118"/>
      <c r="K2292" s="81"/>
    </row>
    <row r="2293" ht="13.5" customHeight="1">
      <c r="A2293" s="111"/>
      <c r="B2293" s="111"/>
      <c r="C2293" s="111"/>
      <c r="D2293" s="111"/>
      <c r="E2293" s="115"/>
      <c r="F2293" s="116"/>
      <c r="G2293" s="113"/>
      <c r="H2293" s="117"/>
      <c r="I2293" s="111"/>
      <c r="J2293" s="118"/>
      <c r="K2293" s="81"/>
    </row>
    <row r="2294" ht="13.5" customHeight="1">
      <c r="A2294" s="111"/>
      <c r="B2294" s="111"/>
      <c r="C2294" s="111"/>
      <c r="D2294" s="111"/>
      <c r="E2294" s="115"/>
      <c r="F2294" s="116"/>
      <c r="G2294" s="113"/>
      <c r="H2294" s="117"/>
      <c r="I2294" s="111"/>
      <c r="J2294" s="118"/>
      <c r="K2294" s="81"/>
    </row>
    <row r="2295" ht="13.5" customHeight="1">
      <c r="A2295" s="111"/>
      <c r="B2295" s="111"/>
      <c r="C2295" s="111"/>
      <c r="D2295" s="111"/>
      <c r="E2295" s="115"/>
      <c r="F2295" s="116"/>
      <c r="G2295" s="113"/>
      <c r="H2295" s="117"/>
      <c r="I2295" s="111"/>
      <c r="J2295" s="118"/>
      <c r="K2295" s="81"/>
    </row>
    <row r="2296" ht="13.5" customHeight="1">
      <c r="A2296" s="111"/>
      <c r="B2296" s="111"/>
      <c r="C2296" s="111"/>
      <c r="D2296" s="111"/>
      <c r="E2296" s="115"/>
      <c r="F2296" s="116"/>
      <c r="G2296" s="113"/>
      <c r="H2296" s="117"/>
      <c r="I2296" s="111"/>
      <c r="J2296" s="118"/>
      <c r="K2296" s="81"/>
    </row>
    <row r="2297" ht="13.5" customHeight="1">
      <c r="A2297" s="111"/>
      <c r="B2297" s="111"/>
      <c r="C2297" s="111"/>
      <c r="D2297" s="111"/>
      <c r="E2297" s="115"/>
      <c r="F2297" s="116"/>
      <c r="G2297" s="113"/>
      <c r="H2297" s="117"/>
      <c r="I2297" s="111"/>
      <c r="J2297" s="118"/>
      <c r="K2297" s="81"/>
    </row>
    <row r="2298" ht="13.5" customHeight="1">
      <c r="A2298" s="111"/>
      <c r="B2298" s="111"/>
      <c r="C2298" s="111"/>
      <c r="D2298" s="111"/>
      <c r="E2298" s="115"/>
      <c r="F2298" s="116"/>
      <c r="G2298" s="113"/>
      <c r="H2298" s="117"/>
      <c r="I2298" s="111"/>
      <c r="J2298" s="118"/>
      <c r="K2298" s="81"/>
    </row>
    <row r="2299" ht="13.5" customHeight="1">
      <c r="A2299" s="111"/>
      <c r="B2299" s="111"/>
      <c r="C2299" s="111"/>
      <c r="D2299" s="111"/>
      <c r="E2299" s="115"/>
      <c r="F2299" s="116"/>
      <c r="G2299" s="113"/>
      <c r="H2299" s="117"/>
      <c r="I2299" s="111"/>
      <c r="J2299" s="118"/>
      <c r="K2299" s="81"/>
    </row>
    <row r="2300" ht="13.5" customHeight="1">
      <c r="A2300" s="111"/>
      <c r="B2300" s="111"/>
      <c r="C2300" s="111"/>
      <c r="D2300" s="111"/>
      <c r="E2300" s="115"/>
      <c r="F2300" s="116"/>
      <c r="G2300" s="113"/>
      <c r="H2300" s="117"/>
      <c r="I2300" s="111"/>
      <c r="J2300" s="118"/>
      <c r="K2300" s="81"/>
    </row>
    <row r="2301" ht="13.5" customHeight="1">
      <c r="A2301" s="111"/>
      <c r="B2301" s="111"/>
      <c r="C2301" s="111"/>
      <c r="D2301" s="111"/>
      <c r="E2301" s="115"/>
      <c r="F2301" s="116"/>
      <c r="G2301" s="113"/>
      <c r="H2301" s="117"/>
      <c r="I2301" s="111"/>
      <c r="J2301" s="118"/>
      <c r="K2301" s="81"/>
    </row>
    <row r="2302" ht="13.5" customHeight="1">
      <c r="A2302" s="111"/>
      <c r="B2302" s="111"/>
      <c r="C2302" s="111"/>
      <c r="D2302" s="111"/>
      <c r="E2302" s="115"/>
      <c r="F2302" s="116"/>
      <c r="G2302" s="113"/>
      <c r="H2302" s="117"/>
      <c r="I2302" s="111"/>
      <c r="J2302" s="118"/>
      <c r="K2302" s="81"/>
    </row>
    <row r="2303" ht="13.5" customHeight="1">
      <c r="A2303" s="111"/>
      <c r="B2303" s="111"/>
      <c r="C2303" s="111"/>
      <c r="D2303" s="111"/>
      <c r="E2303" s="115"/>
      <c r="F2303" s="116"/>
      <c r="G2303" s="113"/>
      <c r="H2303" s="117"/>
      <c r="I2303" s="111"/>
      <c r="J2303" s="118"/>
      <c r="K2303" s="81"/>
    </row>
    <row r="2304" ht="13.5" customHeight="1">
      <c r="A2304" s="111"/>
      <c r="B2304" s="111"/>
      <c r="C2304" s="111"/>
      <c r="D2304" s="111"/>
      <c r="E2304" s="115"/>
      <c r="F2304" s="116"/>
      <c r="G2304" s="113"/>
      <c r="H2304" s="117"/>
      <c r="I2304" s="111"/>
      <c r="J2304" s="118"/>
      <c r="K2304" s="81"/>
    </row>
    <row r="2305" ht="13.5" customHeight="1">
      <c r="A2305" s="111"/>
      <c r="B2305" s="111"/>
      <c r="C2305" s="111"/>
      <c r="D2305" s="111"/>
      <c r="E2305" s="115"/>
      <c r="F2305" s="116"/>
      <c r="G2305" s="113"/>
      <c r="H2305" s="117"/>
      <c r="I2305" s="111"/>
      <c r="J2305" s="118"/>
      <c r="K2305" s="81"/>
    </row>
    <row r="2306" ht="13.5" customHeight="1">
      <c r="A2306" s="111"/>
      <c r="B2306" s="111"/>
      <c r="C2306" s="111"/>
      <c r="D2306" s="111"/>
      <c r="E2306" s="115"/>
      <c r="F2306" s="116"/>
      <c r="G2306" s="113"/>
      <c r="H2306" s="117"/>
      <c r="I2306" s="111"/>
      <c r="J2306" s="118"/>
      <c r="K2306" s="81"/>
    </row>
    <row r="2307" ht="13.5" customHeight="1">
      <c r="A2307" s="111"/>
      <c r="B2307" s="111"/>
      <c r="C2307" s="111"/>
      <c r="D2307" s="111"/>
      <c r="E2307" s="115"/>
      <c r="F2307" s="116"/>
      <c r="G2307" s="113"/>
      <c r="H2307" s="117"/>
      <c r="I2307" s="111"/>
      <c r="J2307" s="118"/>
      <c r="K2307" s="81"/>
    </row>
    <row r="2308" ht="13.5" customHeight="1">
      <c r="A2308" s="111"/>
      <c r="B2308" s="111"/>
      <c r="C2308" s="111"/>
      <c r="D2308" s="111"/>
      <c r="E2308" s="115"/>
      <c r="F2308" s="116"/>
      <c r="G2308" s="113"/>
      <c r="H2308" s="117"/>
      <c r="I2308" s="111"/>
      <c r="J2308" s="118"/>
      <c r="K2308" s="81"/>
    </row>
    <row r="2309" ht="13.5" customHeight="1">
      <c r="A2309" s="111"/>
      <c r="B2309" s="111"/>
      <c r="C2309" s="111"/>
      <c r="D2309" s="111"/>
      <c r="E2309" s="115"/>
      <c r="F2309" s="116"/>
      <c r="G2309" s="113"/>
      <c r="H2309" s="117"/>
      <c r="I2309" s="111"/>
      <c r="J2309" s="118"/>
      <c r="K2309" s="81"/>
    </row>
    <row r="2310" ht="13.5" customHeight="1">
      <c r="A2310" s="111"/>
      <c r="B2310" s="111"/>
      <c r="C2310" s="111"/>
      <c r="D2310" s="111"/>
      <c r="E2310" s="115"/>
      <c r="F2310" s="116"/>
      <c r="G2310" s="113"/>
      <c r="H2310" s="117"/>
      <c r="I2310" s="111"/>
      <c r="J2310" s="118"/>
      <c r="K2310" s="81"/>
    </row>
    <row r="2311" ht="13.5" customHeight="1">
      <c r="A2311" s="111"/>
      <c r="B2311" s="111"/>
      <c r="C2311" s="111"/>
      <c r="D2311" s="111"/>
      <c r="E2311" s="115"/>
      <c r="F2311" s="116"/>
      <c r="G2311" s="113"/>
      <c r="H2311" s="117"/>
      <c r="I2311" s="111"/>
      <c r="J2311" s="118"/>
      <c r="K2311" s="81"/>
    </row>
    <row r="2312" ht="13.5" customHeight="1">
      <c r="A2312" s="111"/>
      <c r="B2312" s="111"/>
      <c r="C2312" s="111"/>
      <c r="D2312" s="111"/>
      <c r="E2312" s="115"/>
      <c r="F2312" s="116"/>
      <c r="G2312" s="113"/>
      <c r="H2312" s="117"/>
      <c r="I2312" s="111"/>
      <c r="J2312" s="118"/>
      <c r="K2312" s="81"/>
    </row>
    <row r="2313" ht="13.5" customHeight="1">
      <c r="A2313" s="111"/>
      <c r="B2313" s="111"/>
      <c r="C2313" s="111"/>
      <c r="D2313" s="111"/>
      <c r="E2313" s="115"/>
      <c r="F2313" s="116"/>
      <c r="G2313" s="113"/>
      <c r="H2313" s="117"/>
      <c r="I2313" s="111"/>
      <c r="J2313" s="118"/>
      <c r="K2313" s="81"/>
    </row>
    <row r="2314" ht="13.5" customHeight="1">
      <c r="A2314" s="111"/>
      <c r="B2314" s="111"/>
      <c r="C2314" s="111"/>
      <c r="D2314" s="111"/>
      <c r="E2314" s="115"/>
      <c r="F2314" s="116"/>
      <c r="G2314" s="113"/>
      <c r="H2314" s="117"/>
      <c r="I2314" s="111"/>
      <c r="J2314" s="118"/>
      <c r="K2314" s="81"/>
    </row>
    <row r="2315" ht="13.5" customHeight="1">
      <c r="A2315" s="111"/>
      <c r="B2315" s="111"/>
      <c r="C2315" s="111"/>
      <c r="D2315" s="111"/>
      <c r="E2315" s="115"/>
      <c r="F2315" s="116"/>
      <c r="G2315" s="113"/>
      <c r="H2315" s="117"/>
      <c r="I2315" s="111"/>
      <c r="J2315" s="118"/>
      <c r="K2315" s="81"/>
    </row>
    <row r="2316" ht="13.5" customHeight="1">
      <c r="A2316" s="111"/>
      <c r="B2316" s="111"/>
      <c r="C2316" s="111"/>
      <c r="D2316" s="111"/>
      <c r="E2316" s="115"/>
      <c r="F2316" s="116"/>
      <c r="G2316" s="113"/>
      <c r="H2316" s="117"/>
      <c r="I2316" s="111"/>
      <c r="J2316" s="118"/>
      <c r="K2316" s="81"/>
    </row>
    <row r="2317" ht="13.5" customHeight="1">
      <c r="A2317" s="111"/>
      <c r="B2317" s="111"/>
      <c r="C2317" s="111"/>
      <c r="D2317" s="111"/>
      <c r="E2317" s="115"/>
      <c r="F2317" s="116"/>
      <c r="G2317" s="113"/>
      <c r="H2317" s="117"/>
      <c r="I2317" s="111"/>
      <c r="J2317" s="118"/>
      <c r="K2317" s="81"/>
    </row>
    <row r="2318" ht="13.5" customHeight="1">
      <c r="A2318" s="111"/>
      <c r="B2318" s="111"/>
      <c r="C2318" s="111"/>
      <c r="D2318" s="111"/>
      <c r="E2318" s="115"/>
      <c r="F2318" s="116"/>
      <c r="G2318" s="113"/>
      <c r="H2318" s="117"/>
      <c r="I2318" s="111"/>
      <c r="J2318" s="118"/>
      <c r="K2318" s="81"/>
    </row>
    <row r="2319" ht="13.5" customHeight="1">
      <c r="A2319" s="111"/>
      <c r="B2319" s="111"/>
      <c r="C2319" s="111"/>
      <c r="D2319" s="111"/>
      <c r="E2319" s="115"/>
      <c r="F2319" s="116"/>
      <c r="G2319" s="113"/>
      <c r="H2319" s="117"/>
      <c r="I2319" s="111"/>
      <c r="J2319" s="118"/>
      <c r="K2319" s="81"/>
    </row>
    <row r="2320" ht="13.5" customHeight="1">
      <c r="A2320" s="111"/>
      <c r="B2320" s="111"/>
      <c r="C2320" s="111"/>
      <c r="D2320" s="111"/>
      <c r="E2320" s="115"/>
      <c r="F2320" s="116"/>
      <c r="G2320" s="113"/>
      <c r="H2320" s="117"/>
      <c r="I2320" s="111"/>
      <c r="J2320" s="118"/>
      <c r="K2320" s="81"/>
    </row>
    <row r="2321" ht="13.5" customHeight="1">
      <c r="A2321" s="111"/>
      <c r="B2321" s="111"/>
      <c r="C2321" s="111"/>
      <c r="D2321" s="111"/>
      <c r="E2321" s="115"/>
      <c r="F2321" s="116"/>
      <c r="G2321" s="113"/>
      <c r="H2321" s="117"/>
      <c r="I2321" s="111"/>
      <c r="J2321" s="118"/>
      <c r="K2321" s="81"/>
    </row>
    <row r="2322" ht="13.5" customHeight="1">
      <c r="A2322" s="111"/>
      <c r="B2322" s="111"/>
      <c r="C2322" s="111"/>
      <c r="D2322" s="111"/>
      <c r="E2322" s="115"/>
      <c r="F2322" s="116"/>
      <c r="G2322" s="113"/>
      <c r="H2322" s="117"/>
      <c r="I2322" s="111"/>
      <c r="J2322" s="118"/>
      <c r="K2322" s="81"/>
    </row>
    <row r="2323" ht="13.5" customHeight="1">
      <c r="A2323" s="111"/>
      <c r="B2323" s="111"/>
      <c r="C2323" s="111"/>
      <c r="D2323" s="111"/>
      <c r="E2323" s="115"/>
      <c r="F2323" s="116"/>
      <c r="G2323" s="113"/>
      <c r="H2323" s="117"/>
      <c r="I2323" s="111"/>
      <c r="J2323" s="118"/>
      <c r="K2323" s="81"/>
    </row>
    <row r="2324" ht="13.5" customHeight="1">
      <c r="A2324" s="111"/>
      <c r="B2324" s="111"/>
      <c r="C2324" s="111"/>
      <c r="D2324" s="111"/>
      <c r="E2324" s="115"/>
      <c r="F2324" s="116"/>
      <c r="G2324" s="113"/>
      <c r="H2324" s="117"/>
      <c r="I2324" s="111"/>
      <c r="J2324" s="118"/>
      <c r="K2324" s="81"/>
    </row>
    <row r="2325" ht="13.5" customHeight="1">
      <c r="A2325" s="111"/>
      <c r="B2325" s="111"/>
      <c r="C2325" s="111"/>
      <c r="D2325" s="111"/>
      <c r="E2325" s="115"/>
      <c r="F2325" s="116"/>
      <c r="G2325" s="113"/>
      <c r="H2325" s="117"/>
      <c r="I2325" s="111"/>
      <c r="J2325" s="118"/>
      <c r="K2325" s="81"/>
    </row>
    <row r="2326" ht="13.5" customHeight="1">
      <c r="A2326" s="111"/>
      <c r="B2326" s="111"/>
      <c r="C2326" s="111"/>
      <c r="D2326" s="111"/>
      <c r="E2326" s="115"/>
      <c r="F2326" s="116"/>
      <c r="G2326" s="113"/>
      <c r="H2326" s="117"/>
      <c r="I2326" s="111"/>
      <c r="J2326" s="118"/>
      <c r="K2326" s="81"/>
    </row>
    <row r="2327" ht="13.5" customHeight="1">
      <c r="A2327" s="111"/>
      <c r="B2327" s="111"/>
      <c r="C2327" s="111"/>
      <c r="D2327" s="111"/>
      <c r="E2327" s="115"/>
      <c r="F2327" s="116"/>
      <c r="G2327" s="113"/>
      <c r="H2327" s="117"/>
      <c r="I2327" s="111"/>
      <c r="J2327" s="118"/>
      <c r="K2327" s="81"/>
    </row>
    <row r="2328" ht="13.5" customHeight="1">
      <c r="A2328" s="111"/>
      <c r="B2328" s="111"/>
      <c r="C2328" s="111"/>
      <c r="D2328" s="111"/>
      <c r="E2328" s="115"/>
      <c r="F2328" s="116"/>
      <c r="G2328" s="113"/>
      <c r="H2328" s="117"/>
      <c r="I2328" s="111"/>
      <c r="J2328" s="118"/>
      <c r="K2328" s="81"/>
    </row>
    <row r="2329" ht="13.5" customHeight="1">
      <c r="A2329" s="111"/>
      <c r="B2329" s="111"/>
      <c r="C2329" s="111"/>
      <c r="D2329" s="111"/>
      <c r="E2329" s="115"/>
      <c r="F2329" s="116"/>
      <c r="G2329" s="113"/>
      <c r="H2329" s="117"/>
      <c r="I2329" s="111"/>
      <c r="J2329" s="118"/>
      <c r="K2329" s="81"/>
    </row>
    <row r="2330" ht="13.5" customHeight="1">
      <c r="A2330" s="111"/>
      <c r="B2330" s="111"/>
      <c r="C2330" s="111"/>
      <c r="D2330" s="111"/>
      <c r="E2330" s="115"/>
      <c r="F2330" s="116"/>
      <c r="G2330" s="113"/>
      <c r="H2330" s="117"/>
      <c r="I2330" s="111"/>
      <c r="J2330" s="118"/>
      <c r="K2330" s="81"/>
    </row>
    <row r="2331" ht="13.5" customHeight="1">
      <c r="A2331" s="111"/>
      <c r="B2331" s="111"/>
      <c r="C2331" s="111"/>
      <c r="D2331" s="111"/>
      <c r="E2331" s="115"/>
      <c r="F2331" s="116"/>
      <c r="G2331" s="113"/>
      <c r="H2331" s="117"/>
      <c r="I2331" s="111"/>
      <c r="J2331" s="118"/>
      <c r="K2331" s="81"/>
    </row>
    <row r="2332" ht="13.5" customHeight="1">
      <c r="A2332" s="111"/>
      <c r="B2332" s="111"/>
      <c r="C2332" s="111"/>
      <c r="D2332" s="111"/>
      <c r="E2332" s="115"/>
      <c r="F2332" s="116"/>
      <c r="G2332" s="113"/>
      <c r="H2332" s="117"/>
      <c r="I2332" s="111"/>
      <c r="J2332" s="118"/>
      <c r="K2332" s="81"/>
    </row>
    <row r="2333" ht="13.5" customHeight="1">
      <c r="A2333" s="111"/>
      <c r="B2333" s="111"/>
      <c r="C2333" s="111"/>
      <c r="D2333" s="111"/>
      <c r="E2333" s="115"/>
      <c r="F2333" s="116"/>
      <c r="G2333" s="113"/>
      <c r="H2333" s="117"/>
      <c r="I2333" s="111"/>
      <c r="J2333" s="118"/>
      <c r="K2333" s="81"/>
    </row>
    <row r="2334" ht="13.5" customHeight="1">
      <c r="A2334" s="111"/>
      <c r="B2334" s="111"/>
      <c r="C2334" s="111"/>
      <c r="D2334" s="111"/>
      <c r="E2334" s="115"/>
      <c r="F2334" s="116"/>
      <c r="G2334" s="113"/>
      <c r="H2334" s="117"/>
      <c r="I2334" s="111"/>
      <c r="J2334" s="118"/>
      <c r="K2334" s="81"/>
    </row>
    <row r="2335" ht="13.5" customHeight="1">
      <c r="A2335" s="111"/>
      <c r="B2335" s="111"/>
      <c r="C2335" s="111"/>
      <c r="D2335" s="111"/>
      <c r="E2335" s="115"/>
      <c r="F2335" s="116"/>
      <c r="G2335" s="113"/>
      <c r="H2335" s="117"/>
      <c r="I2335" s="111"/>
      <c r="J2335" s="118"/>
      <c r="K2335" s="81"/>
    </row>
    <row r="2336" ht="13.5" customHeight="1">
      <c r="A2336" s="111"/>
      <c r="B2336" s="111"/>
      <c r="C2336" s="111"/>
      <c r="D2336" s="111"/>
      <c r="E2336" s="115"/>
      <c r="F2336" s="116"/>
      <c r="G2336" s="113"/>
      <c r="H2336" s="117"/>
      <c r="I2336" s="111"/>
      <c r="J2336" s="118"/>
      <c r="K2336" s="81"/>
    </row>
    <row r="2337" ht="13.5" customHeight="1">
      <c r="A2337" s="111"/>
      <c r="B2337" s="111"/>
      <c r="C2337" s="111"/>
      <c r="D2337" s="111"/>
      <c r="E2337" s="115"/>
      <c r="F2337" s="116"/>
      <c r="G2337" s="113"/>
      <c r="H2337" s="117"/>
      <c r="I2337" s="111"/>
      <c r="J2337" s="118"/>
      <c r="K2337" s="81"/>
    </row>
    <row r="2338" ht="13.5" customHeight="1">
      <c r="A2338" s="111"/>
      <c r="B2338" s="111"/>
      <c r="C2338" s="111"/>
      <c r="D2338" s="111"/>
      <c r="E2338" s="115"/>
      <c r="F2338" s="116"/>
      <c r="G2338" s="113"/>
      <c r="H2338" s="117"/>
      <c r="I2338" s="111"/>
      <c r="J2338" s="118"/>
      <c r="K2338" s="81"/>
    </row>
    <row r="2339" ht="13.5" customHeight="1">
      <c r="A2339" s="111"/>
      <c r="B2339" s="111"/>
      <c r="C2339" s="111"/>
      <c r="D2339" s="111"/>
      <c r="E2339" s="115"/>
      <c r="F2339" s="116"/>
      <c r="G2339" s="113"/>
      <c r="H2339" s="117"/>
      <c r="I2339" s="111"/>
      <c r="J2339" s="118"/>
      <c r="K2339" s="81"/>
    </row>
    <row r="2340" ht="13.5" customHeight="1">
      <c r="A2340" s="111"/>
      <c r="B2340" s="111"/>
      <c r="C2340" s="111"/>
      <c r="D2340" s="111"/>
      <c r="E2340" s="115"/>
      <c r="F2340" s="116"/>
      <c r="G2340" s="113"/>
      <c r="H2340" s="117"/>
      <c r="I2340" s="111"/>
      <c r="J2340" s="118"/>
      <c r="K2340" s="81"/>
    </row>
    <row r="2341" ht="13.5" customHeight="1">
      <c r="A2341" s="111"/>
      <c r="B2341" s="111"/>
      <c r="C2341" s="111"/>
      <c r="D2341" s="111"/>
      <c r="E2341" s="115"/>
      <c r="F2341" s="116"/>
      <c r="G2341" s="113"/>
      <c r="H2341" s="117"/>
      <c r="I2341" s="111"/>
      <c r="J2341" s="118"/>
      <c r="K2341" s="81"/>
    </row>
    <row r="2342" ht="13.5" customHeight="1">
      <c r="A2342" s="111"/>
      <c r="B2342" s="111"/>
      <c r="C2342" s="111"/>
      <c r="D2342" s="111"/>
      <c r="E2342" s="115"/>
      <c r="F2342" s="116"/>
      <c r="G2342" s="113"/>
      <c r="H2342" s="117"/>
      <c r="I2342" s="111"/>
      <c r="J2342" s="118"/>
      <c r="K2342" s="81"/>
    </row>
    <row r="2343" ht="13.5" customHeight="1">
      <c r="A2343" s="111"/>
      <c r="B2343" s="111"/>
      <c r="C2343" s="111"/>
      <c r="D2343" s="111"/>
      <c r="E2343" s="115"/>
      <c r="F2343" s="116"/>
      <c r="G2343" s="113"/>
      <c r="H2343" s="117"/>
      <c r="I2343" s="111"/>
      <c r="J2343" s="118"/>
      <c r="K2343" s="81"/>
    </row>
    <row r="2344" ht="13.5" customHeight="1">
      <c r="A2344" s="111"/>
      <c r="B2344" s="111"/>
      <c r="C2344" s="111"/>
      <c r="D2344" s="111"/>
      <c r="E2344" s="115"/>
      <c r="F2344" s="116"/>
      <c r="G2344" s="113"/>
      <c r="H2344" s="117"/>
      <c r="I2344" s="111"/>
      <c r="J2344" s="118"/>
      <c r="K2344" s="81"/>
    </row>
    <row r="2345" ht="13.5" customHeight="1">
      <c r="A2345" s="111"/>
      <c r="B2345" s="111"/>
      <c r="C2345" s="111"/>
      <c r="D2345" s="111"/>
      <c r="E2345" s="115"/>
      <c r="F2345" s="116"/>
      <c r="G2345" s="113"/>
      <c r="H2345" s="117"/>
      <c r="I2345" s="111"/>
      <c r="J2345" s="118"/>
      <c r="K2345" s="81"/>
    </row>
    <row r="2346" ht="13.5" customHeight="1">
      <c r="A2346" s="111"/>
      <c r="B2346" s="111"/>
      <c r="C2346" s="111"/>
      <c r="D2346" s="111"/>
      <c r="E2346" s="115"/>
      <c r="F2346" s="116"/>
      <c r="G2346" s="113"/>
      <c r="H2346" s="117"/>
      <c r="I2346" s="111"/>
      <c r="J2346" s="118"/>
      <c r="K2346" s="81"/>
    </row>
    <row r="2347" ht="13.5" customHeight="1">
      <c r="A2347" s="111"/>
      <c r="B2347" s="111"/>
      <c r="C2347" s="111"/>
      <c r="D2347" s="111"/>
      <c r="E2347" s="115"/>
      <c r="F2347" s="116"/>
      <c r="G2347" s="113"/>
      <c r="H2347" s="117"/>
      <c r="I2347" s="111"/>
      <c r="J2347" s="118"/>
      <c r="K2347" s="81"/>
    </row>
    <row r="2348" ht="13.5" customHeight="1">
      <c r="A2348" s="111"/>
      <c r="B2348" s="111"/>
      <c r="C2348" s="111"/>
      <c r="D2348" s="111"/>
      <c r="E2348" s="115"/>
      <c r="F2348" s="116"/>
      <c r="G2348" s="113"/>
      <c r="H2348" s="117"/>
      <c r="I2348" s="111"/>
      <c r="J2348" s="118"/>
      <c r="K2348" s="81"/>
    </row>
    <row r="2349" ht="13.5" customHeight="1">
      <c r="A2349" s="111"/>
      <c r="B2349" s="111"/>
      <c r="C2349" s="111"/>
      <c r="D2349" s="111"/>
      <c r="E2349" s="115"/>
      <c r="F2349" s="116"/>
      <c r="G2349" s="113"/>
      <c r="H2349" s="117"/>
      <c r="I2349" s="111"/>
      <c r="J2349" s="118"/>
      <c r="K2349" s="81"/>
    </row>
    <row r="2350" ht="13.5" customHeight="1">
      <c r="A2350" s="111"/>
      <c r="B2350" s="111"/>
      <c r="C2350" s="111"/>
      <c r="D2350" s="111"/>
      <c r="E2350" s="115"/>
      <c r="F2350" s="116"/>
      <c r="G2350" s="113"/>
      <c r="H2350" s="117"/>
      <c r="I2350" s="111"/>
      <c r="J2350" s="118"/>
      <c r="K2350" s="81"/>
    </row>
    <row r="2351" ht="13.5" customHeight="1">
      <c r="A2351" s="111"/>
      <c r="B2351" s="111"/>
      <c r="C2351" s="111"/>
      <c r="D2351" s="111"/>
      <c r="E2351" s="115"/>
      <c r="F2351" s="116"/>
      <c r="G2351" s="113"/>
      <c r="H2351" s="117"/>
      <c r="I2351" s="111"/>
      <c r="J2351" s="118"/>
      <c r="K2351" s="81"/>
    </row>
    <row r="2352" ht="13.5" customHeight="1">
      <c r="A2352" s="111"/>
      <c r="B2352" s="111"/>
      <c r="C2352" s="111"/>
      <c r="D2352" s="111"/>
      <c r="E2352" s="115"/>
      <c r="F2352" s="116"/>
      <c r="G2352" s="113"/>
      <c r="H2352" s="117"/>
      <c r="I2352" s="111"/>
      <c r="J2352" s="118"/>
      <c r="K2352" s="81"/>
    </row>
    <row r="2353" ht="13.5" customHeight="1">
      <c r="A2353" s="111"/>
      <c r="B2353" s="111"/>
      <c r="C2353" s="111"/>
      <c r="D2353" s="111"/>
      <c r="E2353" s="115"/>
      <c r="F2353" s="116"/>
      <c r="G2353" s="113"/>
      <c r="H2353" s="117"/>
      <c r="I2353" s="111"/>
      <c r="J2353" s="118"/>
      <c r="K2353" s="81"/>
    </row>
    <row r="2354" ht="13.5" customHeight="1">
      <c r="A2354" s="111"/>
      <c r="B2354" s="111"/>
      <c r="C2354" s="111"/>
      <c r="D2354" s="111"/>
      <c r="E2354" s="115"/>
      <c r="F2354" s="116"/>
      <c r="G2354" s="113"/>
      <c r="H2354" s="117"/>
      <c r="I2354" s="111"/>
      <c r="J2354" s="118"/>
      <c r="K2354" s="81"/>
    </row>
    <row r="2355" ht="13.5" customHeight="1">
      <c r="A2355" s="111"/>
      <c r="B2355" s="111"/>
      <c r="C2355" s="111"/>
      <c r="D2355" s="111"/>
      <c r="E2355" s="115"/>
      <c r="F2355" s="116"/>
      <c r="G2355" s="113"/>
      <c r="H2355" s="117"/>
      <c r="I2355" s="111"/>
      <c r="J2355" s="118"/>
      <c r="K2355" s="81"/>
    </row>
    <row r="2356" ht="13.5" customHeight="1">
      <c r="A2356" s="111"/>
      <c r="B2356" s="111"/>
      <c r="C2356" s="111"/>
      <c r="D2356" s="111"/>
      <c r="E2356" s="115"/>
      <c r="F2356" s="116"/>
      <c r="G2356" s="113"/>
      <c r="H2356" s="117"/>
      <c r="I2356" s="111"/>
      <c r="J2356" s="118"/>
      <c r="K2356" s="81"/>
    </row>
    <row r="2357" ht="13.5" customHeight="1">
      <c r="A2357" s="111"/>
      <c r="B2357" s="111"/>
      <c r="C2357" s="111"/>
      <c r="D2357" s="111"/>
      <c r="E2357" s="115"/>
      <c r="F2357" s="116"/>
      <c r="G2357" s="113"/>
      <c r="H2357" s="117"/>
      <c r="I2357" s="111"/>
      <c r="J2357" s="118"/>
      <c r="K2357" s="81"/>
    </row>
    <row r="2358" ht="13.5" customHeight="1">
      <c r="A2358" s="111"/>
      <c r="B2358" s="111"/>
      <c r="C2358" s="111"/>
      <c r="D2358" s="111"/>
      <c r="E2358" s="115"/>
      <c r="F2358" s="116"/>
      <c r="G2358" s="113"/>
      <c r="H2358" s="117"/>
      <c r="I2358" s="111"/>
      <c r="J2358" s="118"/>
      <c r="K2358" s="81"/>
    </row>
    <row r="2359" ht="13.5" customHeight="1">
      <c r="A2359" s="111"/>
      <c r="B2359" s="111"/>
      <c r="C2359" s="111"/>
      <c r="D2359" s="111"/>
      <c r="E2359" s="115"/>
      <c r="F2359" s="116"/>
      <c r="G2359" s="113"/>
      <c r="H2359" s="117"/>
      <c r="I2359" s="111"/>
      <c r="J2359" s="118"/>
      <c r="K2359" s="81"/>
    </row>
    <row r="2360" ht="13.5" customHeight="1">
      <c r="A2360" s="111"/>
      <c r="B2360" s="111"/>
      <c r="C2360" s="111"/>
      <c r="D2360" s="111"/>
      <c r="E2360" s="115"/>
      <c r="F2360" s="116"/>
      <c r="G2360" s="113"/>
      <c r="H2360" s="117"/>
      <c r="I2360" s="111"/>
      <c r="J2360" s="118"/>
      <c r="K2360" s="81"/>
    </row>
    <row r="2361" ht="13.5" customHeight="1">
      <c r="A2361" s="111"/>
      <c r="B2361" s="111"/>
      <c r="C2361" s="111"/>
      <c r="D2361" s="111"/>
      <c r="E2361" s="115"/>
      <c r="F2361" s="116"/>
      <c r="G2361" s="113"/>
      <c r="H2361" s="117"/>
      <c r="I2361" s="111"/>
      <c r="J2361" s="118"/>
      <c r="K2361" s="81"/>
    </row>
    <row r="2362" ht="13.5" customHeight="1">
      <c r="A2362" s="111"/>
      <c r="B2362" s="111"/>
      <c r="C2362" s="111"/>
      <c r="D2362" s="111"/>
      <c r="E2362" s="115"/>
      <c r="F2362" s="116"/>
      <c r="G2362" s="113"/>
      <c r="H2362" s="117"/>
      <c r="I2362" s="111"/>
      <c r="J2362" s="118"/>
      <c r="K2362" s="81"/>
    </row>
    <row r="2363" ht="13.5" customHeight="1">
      <c r="A2363" s="111"/>
      <c r="B2363" s="111"/>
      <c r="C2363" s="111"/>
      <c r="D2363" s="111"/>
      <c r="E2363" s="115"/>
      <c r="F2363" s="116"/>
      <c r="G2363" s="113"/>
      <c r="H2363" s="117"/>
      <c r="I2363" s="111"/>
      <c r="J2363" s="118"/>
      <c r="K2363" s="81"/>
    </row>
    <row r="2364" ht="13.5" customHeight="1">
      <c r="A2364" s="111"/>
      <c r="B2364" s="111"/>
      <c r="C2364" s="111"/>
      <c r="D2364" s="111"/>
      <c r="E2364" s="115"/>
      <c r="F2364" s="116"/>
      <c r="G2364" s="113"/>
      <c r="H2364" s="117"/>
      <c r="I2364" s="111"/>
      <c r="J2364" s="118"/>
      <c r="K2364" s="81"/>
    </row>
    <row r="2365" ht="13.5" customHeight="1">
      <c r="A2365" s="111"/>
      <c r="B2365" s="111"/>
      <c r="C2365" s="111"/>
      <c r="D2365" s="111"/>
      <c r="E2365" s="115"/>
      <c r="F2365" s="116"/>
      <c r="G2365" s="113"/>
      <c r="H2365" s="117"/>
      <c r="I2365" s="111"/>
      <c r="J2365" s="118"/>
      <c r="K2365" s="81"/>
    </row>
    <row r="2366" ht="13.5" customHeight="1">
      <c r="A2366" s="111"/>
      <c r="B2366" s="111"/>
      <c r="C2366" s="111"/>
      <c r="D2366" s="111"/>
      <c r="E2366" s="115"/>
      <c r="F2366" s="116"/>
      <c r="G2366" s="113"/>
      <c r="H2366" s="117"/>
      <c r="I2366" s="111"/>
      <c r="J2366" s="118"/>
      <c r="K2366" s="81"/>
    </row>
    <row r="2367" ht="13.5" customHeight="1">
      <c r="A2367" s="111"/>
      <c r="B2367" s="111"/>
      <c r="C2367" s="111"/>
      <c r="D2367" s="111"/>
      <c r="E2367" s="115"/>
      <c r="F2367" s="116"/>
      <c r="G2367" s="113"/>
      <c r="H2367" s="117"/>
      <c r="I2367" s="111"/>
      <c r="J2367" s="118"/>
      <c r="K2367" s="81"/>
    </row>
    <row r="2368" ht="13.5" customHeight="1">
      <c r="A2368" s="111"/>
      <c r="B2368" s="111"/>
      <c r="C2368" s="111"/>
      <c r="D2368" s="111"/>
      <c r="E2368" s="115"/>
      <c r="F2368" s="116"/>
      <c r="G2368" s="113"/>
      <c r="H2368" s="117"/>
      <c r="I2368" s="111"/>
      <c r="J2368" s="118"/>
      <c r="K2368" s="81"/>
    </row>
    <row r="2369" ht="13.5" customHeight="1">
      <c r="A2369" s="111"/>
      <c r="B2369" s="111"/>
      <c r="C2369" s="111"/>
      <c r="D2369" s="111"/>
      <c r="E2369" s="115"/>
      <c r="F2369" s="116"/>
      <c r="G2369" s="113"/>
      <c r="H2369" s="117"/>
      <c r="I2369" s="111"/>
      <c r="J2369" s="118"/>
      <c r="K2369" s="81"/>
    </row>
    <row r="2370" ht="13.5" customHeight="1">
      <c r="A2370" s="111"/>
      <c r="B2370" s="111"/>
      <c r="C2370" s="111"/>
      <c r="D2370" s="111"/>
      <c r="E2370" s="115"/>
      <c r="F2370" s="116"/>
      <c r="G2370" s="113"/>
      <c r="H2370" s="117"/>
      <c r="I2370" s="111"/>
      <c r="J2370" s="118"/>
      <c r="K2370" s="81"/>
    </row>
    <row r="2371" ht="13.5" customHeight="1">
      <c r="A2371" s="111"/>
      <c r="B2371" s="111"/>
      <c r="C2371" s="111"/>
      <c r="D2371" s="111"/>
      <c r="E2371" s="115"/>
      <c r="F2371" s="116"/>
      <c r="G2371" s="113"/>
      <c r="H2371" s="117"/>
      <c r="I2371" s="111"/>
      <c r="J2371" s="118"/>
      <c r="K2371" s="81"/>
    </row>
    <row r="2372" ht="13.5" customHeight="1">
      <c r="A2372" s="111"/>
      <c r="B2372" s="111"/>
      <c r="C2372" s="111"/>
      <c r="D2372" s="111"/>
      <c r="E2372" s="115"/>
      <c r="F2372" s="116"/>
      <c r="G2372" s="113"/>
      <c r="H2372" s="117"/>
      <c r="I2372" s="111"/>
      <c r="J2372" s="118"/>
      <c r="K2372" s="81"/>
    </row>
    <row r="2373" ht="13.5" customHeight="1">
      <c r="A2373" s="111"/>
      <c r="B2373" s="111"/>
      <c r="C2373" s="111"/>
      <c r="D2373" s="111"/>
      <c r="E2373" s="115"/>
      <c r="F2373" s="116"/>
      <c r="G2373" s="113"/>
      <c r="H2373" s="117"/>
      <c r="I2373" s="111"/>
      <c r="J2373" s="118"/>
      <c r="K2373" s="81"/>
    </row>
    <row r="2374" ht="13.5" customHeight="1">
      <c r="A2374" s="111"/>
      <c r="B2374" s="111"/>
      <c r="C2374" s="111"/>
      <c r="D2374" s="111"/>
      <c r="E2374" s="115"/>
      <c r="F2374" s="116"/>
      <c r="G2374" s="113"/>
      <c r="H2374" s="117"/>
      <c r="I2374" s="111"/>
      <c r="J2374" s="118"/>
      <c r="K2374" s="81"/>
    </row>
    <row r="2375" ht="13.5" customHeight="1">
      <c r="A2375" s="111"/>
      <c r="B2375" s="111"/>
      <c r="C2375" s="111"/>
      <c r="D2375" s="111"/>
      <c r="E2375" s="115"/>
      <c r="F2375" s="116"/>
      <c r="G2375" s="113"/>
      <c r="H2375" s="117"/>
      <c r="I2375" s="111"/>
      <c r="J2375" s="118"/>
      <c r="K2375" s="81"/>
    </row>
    <row r="2376" ht="13.5" customHeight="1">
      <c r="A2376" s="111"/>
      <c r="B2376" s="111"/>
      <c r="C2376" s="111"/>
      <c r="D2376" s="111"/>
      <c r="E2376" s="115"/>
      <c r="F2376" s="116"/>
      <c r="G2376" s="113"/>
      <c r="H2376" s="117"/>
      <c r="I2376" s="111"/>
      <c r="J2376" s="118"/>
      <c r="K2376" s="81"/>
    </row>
    <row r="2377" ht="13.5" customHeight="1">
      <c r="A2377" s="111"/>
      <c r="B2377" s="111"/>
      <c r="C2377" s="111"/>
      <c r="D2377" s="111"/>
      <c r="E2377" s="115"/>
      <c r="F2377" s="116"/>
      <c r="G2377" s="113"/>
      <c r="H2377" s="117"/>
      <c r="I2377" s="111"/>
      <c r="J2377" s="118"/>
      <c r="K2377" s="81"/>
    </row>
    <row r="2378" ht="13.5" customHeight="1">
      <c r="A2378" s="111"/>
      <c r="B2378" s="111"/>
      <c r="C2378" s="111"/>
      <c r="D2378" s="111"/>
      <c r="E2378" s="115"/>
      <c r="F2378" s="116"/>
      <c r="G2378" s="113"/>
      <c r="H2378" s="117"/>
      <c r="I2378" s="111"/>
      <c r="J2378" s="118"/>
      <c r="K2378" s="81"/>
    </row>
    <row r="2379" ht="13.5" customHeight="1">
      <c r="A2379" s="111"/>
      <c r="B2379" s="111"/>
      <c r="C2379" s="111"/>
      <c r="D2379" s="111"/>
      <c r="E2379" s="115"/>
      <c r="F2379" s="116"/>
      <c r="G2379" s="113"/>
      <c r="H2379" s="117"/>
      <c r="I2379" s="111"/>
      <c r="J2379" s="118"/>
      <c r="K2379" s="81"/>
    </row>
    <row r="2380" ht="13.5" customHeight="1">
      <c r="A2380" s="111"/>
      <c r="B2380" s="111"/>
      <c r="C2380" s="111"/>
      <c r="D2380" s="111"/>
      <c r="E2380" s="115"/>
      <c r="F2380" s="116"/>
      <c r="G2380" s="113"/>
      <c r="H2380" s="117"/>
      <c r="I2380" s="111"/>
      <c r="J2380" s="118"/>
      <c r="K2380" s="81"/>
    </row>
    <row r="2381" ht="13.5" customHeight="1">
      <c r="A2381" s="111"/>
      <c r="B2381" s="111"/>
      <c r="C2381" s="111"/>
      <c r="D2381" s="111"/>
      <c r="E2381" s="115"/>
      <c r="F2381" s="116"/>
      <c r="G2381" s="113"/>
      <c r="H2381" s="117"/>
      <c r="I2381" s="111"/>
      <c r="J2381" s="118"/>
      <c r="K2381" s="81"/>
    </row>
    <row r="2382" ht="13.5" customHeight="1">
      <c r="A2382" s="111"/>
      <c r="B2382" s="111"/>
      <c r="C2382" s="111"/>
      <c r="D2382" s="111"/>
      <c r="E2382" s="115"/>
      <c r="F2382" s="116"/>
      <c r="G2382" s="113"/>
      <c r="H2382" s="117"/>
      <c r="I2382" s="111"/>
      <c r="J2382" s="118"/>
      <c r="K2382" s="81"/>
    </row>
    <row r="2383" ht="13.5" customHeight="1">
      <c r="A2383" s="111"/>
      <c r="B2383" s="111"/>
      <c r="C2383" s="111"/>
      <c r="D2383" s="111"/>
      <c r="E2383" s="115"/>
      <c r="F2383" s="116"/>
      <c r="G2383" s="113"/>
      <c r="H2383" s="117"/>
      <c r="I2383" s="111"/>
      <c r="J2383" s="118"/>
      <c r="K2383" s="81"/>
    </row>
    <row r="2384" ht="13.5" customHeight="1">
      <c r="A2384" s="111"/>
      <c r="B2384" s="111"/>
      <c r="C2384" s="111"/>
      <c r="D2384" s="111"/>
      <c r="E2384" s="115"/>
      <c r="F2384" s="116"/>
      <c r="G2384" s="113"/>
      <c r="H2384" s="117"/>
      <c r="I2384" s="111"/>
      <c r="J2384" s="118"/>
      <c r="K2384" s="81"/>
    </row>
    <row r="2385" ht="13.5" customHeight="1">
      <c r="A2385" s="111"/>
      <c r="B2385" s="111"/>
      <c r="C2385" s="111"/>
      <c r="D2385" s="111"/>
      <c r="E2385" s="115"/>
      <c r="F2385" s="116"/>
      <c r="G2385" s="113"/>
      <c r="H2385" s="117"/>
      <c r="I2385" s="111"/>
      <c r="J2385" s="118"/>
      <c r="K2385" s="81"/>
    </row>
    <row r="2386" ht="13.5" customHeight="1">
      <c r="A2386" s="111"/>
      <c r="B2386" s="111"/>
      <c r="C2386" s="111"/>
      <c r="D2386" s="111"/>
      <c r="E2386" s="115"/>
      <c r="F2386" s="116"/>
      <c r="G2386" s="113"/>
      <c r="H2386" s="117"/>
      <c r="I2386" s="111"/>
      <c r="J2386" s="118"/>
      <c r="K2386" s="81"/>
    </row>
    <row r="2387" ht="13.5" customHeight="1">
      <c r="A2387" s="111"/>
      <c r="B2387" s="111"/>
      <c r="C2387" s="111"/>
      <c r="D2387" s="111"/>
      <c r="E2387" s="115"/>
      <c r="F2387" s="116"/>
      <c r="G2387" s="113"/>
      <c r="H2387" s="117"/>
      <c r="I2387" s="111"/>
      <c r="J2387" s="118"/>
      <c r="K2387" s="81"/>
    </row>
    <row r="2388" ht="13.5" customHeight="1">
      <c r="A2388" s="111"/>
      <c r="B2388" s="111"/>
      <c r="C2388" s="111"/>
      <c r="D2388" s="111"/>
      <c r="E2388" s="115"/>
      <c r="F2388" s="116"/>
      <c r="G2388" s="113"/>
      <c r="H2388" s="117"/>
      <c r="I2388" s="111"/>
      <c r="J2388" s="118"/>
      <c r="K2388" s="81"/>
    </row>
    <row r="2389" ht="13.5" customHeight="1">
      <c r="A2389" s="111"/>
      <c r="B2389" s="111"/>
      <c r="C2389" s="111"/>
      <c r="D2389" s="111"/>
      <c r="E2389" s="115"/>
      <c r="F2389" s="116"/>
      <c r="G2389" s="113"/>
      <c r="H2389" s="117"/>
      <c r="I2389" s="111"/>
      <c r="J2389" s="118"/>
      <c r="K2389" s="81"/>
    </row>
    <row r="2390" ht="13.5" customHeight="1">
      <c r="A2390" s="111"/>
      <c r="B2390" s="111"/>
      <c r="C2390" s="111"/>
      <c r="D2390" s="111"/>
      <c r="E2390" s="115"/>
      <c r="F2390" s="116"/>
      <c r="G2390" s="113"/>
      <c r="H2390" s="117"/>
      <c r="I2390" s="111"/>
      <c r="J2390" s="118"/>
      <c r="K2390" s="81"/>
    </row>
    <row r="2391" ht="13.5" customHeight="1">
      <c r="A2391" s="111"/>
      <c r="B2391" s="111"/>
      <c r="C2391" s="111"/>
      <c r="D2391" s="111"/>
      <c r="E2391" s="115"/>
      <c r="F2391" s="116"/>
      <c r="G2391" s="113"/>
      <c r="H2391" s="117"/>
      <c r="I2391" s="111"/>
      <c r="J2391" s="118"/>
      <c r="K2391" s="81"/>
    </row>
    <row r="2392" ht="13.5" customHeight="1">
      <c r="A2392" s="111"/>
      <c r="B2392" s="111"/>
      <c r="C2392" s="111"/>
      <c r="D2392" s="111"/>
      <c r="E2392" s="115"/>
      <c r="F2392" s="116"/>
      <c r="G2392" s="113"/>
      <c r="H2392" s="117"/>
      <c r="I2392" s="111"/>
      <c r="J2392" s="118"/>
      <c r="K2392" s="81"/>
    </row>
    <row r="2393" ht="13.5" customHeight="1">
      <c r="A2393" s="111"/>
      <c r="B2393" s="111"/>
      <c r="C2393" s="111"/>
      <c r="D2393" s="111"/>
      <c r="E2393" s="115"/>
      <c r="F2393" s="116"/>
      <c r="G2393" s="113"/>
      <c r="H2393" s="117"/>
      <c r="I2393" s="111"/>
      <c r="J2393" s="118"/>
      <c r="K2393" s="81"/>
    </row>
    <row r="2394" ht="13.5" customHeight="1">
      <c r="A2394" s="111"/>
      <c r="B2394" s="111"/>
      <c r="C2394" s="111"/>
      <c r="D2394" s="111"/>
      <c r="E2394" s="115"/>
      <c r="F2394" s="116"/>
      <c r="G2394" s="113"/>
      <c r="H2394" s="117"/>
      <c r="I2394" s="111"/>
      <c r="J2394" s="118"/>
      <c r="K2394" s="81"/>
    </row>
    <row r="2395" ht="13.5" customHeight="1">
      <c r="A2395" s="111"/>
      <c r="B2395" s="111"/>
      <c r="C2395" s="111"/>
      <c r="D2395" s="111"/>
      <c r="E2395" s="115"/>
      <c r="F2395" s="116"/>
      <c r="G2395" s="113"/>
      <c r="H2395" s="117"/>
      <c r="I2395" s="111"/>
      <c r="J2395" s="118"/>
      <c r="K2395" s="81"/>
    </row>
    <row r="2396" ht="13.5" customHeight="1">
      <c r="A2396" s="111"/>
      <c r="B2396" s="111"/>
      <c r="C2396" s="111"/>
      <c r="D2396" s="111"/>
      <c r="E2396" s="115"/>
      <c r="F2396" s="116"/>
      <c r="G2396" s="113"/>
      <c r="H2396" s="117"/>
      <c r="I2396" s="111"/>
      <c r="J2396" s="118"/>
      <c r="K2396" s="81"/>
    </row>
    <row r="2397" ht="13.5" customHeight="1">
      <c r="A2397" s="111"/>
      <c r="B2397" s="111"/>
      <c r="C2397" s="111"/>
      <c r="D2397" s="111"/>
      <c r="E2397" s="115"/>
      <c r="F2397" s="116"/>
      <c r="G2397" s="113"/>
      <c r="H2397" s="117"/>
      <c r="I2397" s="111"/>
      <c r="J2397" s="118"/>
      <c r="K2397" s="81"/>
    </row>
    <row r="2398" ht="13.5" customHeight="1">
      <c r="A2398" s="111"/>
      <c r="B2398" s="111"/>
      <c r="C2398" s="111"/>
      <c r="D2398" s="111"/>
      <c r="E2398" s="115"/>
      <c r="F2398" s="116"/>
      <c r="G2398" s="113"/>
      <c r="H2398" s="117"/>
      <c r="I2398" s="111"/>
      <c r="J2398" s="118"/>
      <c r="K2398" s="81"/>
    </row>
    <row r="2399" ht="13.5" customHeight="1">
      <c r="A2399" s="111"/>
      <c r="B2399" s="111"/>
      <c r="C2399" s="111"/>
      <c r="D2399" s="111"/>
      <c r="E2399" s="115"/>
      <c r="F2399" s="116"/>
      <c r="G2399" s="113"/>
      <c r="H2399" s="117"/>
      <c r="I2399" s="111"/>
      <c r="J2399" s="118"/>
      <c r="K2399" s="81"/>
    </row>
    <row r="2400" ht="13.5" customHeight="1">
      <c r="A2400" s="111"/>
      <c r="B2400" s="111"/>
      <c r="C2400" s="111"/>
      <c r="D2400" s="111"/>
      <c r="E2400" s="115"/>
      <c r="F2400" s="116"/>
      <c r="G2400" s="113"/>
      <c r="H2400" s="117"/>
      <c r="I2400" s="111"/>
      <c r="J2400" s="118"/>
      <c r="K2400" s="81"/>
    </row>
    <row r="2401" ht="13.5" customHeight="1">
      <c r="A2401" s="111"/>
      <c r="B2401" s="111"/>
      <c r="C2401" s="111"/>
      <c r="D2401" s="111"/>
      <c r="E2401" s="115"/>
      <c r="F2401" s="116"/>
      <c r="G2401" s="113"/>
      <c r="H2401" s="117"/>
      <c r="I2401" s="111"/>
      <c r="J2401" s="118"/>
      <c r="K2401" s="81"/>
    </row>
    <row r="2402" ht="13.5" customHeight="1">
      <c r="A2402" s="111"/>
      <c r="B2402" s="111"/>
      <c r="C2402" s="111"/>
      <c r="D2402" s="111"/>
      <c r="E2402" s="115"/>
      <c r="F2402" s="116"/>
      <c r="G2402" s="113"/>
      <c r="H2402" s="117"/>
      <c r="I2402" s="111"/>
      <c r="J2402" s="118"/>
      <c r="K2402" s="81"/>
    </row>
    <row r="2403" ht="13.5" customHeight="1">
      <c r="A2403" s="111"/>
      <c r="B2403" s="111"/>
      <c r="C2403" s="111"/>
      <c r="D2403" s="111"/>
      <c r="E2403" s="115"/>
      <c r="F2403" s="116"/>
      <c r="G2403" s="113"/>
      <c r="H2403" s="117"/>
      <c r="I2403" s="111"/>
      <c r="J2403" s="118"/>
      <c r="K2403" s="81"/>
    </row>
    <row r="2404" ht="13.5" customHeight="1">
      <c r="A2404" s="111"/>
      <c r="B2404" s="111"/>
      <c r="C2404" s="111"/>
      <c r="D2404" s="111"/>
      <c r="E2404" s="115"/>
      <c r="F2404" s="116"/>
      <c r="G2404" s="113"/>
      <c r="H2404" s="117"/>
      <c r="I2404" s="111"/>
      <c r="J2404" s="118"/>
      <c r="K2404" s="81"/>
    </row>
    <row r="2405" ht="13.5" customHeight="1">
      <c r="A2405" s="111"/>
      <c r="B2405" s="111"/>
      <c r="C2405" s="111"/>
      <c r="D2405" s="111"/>
      <c r="E2405" s="115"/>
      <c r="F2405" s="116"/>
      <c r="G2405" s="113"/>
      <c r="H2405" s="117"/>
      <c r="I2405" s="111"/>
      <c r="J2405" s="118"/>
      <c r="K2405" s="81"/>
    </row>
    <row r="2406" ht="13.5" customHeight="1">
      <c r="A2406" s="111"/>
      <c r="B2406" s="111"/>
      <c r="C2406" s="111"/>
      <c r="D2406" s="111"/>
      <c r="E2406" s="115"/>
      <c r="F2406" s="116"/>
      <c r="G2406" s="113"/>
      <c r="H2406" s="117"/>
      <c r="I2406" s="111"/>
      <c r="J2406" s="118"/>
      <c r="K2406" s="81"/>
    </row>
    <row r="2407" ht="13.5" customHeight="1">
      <c r="A2407" s="111"/>
      <c r="B2407" s="111"/>
      <c r="C2407" s="111"/>
      <c r="D2407" s="111"/>
      <c r="E2407" s="115"/>
      <c r="F2407" s="116"/>
      <c r="G2407" s="113"/>
      <c r="H2407" s="117"/>
      <c r="I2407" s="111"/>
      <c r="J2407" s="118"/>
      <c r="K2407" s="81"/>
    </row>
    <row r="2408" ht="13.5" customHeight="1">
      <c r="A2408" s="111"/>
      <c r="B2408" s="111"/>
      <c r="C2408" s="111"/>
      <c r="D2408" s="111"/>
      <c r="E2408" s="115"/>
      <c r="F2408" s="116"/>
      <c r="G2408" s="113"/>
      <c r="H2408" s="117"/>
      <c r="I2408" s="111"/>
      <c r="J2408" s="118"/>
      <c r="K2408" s="81"/>
    </row>
    <row r="2409" ht="13.5" customHeight="1">
      <c r="A2409" s="111"/>
      <c r="B2409" s="111"/>
      <c r="C2409" s="111"/>
      <c r="D2409" s="111"/>
      <c r="E2409" s="115"/>
      <c r="F2409" s="116"/>
      <c r="G2409" s="113"/>
      <c r="H2409" s="117"/>
      <c r="I2409" s="111"/>
      <c r="J2409" s="118"/>
      <c r="K2409" s="81"/>
    </row>
    <row r="2410" ht="13.5" customHeight="1">
      <c r="A2410" s="111"/>
      <c r="B2410" s="111"/>
      <c r="C2410" s="111"/>
      <c r="D2410" s="111"/>
      <c r="E2410" s="115"/>
      <c r="F2410" s="116"/>
      <c r="G2410" s="113"/>
      <c r="H2410" s="117"/>
      <c r="I2410" s="111"/>
      <c r="J2410" s="118"/>
      <c r="K2410" s="81"/>
    </row>
    <row r="2411" ht="13.5" customHeight="1">
      <c r="A2411" s="111"/>
      <c r="B2411" s="111"/>
      <c r="C2411" s="111"/>
      <c r="D2411" s="111"/>
      <c r="E2411" s="115"/>
      <c r="F2411" s="116"/>
      <c r="G2411" s="113"/>
      <c r="H2411" s="117"/>
      <c r="I2411" s="111"/>
      <c r="J2411" s="118"/>
      <c r="K2411" s="81"/>
    </row>
    <row r="2412" ht="13.5" customHeight="1">
      <c r="A2412" s="111"/>
      <c r="B2412" s="111"/>
      <c r="C2412" s="111"/>
      <c r="D2412" s="111"/>
      <c r="E2412" s="115"/>
      <c r="F2412" s="116"/>
      <c r="G2412" s="113"/>
      <c r="H2412" s="117"/>
      <c r="I2412" s="111"/>
      <c r="J2412" s="118"/>
      <c r="K2412" s="81"/>
    </row>
    <row r="2413" ht="13.5" customHeight="1">
      <c r="A2413" s="111"/>
      <c r="B2413" s="111"/>
      <c r="C2413" s="111"/>
      <c r="D2413" s="111"/>
      <c r="E2413" s="115"/>
      <c r="F2413" s="116"/>
      <c r="G2413" s="113"/>
      <c r="H2413" s="117"/>
      <c r="I2413" s="111"/>
      <c r="J2413" s="118"/>
      <c r="K2413" s="81"/>
    </row>
    <row r="2414" ht="13.5" customHeight="1">
      <c r="A2414" s="111"/>
      <c r="B2414" s="111"/>
      <c r="C2414" s="111"/>
      <c r="D2414" s="111"/>
      <c r="E2414" s="115"/>
      <c r="F2414" s="116"/>
      <c r="G2414" s="113"/>
      <c r="H2414" s="117"/>
      <c r="I2414" s="111"/>
      <c r="J2414" s="118"/>
      <c r="K2414" s="81"/>
    </row>
    <row r="2415" ht="13.5" customHeight="1">
      <c r="A2415" s="111"/>
      <c r="B2415" s="111"/>
      <c r="C2415" s="111"/>
      <c r="D2415" s="111"/>
      <c r="E2415" s="115"/>
      <c r="F2415" s="116"/>
      <c r="G2415" s="113"/>
      <c r="H2415" s="117"/>
      <c r="I2415" s="111"/>
      <c r="J2415" s="118"/>
      <c r="K2415" s="81"/>
    </row>
    <row r="2416" ht="13.5" customHeight="1">
      <c r="A2416" s="111"/>
      <c r="B2416" s="111"/>
      <c r="C2416" s="111"/>
      <c r="D2416" s="111"/>
      <c r="E2416" s="115"/>
      <c r="F2416" s="116"/>
      <c r="G2416" s="113"/>
      <c r="H2416" s="117"/>
      <c r="I2416" s="111"/>
      <c r="J2416" s="118"/>
      <c r="K2416" s="81"/>
    </row>
    <row r="2417" ht="13.5" customHeight="1">
      <c r="A2417" s="111"/>
      <c r="B2417" s="111"/>
      <c r="C2417" s="111"/>
      <c r="D2417" s="111"/>
      <c r="E2417" s="115"/>
      <c r="F2417" s="116"/>
      <c r="G2417" s="113"/>
      <c r="H2417" s="117"/>
      <c r="I2417" s="111"/>
      <c r="J2417" s="118"/>
      <c r="K2417" s="81"/>
    </row>
    <row r="2418" ht="13.5" customHeight="1">
      <c r="A2418" s="111"/>
      <c r="B2418" s="111"/>
      <c r="C2418" s="111"/>
      <c r="D2418" s="111"/>
      <c r="E2418" s="115"/>
      <c r="F2418" s="116"/>
      <c r="G2418" s="113"/>
      <c r="H2418" s="117"/>
      <c r="I2418" s="111"/>
      <c r="J2418" s="118"/>
      <c r="K2418" s="81"/>
    </row>
    <row r="2419" ht="13.5" customHeight="1">
      <c r="A2419" s="111"/>
      <c r="B2419" s="111"/>
      <c r="C2419" s="111"/>
      <c r="D2419" s="111"/>
      <c r="E2419" s="115"/>
      <c r="F2419" s="116"/>
      <c r="G2419" s="113"/>
      <c r="H2419" s="117"/>
      <c r="I2419" s="111"/>
      <c r="J2419" s="118"/>
      <c r="K2419" s="81"/>
    </row>
    <row r="2420" ht="13.5" customHeight="1">
      <c r="A2420" s="111"/>
      <c r="B2420" s="111"/>
      <c r="C2420" s="111"/>
      <c r="D2420" s="111"/>
      <c r="E2420" s="115"/>
      <c r="F2420" s="116"/>
      <c r="G2420" s="113"/>
      <c r="H2420" s="117"/>
      <c r="I2420" s="111"/>
      <c r="J2420" s="118"/>
      <c r="K2420" s="81"/>
    </row>
    <row r="2421" ht="13.5" customHeight="1">
      <c r="A2421" s="111"/>
      <c r="B2421" s="111"/>
      <c r="C2421" s="111"/>
      <c r="D2421" s="111"/>
      <c r="E2421" s="115"/>
      <c r="F2421" s="116"/>
      <c r="G2421" s="113"/>
      <c r="H2421" s="117"/>
      <c r="I2421" s="111"/>
      <c r="J2421" s="118"/>
      <c r="K2421" s="81"/>
    </row>
    <row r="2422" ht="13.5" customHeight="1">
      <c r="A2422" s="111"/>
      <c r="B2422" s="111"/>
      <c r="C2422" s="111"/>
      <c r="D2422" s="111"/>
      <c r="E2422" s="115"/>
      <c r="F2422" s="116"/>
      <c r="G2422" s="113"/>
      <c r="H2422" s="117"/>
      <c r="I2422" s="111"/>
      <c r="J2422" s="118"/>
      <c r="K2422" s="81"/>
    </row>
    <row r="2423" ht="13.5" customHeight="1">
      <c r="A2423" s="111"/>
      <c r="B2423" s="111"/>
      <c r="C2423" s="111"/>
      <c r="D2423" s="111"/>
      <c r="E2423" s="115"/>
      <c r="F2423" s="116"/>
      <c r="G2423" s="113"/>
      <c r="H2423" s="117"/>
      <c r="I2423" s="111"/>
      <c r="J2423" s="118"/>
      <c r="K2423" s="81"/>
    </row>
    <row r="2424" ht="13.5" customHeight="1">
      <c r="A2424" s="111"/>
      <c r="B2424" s="111"/>
      <c r="C2424" s="111"/>
      <c r="D2424" s="111"/>
      <c r="E2424" s="115"/>
      <c r="F2424" s="116"/>
      <c r="G2424" s="113"/>
      <c r="H2424" s="117"/>
      <c r="I2424" s="111"/>
      <c r="J2424" s="118"/>
      <c r="K2424" s="81"/>
    </row>
    <row r="2425" ht="13.5" customHeight="1">
      <c r="A2425" s="111"/>
      <c r="B2425" s="111"/>
      <c r="C2425" s="111"/>
      <c r="D2425" s="111"/>
      <c r="E2425" s="115"/>
      <c r="F2425" s="116"/>
      <c r="G2425" s="113"/>
      <c r="H2425" s="117"/>
      <c r="I2425" s="111"/>
      <c r="J2425" s="118"/>
      <c r="K2425" s="81"/>
    </row>
    <row r="2426" ht="13.5" customHeight="1">
      <c r="A2426" s="111"/>
      <c r="B2426" s="111"/>
      <c r="C2426" s="111"/>
      <c r="D2426" s="111"/>
      <c r="E2426" s="115"/>
      <c r="F2426" s="116"/>
      <c r="G2426" s="113"/>
      <c r="H2426" s="117"/>
      <c r="I2426" s="111"/>
      <c r="J2426" s="118"/>
      <c r="K2426" s="81"/>
    </row>
    <row r="2427" ht="13.5" customHeight="1">
      <c r="A2427" s="111"/>
      <c r="B2427" s="111"/>
      <c r="C2427" s="111"/>
      <c r="D2427" s="111"/>
      <c r="E2427" s="115"/>
      <c r="F2427" s="116"/>
      <c r="G2427" s="113"/>
      <c r="H2427" s="117"/>
      <c r="I2427" s="111"/>
      <c r="J2427" s="118"/>
      <c r="K2427" s="81"/>
    </row>
    <row r="2428" ht="13.5" customHeight="1">
      <c r="A2428" s="111"/>
      <c r="B2428" s="111"/>
      <c r="C2428" s="111"/>
      <c r="D2428" s="111"/>
      <c r="E2428" s="115"/>
      <c r="F2428" s="116"/>
      <c r="G2428" s="113"/>
      <c r="H2428" s="117"/>
      <c r="I2428" s="111"/>
      <c r="J2428" s="118"/>
      <c r="K2428" s="81"/>
    </row>
    <row r="2429" ht="13.5" customHeight="1">
      <c r="A2429" s="111"/>
      <c r="B2429" s="111"/>
      <c r="C2429" s="111"/>
      <c r="D2429" s="111"/>
      <c r="E2429" s="115"/>
      <c r="F2429" s="116"/>
      <c r="G2429" s="113"/>
      <c r="H2429" s="117"/>
      <c r="I2429" s="111"/>
      <c r="J2429" s="118"/>
      <c r="K2429" s="81"/>
    </row>
    <row r="2430" ht="13.5" customHeight="1">
      <c r="A2430" s="111"/>
      <c r="B2430" s="111"/>
      <c r="C2430" s="111"/>
      <c r="D2430" s="111"/>
      <c r="E2430" s="115"/>
      <c r="F2430" s="116"/>
      <c r="G2430" s="113"/>
      <c r="H2430" s="117"/>
      <c r="I2430" s="111"/>
      <c r="J2430" s="118"/>
      <c r="K2430" s="81"/>
    </row>
    <row r="2431" ht="13.5" customHeight="1">
      <c r="A2431" s="111"/>
      <c r="B2431" s="111"/>
      <c r="C2431" s="111"/>
      <c r="D2431" s="111"/>
      <c r="E2431" s="115"/>
      <c r="F2431" s="116"/>
      <c r="G2431" s="113"/>
      <c r="H2431" s="117"/>
      <c r="I2431" s="111"/>
      <c r="J2431" s="118"/>
      <c r="K2431" s="81"/>
    </row>
    <row r="2432" ht="13.5" customHeight="1">
      <c r="A2432" s="111"/>
      <c r="B2432" s="111"/>
      <c r="C2432" s="111"/>
      <c r="D2432" s="111"/>
      <c r="E2432" s="115"/>
      <c r="F2432" s="116"/>
      <c r="G2432" s="113"/>
      <c r="H2432" s="117"/>
      <c r="I2432" s="111"/>
      <c r="J2432" s="118"/>
      <c r="K2432" s="81"/>
    </row>
    <row r="2433" ht="13.5" customHeight="1">
      <c r="A2433" s="111"/>
      <c r="B2433" s="111"/>
      <c r="C2433" s="111"/>
      <c r="D2433" s="111"/>
      <c r="E2433" s="115"/>
      <c r="F2433" s="116"/>
      <c r="G2433" s="113"/>
      <c r="H2433" s="117"/>
      <c r="I2433" s="111"/>
      <c r="J2433" s="118"/>
      <c r="K2433" s="81"/>
    </row>
    <row r="2434" ht="13.5" customHeight="1">
      <c r="A2434" s="111"/>
      <c r="B2434" s="111"/>
      <c r="C2434" s="111"/>
      <c r="D2434" s="111"/>
      <c r="E2434" s="115"/>
      <c r="F2434" s="116"/>
      <c r="G2434" s="113"/>
      <c r="H2434" s="117"/>
      <c r="I2434" s="111"/>
      <c r="J2434" s="118"/>
      <c r="K2434" s="81"/>
    </row>
    <row r="2435" ht="13.5" customHeight="1">
      <c r="A2435" s="111"/>
      <c r="B2435" s="111"/>
      <c r="C2435" s="111"/>
      <c r="D2435" s="111"/>
      <c r="E2435" s="115"/>
      <c r="F2435" s="116"/>
      <c r="G2435" s="113"/>
      <c r="H2435" s="117"/>
      <c r="I2435" s="111"/>
      <c r="J2435" s="118"/>
      <c r="K2435" s="81"/>
    </row>
    <row r="2436" ht="13.5" customHeight="1">
      <c r="A2436" s="111"/>
      <c r="B2436" s="111"/>
      <c r="C2436" s="111"/>
      <c r="D2436" s="111"/>
      <c r="E2436" s="115"/>
      <c r="F2436" s="116"/>
      <c r="G2436" s="113"/>
      <c r="H2436" s="117"/>
      <c r="I2436" s="111"/>
      <c r="J2436" s="118"/>
      <c r="K2436" s="81"/>
    </row>
    <row r="2437" ht="13.5" customHeight="1">
      <c r="A2437" s="111"/>
      <c r="B2437" s="111"/>
      <c r="C2437" s="111"/>
      <c r="D2437" s="111"/>
      <c r="E2437" s="115"/>
      <c r="F2437" s="116"/>
      <c r="G2437" s="113"/>
      <c r="H2437" s="117"/>
      <c r="I2437" s="111"/>
      <c r="J2437" s="118"/>
      <c r="K2437" s="81"/>
    </row>
    <row r="2438" ht="13.5" customHeight="1">
      <c r="A2438" s="111"/>
      <c r="B2438" s="111"/>
      <c r="C2438" s="111"/>
      <c r="D2438" s="111"/>
      <c r="E2438" s="115"/>
      <c r="F2438" s="116"/>
      <c r="G2438" s="113"/>
      <c r="H2438" s="117"/>
      <c r="I2438" s="111"/>
      <c r="J2438" s="118"/>
      <c r="K2438" s="81"/>
    </row>
    <row r="2439" ht="13.5" customHeight="1">
      <c r="A2439" s="111"/>
      <c r="B2439" s="111"/>
      <c r="C2439" s="111"/>
      <c r="D2439" s="111"/>
      <c r="E2439" s="115"/>
      <c r="F2439" s="116"/>
      <c r="G2439" s="113"/>
      <c r="H2439" s="117"/>
      <c r="I2439" s="111"/>
      <c r="J2439" s="118"/>
      <c r="K2439" s="81"/>
    </row>
    <row r="2440" ht="13.5" customHeight="1">
      <c r="A2440" s="111"/>
      <c r="B2440" s="111"/>
      <c r="C2440" s="111"/>
      <c r="D2440" s="111"/>
      <c r="E2440" s="115"/>
      <c r="F2440" s="116"/>
      <c r="G2440" s="113"/>
      <c r="H2440" s="117"/>
      <c r="I2440" s="111"/>
      <c r="J2440" s="118"/>
      <c r="K2440" s="81"/>
    </row>
    <row r="2441" ht="13.5" customHeight="1">
      <c r="A2441" s="111"/>
      <c r="B2441" s="111"/>
      <c r="C2441" s="111"/>
      <c r="D2441" s="111"/>
      <c r="E2441" s="115"/>
      <c r="F2441" s="116"/>
      <c r="G2441" s="113"/>
      <c r="H2441" s="117"/>
      <c r="I2441" s="111"/>
      <c r="J2441" s="118"/>
      <c r="K2441" s="81"/>
    </row>
    <row r="2442" ht="13.5" customHeight="1">
      <c r="A2442" s="111"/>
      <c r="B2442" s="111"/>
      <c r="C2442" s="111"/>
      <c r="D2442" s="111"/>
      <c r="E2442" s="115"/>
      <c r="F2442" s="116"/>
      <c r="G2442" s="113"/>
      <c r="H2442" s="117"/>
      <c r="I2442" s="111"/>
      <c r="J2442" s="118"/>
      <c r="K2442" s="81"/>
    </row>
    <row r="2443" ht="13.5" customHeight="1">
      <c r="A2443" s="111"/>
      <c r="B2443" s="111"/>
      <c r="C2443" s="111"/>
      <c r="D2443" s="111"/>
      <c r="E2443" s="115"/>
      <c r="F2443" s="116"/>
      <c r="G2443" s="113"/>
      <c r="H2443" s="117"/>
      <c r="I2443" s="111"/>
      <c r="J2443" s="118"/>
      <c r="K2443" s="81"/>
    </row>
    <row r="2444" ht="13.5" customHeight="1">
      <c r="A2444" s="111"/>
      <c r="B2444" s="111"/>
      <c r="C2444" s="111"/>
      <c r="D2444" s="111"/>
      <c r="E2444" s="115"/>
      <c r="F2444" s="116"/>
      <c r="G2444" s="113"/>
      <c r="H2444" s="117"/>
      <c r="I2444" s="111"/>
      <c r="J2444" s="118"/>
      <c r="K2444" s="81"/>
    </row>
  </sheetData>
  <autoFilter ref="$A$1:$J$625">
    <filterColumn colId="1">
      <filters>
        <filter val="Undeployed"/>
        <filter val="defi"/>
        <filter val="staking"/>
        <filter val="undeployed"/>
      </filters>
    </filterColumn>
    <filterColumn colId="0">
      <filters>
        <filter val="DIGG"/>
        <filter val="RAY"/>
        <filter val="FARM"/>
        <filter val="PNT"/>
        <filter val="POLIS"/>
        <filter val="yveCRV-DAO"/>
        <filter val="BOR"/>
        <filter val="3CRV"/>
        <filter val="KIN"/>
        <filter val="VSP"/>
        <filter val="BTG"/>
        <filter val="CVX"/>
        <filter val="Stable Coins"/>
        <filter val="ATLAS"/>
        <filter val="LDO"/>
        <filter val="ALICE"/>
        <filter val="ONX"/>
        <filter val="LQTY"/>
        <filter val="SOL"/>
        <filter val="FIS"/>
        <filter val="ALCX"/>
      </filters>
    </filterColumn>
  </autoFilter>
  <customSheetViews>
    <customSheetView guid="{D327C7C1-70E0-4D13-A20C-D81CB931FBA4}" filter="1" showAutoFilter="1">
      <autoFilter ref="$A$1:$J$565">
        <filterColumn colId="0">
          <filters>
            <filter val="yveCRV-DAO"/>
            <filter val="Stable Coins"/>
            <filter val="WBTC"/>
            <filter val="XTZ"/>
          </filters>
        </filterColumn>
      </autoFilter>
    </customSheetView>
    <customSheetView guid="{5DBABF29-6CA3-4159-8573-02A74A978F79}" filter="1" showAutoFilter="1">
      <autoFilter ref="$A$1:$J$565"/>
    </customSheetView>
    <customSheetView guid="{E910889E-BF02-4CCD-9E69-8EB7EE93785B}" filter="1" showAutoFilter="1">
      <autoFilter ref="$A$1:$K$626">
        <filterColumn colId="2">
          <filters>
            <filter val="YD - Curve - pBTC"/>
            <filter val="DD-DEFROST-H2O3CRV"/>
          </filters>
        </filterColumn>
      </autoFilter>
    </customSheetView>
    <customSheetView guid="{AEF5271B-6EEC-4294-916B-88148BFA65EF}" filter="1" showAutoFilter="1">
      <autoFilter ref="$A$1:$J$595">
        <filterColumn colId="0">
          <filters>
            <filter val="yveCRV-DAO"/>
            <filter val="Stable Coins"/>
            <filter val="WBTC"/>
            <filter val="XTZ"/>
          </filters>
        </filterColumn>
        <filterColumn colId="2">
          <filters>
            <filter val="CEL Users"/>
            <filter val="Celsius Network System"/>
            <filter val="YD - Keeper - ETH"/>
            <filter val="YD - Badger - PBTC"/>
            <filter val="FTX - TEAM Directional"/>
            <filter val="DD-Elrond-EGLD"/>
            <filter val="TEST-AVALANCHE"/>
            <filter val="DD-CONVEX-ALUSD"/>
            <filter val="DD-SHIBASWAP-WBTC"/>
            <filter val="Governance Sales"/>
            <filter val="DD-Anchor-Tera"/>
            <filter val="Direct Staking"/>
            <filter val="YD - Badger - SBTC"/>
            <filter val="DD - MATIC-HEZ Arb"/>
            <filter val="YD - Harvest - renBTC"/>
            <filter val="DD-CONVEX-ALETH"/>
            <filter val="MATIC Test Account"/>
            <filter val="YD - Curve - pBTC"/>
            <filter val="Defi Benqi Deployment"/>
            <filter val="YD - Convex - renBTC"/>
            <filter val="YD - Curve - sETH"/>
            <filter val="Maker Borrows Vault"/>
            <filter val="AAVE Avalanche"/>
            <filter val="YD - Vesper - vETH"/>
            <filter val="YD - Vesper - vWBTC"/>
            <filter val="Bufords"/>
            <filter val="YD - Curve/Convex - AnkrETH"/>
            <filter val="MATIC Staking 10"/>
            <filter val="BlockDemon ETH Staking"/>
            <filter val="Osprey"/>
            <filter val="TEST-MATIC"/>
            <filter val="DD-NOTIONAL-WBTC"/>
            <filter val="DD-Yearn-WBTC"/>
            <filter val="Overcollaterized - Compound"/>
            <filter val="DD - Vesper - vUNI"/>
            <filter val="YD - Harvest - HBTC"/>
            <filter val="TEST-ARBITRUM"/>
            <filter val="TEST-FANTOM"/>
            <filter val="Overcollaterized - Aave V2"/>
            <filter val="YD - Curve - SLINK"/>
            <filter val="Defi Banker Joe"/>
            <filter val="FTX - Grayscale"/>
            <filter val="Banker Joe LINK"/>
            <filter val="FTX - Directional Trading 2"/>
            <filter val="Reward Desk"/>
            <filter val="FTX - cel_staking"/>
            <filter val="YD - AlphaHv2"/>
            <filter val="FTX - Management"/>
            <filter val="Benqi - LINK"/>
            <filter val="Posted Collateral"/>
            <filter val="FTX - Jacob"/>
            <filter val="YD - Curve - oBTC"/>
            <filter val="YD - Badger - OBTC"/>
            <filter val="YD - Convex/Badger - hBTC"/>
            <filter val="MATIC Staking 7"/>
            <filter val="MATIC Staking 8"/>
            <filter val="MATIC Staking 9"/>
            <filter val="YD - Badger - renBTC"/>
            <filter val="DD - Curve - rETH"/>
            <filter val="YD - BADGER - byvWBTC"/>
            <filter val="Deployment - 1INCH"/>
            <filter val="Deployment Team - Misc (OLD DO NOT USE)"/>
            <filter val="DD-DEFROST-H2O3CRV"/>
            <filter val="DD - Badger - tBTC"/>
            <filter val="DD-NOTIONAL-ETH"/>
            <filter val="Yield Desk - Badger"/>
            <filter val="Stakehound"/>
            <filter val="Celsius Network"/>
            <filter val="DD-ABRA-FTT"/>
            <filter val="CEL Treasury"/>
            <filter val="YD - Badger - bBTC"/>
            <filter val="YD - Vesper - vLINK"/>
            <filter val="DD - Convex - tBTC"/>
            <filter val="Grayscale"/>
            <filter val="YD - Curve - BBTC"/>
            <filter val="YD - Curve - stETH"/>
            <filter val="AAVE Deployment / Staking"/>
            <filter val="YD - Yearn - crvPBTC"/>
            <filter val="DD-Yearn-LINK"/>
            <filter val="Test Avalanche 2"/>
            <filter val="YD - Harvest - oBTC"/>
            <filter val="Yield Desk - Bancor"/>
            <filter val="KNC Migration"/>
            <filter val="Deribit - API"/>
            <filter val="Sushi Staking"/>
            <filter val="Deployment - Alpha"/>
            <filter val="DERIBIT"/>
          </filters>
        </filterColumn>
      </autoFilter>
    </customSheetView>
    <customSheetView guid="{66937053-3964-455D-9F79-A20A916CD03E}" filter="1" showAutoFilter="1">
      <autoFilter ref="$H$25:$H$418"/>
    </customSheetView>
  </customSheetView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16.88"/>
    <col customWidth="1" min="4" max="4" width="14.13"/>
  </cols>
  <sheetData>
    <row r="1">
      <c r="A1" s="34" t="s">
        <v>288</v>
      </c>
      <c r="B1" s="34" t="s">
        <v>40</v>
      </c>
      <c r="C1" s="119" t="s">
        <v>2</v>
      </c>
      <c r="D1" s="120" t="s">
        <v>289</v>
      </c>
      <c r="E1" s="120" t="s">
        <v>3</v>
      </c>
      <c r="F1" s="120" t="s">
        <v>4</v>
      </c>
      <c r="G1" s="37" t="s">
        <v>290</v>
      </c>
    </row>
    <row r="2">
      <c r="A2" s="121">
        <v>1.0</v>
      </c>
      <c r="B2" s="10">
        <f>SUMIF(Pivot_Data!D:D,$A2,Pivot_Data!H:H)</f>
        <v>4505776327</v>
      </c>
      <c r="C2" s="11">
        <f t="shared" ref="C2:C6" si="1">B2/$B$8</f>
        <v>0.1994710055</v>
      </c>
      <c r="D2" s="11">
        <f>C2</f>
        <v>0.1994710055</v>
      </c>
      <c r="E2" s="11">
        <f>SUMIF(Pivot_Data!D:D,$A2,Pivot_Data!J:J)/$B2</f>
        <v>0</v>
      </c>
      <c r="F2" s="11">
        <f>SUMIF(Pivot_Data!D:D,$A2,Pivot_Data!I:I)/$B2</f>
        <v>0.03121272112</v>
      </c>
      <c r="G2" s="87" t="s">
        <v>291</v>
      </c>
    </row>
    <row r="3">
      <c r="A3" s="122">
        <v>2.0</v>
      </c>
      <c r="B3" s="10">
        <f>SUMIF(Pivot_Data!D:D,$A3,Pivot_Data!H:H)</f>
        <v>4395707213</v>
      </c>
      <c r="C3" s="11">
        <f t="shared" si="1"/>
        <v>0.1945982388</v>
      </c>
      <c r="D3" s="11">
        <f t="shared" ref="D3:D6" si="2">D2+C3</f>
        <v>0.3940692442</v>
      </c>
      <c r="E3" s="11">
        <f>SUMIF(Pivot_Data!D:D,$A3,Pivot_Data!J:J)/$B3</f>
        <v>0.02392521459</v>
      </c>
      <c r="F3" s="11">
        <f>SUMIF(Pivot_Data!D:D,$A3,Pivot_Data!I:I)/$B3</f>
        <v>0.03612261366</v>
      </c>
      <c r="G3" s="87" t="s">
        <v>292</v>
      </c>
    </row>
    <row r="4">
      <c r="A4" s="122">
        <v>3.0</v>
      </c>
      <c r="B4" s="10">
        <f>SUMIF(Pivot_Data!D:D,$A4,Pivot_Data!H:H)</f>
        <v>53142128.41</v>
      </c>
      <c r="C4" s="11">
        <f t="shared" si="1"/>
        <v>0.002352605415</v>
      </c>
      <c r="D4" s="11">
        <f t="shared" si="2"/>
        <v>0.3964218497</v>
      </c>
      <c r="E4" s="11">
        <f>SUMIF(Pivot_Data!D:D,$A4,Pivot_Data!J:J)/$B4</f>
        <v>0</v>
      </c>
      <c r="F4" s="11">
        <f>SUMIF(Pivot_Data!D:D,$A4,Pivot_Data!I:I)/$B4</f>
        <v>0.08178525577</v>
      </c>
      <c r="G4" s="87" t="s">
        <v>293</v>
      </c>
    </row>
    <row r="5">
      <c r="A5" s="122">
        <v>4.0</v>
      </c>
      <c r="B5" s="10">
        <f>SUMIF(Pivot_Data!D:D,$A5,Pivot_Data!H:H)</f>
        <v>5835103210</v>
      </c>
      <c r="C5" s="11">
        <f t="shared" si="1"/>
        <v>0.2583203914</v>
      </c>
      <c r="D5" s="11">
        <f t="shared" si="2"/>
        <v>0.654742241</v>
      </c>
      <c r="E5" s="11">
        <f>SUMIF(Pivot_Data!D:D,$A5,Pivot_Data!J:J)/$B5</f>
        <v>0.04843108541</v>
      </c>
      <c r="F5" s="11">
        <f>SUMIF(Pivot_Data!D:D,$A5,Pivot_Data!I:I)/$B5</f>
        <v>0.03988548314</v>
      </c>
      <c r="G5" s="87" t="s">
        <v>294</v>
      </c>
    </row>
    <row r="6">
      <c r="A6" s="121">
        <v>5.0</v>
      </c>
      <c r="B6" s="10">
        <f>SUMIF(Pivot_Data!D:D,$A6,Pivot_Data!H:H)</f>
        <v>7798899060</v>
      </c>
      <c r="C6" s="11">
        <f t="shared" si="1"/>
        <v>0.345257759</v>
      </c>
      <c r="D6" s="11">
        <f t="shared" si="2"/>
        <v>1</v>
      </c>
      <c r="E6" s="11">
        <f>SUMIF(Pivot_Data!D:D,$A6,Pivot_Data!J:J)/$B6</f>
        <v>0.04519536982</v>
      </c>
      <c r="F6" s="11">
        <f>SUMIF(Pivot_Data!D:D,$A6,Pivot_Data!I:I)/$B6</f>
        <v>0.03277898163</v>
      </c>
      <c r="G6" s="87" t="s">
        <v>295</v>
      </c>
    </row>
    <row r="7">
      <c r="A7" s="34"/>
      <c r="B7" s="31"/>
      <c r="C7" s="31"/>
      <c r="D7" s="31"/>
      <c r="E7" s="31"/>
      <c r="F7" s="31"/>
      <c r="G7" s="31"/>
    </row>
    <row r="8">
      <c r="A8" s="10" t="s">
        <v>118</v>
      </c>
      <c r="B8" s="35">
        <f t="shared" ref="B8:C8" si="3">SUM(B2:B6)</f>
        <v>22588627938</v>
      </c>
      <c r="C8" s="36">
        <f t="shared" si="3"/>
        <v>1</v>
      </c>
      <c r="D8" s="36"/>
      <c r="E8" s="36">
        <f t="shared" ref="E8:F8" si="4">SUMPRODUCT($B2:$B6,E2:E6)/$B8</f>
        <v>0.03277059366</v>
      </c>
      <c r="F8" s="36">
        <f t="shared" si="4"/>
        <v>0.03506826965</v>
      </c>
      <c r="G8" s="33">
        <f>E8-F8</f>
        <v>-0.002297675992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4.75"/>
    <col customWidth="1" min="3" max="3" width="15.75"/>
  </cols>
  <sheetData>
    <row r="1">
      <c r="A1" s="5"/>
      <c r="B1" s="6" t="s">
        <v>296</v>
      </c>
      <c r="C1" s="7"/>
      <c r="D1" s="7"/>
      <c r="E1" s="8"/>
    </row>
    <row r="2">
      <c r="B2" s="13"/>
      <c r="C2" s="14"/>
      <c r="D2" s="15"/>
      <c r="E2" s="15"/>
    </row>
    <row r="3">
      <c r="A3" s="66" t="s">
        <v>8</v>
      </c>
      <c r="B3" s="17">
        <f>VLOOKUP(A3,Categories!A$2:D$15,4,False) * VLOOKUP(A3,Categories!A$2:D$15,2,False)*1000000/52</f>
        <v>3224670.907</v>
      </c>
      <c r="C3" s="17"/>
      <c r="D3" s="123"/>
      <c r="E3" s="15"/>
    </row>
    <row r="4">
      <c r="A4" s="66" t="s">
        <v>9</v>
      </c>
      <c r="B4" s="17">
        <f>VLOOKUP(A4,Categories!A$2:D$15,4,False) * VLOOKUP(A4,Categories!A$2:D$15,2,False)*1000000/52</f>
        <v>2074452.529</v>
      </c>
      <c r="C4" s="17"/>
      <c r="D4" s="124"/>
      <c r="E4" s="15"/>
    </row>
    <row r="5">
      <c r="A5" s="66" t="s">
        <v>10</v>
      </c>
      <c r="B5" s="17">
        <f>VLOOKUP(A5,Categories!A$2:D$15,4,False) * VLOOKUP(A5,Categories!A$2:D$15,2,False)*1000000/52</f>
        <v>1721007.171</v>
      </c>
      <c r="C5" s="17"/>
      <c r="D5" s="125"/>
      <c r="E5" s="15"/>
    </row>
    <row r="6">
      <c r="A6" s="66" t="s">
        <v>11</v>
      </c>
      <c r="B6" s="17">
        <f>VLOOKUP(A6,Categories!A$2:D$15,4,False) * VLOOKUP(A6,Categories!A$2:D$15,2,False)*1000000/52</f>
        <v>3110275.051</v>
      </c>
      <c r="C6" s="17"/>
      <c r="D6" s="126"/>
      <c r="E6" s="15"/>
    </row>
    <row r="7">
      <c r="A7" s="66" t="s">
        <v>12</v>
      </c>
      <c r="B7" s="17">
        <f>VLOOKUP(A7,Categories!A$2:D$15,4,False) * VLOOKUP(A7,Categories!A$2:D$15,2,False)*1000000/52</f>
        <v>595572.1048</v>
      </c>
      <c r="C7" s="17"/>
      <c r="D7" s="127"/>
      <c r="E7" s="15"/>
    </row>
    <row r="8">
      <c r="A8" s="66" t="s">
        <v>13</v>
      </c>
      <c r="B8" s="17">
        <f>VLOOKUP(A8,Categories!A$2:D$15,4,False) * VLOOKUP(A8,Categories!A$2:D$15,2,False)*1000000/52</f>
        <v>445054.2199</v>
      </c>
      <c r="C8" s="17"/>
      <c r="D8" s="21"/>
      <c r="E8" s="15"/>
    </row>
    <row r="9">
      <c r="B9" s="13"/>
      <c r="C9" s="17"/>
      <c r="D9" s="13"/>
      <c r="E9" s="15"/>
    </row>
    <row r="10">
      <c r="A10" s="58" t="s">
        <v>297</v>
      </c>
      <c r="B10" s="13"/>
      <c r="C10" s="13">
        <f>SUM(B3:B8)</f>
        <v>11171031.98</v>
      </c>
      <c r="D10" s="13"/>
      <c r="E10" s="30"/>
    </row>
    <row r="11">
      <c r="B11" s="13"/>
      <c r="C11" s="17"/>
      <c r="D11" s="15"/>
      <c r="E11" s="15"/>
    </row>
    <row r="12">
      <c r="A12" s="58" t="s">
        <v>298</v>
      </c>
      <c r="B12" s="13" t="str">
        <f>-Categories!B16*Categories!E16*1000000/52</f>
        <v>#DIV/0!</v>
      </c>
      <c r="C12" s="17"/>
      <c r="D12" s="123"/>
      <c r="E12" s="15"/>
    </row>
    <row r="13">
      <c r="A13" s="58" t="s">
        <v>299</v>
      </c>
      <c r="B13" s="13">
        <f>Categories!B2*Categories!D2*1000000/52</f>
        <v>62682.3705</v>
      </c>
      <c r="C13" s="17"/>
      <c r="D13" s="15"/>
      <c r="E13" s="15"/>
    </row>
    <row r="14">
      <c r="A14" s="58" t="s">
        <v>300</v>
      </c>
      <c r="B14" s="30">
        <f>-'net position calcs'!J95</f>
        <v>0</v>
      </c>
      <c r="D14" s="15"/>
    </row>
    <row r="15">
      <c r="A15" s="58" t="s">
        <v>301</v>
      </c>
      <c r="B15" s="13"/>
      <c r="C15" s="17" t="str">
        <f>B13+B12+B14</f>
        <v>#DIV/0!</v>
      </c>
      <c r="E15" s="17"/>
    </row>
    <row r="16">
      <c r="B16" s="13"/>
      <c r="D16" s="23"/>
      <c r="E16" s="23"/>
    </row>
    <row r="18">
      <c r="A18" s="58" t="s">
        <v>302</v>
      </c>
      <c r="B18" s="30">
        <f>vlookup("BTC",Price!A:B,2,FALSE)*A19</f>
        <v>4631463.028</v>
      </c>
      <c r="D18" s="30"/>
      <c r="E18" s="123"/>
    </row>
    <row r="19">
      <c r="A19" s="58">
        <v>100.0</v>
      </c>
      <c r="B19" s="128" t="s">
        <v>303</v>
      </c>
    </row>
    <row r="20">
      <c r="B20" s="44"/>
    </row>
    <row r="21">
      <c r="A21" s="58" t="s">
        <v>20</v>
      </c>
      <c r="B21" s="44"/>
      <c r="C21" s="30" t="str">
        <f>sum(C9:C18)</f>
        <v>#DIV/0!</v>
      </c>
      <c r="D21" s="30"/>
      <c r="E21" s="30"/>
    </row>
    <row r="22">
      <c r="B22" s="44"/>
    </row>
    <row r="23">
      <c r="B23" s="44"/>
    </row>
    <row r="24">
      <c r="B24" s="4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6" max="8" width="13.0"/>
    <col customWidth="1" min="9" max="9" width="2.63"/>
  </cols>
  <sheetData>
    <row r="1">
      <c r="A1" s="58" t="s">
        <v>38</v>
      </c>
      <c r="B1" s="129" t="s">
        <v>304</v>
      </c>
      <c r="C1" s="129" t="s">
        <v>305</v>
      </c>
      <c r="D1" s="57" t="s">
        <v>306</v>
      </c>
      <c r="E1" s="59" t="s">
        <v>124</v>
      </c>
      <c r="F1" s="58" t="s">
        <v>125</v>
      </c>
      <c r="G1" s="58" t="s">
        <v>307</v>
      </c>
      <c r="H1" s="58" t="s">
        <v>308</v>
      </c>
      <c r="J1" s="58" t="s">
        <v>309</v>
      </c>
      <c r="K1" s="58" t="s">
        <v>310</v>
      </c>
      <c r="L1" s="57" t="s">
        <v>311</v>
      </c>
    </row>
    <row r="2">
      <c r="A2" s="66" t="str">
        <f>Coins!A2</f>
        <v>BTC</v>
      </c>
      <c r="B2" s="73">
        <f>VLOOKUP(A2,Price!A:B,2,False)</f>
        <v>46314.63028</v>
      </c>
      <c r="C2" s="73">
        <f>sumifs(Pivot_Data!E:E,Pivot_Data!A:A,A2,Pivot_Data!C:C,"loans out")</f>
        <v>27857.85</v>
      </c>
      <c r="D2" s="38">
        <f t="shared" ref="D2:D66" si="1">C2*B2</f>
        <v>1290226023</v>
      </c>
      <c r="E2" s="130">
        <f>sumifs(Pivot_Data!F:F,Pivot_Data!A:A,A2,Pivot_Data!C:C,"loans out")</f>
        <v>0.0295</v>
      </c>
      <c r="F2" s="130">
        <f>sumifs(Pivot_Data!G:G,Pivot_Data!A:A,A2,Pivot_Data!C:C,"loans out")</f>
        <v>0.0298</v>
      </c>
      <c r="G2" s="38">
        <f t="shared" ref="G2:G66" si="2">D2*E2/52</f>
        <v>731955.1477</v>
      </c>
      <c r="H2" s="38">
        <f t="shared" ref="H2:H66" si="3">(E2-F2)*D2/52</f>
        <v>-7443.611672</v>
      </c>
      <c r="J2" s="75">
        <f>sumifs(Collateral!C:C,Collateral!A:A,A2)</f>
        <v>6625.49</v>
      </c>
      <c r="K2" s="66">
        <f t="shared" ref="K2:K66" si="4">J2*B2</f>
        <v>306857119.8</v>
      </c>
      <c r="L2" s="38">
        <f t="shared" ref="L2:L66" si="5">K2*F2/52</f>
        <v>175852.734</v>
      </c>
    </row>
    <row r="3">
      <c r="A3" s="66" t="str">
        <f>Coins!A3</f>
        <v>ETH</v>
      </c>
      <c r="B3" s="73">
        <f>VLOOKUP(A3,Price!A:B,2,False)</f>
        <v>3819.675532</v>
      </c>
      <c r="C3" s="73">
        <f>sumifs(Pivot_Data!E:E,Pivot_Data!A:A,A3,Pivot_Data!C:C,"loans out")</f>
        <v>134921.79</v>
      </c>
      <c r="D3" s="38">
        <f t="shared" si="1"/>
        <v>515357460</v>
      </c>
      <c r="E3" s="130">
        <f>sumifs(Pivot_Data!F:F,Pivot_Data!A:A,A3,Pivot_Data!C:C,"loans out")</f>
        <v>0.0354</v>
      </c>
      <c r="F3" s="130">
        <f>sumifs(Pivot_Data!G:G,Pivot_Data!A:A,A3,Pivot_Data!C:C,"loans out")</f>
        <v>0.0384</v>
      </c>
      <c r="G3" s="38">
        <f t="shared" si="2"/>
        <v>350839.5016</v>
      </c>
      <c r="H3" s="38">
        <f t="shared" si="3"/>
        <v>-29732.16115</v>
      </c>
      <c r="J3" s="75">
        <f>sumifs(Collateral!C:C,Collateral!A:A,A3)</f>
        <v>59614.06</v>
      </c>
      <c r="K3" s="66">
        <f t="shared" si="4"/>
        <v>227706366.3</v>
      </c>
      <c r="L3" s="38">
        <f t="shared" si="5"/>
        <v>168152.3936</v>
      </c>
    </row>
    <row r="4">
      <c r="A4" s="66" t="str">
        <f>Coins!A4</f>
        <v>Stable Coins</v>
      </c>
      <c r="B4" s="73">
        <f>VLOOKUP(A4,Price!A:B,2,False)</f>
        <v>1</v>
      </c>
      <c r="C4" s="73">
        <f>sumifs(Pivot_Data!E:E,Pivot_Data!A:A,A4,Pivot_Data!C:C,"loans out")</f>
        <v>941243673</v>
      </c>
      <c r="D4" s="38">
        <f t="shared" si="1"/>
        <v>941243673</v>
      </c>
      <c r="E4" s="130">
        <f>sumifs(Pivot_Data!F:F,Pivot_Data!A:A,A4,Pivot_Data!C:C,"loans out")</f>
        <v>0.08746432259</v>
      </c>
      <c r="F4" s="130">
        <f>sumifs(Pivot_Data!G:G,Pivot_Data!A:A,A4,Pivot_Data!C:C,"loans out")</f>
        <v>0.0959</v>
      </c>
      <c r="G4" s="38">
        <f t="shared" si="2"/>
        <v>1583177.697</v>
      </c>
      <c r="H4" s="38">
        <f t="shared" si="3"/>
        <v>-152692.8459</v>
      </c>
      <c r="J4" s="75">
        <f>sumifs(Collateral!C:C,Collateral!A:A,A4)</f>
        <v>0</v>
      </c>
      <c r="K4" s="66">
        <f t="shared" si="4"/>
        <v>0</v>
      </c>
      <c r="L4" s="38">
        <f t="shared" si="5"/>
        <v>0</v>
      </c>
    </row>
    <row r="5">
      <c r="A5" s="66" t="str">
        <f>Coins!A5</f>
        <v>CEL</v>
      </c>
      <c r="B5" s="73">
        <f>VLOOKUP(A5,Price!A:B,2,False)</f>
        <v>3.916622336</v>
      </c>
      <c r="C5" s="73">
        <f>sumifs(Pivot_Data!E:E,Pivot_Data!A:A,A5,Pivot_Data!C:C,"loans out")</f>
        <v>2000000</v>
      </c>
      <c r="D5" s="38">
        <f t="shared" si="1"/>
        <v>7833244.672</v>
      </c>
      <c r="E5" s="130">
        <f>sumifs(Pivot_Data!F:F,Pivot_Data!A:A,A5,Pivot_Data!C:C,"loans out")</f>
        <v>0</v>
      </c>
      <c r="F5" s="130">
        <f>sumifs(Pivot_Data!G:G,Pivot_Data!A:A,A5,Pivot_Data!C:C,"loans out")</f>
        <v>0.0415</v>
      </c>
      <c r="G5" s="38">
        <f t="shared" si="2"/>
        <v>0</v>
      </c>
      <c r="H5" s="38">
        <f t="shared" si="3"/>
        <v>-6251.531806</v>
      </c>
      <c r="J5" s="75">
        <f>sumifs(Collateral!C:C,Collateral!A:A,A5)</f>
        <v>0</v>
      </c>
      <c r="K5" s="66">
        <f t="shared" si="4"/>
        <v>0</v>
      </c>
      <c r="L5" s="38">
        <f t="shared" si="5"/>
        <v>0</v>
      </c>
    </row>
    <row r="6">
      <c r="A6" s="66" t="str">
        <f>Coins!A6</f>
        <v>MATIC</v>
      </c>
      <c r="B6" s="73">
        <f>VLOOKUP(A6,Price!A:B,2,False)</f>
        <v>2.097607594</v>
      </c>
      <c r="C6" s="73">
        <f>sumifs(Pivot_Data!E:E,Pivot_Data!A:A,A6,Pivot_Data!C:C,"loans out")</f>
        <v>12570111.65</v>
      </c>
      <c r="D6" s="38">
        <f t="shared" si="1"/>
        <v>26367161.65</v>
      </c>
      <c r="E6" s="130">
        <f>sumifs(Pivot_Data!F:F,Pivot_Data!A:A,A6,Pivot_Data!C:C,"loans out")</f>
        <v>0.079</v>
      </c>
      <c r="F6" s="130">
        <f>sumifs(Pivot_Data!G:G,Pivot_Data!A:A,A6,Pivot_Data!C:C,"loans out")</f>
        <v>0.0818</v>
      </c>
      <c r="G6" s="38">
        <f t="shared" si="2"/>
        <v>40057.80328</v>
      </c>
      <c r="H6" s="38">
        <f t="shared" si="3"/>
        <v>-1419.770243</v>
      </c>
      <c r="J6" s="75">
        <f>sumifs(Collateral!C:C,Collateral!A:A,A6)</f>
        <v>0</v>
      </c>
      <c r="K6" s="66">
        <f t="shared" si="4"/>
        <v>0</v>
      </c>
      <c r="L6" s="38">
        <f t="shared" si="5"/>
        <v>0</v>
      </c>
    </row>
    <row r="7">
      <c r="A7" s="66" t="str">
        <f>Coins!A7</f>
        <v>SRM</v>
      </c>
      <c r="B7" s="73">
        <f>VLOOKUP(A7,Price!A:B,2,False)</f>
        <v>3.325319692</v>
      </c>
      <c r="C7" s="73">
        <f>sumifs(Pivot_Data!E:E,Pivot_Data!A:A,A7,Pivot_Data!C:C,"loans out")</f>
        <v>0</v>
      </c>
      <c r="D7" s="38">
        <f t="shared" si="1"/>
        <v>0</v>
      </c>
      <c r="E7" s="130">
        <f>sumifs(Pivot_Data!F:F,Pivot_Data!A:A,A7,Pivot_Data!C:C,"loans out")</f>
        <v>0</v>
      </c>
      <c r="F7" s="130">
        <f>sumifs(Pivot_Data!G:G,Pivot_Data!A:A,A7,Pivot_Data!C:C,"loans out")</f>
        <v>0</v>
      </c>
      <c r="G7" s="38">
        <f t="shared" si="2"/>
        <v>0</v>
      </c>
      <c r="H7" s="38">
        <f t="shared" si="3"/>
        <v>0</v>
      </c>
      <c r="J7" s="75">
        <f>sumifs(Collateral!C:C,Collateral!A:A,A7)</f>
        <v>180273832.2</v>
      </c>
      <c r="K7" s="66">
        <f t="shared" si="4"/>
        <v>599468124.2</v>
      </c>
      <c r="L7" s="38">
        <f t="shared" si="5"/>
        <v>0</v>
      </c>
    </row>
    <row r="8">
      <c r="A8" s="66" t="str">
        <f>Coins!A8</f>
        <v>FTT</v>
      </c>
      <c r="B8" s="73">
        <f>VLOOKUP(A8,Price!A:B,2,False)</f>
        <v>39.51861627</v>
      </c>
      <c r="C8" s="73">
        <f>sumifs(Pivot_Data!E:E,Pivot_Data!A:A,A8,Pivot_Data!C:C,"loans out")</f>
        <v>37267.25</v>
      </c>
      <c r="D8" s="38">
        <f t="shared" si="1"/>
        <v>1472750.152</v>
      </c>
      <c r="E8" s="130">
        <f>sumifs(Pivot_Data!F:F,Pivot_Data!A:A,A8,Pivot_Data!C:C,"loans out")</f>
        <v>0.0537</v>
      </c>
      <c r="F8" s="130">
        <f>sumifs(Pivot_Data!G:G,Pivot_Data!A:A,A8,Pivot_Data!C:C,"loans out")</f>
        <v>0</v>
      </c>
      <c r="G8" s="38">
        <f t="shared" si="2"/>
        <v>1520.897753</v>
      </c>
      <c r="H8" s="38">
        <f t="shared" si="3"/>
        <v>1520.897753</v>
      </c>
      <c r="J8" s="75">
        <f>sumifs(Collateral!C:C,Collateral!A:A,A8)</f>
        <v>15716438.88</v>
      </c>
      <c r="K8" s="66">
        <f t="shared" si="4"/>
        <v>621091917.2</v>
      </c>
      <c r="L8" s="38">
        <f t="shared" si="5"/>
        <v>0</v>
      </c>
    </row>
    <row r="9">
      <c r="A9" s="66" t="str">
        <f>Coins!A9</f>
        <v>ADA</v>
      </c>
      <c r="B9" s="73">
        <f>VLOOKUP(A9,Price!A:B,2,False)</f>
        <v>1.224927047</v>
      </c>
      <c r="C9" s="73">
        <f>sumifs(Pivot_Data!E:E,Pivot_Data!A:A,A9,Pivot_Data!C:C,"loans out")</f>
        <v>63361559</v>
      </c>
      <c r="D9" s="38">
        <f t="shared" si="1"/>
        <v>77613287.36</v>
      </c>
      <c r="E9" s="130">
        <f>sumifs(Pivot_Data!F:F,Pivot_Data!A:A,A9,Pivot_Data!C:C,"loans out")</f>
        <v>0.0747</v>
      </c>
      <c r="F9" s="130">
        <f>sumifs(Pivot_Data!G:G,Pivot_Data!A:A,A9,Pivot_Data!C:C,"loans out")</f>
        <v>0.0205</v>
      </c>
      <c r="G9" s="38">
        <f t="shared" si="2"/>
        <v>111494.4724</v>
      </c>
      <c r="H9" s="38">
        <f t="shared" si="3"/>
        <v>80896.92644</v>
      </c>
      <c r="J9" s="75">
        <f>sumifs(Collateral!C:C,Collateral!A:A,A9)</f>
        <v>31439453.4</v>
      </c>
      <c r="K9" s="66">
        <f t="shared" si="4"/>
        <v>38511036.81</v>
      </c>
      <c r="L9" s="38">
        <f t="shared" si="5"/>
        <v>15182.23567</v>
      </c>
    </row>
    <row r="10">
      <c r="A10" s="66" t="str">
        <f>Coins!A10</f>
        <v>LINK</v>
      </c>
      <c r="B10" s="73">
        <f>VLOOKUP(A10,Price!A:B,2,False)</f>
        <v>18.51308692</v>
      </c>
      <c r="C10" s="73">
        <f>sumifs(Pivot_Data!E:E,Pivot_Data!A:A,A10,Pivot_Data!C:C,"loans out")</f>
        <v>485283.17</v>
      </c>
      <c r="D10" s="38">
        <f t="shared" si="1"/>
        <v>8984089.507</v>
      </c>
      <c r="E10" s="130">
        <f>sumifs(Pivot_Data!F:F,Pivot_Data!A:A,A10,Pivot_Data!C:C,"loans out")</f>
        <v>0.0541</v>
      </c>
      <c r="F10" s="130">
        <f>sumifs(Pivot_Data!G:G,Pivot_Data!A:A,A10,Pivot_Data!C:C,"loans out")</f>
        <v>0.0251</v>
      </c>
      <c r="G10" s="38">
        <f t="shared" si="2"/>
        <v>9346.908506</v>
      </c>
      <c r="H10" s="38">
        <f t="shared" si="3"/>
        <v>5010.35761</v>
      </c>
      <c r="J10" s="75">
        <f>sumifs(Collateral!C:C,Collateral!A:A,A10)</f>
        <v>0</v>
      </c>
      <c r="K10" s="66">
        <f t="shared" si="4"/>
        <v>0</v>
      </c>
      <c r="L10" s="38">
        <f t="shared" si="5"/>
        <v>0</v>
      </c>
    </row>
    <row r="11">
      <c r="A11" s="66" t="str">
        <f>Coins!A11</f>
        <v>XRP</v>
      </c>
      <c r="B11" s="73">
        <f>VLOOKUP(A11,Price!A:B,2,False)</f>
        <v>0.8665334374</v>
      </c>
      <c r="C11" s="73">
        <f>sumifs(Pivot_Data!E:E,Pivot_Data!A:A,A11,Pivot_Data!C:C,"loans out")</f>
        <v>192609925.2</v>
      </c>
      <c r="D11" s="38">
        <f t="shared" si="1"/>
        <v>166902940.6</v>
      </c>
      <c r="E11" s="130">
        <f>sumifs(Pivot_Data!F:F,Pivot_Data!A:A,A11,Pivot_Data!C:C,"loans out")</f>
        <v>0.0462</v>
      </c>
      <c r="F11" s="130">
        <f>sumifs(Pivot_Data!G:G,Pivot_Data!A:A,A11,Pivot_Data!C:C,"loans out")</f>
        <v>0.0127</v>
      </c>
      <c r="G11" s="38">
        <f t="shared" si="2"/>
        <v>148286.8433</v>
      </c>
      <c r="H11" s="38">
        <f t="shared" si="3"/>
        <v>107524.0098</v>
      </c>
      <c r="J11" s="75">
        <f>sumifs(Collateral!C:C,Collateral!A:A,A11)</f>
        <v>57654562.75</v>
      </c>
      <c r="K11" s="66">
        <f t="shared" si="4"/>
        <v>49959606.44</v>
      </c>
      <c r="L11" s="38">
        <f t="shared" si="5"/>
        <v>12201.67311</v>
      </c>
    </row>
    <row r="12">
      <c r="A12" s="66" t="str">
        <f>Coins!A12</f>
        <v>LUNA</v>
      </c>
      <c r="B12" s="73">
        <f>VLOOKUP(A12,Price!A:B,2,False)</f>
        <v>75.53490033</v>
      </c>
      <c r="C12" s="73">
        <f>sumifs(Pivot_Data!E:E,Pivot_Data!A:A,A12,Pivot_Data!C:C,"loans out")</f>
        <v>0</v>
      </c>
      <c r="D12" s="38">
        <f t="shared" si="1"/>
        <v>0</v>
      </c>
      <c r="E12" s="130">
        <f>sumifs(Pivot_Data!F:F,Pivot_Data!A:A,A12,Pivot_Data!C:C,"loans out")</f>
        <v>0</v>
      </c>
      <c r="F12" s="130">
        <f>sumifs(Pivot_Data!G:G,Pivot_Data!A:A,A12,Pivot_Data!C:C,"loans out")</f>
        <v>0</v>
      </c>
      <c r="G12" s="38">
        <f t="shared" si="2"/>
        <v>0</v>
      </c>
      <c r="H12" s="38">
        <f t="shared" si="3"/>
        <v>0</v>
      </c>
      <c r="J12" s="75">
        <f>sumifs(Collateral!C:C,Collateral!A:A,A12)</f>
        <v>0</v>
      </c>
      <c r="K12" s="66">
        <f t="shared" si="4"/>
        <v>0</v>
      </c>
      <c r="L12" s="38">
        <f t="shared" si="5"/>
        <v>0</v>
      </c>
    </row>
    <row r="13">
      <c r="A13" s="66" t="str">
        <f>Coins!A13</f>
        <v>LTC</v>
      </c>
      <c r="B13" s="73">
        <f>VLOOKUP(A13,Price!A:B,2,False)</f>
        <v>150.2184313</v>
      </c>
      <c r="C13" s="73">
        <f>sumifs(Pivot_Data!E:E,Pivot_Data!A:A,A13,Pivot_Data!C:C,"loans out")</f>
        <v>312628.72</v>
      </c>
      <c r="D13" s="38">
        <f t="shared" si="1"/>
        <v>46962595.9</v>
      </c>
      <c r="E13" s="130">
        <f>sumifs(Pivot_Data!F:F,Pivot_Data!A:A,A13,Pivot_Data!C:C,"loans out")</f>
        <v>0.0509</v>
      </c>
      <c r="F13" s="130">
        <f>sumifs(Pivot_Data!G:G,Pivot_Data!A:A,A13,Pivot_Data!C:C,"loans out")</f>
        <v>0.0285</v>
      </c>
      <c r="G13" s="38">
        <f t="shared" si="2"/>
        <v>45969.15637</v>
      </c>
      <c r="H13" s="38">
        <f t="shared" si="3"/>
        <v>20230.04131</v>
      </c>
      <c r="J13" s="75">
        <f>sumifs(Collateral!C:C,Collateral!A:A,A13)</f>
        <v>0</v>
      </c>
      <c r="K13" s="66">
        <f t="shared" si="4"/>
        <v>0</v>
      </c>
      <c r="L13" s="38">
        <f t="shared" si="5"/>
        <v>0</v>
      </c>
    </row>
    <row r="14">
      <c r="A14" s="66" t="str">
        <f>Coins!A14</f>
        <v>BNB</v>
      </c>
      <c r="B14" s="73">
        <f>VLOOKUP(A14,Price!A:B,2,False)</f>
        <v>520.1023256</v>
      </c>
      <c r="C14" s="73">
        <f>sumifs(Pivot_Data!E:E,Pivot_Data!A:A,A14,Pivot_Data!C:C,"loans out")</f>
        <v>58500</v>
      </c>
      <c r="D14" s="38">
        <f t="shared" si="1"/>
        <v>30425986.05</v>
      </c>
      <c r="E14" s="130">
        <f>sumifs(Pivot_Data!F:F,Pivot_Data!A:A,A14,Pivot_Data!C:C,"loans out")</f>
        <v>0.0726</v>
      </c>
      <c r="F14" s="130">
        <f>sumifs(Pivot_Data!G:G,Pivot_Data!A:A,A14,Pivot_Data!C:C,"loans out")</f>
        <v>0.0581</v>
      </c>
      <c r="G14" s="38">
        <f t="shared" si="2"/>
        <v>42479.35744</v>
      </c>
      <c r="H14" s="38">
        <f t="shared" si="3"/>
        <v>8484.169186</v>
      </c>
      <c r="J14" s="75">
        <f>sumifs(Collateral!C:C,Collateral!A:A,A14)</f>
        <v>0</v>
      </c>
      <c r="K14" s="66">
        <f t="shared" si="4"/>
        <v>0</v>
      </c>
      <c r="L14" s="38">
        <f t="shared" si="5"/>
        <v>0</v>
      </c>
    </row>
    <row r="15">
      <c r="A15" s="66" t="str">
        <f>Coins!A15</f>
        <v>BCH</v>
      </c>
      <c r="B15" s="73">
        <f>VLOOKUP(A15,Price!A:B,2,False)</f>
        <v>427.8766983</v>
      </c>
      <c r="C15" s="73">
        <f>sumifs(Pivot_Data!E:E,Pivot_Data!A:A,A15,Pivot_Data!C:C,"loans out")</f>
        <v>71979.51</v>
      </c>
      <c r="D15" s="38">
        <f t="shared" si="1"/>
        <v>30798355.08</v>
      </c>
      <c r="E15" s="130">
        <f>sumifs(Pivot_Data!F:F,Pivot_Data!A:A,A15,Pivot_Data!C:C,"loans out")</f>
        <v>0.041</v>
      </c>
      <c r="F15" s="130">
        <f>sumifs(Pivot_Data!G:G,Pivot_Data!A:A,A15,Pivot_Data!C:C,"loans out")</f>
        <v>0.0225</v>
      </c>
      <c r="G15" s="38">
        <f t="shared" si="2"/>
        <v>24283.31843</v>
      </c>
      <c r="H15" s="38">
        <f t="shared" si="3"/>
        <v>10957.1071</v>
      </c>
      <c r="J15" s="75">
        <f>sumifs(Collateral!C:C,Collateral!A:A,A15)</f>
        <v>11731.07</v>
      </c>
      <c r="K15" s="66">
        <f t="shared" si="4"/>
        <v>5019451.499</v>
      </c>
      <c r="L15" s="38">
        <f t="shared" si="5"/>
        <v>2171.878053</v>
      </c>
    </row>
    <row r="16">
      <c r="A16" s="66" t="str">
        <f>Coins!A16</f>
        <v>SNX</v>
      </c>
      <c r="B16" s="73">
        <f>VLOOKUP(A16,Price!A:B,2,False)</f>
        <v>4.960176782</v>
      </c>
      <c r="C16" s="73">
        <f>sumifs(Pivot_Data!E:E,Pivot_Data!A:A,A16,Pivot_Data!C:C,"loans out")</f>
        <v>290225</v>
      </c>
      <c r="D16" s="38">
        <f t="shared" si="1"/>
        <v>1439567.307</v>
      </c>
      <c r="E16" s="130">
        <f>sumifs(Pivot_Data!F:F,Pivot_Data!A:A,A16,Pivot_Data!C:C,"loans out")</f>
        <v>0.1425</v>
      </c>
      <c r="F16" s="130">
        <f>sumifs(Pivot_Data!G:G,Pivot_Data!A:A,A16,Pivot_Data!C:C,"loans out")</f>
        <v>0.1339</v>
      </c>
      <c r="G16" s="38">
        <f t="shared" si="2"/>
        <v>3944.9681</v>
      </c>
      <c r="H16" s="38">
        <f t="shared" si="3"/>
        <v>238.0822853</v>
      </c>
      <c r="J16" s="75">
        <f>sumifs(Collateral!C:C,Collateral!A:A,A16)</f>
        <v>0</v>
      </c>
      <c r="K16" s="66">
        <f t="shared" si="4"/>
        <v>0</v>
      </c>
      <c r="L16" s="38">
        <f t="shared" si="5"/>
        <v>0</v>
      </c>
    </row>
    <row r="17">
      <c r="A17" s="66" t="str">
        <f>Coins!A17</f>
        <v>XLM</v>
      </c>
      <c r="B17" s="73">
        <f>VLOOKUP(A17,Price!A:B,2,False)</f>
        <v>0.270127</v>
      </c>
      <c r="C17" s="73">
        <f>sumifs(Pivot_Data!E:E,Pivot_Data!A:A,A17,Pivot_Data!C:C,"loans out")</f>
        <v>46500000</v>
      </c>
      <c r="D17" s="38">
        <f t="shared" si="1"/>
        <v>12560905.5</v>
      </c>
      <c r="E17" s="130">
        <f>sumifs(Pivot_Data!F:F,Pivot_Data!A:A,A17,Pivot_Data!C:C,"loans out")</f>
        <v>0.0503</v>
      </c>
      <c r="F17" s="130">
        <f>sumifs(Pivot_Data!G:G,Pivot_Data!A:A,A17,Pivot_Data!C:C,"loans out")</f>
        <v>0.0091</v>
      </c>
      <c r="G17" s="38">
        <f t="shared" si="2"/>
        <v>12150.26051</v>
      </c>
      <c r="H17" s="38">
        <f t="shared" si="3"/>
        <v>9952.10205</v>
      </c>
      <c r="J17" s="75">
        <f>sumifs(Collateral!C:C,Collateral!A:A,A17)</f>
        <v>0</v>
      </c>
      <c r="K17" s="66">
        <f t="shared" si="4"/>
        <v>0</v>
      </c>
      <c r="L17" s="38">
        <f t="shared" si="5"/>
        <v>0</v>
      </c>
    </row>
    <row r="18">
      <c r="A18" s="66" t="str">
        <f>Coins!A18</f>
        <v>UNI</v>
      </c>
      <c r="B18" s="73">
        <f>VLOOKUP(A18,Price!A:B,2,False)</f>
        <v>14.44022362</v>
      </c>
      <c r="C18" s="73">
        <f>sumifs(Pivot_Data!E:E,Pivot_Data!A:A,A18,Pivot_Data!C:C,"loans out")</f>
        <v>977708.87</v>
      </c>
      <c r="D18" s="38">
        <f t="shared" si="1"/>
        <v>14118334.72</v>
      </c>
      <c r="E18" s="130">
        <f>sumifs(Pivot_Data!F:F,Pivot_Data!A:A,A18,Pivot_Data!C:C,"loans out")</f>
        <v>0.0707</v>
      </c>
      <c r="F18" s="130">
        <f>sumifs(Pivot_Data!G:G,Pivot_Data!A:A,A18,Pivot_Data!C:C,"loans out")</f>
        <v>0.0228</v>
      </c>
      <c r="G18" s="38">
        <f t="shared" si="2"/>
        <v>19195.50509</v>
      </c>
      <c r="H18" s="38">
        <f t="shared" si="3"/>
        <v>13005.15833</v>
      </c>
      <c r="J18" s="75">
        <f>sumifs(Collateral!C:C,Collateral!A:A,A18)</f>
        <v>0</v>
      </c>
      <c r="K18" s="66">
        <f t="shared" si="4"/>
        <v>0</v>
      </c>
      <c r="L18" s="38">
        <f t="shared" si="5"/>
        <v>0</v>
      </c>
    </row>
    <row r="19">
      <c r="A19" s="66" t="str">
        <f>Coins!A19</f>
        <v>AAVE</v>
      </c>
      <c r="B19" s="73">
        <f>VLOOKUP(A19,Price!A:B,2,False)</f>
        <v>173.1638356</v>
      </c>
      <c r="C19" s="73">
        <f>sumifs(Pivot_Data!E:E,Pivot_Data!A:A,A19,Pivot_Data!C:C,"loans out")</f>
        <v>19620.65</v>
      </c>
      <c r="D19" s="38">
        <f t="shared" si="1"/>
        <v>3397587.011</v>
      </c>
      <c r="E19" s="130">
        <f>sumifs(Pivot_Data!F:F,Pivot_Data!A:A,A19,Pivot_Data!C:C,"loans out")</f>
        <v>0.0659</v>
      </c>
      <c r="F19" s="130">
        <f>sumifs(Pivot_Data!G:G,Pivot_Data!A:A,A19,Pivot_Data!C:C,"loans out")</f>
        <v>0.0385</v>
      </c>
      <c r="G19" s="38">
        <f t="shared" si="2"/>
        <v>4305.788154</v>
      </c>
      <c r="H19" s="38">
        <f t="shared" si="3"/>
        <v>1790.267002</v>
      </c>
      <c r="J19" s="75">
        <f>sumifs(Collateral!C:C,Collateral!A:A,A19)</f>
        <v>18834.61</v>
      </c>
      <c r="K19" s="66">
        <f t="shared" si="4"/>
        <v>3261473.31</v>
      </c>
      <c r="L19" s="38">
        <f t="shared" si="5"/>
        <v>2414.744662</v>
      </c>
    </row>
    <row r="20">
      <c r="A20" s="66" t="str">
        <f>Coins!A20</f>
        <v>MANA</v>
      </c>
      <c r="B20" s="73">
        <f>VLOOKUP(A20,Price!A:B,2,False)</f>
        <v>3.162748017</v>
      </c>
      <c r="C20" s="73">
        <f>sumifs(Pivot_Data!E:E,Pivot_Data!A:A,A20,Pivot_Data!C:C,"loans out")</f>
        <v>0</v>
      </c>
      <c r="D20" s="38">
        <f t="shared" si="1"/>
        <v>0</v>
      </c>
      <c r="E20" s="130">
        <f>sumifs(Pivot_Data!F:F,Pivot_Data!A:A,A20,Pivot_Data!C:C,"loans out")</f>
        <v>0</v>
      </c>
      <c r="F20" s="130">
        <f>sumifs(Pivot_Data!G:G,Pivot_Data!A:A,A20,Pivot_Data!C:C,"loans out")</f>
        <v>0</v>
      </c>
      <c r="G20" s="38">
        <f t="shared" si="2"/>
        <v>0</v>
      </c>
      <c r="H20" s="38">
        <f t="shared" si="3"/>
        <v>0</v>
      </c>
      <c r="J20" s="75">
        <f>sumifs(Collateral!C:C,Collateral!A:A,A20)</f>
        <v>0</v>
      </c>
      <c r="K20" s="66">
        <f t="shared" si="4"/>
        <v>0</v>
      </c>
      <c r="L20" s="38">
        <f t="shared" si="5"/>
        <v>0</v>
      </c>
    </row>
    <row r="21">
      <c r="A21" s="66" t="str">
        <f>Coins!A21</f>
        <v>DOT</v>
      </c>
      <c r="B21" s="73">
        <f>VLOOKUP(A21,Price!A:B,2,False)</f>
        <v>24.25242304</v>
      </c>
      <c r="C21" s="73">
        <f>sumifs(Pivot_Data!E:E,Pivot_Data!A:A,A21,Pivot_Data!C:C,"loans out")</f>
        <v>577277.78</v>
      </c>
      <c r="D21" s="38">
        <f t="shared" si="1"/>
        <v>14000384.93</v>
      </c>
      <c r="E21" s="130">
        <f>sumifs(Pivot_Data!F:F,Pivot_Data!A:A,A21,Pivot_Data!C:C,"loans out")</f>
        <v>0.0904</v>
      </c>
      <c r="F21" s="130">
        <f>sumifs(Pivot_Data!G:G,Pivot_Data!A:A,A21,Pivot_Data!C:C,"loans out")</f>
        <v>0.0668</v>
      </c>
      <c r="G21" s="38">
        <f t="shared" si="2"/>
        <v>24339.13073</v>
      </c>
      <c r="H21" s="38">
        <f t="shared" si="3"/>
        <v>6354.020854</v>
      </c>
      <c r="J21" s="75">
        <f>sumifs(Collateral!C:C,Collateral!A:A,A21)</f>
        <v>538608.56</v>
      </c>
      <c r="K21" s="66">
        <f t="shared" si="4"/>
        <v>13062562.65</v>
      </c>
      <c r="L21" s="38">
        <f t="shared" si="5"/>
        <v>16780.36894</v>
      </c>
    </row>
    <row r="22">
      <c r="A22" s="66" t="str">
        <f>Coins!A22</f>
        <v>EOS</v>
      </c>
      <c r="B22" s="73">
        <f>VLOOKUP(A22,Price!A:B,2,False)</f>
        <v>3.224794378</v>
      </c>
      <c r="C22" s="73">
        <f>sumifs(Pivot_Data!E:E,Pivot_Data!A:A,A22,Pivot_Data!C:C,"loans out")</f>
        <v>4577123.9</v>
      </c>
      <c r="D22" s="38">
        <f t="shared" si="1"/>
        <v>14760283.42</v>
      </c>
      <c r="E22" s="130">
        <f>sumifs(Pivot_Data!F:F,Pivot_Data!A:A,A22,Pivot_Data!C:C,"loans out")</f>
        <v>0.0643</v>
      </c>
      <c r="F22" s="130">
        <f>sumifs(Pivot_Data!G:G,Pivot_Data!A:A,A22,Pivot_Data!C:C,"loans out")</f>
        <v>0.0288</v>
      </c>
      <c r="G22" s="38">
        <f t="shared" si="2"/>
        <v>18251.65815</v>
      </c>
      <c r="H22" s="38">
        <f t="shared" si="3"/>
        <v>10076.73195</v>
      </c>
      <c r="J22" s="75">
        <f>sumifs(Collateral!C:C,Collateral!A:A,A22)</f>
        <v>1900000</v>
      </c>
      <c r="K22" s="66">
        <f t="shared" si="4"/>
        <v>6127109.318</v>
      </c>
      <c r="L22" s="38">
        <f t="shared" si="5"/>
        <v>3393.47593</v>
      </c>
    </row>
    <row r="23">
      <c r="A23" s="66" t="str">
        <f>Coins!A23</f>
        <v>BAT</v>
      </c>
      <c r="B23" s="73">
        <f>VLOOKUP(A23,Price!A:B,2,False)</f>
        <v>1.078602899</v>
      </c>
      <c r="C23" s="73">
        <f>sumifs(Pivot_Data!E:E,Pivot_Data!A:A,A23,Pivot_Data!C:C,"loans out")</f>
        <v>3980000</v>
      </c>
      <c r="D23" s="38">
        <f t="shared" si="1"/>
        <v>4292839.538</v>
      </c>
      <c r="E23" s="130">
        <f>sumifs(Pivot_Data!F:F,Pivot_Data!A:A,A23,Pivot_Data!C:C,"loans out")</f>
        <v>0.064</v>
      </c>
      <c r="F23" s="130">
        <f>sumifs(Pivot_Data!G:G,Pivot_Data!A:A,A23,Pivot_Data!C:C,"loans out")</f>
        <v>0.0097</v>
      </c>
      <c r="G23" s="38">
        <f t="shared" si="2"/>
        <v>5283.494816</v>
      </c>
      <c r="H23" s="38">
        <f t="shared" si="3"/>
        <v>4482.715133</v>
      </c>
      <c r="J23" s="75">
        <f>sumifs(Collateral!C:C,Collateral!A:A,A23)</f>
        <v>0</v>
      </c>
      <c r="K23" s="66">
        <f t="shared" si="4"/>
        <v>0</v>
      </c>
      <c r="L23" s="38">
        <f t="shared" si="5"/>
        <v>0</v>
      </c>
    </row>
    <row r="24">
      <c r="A24" s="66" t="str">
        <f>Coins!A24</f>
        <v>ZEC</v>
      </c>
      <c r="B24" s="73">
        <f>VLOOKUP(A24,Price!A:B,2,False)</f>
        <v>159.5050466</v>
      </c>
      <c r="C24" s="73">
        <f>sumifs(Pivot_Data!E:E,Pivot_Data!A:A,A24,Pivot_Data!C:C,"loans out")</f>
        <v>24000</v>
      </c>
      <c r="D24" s="38">
        <f t="shared" si="1"/>
        <v>3828121.118</v>
      </c>
      <c r="E24" s="130">
        <f>sumifs(Pivot_Data!F:F,Pivot_Data!A:A,A24,Pivot_Data!C:C,"loans out")</f>
        <v>0.0386</v>
      </c>
      <c r="F24" s="130">
        <f>sumifs(Pivot_Data!G:G,Pivot_Data!A:A,A24,Pivot_Data!C:C,"loans out")</f>
        <v>0.0155</v>
      </c>
      <c r="G24" s="38">
        <f t="shared" si="2"/>
        <v>2841.643753</v>
      </c>
      <c r="H24" s="38">
        <f t="shared" si="3"/>
        <v>1700.569189</v>
      </c>
      <c r="J24" s="75">
        <f>sumifs(Collateral!C:C,Collateral!A:A,A24)</f>
        <v>0</v>
      </c>
      <c r="K24" s="66">
        <f t="shared" si="4"/>
        <v>0</v>
      </c>
      <c r="L24" s="38">
        <f t="shared" si="5"/>
        <v>0</v>
      </c>
    </row>
    <row r="25">
      <c r="A25" s="66" t="str">
        <f>Coins!A25</f>
        <v>DASH</v>
      </c>
      <c r="B25" s="73">
        <f>VLOOKUP(A25,Price!A:B,2,False)</f>
        <v>127.3985472</v>
      </c>
      <c r="C25" s="73">
        <f>sumifs(Pivot_Data!E:E,Pivot_Data!A:A,A25,Pivot_Data!C:C,"loans out")</f>
        <v>14000</v>
      </c>
      <c r="D25" s="38">
        <f t="shared" si="1"/>
        <v>1783579.661</v>
      </c>
      <c r="E25" s="130">
        <f>sumifs(Pivot_Data!F:F,Pivot_Data!A:A,A25,Pivot_Data!C:C,"loans out")</f>
        <v>0.0425</v>
      </c>
      <c r="F25" s="130">
        <f>sumifs(Pivot_Data!G:G,Pivot_Data!A:A,A25,Pivot_Data!C:C,"loans out")</f>
        <v>0.041</v>
      </c>
      <c r="G25" s="38">
        <f t="shared" si="2"/>
        <v>1457.733377</v>
      </c>
      <c r="H25" s="38">
        <f t="shared" si="3"/>
        <v>51.44941329</v>
      </c>
      <c r="J25" s="75">
        <f>sumifs(Collateral!C:C,Collateral!A:A,A25)</f>
        <v>0</v>
      </c>
      <c r="K25" s="66">
        <f t="shared" si="4"/>
        <v>0</v>
      </c>
      <c r="L25" s="38">
        <f t="shared" si="5"/>
        <v>0</v>
      </c>
    </row>
    <row r="26">
      <c r="A26" s="66" t="str">
        <f>Coins!A26</f>
        <v>1INCH</v>
      </c>
      <c r="B26" s="73">
        <f>VLOOKUP(A26,Price!A:B,2,False)</f>
        <v>2.358615111</v>
      </c>
      <c r="C26" s="73">
        <f>sumifs(Pivot_Data!E:E,Pivot_Data!A:A,A26,Pivot_Data!C:C,"loans out")</f>
        <v>0</v>
      </c>
      <c r="D26" s="38">
        <f t="shared" si="1"/>
        <v>0</v>
      </c>
      <c r="E26" s="130">
        <f>sumifs(Pivot_Data!F:F,Pivot_Data!A:A,A26,Pivot_Data!C:C,"loans out")</f>
        <v>0</v>
      </c>
      <c r="F26" s="130">
        <f>sumifs(Pivot_Data!G:G,Pivot_Data!A:A,A26,Pivot_Data!C:C,"loans out")</f>
        <v>0</v>
      </c>
      <c r="G26" s="38">
        <f t="shared" si="2"/>
        <v>0</v>
      </c>
      <c r="H26" s="38">
        <f t="shared" si="3"/>
        <v>0</v>
      </c>
      <c r="J26" s="75">
        <f>sumifs(Collateral!C:C,Collateral!A:A,A26)</f>
        <v>0</v>
      </c>
      <c r="K26" s="66">
        <f t="shared" si="4"/>
        <v>0</v>
      </c>
      <c r="L26" s="38">
        <f t="shared" si="5"/>
        <v>0</v>
      </c>
    </row>
    <row r="27">
      <c r="A27" s="66" t="str">
        <f>Coins!A27</f>
        <v>PAXG</v>
      </c>
      <c r="B27" s="73">
        <f>VLOOKUP(A27,Price!A:B,2,False)</f>
        <v>1806.139252</v>
      </c>
      <c r="C27" s="73">
        <f>sumifs(Pivot_Data!E:E,Pivot_Data!A:A,A27,Pivot_Data!C:C,"loans out")</f>
        <v>55</v>
      </c>
      <c r="D27" s="38">
        <f t="shared" si="1"/>
        <v>99337.65886</v>
      </c>
      <c r="E27" s="130">
        <f>sumifs(Pivot_Data!F:F,Pivot_Data!A:A,A27,Pivot_Data!C:C,"loans out")</f>
        <v>0.045</v>
      </c>
      <c r="F27" s="130">
        <f>sumifs(Pivot_Data!G:G,Pivot_Data!A:A,A27,Pivot_Data!C:C,"loans out")</f>
        <v>0.0526</v>
      </c>
      <c r="G27" s="38">
        <f t="shared" si="2"/>
        <v>85.96528171</v>
      </c>
      <c r="H27" s="38">
        <f t="shared" si="3"/>
        <v>-14.51858091</v>
      </c>
      <c r="J27" s="75">
        <f>sumifs(Collateral!C:C,Collateral!A:A,A27)</f>
        <v>0</v>
      </c>
      <c r="K27" s="66">
        <f t="shared" si="4"/>
        <v>0</v>
      </c>
      <c r="L27" s="38">
        <f t="shared" si="5"/>
        <v>0</v>
      </c>
    </row>
    <row r="28">
      <c r="A28" s="66" t="str">
        <f>Coins!A28</f>
        <v>BNT</v>
      </c>
      <c r="B28" s="73">
        <f>VLOOKUP(A28,Price!A:B,2,False)</f>
        <v>3.165969505</v>
      </c>
      <c r="C28" s="73">
        <f>sumifs(Pivot_Data!E:E,Pivot_Data!A:A,A28,Pivot_Data!C:C,"loans out")</f>
        <v>2557740.95</v>
      </c>
      <c r="D28" s="38">
        <f t="shared" si="1"/>
        <v>8097729.849</v>
      </c>
      <c r="E28" s="130">
        <f>sumifs(Pivot_Data!F:F,Pivot_Data!A:A,A28,Pivot_Data!C:C,"loans out")</f>
        <v>0.0716</v>
      </c>
      <c r="F28" s="130">
        <f>sumifs(Pivot_Data!G:G,Pivot_Data!A:A,A28,Pivot_Data!C:C,"loans out")</f>
        <v>0.0595</v>
      </c>
      <c r="G28" s="38">
        <f t="shared" si="2"/>
        <v>11149.9511</v>
      </c>
      <c r="H28" s="38">
        <f t="shared" si="3"/>
        <v>1884.279446</v>
      </c>
      <c r="J28" s="75">
        <f>sumifs(Collateral!C:C,Collateral!A:A,A28)</f>
        <v>0</v>
      </c>
      <c r="K28" s="66">
        <f t="shared" si="4"/>
        <v>0</v>
      </c>
      <c r="L28" s="38">
        <f t="shared" si="5"/>
        <v>0</v>
      </c>
    </row>
    <row r="29">
      <c r="A29" s="66" t="str">
        <f>Coins!A29</f>
        <v>ZRX</v>
      </c>
      <c r="B29" s="73">
        <f>VLOOKUP(A29,Price!A:B,2,False)</f>
        <v>0.7482698139</v>
      </c>
      <c r="C29" s="73">
        <f>sumifs(Pivot_Data!E:E,Pivot_Data!A:A,A29,Pivot_Data!C:C,"loans out")</f>
        <v>3500000</v>
      </c>
      <c r="D29" s="38">
        <f t="shared" si="1"/>
        <v>2618944.349</v>
      </c>
      <c r="E29" s="130">
        <f>sumifs(Pivot_Data!F:F,Pivot_Data!A:A,A29,Pivot_Data!C:C,"loans out")</f>
        <v>0.0557</v>
      </c>
      <c r="F29" s="130">
        <f>sumifs(Pivot_Data!G:G,Pivot_Data!A:A,A29,Pivot_Data!C:C,"loans out")</f>
        <v>0.0169</v>
      </c>
      <c r="G29" s="38">
        <f t="shared" si="2"/>
        <v>2805.292312</v>
      </c>
      <c r="H29" s="38">
        <f t="shared" si="3"/>
        <v>1954.135399</v>
      </c>
      <c r="J29" s="75">
        <f>sumifs(Collateral!C:C,Collateral!A:A,A29)</f>
        <v>0</v>
      </c>
      <c r="K29" s="66">
        <f t="shared" si="4"/>
        <v>0</v>
      </c>
      <c r="L29" s="38">
        <f t="shared" si="5"/>
        <v>0</v>
      </c>
    </row>
    <row r="30">
      <c r="A30" s="66" t="str">
        <f>Coins!A30</f>
        <v>COMP</v>
      </c>
      <c r="B30" s="73">
        <f>VLOOKUP(A30,Price!A:B,2,False)</f>
        <v>187.58</v>
      </c>
      <c r="C30" s="73">
        <f>sumifs(Pivot_Data!E:E,Pivot_Data!A:A,A30,Pivot_Data!C:C,"loans out")</f>
        <v>9413.3</v>
      </c>
      <c r="D30" s="38">
        <f t="shared" si="1"/>
        <v>1765746.814</v>
      </c>
      <c r="E30" s="130">
        <f>sumifs(Pivot_Data!F:F,Pivot_Data!A:A,A30,Pivot_Data!C:C,"loans out")</f>
        <v>0.0704</v>
      </c>
      <c r="F30" s="130">
        <f>sumifs(Pivot_Data!G:G,Pivot_Data!A:A,A30,Pivot_Data!C:C,"loans out")</f>
        <v>0.0453</v>
      </c>
      <c r="G30" s="38">
        <f t="shared" si="2"/>
        <v>2390.549533</v>
      </c>
      <c r="H30" s="38">
        <f t="shared" si="3"/>
        <v>852.3124045</v>
      </c>
      <c r="J30" s="75">
        <f>sumifs(Collateral!C:C,Collateral!A:A,A30)</f>
        <v>0</v>
      </c>
      <c r="K30" s="66">
        <f t="shared" si="4"/>
        <v>0</v>
      </c>
      <c r="L30" s="38">
        <f t="shared" si="5"/>
        <v>0</v>
      </c>
    </row>
    <row r="31">
      <c r="A31" s="66" t="str">
        <f>Coins!A31</f>
        <v>ETC</v>
      </c>
      <c r="B31" s="73">
        <f>VLOOKUP(A31,Price!A:B,2,False)</f>
        <v>34.29459694</v>
      </c>
      <c r="C31" s="73">
        <f>sumifs(Pivot_Data!E:E,Pivot_Data!A:A,A31,Pivot_Data!C:C,"loans out")</f>
        <v>55000</v>
      </c>
      <c r="D31" s="38">
        <f t="shared" si="1"/>
        <v>1886202.832</v>
      </c>
      <c r="E31" s="130">
        <f>sumifs(Pivot_Data!F:F,Pivot_Data!A:A,A31,Pivot_Data!C:C,"loans out")</f>
        <v>0.05</v>
      </c>
      <c r="F31" s="130">
        <f>sumifs(Pivot_Data!G:G,Pivot_Data!A:A,A31,Pivot_Data!C:C,"loans out")</f>
        <v>0.0298</v>
      </c>
      <c r="G31" s="38">
        <f t="shared" si="2"/>
        <v>1813.656569</v>
      </c>
      <c r="H31" s="38">
        <f t="shared" si="3"/>
        <v>732.7172539</v>
      </c>
      <c r="J31" s="75">
        <f>sumifs(Collateral!C:C,Collateral!A:A,A31)</f>
        <v>0</v>
      </c>
      <c r="K31" s="66">
        <f t="shared" si="4"/>
        <v>0</v>
      </c>
      <c r="L31" s="38">
        <f t="shared" si="5"/>
        <v>0</v>
      </c>
    </row>
    <row r="32">
      <c r="A32" s="66" t="str">
        <f>Coins!A32</f>
        <v>CVX</v>
      </c>
      <c r="B32" s="73">
        <f>VLOOKUP(A32,Price!A:B,2,False)</f>
        <v>30.31</v>
      </c>
      <c r="C32" s="73">
        <f>sumifs(Pivot_Data!E:E,Pivot_Data!A:A,A32,Pivot_Data!C:C,"loans out")</f>
        <v>0</v>
      </c>
      <c r="D32" s="38">
        <f t="shared" si="1"/>
        <v>0</v>
      </c>
      <c r="E32" s="130">
        <f>sumifs(Pivot_Data!F:F,Pivot_Data!A:A,A32,Pivot_Data!C:C,"loans out")</f>
        <v>0</v>
      </c>
      <c r="F32" s="130">
        <f>sumifs(Pivot_Data!G:G,Pivot_Data!A:A,A32,Pivot_Data!C:C,"loans out")</f>
        <v>0</v>
      </c>
      <c r="G32" s="38">
        <f t="shared" si="2"/>
        <v>0</v>
      </c>
      <c r="H32" s="38">
        <f t="shared" si="3"/>
        <v>0</v>
      </c>
      <c r="J32" s="75">
        <f>sumifs(Collateral!C:C,Collateral!A:A,A32)</f>
        <v>0</v>
      </c>
      <c r="K32" s="66">
        <f t="shared" si="4"/>
        <v>0</v>
      </c>
      <c r="L32" s="38">
        <f t="shared" si="5"/>
        <v>0</v>
      </c>
    </row>
    <row r="33">
      <c r="A33" s="66" t="str">
        <f>Coins!A33</f>
        <v>TGBP</v>
      </c>
      <c r="B33" s="73">
        <f>VLOOKUP(A33,Price!A:B,2,False)</f>
        <v>1.3207</v>
      </c>
      <c r="C33" s="73">
        <f>sumifs(Pivot_Data!E:E,Pivot_Data!A:A,A33,Pivot_Data!C:C,"loans out")</f>
        <v>0</v>
      </c>
      <c r="D33" s="38">
        <f t="shared" si="1"/>
        <v>0</v>
      </c>
      <c r="E33" s="130">
        <f>sumifs(Pivot_Data!F:F,Pivot_Data!A:A,A33,Pivot_Data!C:C,"loans out")</f>
        <v>0</v>
      </c>
      <c r="F33" s="130">
        <f>sumifs(Pivot_Data!G:G,Pivot_Data!A:A,A33,Pivot_Data!C:C,"loans out")</f>
        <v>0</v>
      </c>
      <c r="G33" s="38">
        <f t="shared" si="2"/>
        <v>0</v>
      </c>
      <c r="H33" s="38">
        <f t="shared" si="3"/>
        <v>0</v>
      </c>
      <c r="J33" s="75">
        <f>sumifs(Collateral!C:C,Collateral!A:A,A33)</f>
        <v>0</v>
      </c>
      <c r="K33" s="66">
        <f t="shared" si="4"/>
        <v>0</v>
      </c>
      <c r="L33" s="38">
        <f t="shared" si="5"/>
        <v>0</v>
      </c>
    </row>
    <row r="34">
      <c r="A34" s="66" t="str">
        <f>Coins!A34</f>
        <v>TAUD</v>
      </c>
      <c r="B34" s="73">
        <f>VLOOKUP(A34,Price!A:B,2,False)</f>
        <v>0.7098</v>
      </c>
      <c r="C34" s="73">
        <f>sumifs(Pivot_Data!E:E,Pivot_Data!A:A,A34,Pivot_Data!C:C,"loans out")</f>
        <v>0</v>
      </c>
      <c r="D34" s="38">
        <f t="shared" si="1"/>
        <v>0</v>
      </c>
      <c r="E34" s="130">
        <f>sumifs(Pivot_Data!F:F,Pivot_Data!A:A,A34,Pivot_Data!C:C,"loans out")</f>
        <v>0</v>
      </c>
      <c r="F34" s="130">
        <f>sumifs(Pivot_Data!G:G,Pivot_Data!A:A,A34,Pivot_Data!C:C,"loans out")</f>
        <v>0</v>
      </c>
      <c r="G34" s="38">
        <f t="shared" si="2"/>
        <v>0</v>
      </c>
      <c r="H34" s="38">
        <f t="shared" si="3"/>
        <v>0</v>
      </c>
      <c r="J34" s="75">
        <f>sumifs(Collateral!C:C,Collateral!A:A,A34)</f>
        <v>0</v>
      </c>
      <c r="K34" s="66">
        <f t="shared" si="4"/>
        <v>0</v>
      </c>
      <c r="L34" s="38">
        <f t="shared" si="5"/>
        <v>0</v>
      </c>
    </row>
    <row r="35">
      <c r="A35" s="66" t="str">
        <f>Coins!A35</f>
        <v>OMG</v>
      </c>
      <c r="B35" s="73">
        <f>VLOOKUP(A35,Price!A:B,2,False)</f>
        <v>5.762180134</v>
      </c>
      <c r="C35" s="73">
        <f>sumifs(Pivot_Data!E:E,Pivot_Data!A:A,A35,Pivot_Data!C:C,"loans out")</f>
        <v>490000</v>
      </c>
      <c r="D35" s="38">
        <f t="shared" si="1"/>
        <v>2823468.266</v>
      </c>
      <c r="E35" s="130">
        <f>sumifs(Pivot_Data!F:F,Pivot_Data!A:A,A35,Pivot_Data!C:C,"loans out")</f>
        <v>0.0694</v>
      </c>
      <c r="F35" s="130">
        <f>sumifs(Pivot_Data!G:G,Pivot_Data!A:A,A35,Pivot_Data!C:C,"loans out")</f>
        <v>0.0042</v>
      </c>
      <c r="G35" s="38">
        <f t="shared" si="2"/>
        <v>3768.244185</v>
      </c>
      <c r="H35" s="38">
        <f t="shared" si="3"/>
        <v>3540.194825</v>
      </c>
      <c r="J35" s="75">
        <f>sumifs(Collateral!C:C,Collateral!A:A,A35)</f>
        <v>0</v>
      </c>
      <c r="K35" s="66">
        <f t="shared" si="4"/>
        <v>0</v>
      </c>
      <c r="L35" s="38">
        <f t="shared" si="5"/>
        <v>0</v>
      </c>
    </row>
    <row r="36">
      <c r="A36" s="66" t="str">
        <f>Coins!A36</f>
        <v>SUSHI</v>
      </c>
      <c r="B36" s="73">
        <f>VLOOKUP(A36,Price!A:B,2,False)</f>
        <v>5.23640161</v>
      </c>
      <c r="C36" s="73">
        <f>sumifs(Pivot_Data!E:E,Pivot_Data!A:A,A36,Pivot_Data!C:C,"loans out")</f>
        <v>99482.76</v>
      </c>
      <c r="D36" s="38">
        <f t="shared" si="1"/>
        <v>520931.6846</v>
      </c>
      <c r="E36" s="130">
        <f>sumifs(Pivot_Data!F:F,Pivot_Data!A:A,A36,Pivot_Data!C:C,"loans out")</f>
        <v>0.1473</v>
      </c>
      <c r="F36" s="130">
        <f>sumifs(Pivot_Data!G:G,Pivot_Data!A:A,A36,Pivot_Data!C:C,"loans out")</f>
        <v>0.0396</v>
      </c>
      <c r="G36" s="38">
        <f t="shared" si="2"/>
        <v>1475.639176</v>
      </c>
      <c r="H36" s="38">
        <f t="shared" si="3"/>
        <v>1078.929662</v>
      </c>
      <c r="J36" s="75">
        <f>sumifs(Collateral!C:C,Collateral!A:A,A36)</f>
        <v>0</v>
      </c>
      <c r="K36" s="66">
        <f t="shared" si="4"/>
        <v>0</v>
      </c>
      <c r="L36" s="38">
        <f t="shared" si="5"/>
        <v>0</v>
      </c>
    </row>
    <row r="37">
      <c r="A37" s="66" t="str">
        <f>Coins!A37</f>
        <v>CRV</v>
      </c>
      <c r="B37" s="73">
        <f>VLOOKUP(A37,Price!A:B,2,False)</f>
        <v>3.991734421</v>
      </c>
      <c r="C37" s="73">
        <f>sumifs(Pivot_Data!E:E,Pivot_Data!A:A,A37,Pivot_Data!C:C,"loans out")</f>
        <v>946377.72</v>
      </c>
      <c r="D37" s="38">
        <f t="shared" si="1"/>
        <v>3777688.52</v>
      </c>
      <c r="E37" s="130">
        <f>sumifs(Pivot_Data!F:F,Pivot_Data!A:A,A37,Pivot_Data!C:C,"loans out")</f>
        <v>0.1264</v>
      </c>
      <c r="F37" s="130">
        <f>sumifs(Pivot_Data!G:G,Pivot_Data!A:A,A37,Pivot_Data!C:C,"loans out")</f>
        <v>0</v>
      </c>
      <c r="G37" s="38">
        <f t="shared" si="2"/>
        <v>9182.689018</v>
      </c>
      <c r="H37" s="38">
        <f t="shared" si="3"/>
        <v>9182.689018</v>
      </c>
      <c r="J37" s="75">
        <f>sumifs(Collateral!C:C,Collateral!A:A,A37)</f>
        <v>0</v>
      </c>
      <c r="K37" s="66">
        <f t="shared" si="4"/>
        <v>0</v>
      </c>
      <c r="L37" s="38">
        <f t="shared" si="5"/>
        <v>0</v>
      </c>
    </row>
    <row r="38">
      <c r="A38" s="66" t="str">
        <f>Coins!A38</f>
        <v>BSV</v>
      </c>
      <c r="B38" s="73">
        <f>VLOOKUP(A38,Price!A:B,2,False)</f>
        <v>121.68</v>
      </c>
      <c r="C38" s="73">
        <f>sumifs(Pivot_Data!E:E,Pivot_Data!A:A,A38,Pivot_Data!C:C,"loans out")</f>
        <v>0</v>
      </c>
      <c r="D38" s="38">
        <f t="shared" si="1"/>
        <v>0</v>
      </c>
      <c r="E38" s="130">
        <f>sumifs(Pivot_Data!F:F,Pivot_Data!A:A,A38,Pivot_Data!C:C,"loans out")</f>
        <v>0</v>
      </c>
      <c r="F38" s="130">
        <f>sumifs(Pivot_Data!G:G,Pivot_Data!A:A,A38,Pivot_Data!C:C,"loans out")</f>
        <v>0</v>
      </c>
      <c r="G38" s="38">
        <f t="shared" si="2"/>
        <v>0</v>
      </c>
      <c r="H38" s="38">
        <f t="shared" si="3"/>
        <v>0</v>
      </c>
      <c r="J38" s="75">
        <f>sumifs(Collateral!C:C,Collateral!A:A,A38)</f>
        <v>0</v>
      </c>
      <c r="K38" s="66">
        <f t="shared" si="4"/>
        <v>0</v>
      </c>
      <c r="L38" s="38">
        <f t="shared" si="5"/>
        <v>0</v>
      </c>
    </row>
    <row r="39">
      <c r="A39" s="66" t="str">
        <f>Coins!A39</f>
        <v>BADGER</v>
      </c>
      <c r="B39" s="73">
        <f>VLOOKUP(A39,Price!A:B,2,False)</f>
        <v>14.44190837</v>
      </c>
      <c r="C39" s="73">
        <f>sumifs(Pivot_Data!E:E,Pivot_Data!A:A,A39,Pivot_Data!C:C,"loans out")</f>
        <v>20408</v>
      </c>
      <c r="D39" s="38">
        <f t="shared" si="1"/>
        <v>294730.466</v>
      </c>
      <c r="E39" s="130">
        <f>sumifs(Pivot_Data!F:F,Pivot_Data!A:A,A39,Pivot_Data!C:C,"loans out")</f>
        <v>0.55</v>
      </c>
      <c r="F39" s="130">
        <f>sumifs(Pivot_Data!G:G,Pivot_Data!A:A,A39,Pivot_Data!C:C,"loans out")</f>
        <v>0</v>
      </c>
      <c r="G39" s="38">
        <f t="shared" si="2"/>
        <v>3117.341467</v>
      </c>
      <c r="H39" s="38">
        <f t="shared" si="3"/>
        <v>3117.341467</v>
      </c>
      <c r="J39" s="75">
        <f>sumifs(Collateral!C:C,Collateral!A:A,A39)</f>
        <v>0</v>
      </c>
      <c r="K39" s="66">
        <f t="shared" si="4"/>
        <v>0</v>
      </c>
      <c r="L39" s="38">
        <f t="shared" si="5"/>
        <v>0</v>
      </c>
    </row>
    <row r="40">
      <c r="A40" s="66" t="str">
        <f>Coins!A40</f>
        <v>TCAD</v>
      </c>
      <c r="B40" s="73">
        <f>VLOOKUP(A40,Price!A:B,2,False)</f>
        <v>0.7738</v>
      </c>
      <c r="C40" s="73">
        <f>sumifs(Pivot_Data!E:E,Pivot_Data!A:A,A40,Pivot_Data!C:C,"loans out")</f>
        <v>0</v>
      </c>
      <c r="D40" s="38">
        <f t="shared" si="1"/>
        <v>0</v>
      </c>
      <c r="E40" s="130">
        <f>sumifs(Pivot_Data!F:F,Pivot_Data!A:A,A40,Pivot_Data!C:C,"loans out")</f>
        <v>0</v>
      </c>
      <c r="F40" s="130">
        <f>sumifs(Pivot_Data!G:G,Pivot_Data!A:A,A40,Pivot_Data!C:C,"loans out")</f>
        <v>0</v>
      </c>
      <c r="G40" s="38">
        <f t="shared" si="2"/>
        <v>0</v>
      </c>
      <c r="H40" s="38">
        <f t="shared" si="3"/>
        <v>0</v>
      </c>
      <c r="J40" s="75">
        <f>sumifs(Collateral!C:C,Collateral!A:A,A40)</f>
        <v>0</v>
      </c>
      <c r="K40" s="66">
        <f t="shared" si="4"/>
        <v>0</v>
      </c>
      <c r="L40" s="38">
        <f t="shared" si="5"/>
        <v>0</v>
      </c>
    </row>
    <row r="41">
      <c r="A41" s="66" t="str">
        <f>Coins!A41</f>
        <v>THKD</v>
      </c>
      <c r="B41" s="73">
        <f>VLOOKUP(A41,Price!A:B,2,False)</f>
        <v>0.1282</v>
      </c>
      <c r="C41" s="73">
        <f>sumifs(Pivot_Data!E:E,Pivot_Data!A:A,A41,Pivot_Data!C:C,"loans out")</f>
        <v>0</v>
      </c>
      <c r="D41" s="38">
        <f t="shared" si="1"/>
        <v>0</v>
      </c>
      <c r="E41" s="130">
        <f>sumifs(Pivot_Data!F:F,Pivot_Data!A:A,A41,Pivot_Data!C:C,"loans out")</f>
        <v>0</v>
      </c>
      <c r="F41" s="130">
        <f>sumifs(Pivot_Data!G:G,Pivot_Data!A:A,A41,Pivot_Data!C:C,"loans out")</f>
        <v>0</v>
      </c>
      <c r="G41" s="38">
        <f t="shared" si="2"/>
        <v>0</v>
      </c>
      <c r="H41" s="38">
        <f t="shared" si="3"/>
        <v>0</v>
      </c>
      <c r="J41" s="75">
        <f>sumifs(Collateral!C:C,Collateral!A:A,A41)</f>
        <v>0</v>
      </c>
      <c r="K41" s="66">
        <f t="shared" si="4"/>
        <v>0</v>
      </c>
      <c r="L41" s="38">
        <f t="shared" si="5"/>
        <v>0</v>
      </c>
    </row>
    <row r="42">
      <c r="A42" s="66" t="str">
        <f>Coins!A42</f>
        <v>KNC</v>
      </c>
      <c r="B42" s="73">
        <f>VLOOKUP(A42,Price!A:B,2,False)</f>
        <v>1.235585033</v>
      </c>
      <c r="C42" s="73">
        <f>sumifs(Pivot_Data!E:E,Pivot_Data!A:A,A42,Pivot_Data!C:C,"loans out")</f>
        <v>330000</v>
      </c>
      <c r="D42" s="38">
        <f t="shared" si="1"/>
        <v>407743.0609</v>
      </c>
      <c r="E42" s="130">
        <f>sumifs(Pivot_Data!F:F,Pivot_Data!A:A,A42,Pivot_Data!C:C,"loans out")</f>
        <v>0.0686</v>
      </c>
      <c r="F42" s="130">
        <f>sumifs(Pivot_Data!G:G,Pivot_Data!A:A,A42,Pivot_Data!C:C,"loans out")</f>
        <v>0.0048</v>
      </c>
      <c r="G42" s="38">
        <f t="shared" si="2"/>
        <v>537.9071919</v>
      </c>
      <c r="H42" s="38">
        <f t="shared" si="3"/>
        <v>500.2693709</v>
      </c>
      <c r="J42" s="75">
        <f>sumifs(Collateral!C:C,Collateral!A:A,A42)</f>
        <v>0</v>
      </c>
      <c r="K42" s="66">
        <f t="shared" si="4"/>
        <v>0</v>
      </c>
      <c r="L42" s="38">
        <f t="shared" si="5"/>
        <v>0</v>
      </c>
    </row>
    <row r="43">
      <c r="A43" s="66" t="str">
        <f>Coins!A43</f>
        <v>LDO</v>
      </c>
      <c r="B43" s="73">
        <f>VLOOKUP(A43,Price!A:B,2,False)</f>
        <v>2.57</v>
      </c>
      <c r="C43" s="73">
        <f>sumifs(Pivot_Data!E:E,Pivot_Data!A:A,A43,Pivot_Data!C:C,"loans out")</f>
        <v>0</v>
      </c>
      <c r="D43" s="38">
        <f t="shared" si="1"/>
        <v>0</v>
      </c>
      <c r="E43" s="130">
        <f>sumifs(Pivot_Data!F:F,Pivot_Data!A:A,A43,Pivot_Data!C:C,"loans out")</f>
        <v>0</v>
      </c>
      <c r="F43" s="130">
        <f>sumifs(Pivot_Data!G:G,Pivot_Data!A:A,A43,Pivot_Data!C:C,"loans out")</f>
        <v>0</v>
      </c>
      <c r="G43" s="38">
        <f t="shared" si="2"/>
        <v>0</v>
      </c>
      <c r="H43" s="38">
        <f t="shared" si="3"/>
        <v>0</v>
      </c>
      <c r="J43" s="75">
        <f>sumifs(Collateral!C:C,Collateral!A:A,A43)</f>
        <v>0</v>
      </c>
      <c r="K43" s="66">
        <f t="shared" si="4"/>
        <v>0</v>
      </c>
      <c r="L43" s="38">
        <f t="shared" si="5"/>
        <v>0</v>
      </c>
    </row>
    <row r="44">
      <c r="A44" s="66" t="str">
        <f>Coins!A44</f>
        <v>DIGG</v>
      </c>
      <c r="B44" s="73">
        <f>VLOOKUP(A44,Price!A:B,2,False)</f>
        <v>35192.45221</v>
      </c>
      <c r="C44" s="73">
        <f>sumifs(Pivot_Data!E:E,Pivot_Data!A:A,A44,Pivot_Data!C:C,"loans out")</f>
        <v>0</v>
      </c>
      <c r="D44" s="38">
        <f t="shared" si="1"/>
        <v>0</v>
      </c>
      <c r="E44" s="130">
        <f>sumifs(Pivot_Data!F:F,Pivot_Data!A:A,A44,Pivot_Data!C:C,"loans out")</f>
        <v>0</v>
      </c>
      <c r="F44" s="130">
        <f>sumifs(Pivot_Data!G:G,Pivot_Data!A:A,A44,Pivot_Data!C:C,"loans out")</f>
        <v>0</v>
      </c>
      <c r="G44" s="38">
        <f t="shared" si="2"/>
        <v>0</v>
      </c>
      <c r="H44" s="38">
        <f t="shared" si="3"/>
        <v>0</v>
      </c>
      <c r="J44" s="75">
        <f>sumifs(Collateral!C:C,Collateral!A:A,A44)</f>
        <v>0</v>
      </c>
      <c r="K44" s="66">
        <f t="shared" si="4"/>
        <v>0</v>
      </c>
      <c r="L44" s="38">
        <f t="shared" si="5"/>
        <v>0</v>
      </c>
    </row>
    <row r="45">
      <c r="A45" s="66" t="str">
        <f>Coins!A45</f>
        <v>YFI</v>
      </c>
      <c r="B45" s="73">
        <f>VLOOKUP(A45,Price!A:B,2,False)</f>
        <v>35357.36619</v>
      </c>
      <c r="C45" s="73">
        <f>sumifs(Pivot_Data!E:E,Pivot_Data!A:A,A45,Pivot_Data!C:C,"loans out")</f>
        <v>50.86</v>
      </c>
      <c r="D45" s="38">
        <f t="shared" si="1"/>
        <v>1798275.644</v>
      </c>
      <c r="E45" s="130">
        <f>sumifs(Pivot_Data!F:F,Pivot_Data!A:A,A45,Pivot_Data!C:C,"loans out")</f>
        <v>0.0831</v>
      </c>
      <c r="F45" s="130">
        <f>sumifs(Pivot_Data!G:G,Pivot_Data!A:A,A45,Pivot_Data!C:C,"loans out")</f>
        <v>0</v>
      </c>
      <c r="G45" s="38">
        <f t="shared" si="2"/>
        <v>2873.782809</v>
      </c>
      <c r="H45" s="38">
        <f t="shared" si="3"/>
        <v>2873.782809</v>
      </c>
      <c r="J45" s="75">
        <f>sumifs(Collateral!C:C,Collateral!A:A,A45)</f>
        <v>0</v>
      </c>
      <c r="K45" s="66">
        <f t="shared" si="4"/>
        <v>0</v>
      </c>
      <c r="L45" s="38">
        <f t="shared" si="5"/>
        <v>0</v>
      </c>
    </row>
    <row r="46">
      <c r="A46" s="66" t="str">
        <f>Coins!A46</f>
        <v>UMA</v>
      </c>
      <c r="B46" s="73">
        <f>VLOOKUP(A46,Price!A:B,2,False)</f>
        <v>8.569450724</v>
      </c>
      <c r="C46" s="73">
        <f>sumifs(Pivot_Data!E:E,Pivot_Data!A:A,A46,Pivot_Data!C:C,"loans out")</f>
        <v>94795.65</v>
      </c>
      <c r="D46" s="38">
        <f t="shared" si="1"/>
        <v>812346.6515</v>
      </c>
      <c r="E46" s="130">
        <f>sumifs(Pivot_Data!F:F,Pivot_Data!A:A,A46,Pivot_Data!C:C,"loans out")</f>
        <v>0.0747</v>
      </c>
      <c r="F46" s="130">
        <f>sumifs(Pivot_Data!G:G,Pivot_Data!A:A,A46,Pivot_Data!C:C,"loans out")</f>
        <v>0.0093</v>
      </c>
      <c r="G46" s="38">
        <f t="shared" si="2"/>
        <v>1166.967209</v>
      </c>
      <c r="H46" s="38">
        <f t="shared" si="3"/>
        <v>1021.682135</v>
      </c>
      <c r="J46" s="75">
        <f>sumifs(Collateral!C:C,Collateral!A:A,A46)</f>
        <v>0</v>
      </c>
      <c r="K46" s="66">
        <f t="shared" si="4"/>
        <v>0</v>
      </c>
      <c r="L46" s="38">
        <f t="shared" si="5"/>
        <v>0</v>
      </c>
    </row>
    <row r="47">
      <c r="A47" s="66" t="str">
        <f>Coins!A47</f>
        <v>XAUT</v>
      </c>
      <c r="B47" s="73">
        <f>VLOOKUP(A47,Price!A:B,2,False)</f>
        <v>1801.374258</v>
      </c>
      <c r="C47" s="73">
        <f>sumifs(Pivot_Data!E:E,Pivot_Data!A:A,A47,Pivot_Data!C:C,"loans out")</f>
        <v>0</v>
      </c>
      <c r="D47" s="38">
        <f t="shared" si="1"/>
        <v>0</v>
      </c>
      <c r="E47" s="130">
        <f>sumifs(Pivot_Data!F:F,Pivot_Data!A:A,A47,Pivot_Data!C:C,"loans out")</f>
        <v>0</v>
      </c>
      <c r="F47" s="130">
        <f>sumifs(Pivot_Data!G:G,Pivot_Data!A:A,A47,Pivot_Data!C:C,"loans out")</f>
        <v>0</v>
      </c>
      <c r="G47" s="38">
        <f t="shared" si="2"/>
        <v>0</v>
      </c>
      <c r="H47" s="38">
        <f t="shared" si="3"/>
        <v>0</v>
      </c>
      <c r="J47" s="75">
        <f>sumifs(Collateral!C:C,Collateral!A:A,A47)</f>
        <v>0</v>
      </c>
      <c r="K47" s="66">
        <f t="shared" si="4"/>
        <v>0</v>
      </c>
      <c r="L47" s="38">
        <f t="shared" si="5"/>
        <v>0</v>
      </c>
    </row>
    <row r="48">
      <c r="A48" s="66" t="str">
        <f>Coins!A48</f>
        <v>REN</v>
      </c>
      <c r="B48" s="73">
        <f>VLOOKUP(A48,Price!A:B,2,False)</f>
        <v>0.4805839748</v>
      </c>
      <c r="C48" s="73">
        <f>sumifs(Pivot_Data!E:E,Pivot_Data!A:A,A48,Pivot_Data!C:C,"loans out")</f>
        <v>803656</v>
      </c>
      <c r="D48" s="38">
        <f t="shared" si="1"/>
        <v>386224.1949</v>
      </c>
      <c r="E48" s="130">
        <f>sumifs(Pivot_Data!F:F,Pivot_Data!A:A,A48,Pivot_Data!C:C,"loans out")</f>
        <v>0.0943</v>
      </c>
      <c r="F48" s="130">
        <f>sumifs(Pivot_Data!G:G,Pivot_Data!A:A,A48,Pivot_Data!C:C,"loans out")</f>
        <v>0</v>
      </c>
      <c r="G48" s="38">
        <f t="shared" si="2"/>
        <v>700.4027226</v>
      </c>
      <c r="H48" s="38">
        <f t="shared" si="3"/>
        <v>700.4027226</v>
      </c>
      <c r="J48" s="75">
        <f>sumifs(Collateral!C:C,Collateral!A:A,A48)</f>
        <v>0</v>
      </c>
      <c r="K48" s="66">
        <f t="shared" si="4"/>
        <v>0</v>
      </c>
      <c r="L48" s="38">
        <f t="shared" si="5"/>
        <v>0</v>
      </c>
    </row>
    <row r="49">
      <c r="A49" s="66" t="str">
        <f>Coins!A49</f>
        <v>LPT</v>
      </c>
      <c r="B49" s="73">
        <f>VLOOKUP(A49,Price!A:B,2,False)</f>
        <v>33.46970838</v>
      </c>
      <c r="C49" s="73">
        <f>sumifs(Pivot_Data!E:E,Pivot_Data!A:A,A49,Pivot_Data!C:C,"loans out")</f>
        <v>0</v>
      </c>
      <c r="D49" s="38">
        <f t="shared" si="1"/>
        <v>0</v>
      </c>
      <c r="E49" s="130">
        <f>sumifs(Pivot_Data!F:F,Pivot_Data!A:A,A49,Pivot_Data!C:C,"loans out")</f>
        <v>0</v>
      </c>
      <c r="F49" s="130">
        <f>sumifs(Pivot_Data!G:G,Pivot_Data!A:A,A49,Pivot_Data!C:C,"loans out")</f>
        <v>0</v>
      </c>
      <c r="G49" s="38">
        <f t="shared" si="2"/>
        <v>0</v>
      </c>
      <c r="H49" s="38">
        <f t="shared" si="3"/>
        <v>0</v>
      </c>
      <c r="J49" s="75">
        <f>sumifs(Collateral!C:C,Collateral!A:A,A49)</f>
        <v>0</v>
      </c>
      <c r="K49" s="66">
        <f t="shared" si="4"/>
        <v>0</v>
      </c>
      <c r="L49" s="38">
        <f t="shared" si="5"/>
        <v>0</v>
      </c>
    </row>
    <row r="50">
      <c r="A50" s="66" t="str">
        <f>Coins!A50</f>
        <v>ALPHA</v>
      </c>
      <c r="B50" s="73">
        <f>VLOOKUP(A50,Price!A:B,2,False)</f>
        <v>0.6678409518</v>
      </c>
      <c r="C50" s="73">
        <f>sumifs(Pivot_Data!E:E,Pivot_Data!A:A,A50,Pivot_Data!C:C,"loans out")</f>
        <v>0</v>
      </c>
      <c r="D50" s="38">
        <f t="shared" si="1"/>
        <v>0</v>
      </c>
      <c r="E50" s="130">
        <f>sumifs(Pivot_Data!F:F,Pivot_Data!A:A,A50,Pivot_Data!C:C,"loans out")</f>
        <v>0</v>
      </c>
      <c r="F50" s="130">
        <f>sumifs(Pivot_Data!G:G,Pivot_Data!A:A,A50,Pivot_Data!C:C,"loans out")</f>
        <v>0</v>
      </c>
      <c r="G50" s="38">
        <f t="shared" si="2"/>
        <v>0</v>
      </c>
      <c r="H50" s="38">
        <f t="shared" si="3"/>
        <v>0</v>
      </c>
      <c r="J50" s="75">
        <f>sumifs(Collateral!C:C,Collateral!A:A,A50)</f>
        <v>0</v>
      </c>
      <c r="K50" s="66">
        <f t="shared" si="4"/>
        <v>0</v>
      </c>
      <c r="L50" s="38">
        <f t="shared" si="5"/>
        <v>0</v>
      </c>
    </row>
    <row r="51">
      <c r="A51" s="66" t="str">
        <f>Coins!A51</f>
        <v>WDGLD</v>
      </c>
      <c r="B51" s="73">
        <f>VLOOKUP(A51,Price!A:B,2,False)</f>
        <v>175.96</v>
      </c>
      <c r="C51" s="73">
        <f>sumifs(Pivot_Data!E:E,Pivot_Data!A:A,A51,Pivot_Data!C:C,"loans out")</f>
        <v>0</v>
      </c>
      <c r="D51" s="38">
        <f t="shared" si="1"/>
        <v>0</v>
      </c>
      <c r="E51" s="130">
        <f>sumifs(Pivot_Data!F:F,Pivot_Data!A:A,A51,Pivot_Data!C:C,"loans out")</f>
        <v>0</v>
      </c>
      <c r="F51" s="130">
        <f>sumifs(Pivot_Data!G:G,Pivot_Data!A:A,A51,Pivot_Data!C:C,"loans out")</f>
        <v>0</v>
      </c>
      <c r="G51" s="38">
        <f t="shared" si="2"/>
        <v>0</v>
      </c>
      <c r="H51" s="38">
        <f t="shared" si="3"/>
        <v>0</v>
      </c>
      <c r="J51" s="75">
        <f>sumifs(Collateral!C:C,Collateral!A:A,A51)</f>
        <v>0</v>
      </c>
      <c r="K51" s="66">
        <f t="shared" si="4"/>
        <v>0</v>
      </c>
      <c r="L51" s="38">
        <f t="shared" si="5"/>
        <v>0</v>
      </c>
    </row>
    <row r="52">
      <c r="A52" s="66" t="str">
        <f>Coins!A52</f>
        <v>BAL</v>
      </c>
      <c r="B52" s="73">
        <f>VLOOKUP(A52,Price!A:B,2,False)</f>
        <v>17.65911299</v>
      </c>
      <c r="C52" s="73">
        <f>sumifs(Pivot_Data!E:E,Pivot_Data!A:A,A52,Pivot_Data!C:C,"loans out")</f>
        <v>11679</v>
      </c>
      <c r="D52" s="38">
        <f t="shared" si="1"/>
        <v>206240.7806</v>
      </c>
      <c r="E52" s="130">
        <f>sumifs(Pivot_Data!F:F,Pivot_Data!A:A,A52,Pivot_Data!C:C,"loans out")</f>
        <v>0.1624</v>
      </c>
      <c r="F52" s="130">
        <f>sumifs(Pivot_Data!G:G,Pivot_Data!A:A,A52,Pivot_Data!C:C,"loans out")</f>
        <v>0</v>
      </c>
      <c r="G52" s="38">
        <f t="shared" si="2"/>
        <v>644.1058225</v>
      </c>
      <c r="H52" s="38">
        <f t="shared" si="3"/>
        <v>644.1058225</v>
      </c>
      <c r="J52" s="75">
        <f>sumifs(Collateral!C:C,Collateral!A:A,A52)</f>
        <v>0</v>
      </c>
      <c r="K52" s="66">
        <f t="shared" si="4"/>
        <v>0</v>
      </c>
      <c r="L52" s="38">
        <f t="shared" si="5"/>
        <v>0</v>
      </c>
    </row>
    <row r="53">
      <c r="A53" s="66" t="str">
        <f>Coins!A53</f>
        <v>BTG</v>
      </c>
      <c r="B53" s="73">
        <f>VLOOKUP(A53,Price!A:B,2,False)</f>
        <v>40.15750772</v>
      </c>
      <c r="C53" s="73">
        <f>sumifs(Pivot_Data!E:E,Pivot_Data!A:A,A53,Pivot_Data!C:C,"loans out")</f>
        <v>0</v>
      </c>
      <c r="D53" s="38">
        <f t="shared" si="1"/>
        <v>0</v>
      </c>
      <c r="E53" s="130">
        <f>sumifs(Pivot_Data!F:F,Pivot_Data!A:A,A53,Pivot_Data!C:C,"loans out")</f>
        <v>0</v>
      </c>
      <c r="F53" s="130">
        <f>sumifs(Pivot_Data!G:G,Pivot_Data!A:A,A53,Pivot_Data!C:C,"loans out")</f>
        <v>0</v>
      </c>
      <c r="G53" s="38">
        <f t="shared" si="2"/>
        <v>0</v>
      </c>
      <c r="H53" s="38">
        <f t="shared" si="3"/>
        <v>0</v>
      </c>
      <c r="J53" s="75">
        <f>sumifs(Collateral!C:C,Collateral!A:A,A53)</f>
        <v>0</v>
      </c>
      <c r="K53" s="66">
        <f t="shared" si="4"/>
        <v>0</v>
      </c>
      <c r="L53" s="38">
        <f t="shared" si="5"/>
        <v>0</v>
      </c>
    </row>
    <row r="54">
      <c r="A54" s="66" t="str">
        <f>Coins!A54</f>
        <v>VSP</v>
      </c>
      <c r="B54" s="73">
        <f>VLOOKUP(A54,Price!A:B,2,False)</f>
        <v>3.47</v>
      </c>
      <c r="C54" s="73">
        <f>sumifs(Pivot_Data!E:E,Pivot_Data!A:A,A54,Pivot_Data!C:C,"loans out")</f>
        <v>0</v>
      </c>
      <c r="D54" s="38">
        <f t="shared" si="1"/>
        <v>0</v>
      </c>
      <c r="E54" s="130">
        <f>sumifs(Pivot_Data!F:F,Pivot_Data!A:A,A54,Pivot_Data!C:C,"loans out")</f>
        <v>0</v>
      </c>
      <c r="F54" s="130">
        <f>sumifs(Pivot_Data!G:G,Pivot_Data!A:A,A54,Pivot_Data!C:C,"loans out")</f>
        <v>0</v>
      </c>
      <c r="G54" s="38">
        <f t="shared" si="2"/>
        <v>0</v>
      </c>
      <c r="H54" s="38">
        <f t="shared" si="3"/>
        <v>0</v>
      </c>
      <c r="J54" s="75">
        <f>sumifs(Collateral!C:C,Collateral!A:A,A54)</f>
        <v>0</v>
      </c>
      <c r="K54" s="66">
        <f t="shared" si="4"/>
        <v>0</v>
      </c>
      <c r="L54" s="38">
        <f t="shared" si="5"/>
        <v>0</v>
      </c>
    </row>
    <row r="55">
      <c r="A55" s="66" t="str">
        <f>Coins!A55</f>
        <v>PNT</v>
      </c>
      <c r="B55" s="73">
        <f>VLOOKUP(A55,Price!A:B,2,False)</f>
        <v>0.9224738405</v>
      </c>
      <c r="C55" s="73">
        <f>sumifs(Pivot_Data!E:E,Pivot_Data!A:A,A55,Pivot_Data!C:C,"loans out")</f>
        <v>0</v>
      </c>
      <c r="D55" s="38">
        <f t="shared" si="1"/>
        <v>0</v>
      </c>
      <c r="E55" s="130">
        <f>sumifs(Pivot_Data!F:F,Pivot_Data!A:A,A55,Pivot_Data!C:C,"loans out")</f>
        <v>0</v>
      </c>
      <c r="F55" s="130">
        <f>sumifs(Pivot_Data!G:G,Pivot_Data!A:A,A55,Pivot_Data!C:C,"loans out")</f>
        <v>0</v>
      </c>
      <c r="G55" s="38">
        <f t="shared" si="2"/>
        <v>0</v>
      </c>
      <c r="H55" s="38">
        <f t="shared" si="3"/>
        <v>0</v>
      </c>
      <c r="J55" s="75">
        <f>sumifs(Collateral!C:C,Collateral!A:A,A55)</f>
        <v>0</v>
      </c>
      <c r="K55" s="66">
        <f t="shared" si="4"/>
        <v>0</v>
      </c>
      <c r="L55" s="38">
        <f t="shared" si="5"/>
        <v>0</v>
      </c>
    </row>
    <row r="56">
      <c r="A56" s="66" t="str">
        <f>Coins!A56</f>
        <v>FARM</v>
      </c>
      <c r="B56" s="73">
        <f>VLOOKUP(A56,Price!A:B,2,False)</f>
        <v>88.74747431</v>
      </c>
      <c r="C56" s="73">
        <f>sumifs(Pivot_Data!E:E,Pivot_Data!A:A,A56,Pivot_Data!C:C,"loans out")</f>
        <v>0</v>
      </c>
      <c r="D56" s="38">
        <f t="shared" si="1"/>
        <v>0</v>
      </c>
      <c r="E56" s="130">
        <f>sumifs(Pivot_Data!F:F,Pivot_Data!A:A,A56,Pivot_Data!C:C,"loans out")</f>
        <v>0</v>
      </c>
      <c r="F56" s="130">
        <f>sumifs(Pivot_Data!G:G,Pivot_Data!A:A,A56,Pivot_Data!C:C,"loans out")</f>
        <v>0</v>
      </c>
      <c r="G56" s="38">
        <f t="shared" si="2"/>
        <v>0</v>
      </c>
      <c r="H56" s="38">
        <f t="shared" si="3"/>
        <v>0</v>
      </c>
      <c r="J56" s="75">
        <f>sumifs(Collateral!C:C,Collateral!A:A,A56)</f>
        <v>0</v>
      </c>
      <c r="K56" s="66">
        <f t="shared" si="4"/>
        <v>0</v>
      </c>
      <c r="L56" s="38">
        <f t="shared" si="5"/>
        <v>0</v>
      </c>
    </row>
    <row r="57">
      <c r="A57" s="66" t="str">
        <f>Coins!A57</f>
        <v>FIS</v>
      </c>
      <c r="B57" s="73">
        <f>VLOOKUP(A57,Price!A:B,2,False)</f>
        <v>1.12</v>
      </c>
      <c r="C57" s="73">
        <f>sumifs(Pivot_Data!E:E,Pivot_Data!A:A,A57,Pivot_Data!C:C,"loans out")</f>
        <v>0</v>
      </c>
      <c r="D57" s="38">
        <f t="shared" si="1"/>
        <v>0</v>
      </c>
      <c r="E57" s="130">
        <f>sumifs(Pivot_Data!F:F,Pivot_Data!A:A,A57,Pivot_Data!C:C,"loans out")</f>
        <v>0</v>
      </c>
      <c r="F57" s="130">
        <f>sumifs(Pivot_Data!G:G,Pivot_Data!A:A,A57,Pivot_Data!C:C,"loans out")</f>
        <v>0</v>
      </c>
      <c r="G57" s="38">
        <f t="shared" si="2"/>
        <v>0</v>
      </c>
      <c r="H57" s="38">
        <f t="shared" si="3"/>
        <v>0</v>
      </c>
      <c r="J57" s="75">
        <f>sumifs(Collateral!C:C,Collateral!A:A,A57)</f>
        <v>0</v>
      </c>
      <c r="K57" s="66">
        <f t="shared" si="4"/>
        <v>0</v>
      </c>
      <c r="L57" s="38">
        <f t="shared" si="5"/>
        <v>0</v>
      </c>
    </row>
    <row r="58">
      <c r="A58" s="66" t="str">
        <f>Coins!A58</f>
        <v>MKR</v>
      </c>
      <c r="B58" s="73">
        <f>VLOOKUP(A58,Price!A:B,2,False)</f>
        <v>2294.480115</v>
      </c>
      <c r="C58" s="73">
        <f>sumifs(Pivot_Data!E:E,Pivot_Data!A:A,A58,Pivot_Data!C:C,"loans out")</f>
        <v>0</v>
      </c>
      <c r="D58" s="38">
        <f t="shared" si="1"/>
        <v>0</v>
      </c>
      <c r="E58" s="130">
        <f>sumifs(Pivot_Data!F:F,Pivot_Data!A:A,A58,Pivot_Data!C:C,"loans out")</f>
        <v>0</v>
      </c>
      <c r="F58" s="130">
        <f>sumifs(Pivot_Data!G:G,Pivot_Data!A:A,A58,Pivot_Data!C:C,"loans out")</f>
        <v>0</v>
      </c>
      <c r="G58" s="38">
        <f t="shared" si="2"/>
        <v>0</v>
      </c>
      <c r="H58" s="38">
        <f t="shared" si="3"/>
        <v>0</v>
      </c>
      <c r="J58" s="75">
        <f>sumifs(Collateral!C:C,Collateral!A:A,A58)</f>
        <v>0</v>
      </c>
      <c r="K58" s="66">
        <f t="shared" si="4"/>
        <v>0</v>
      </c>
      <c r="L58" s="38">
        <f t="shared" si="5"/>
        <v>0</v>
      </c>
    </row>
    <row r="59">
      <c r="A59" s="66" t="str">
        <f>Coins!A59</f>
        <v>ORBS</v>
      </c>
      <c r="B59" s="73">
        <f>VLOOKUP(A59,Price!A:B,2,False)</f>
        <v>0.08548063118</v>
      </c>
      <c r="C59" s="73">
        <f>sumifs(Pivot_Data!E:E,Pivot_Data!A:A,A59,Pivot_Data!C:C,"loans out")</f>
        <v>0</v>
      </c>
      <c r="D59" s="38">
        <f t="shared" si="1"/>
        <v>0</v>
      </c>
      <c r="E59" s="130">
        <f>sumifs(Pivot_Data!F:F,Pivot_Data!A:A,A59,Pivot_Data!C:C,"loans out")</f>
        <v>0</v>
      </c>
      <c r="F59" s="130">
        <f>sumifs(Pivot_Data!G:G,Pivot_Data!A:A,A59,Pivot_Data!C:C,"loans out")</f>
        <v>0</v>
      </c>
      <c r="G59" s="38">
        <f t="shared" si="2"/>
        <v>0</v>
      </c>
      <c r="H59" s="38">
        <f t="shared" si="3"/>
        <v>0</v>
      </c>
      <c r="J59" s="75">
        <f>sumifs(Collateral!C:C,Collateral!A:A,A59)</f>
        <v>0</v>
      </c>
      <c r="K59" s="66">
        <f t="shared" si="4"/>
        <v>0</v>
      </c>
      <c r="L59" s="38">
        <f t="shared" si="5"/>
        <v>0</v>
      </c>
    </row>
    <row r="60">
      <c r="A60" s="66" t="str">
        <f>Coins!A60</f>
        <v>ANKR</v>
      </c>
      <c r="B60" s="73">
        <f>VLOOKUP(A60,Price!A:B,2,False)</f>
        <v>0.0968507155</v>
      </c>
      <c r="C60" s="73">
        <f>sumifs(Pivot_Data!E:E,Pivot_Data!A:A,A60,Pivot_Data!C:C,"loans out")</f>
        <v>0</v>
      </c>
      <c r="D60" s="38">
        <f t="shared" si="1"/>
        <v>0</v>
      </c>
      <c r="E60" s="130">
        <f>sumifs(Pivot_Data!F:F,Pivot_Data!A:A,A60,Pivot_Data!C:C,"loans out")</f>
        <v>0</v>
      </c>
      <c r="F60" s="130">
        <f>sumifs(Pivot_Data!G:G,Pivot_Data!A:A,A60,Pivot_Data!C:C,"loans out")</f>
        <v>0</v>
      </c>
      <c r="G60" s="38">
        <f t="shared" si="2"/>
        <v>0</v>
      </c>
      <c r="H60" s="38">
        <f t="shared" si="3"/>
        <v>0</v>
      </c>
      <c r="J60" s="75">
        <f>sumifs(Collateral!C:C,Collateral!A:A,A60)</f>
        <v>0</v>
      </c>
      <c r="K60" s="66">
        <f t="shared" si="4"/>
        <v>0</v>
      </c>
      <c r="L60" s="38">
        <f t="shared" si="5"/>
        <v>0</v>
      </c>
    </row>
    <row r="61">
      <c r="A61" s="66" t="str">
        <f>Coins!A61</f>
        <v>AMPL</v>
      </c>
      <c r="B61" s="73">
        <f>VLOOKUP(A61,Price!A:B,2,False)</f>
        <v>0.9086764428</v>
      </c>
      <c r="C61" s="73">
        <f>sumifs(Pivot_Data!E:E,Pivot_Data!A:A,A61,Pivot_Data!C:C,"loans out")</f>
        <v>0</v>
      </c>
      <c r="D61" s="38">
        <f t="shared" si="1"/>
        <v>0</v>
      </c>
      <c r="E61" s="130">
        <f>sumifs(Pivot_Data!F:F,Pivot_Data!A:A,A61,Pivot_Data!C:C,"loans out")</f>
        <v>0</v>
      </c>
      <c r="F61" s="130">
        <f>sumifs(Pivot_Data!G:G,Pivot_Data!A:A,A61,Pivot_Data!C:C,"loans out")</f>
        <v>0</v>
      </c>
      <c r="G61" s="38">
        <f t="shared" si="2"/>
        <v>0</v>
      </c>
      <c r="H61" s="38">
        <f t="shared" si="3"/>
        <v>0</v>
      </c>
      <c r="J61" s="75">
        <f>sumifs(Collateral!C:C,Collateral!A:A,A61)</f>
        <v>0</v>
      </c>
      <c r="K61" s="66">
        <f t="shared" si="4"/>
        <v>0</v>
      </c>
      <c r="L61" s="38">
        <f t="shared" si="5"/>
        <v>0</v>
      </c>
    </row>
    <row r="62">
      <c r="A62" s="66" t="str">
        <f>Coins!A62</f>
        <v>BOND</v>
      </c>
      <c r="B62" s="73">
        <f>VLOOKUP(A62,Price!A:B,2,False)</f>
        <v>15.06</v>
      </c>
      <c r="C62" s="73">
        <f>sumifs(Pivot_Data!E:E,Pivot_Data!A:A,A62,Pivot_Data!C:C,"loans out")</f>
        <v>0</v>
      </c>
      <c r="D62" s="38">
        <f t="shared" si="1"/>
        <v>0</v>
      </c>
      <c r="E62" s="130">
        <f>sumifs(Pivot_Data!F:F,Pivot_Data!A:A,A62,Pivot_Data!C:C,"loans out")</f>
        <v>0</v>
      </c>
      <c r="F62" s="130">
        <f>sumifs(Pivot_Data!G:G,Pivot_Data!A:A,A62,Pivot_Data!C:C,"loans out")</f>
        <v>0</v>
      </c>
      <c r="G62" s="38">
        <f t="shared" si="2"/>
        <v>0</v>
      </c>
      <c r="H62" s="38">
        <f t="shared" si="3"/>
        <v>0</v>
      </c>
      <c r="J62" s="75">
        <f>sumifs(Collateral!C:C,Collateral!A:A,A62)</f>
        <v>0</v>
      </c>
      <c r="K62" s="66">
        <f t="shared" si="4"/>
        <v>0</v>
      </c>
      <c r="L62" s="38">
        <f t="shared" si="5"/>
        <v>0</v>
      </c>
    </row>
    <row r="63">
      <c r="A63" s="66" t="str">
        <f>Coins!A63</f>
        <v>ONX</v>
      </c>
      <c r="B63" s="73">
        <f>VLOOKUP(A63,Price!A:B,2,False)</f>
        <v>0.4084922851</v>
      </c>
      <c r="C63" s="73">
        <f>sumifs(Pivot_Data!E:E,Pivot_Data!A:A,A63,Pivot_Data!C:C,"loans out")</f>
        <v>0</v>
      </c>
      <c r="D63" s="38">
        <f t="shared" si="1"/>
        <v>0</v>
      </c>
      <c r="E63" s="130">
        <f>sumifs(Pivot_Data!F:F,Pivot_Data!A:A,A63,Pivot_Data!C:C,"loans out")</f>
        <v>0</v>
      </c>
      <c r="F63" s="130">
        <f>sumifs(Pivot_Data!G:G,Pivot_Data!A:A,A63,Pivot_Data!C:C,"loans out")</f>
        <v>0</v>
      </c>
      <c r="G63" s="38">
        <f t="shared" si="2"/>
        <v>0</v>
      </c>
      <c r="H63" s="38">
        <f t="shared" si="3"/>
        <v>0</v>
      </c>
      <c r="J63" s="75">
        <f>sumifs(Collateral!C:C,Collateral!A:A,A63)</f>
        <v>0</v>
      </c>
      <c r="K63" s="66">
        <f t="shared" si="4"/>
        <v>0</v>
      </c>
      <c r="L63" s="38">
        <f t="shared" si="5"/>
        <v>0</v>
      </c>
    </row>
    <row r="64">
      <c r="A64" s="66" t="str">
        <f>Coins!A64</f>
        <v>SGR</v>
      </c>
      <c r="B64" s="73">
        <f>VLOOKUP(A64,Price!A:B,2,False)</f>
        <v>1.214643649</v>
      </c>
      <c r="C64" s="73">
        <f>sumifs(Pivot_Data!E:E,Pivot_Data!A:A,A64,Pivot_Data!C:C,"loans out")</f>
        <v>0</v>
      </c>
      <c r="D64" s="38">
        <f t="shared" si="1"/>
        <v>0</v>
      </c>
      <c r="E64" s="130">
        <f>sumifs(Pivot_Data!F:F,Pivot_Data!A:A,A64,Pivot_Data!C:C,"loans out")</f>
        <v>0</v>
      </c>
      <c r="F64" s="130">
        <f>sumifs(Pivot_Data!G:G,Pivot_Data!A:A,A64,Pivot_Data!C:C,"loans out")</f>
        <v>0</v>
      </c>
      <c r="G64" s="38">
        <f t="shared" si="2"/>
        <v>0</v>
      </c>
      <c r="H64" s="38">
        <f t="shared" si="3"/>
        <v>0</v>
      </c>
      <c r="J64" s="75">
        <f>sumifs(Collateral!C:C,Collateral!A:A,A64)</f>
        <v>0</v>
      </c>
      <c r="K64" s="66">
        <f t="shared" si="4"/>
        <v>0</v>
      </c>
      <c r="L64" s="38">
        <f t="shared" si="5"/>
        <v>0</v>
      </c>
    </row>
    <row r="65">
      <c r="A65" s="66" t="str">
        <f>Coins!A65</f>
        <v>ROOK</v>
      </c>
      <c r="B65" s="73">
        <f>VLOOKUP(A65,Price!A:B,2,False)</f>
        <v>144.3431868</v>
      </c>
      <c r="C65" s="73">
        <f>sumifs(Pivot_Data!E:E,Pivot_Data!A:A,A65,Pivot_Data!C:C,"loans out")</f>
        <v>0</v>
      </c>
      <c r="D65" s="38">
        <f t="shared" si="1"/>
        <v>0</v>
      </c>
      <c r="E65" s="130">
        <f>sumifs(Pivot_Data!F:F,Pivot_Data!A:A,A65,Pivot_Data!C:C,"loans out")</f>
        <v>0</v>
      </c>
      <c r="F65" s="130">
        <f>sumifs(Pivot_Data!G:G,Pivot_Data!A:A,A65,Pivot_Data!C:C,"loans out")</f>
        <v>0</v>
      </c>
      <c r="G65" s="38">
        <f t="shared" si="2"/>
        <v>0</v>
      </c>
      <c r="H65" s="38">
        <f t="shared" si="3"/>
        <v>0</v>
      </c>
      <c r="J65" s="75">
        <f>sumifs(Collateral!C:C,Collateral!A:A,A65)</f>
        <v>0</v>
      </c>
      <c r="K65" s="66">
        <f t="shared" si="4"/>
        <v>0</v>
      </c>
      <c r="L65" s="38">
        <f t="shared" si="5"/>
        <v>0</v>
      </c>
    </row>
    <row r="66">
      <c r="A66" s="66" t="str">
        <f>Coins!A66</f>
        <v>LQTY</v>
      </c>
      <c r="B66" s="73">
        <f>VLOOKUP(A66,Price!A:B,2,False)</f>
        <v>5.37</v>
      </c>
      <c r="C66" s="73">
        <f>sumifs(Pivot_Data!E:E,Pivot_Data!A:A,A66,Pivot_Data!C:C,"loans out")</f>
        <v>0</v>
      </c>
      <c r="D66" s="38">
        <f t="shared" si="1"/>
        <v>0</v>
      </c>
      <c r="E66" s="130">
        <f>sumifs(Pivot_Data!F:F,Pivot_Data!A:A,A66,Pivot_Data!C:C,"loans out")</f>
        <v>0</v>
      </c>
      <c r="F66" s="130">
        <f>sumifs(Pivot_Data!G:G,Pivot_Data!A:A,A66,Pivot_Data!C:C,"loans out")</f>
        <v>0</v>
      </c>
      <c r="G66" s="38">
        <f t="shared" si="2"/>
        <v>0</v>
      </c>
      <c r="H66" s="38">
        <f t="shared" si="3"/>
        <v>0</v>
      </c>
      <c r="J66" s="75">
        <f>sumifs(Collateral!C:C,Collateral!A:A,A66)</f>
        <v>0</v>
      </c>
      <c r="K66" s="66">
        <f t="shared" si="4"/>
        <v>0</v>
      </c>
      <c r="L66" s="38">
        <f t="shared" si="5"/>
        <v>0</v>
      </c>
    </row>
    <row r="67">
      <c r="A67" s="66" t="str">
        <f>Coins!A67</f>
        <v/>
      </c>
      <c r="B67" s="73"/>
      <c r="C67" s="73"/>
      <c r="D67" s="38"/>
      <c r="E67" s="39"/>
      <c r="L67" s="38"/>
    </row>
    <row r="68">
      <c r="A68" s="66" t="str">
        <f>Coins!A68</f>
        <v/>
      </c>
      <c r="B68" s="73"/>
      <c r="C68" s="73"/>
      <c r="D68" s="38"/>
      <c r="E68" s="39"/>
      <c r="L68" s="38"/>
    </row>
    <row r="69">
      <c r="A69" s="58" t="s">
        <v>20</v>
      </c>
      <c r="B69" s="129" t="s">
        <v>21</v>
      </c>
      <c r="C69" s="129" t="s">
        <v>21</v>
      </c>
      <c r="D69" s="38">
        <f>SUM(D2:D66)</f>
        <v>3239864781</v>
      </c>
      <c r="E69" s="39">
        <f>IFERROR(__xludf.DUMMYFUNCTION("AVERAGE.WEIGHTED(E2:E66,D2:D66)"),0.051727614560843294)</f>
        <v>0.05172761456</v>
      </c>
      <c r="F69" s="39">
        <f>IFERROR(__xludf.DUMMYFUNCTION("AVERAGE.WEIGHTED(F2:F66,D2:D66)"),0.04991712034829113)</f>
        <v>0.04991712035</v>
      </c>
      <c r="G69" s="81">
        <f t="shared" ref="G69:H69" si="6">SUM(G2:G66)</f>
        <v>3222893.781</v>
      </c>
      <c r="H69" s="81">
        <f t="shared" si="6"/>
        <v>112803.0084</v>
      </c>
      <c r="J69" s="58" t="s">
        <v>21</v>
      </c>
      <c r="K69" s="66">
        <f>SUM(K2:K66)</f>
        <v>1871064768</v>
      </c>
      <c r="L69" s="38"/>
    </row>
    <row r="70">
      <c r="A70" s="66" t="str">
        <f>Coins!A70</f>
        <v/>
      </c>
      <c r="B70" s="73"/>
      <c r="C70" s="73"/>
      <c r="D70" s="38"/>
      <c r="E70" s="39"/>
      <c r="L70" s="38"/>
    </row>
    <row r="71">
      <c r="A71" s="66" t="str">
        <f>Coins!A71</f>
        <v/>
      </c>
      <c r="B71" s="73"/>
      <c r="C71" s="73"/>
      <c r="D71" s="38"/>
      <c r="E71" s="39"/>
      <c r="L71" s="38"/>
    </row>
    <row r="72">
      <c r="A72" s="66" t="str">
        <f>Coins!A72</f>
        <v/>
      </c>
      <c r="B72" s="73"/>
      <c r="C72" s="73"/>
      <c r="D72" s="38"/>
      <c r="E72" s="39"/>
      <c r="L72" s="38"/>
    </row>
    <row r="73">
      <c r="A73" s="66" t="str">
        <f>Coins!A73</f>
        <v/>
      </c>
      <c r="B73" s="73"/>
      <c r="C73" s="73"/>
      <c r="D73" s="38"/>
      <c r="E73" s="39"/>
      <c r="L73" s="38"/>
    </row>
    <row r="74">
      <c r="B74" s="73"/>
      <c r="C74" s="73"/>
      <c r="D74" s="38"/>
      <c r="E74" s="39"/>
      <c r="L74" s="38"/>
    </row>
    <row r="75">
      <c r="B75" s="73"/>
      <c r="C75" s="73"/>
      <c r="D75" s="38"/>
      <c r="E75" s="39"/>
      <c r="L75" s="38"/>
    </row>
    <row r="76">
      <c r="B76" s="73"/>
      <c r="C76" s="73"/>
      <c r="D76" s="38"/>
      <c r="E76" s="39"/>
      <c r="L76" s="38"/>
    </row>
    <row r="77">
      <c r="B77" s="73"/>
      <c r="C77" s="73"/>
      <c r="D77" s="38"/>
      <c r="E77" s="39"/>
      <c r="L77" s="38"/>
    </row>
    <row r="78">
      <c r="B78" s="73"/>
      <c r="C78" s="73"/>
      <c r="D78" s="38"/>
      <c r="E78" s="39"/>
      <c r="L78" s="38"/>
    </row>
    <row r="79">
      <c r="B79" s="73"/>
      <c r="C79" s="73"/>
      <c r="D79" s="38"/>
      <c r="E79" s="39"/>
      <c r="L79" s="38"/>
    </row>
    <row r="80">
      <c r="B80" s="73"/>
      <c r="C80" s="73"/>
      <c r="D80" s="38"/>
      <c r="E80" s="39"/>
      <c r="L80" s="38"/>
    </row>
    <row r="81">
      <c r="B81" s="73"/>
      <c r="C81" s="73"/>
      <c r="D81" s="38"/>
      <c r="E81" s="39"/>
      <c r="L81" s="38"/>
    </row>
    <row r="82">
      <c r="B82" s="73"/>
      <c r="C82" s="73"/>
      <c r="D82" s="38"/>
      <c r="E82" s="39"/>
      <c r="L82" s="38"/>
    </row>
    <row r="83">
      <c r="B83" s="73"/>
      <c r="C83" s="73"/>
      <c r="D83" s="38"/>
      <c r="E83" s="39"/>
      <c r="L83" s="38"/>
    </row>
    <row r="84">
      <c r="B84" s="73"/>
      <c r="C84" s="73"/>
      <c r="D84" s="38"/>
      <c r="E84" s="39"/>
      <c r="L84" s="38"/>
    </row>
    <row r="85">
      <c r="B85" s="73"/>
      <c r="C85" s="73"/>
      <c r="D85" s="38"/>
      <c r="E85" s="39"/>
      <c r="L85" s="38"/>
    </row>
    <row r="86">
      <c r="B86" s="73"/>
      <c r="C86" s="73"/>
      <c r="D86" s="38"/>
      <c r="E86" s="39"/>
      <c r="L86" s="38"/>
    </row>
    <row r="87">
      <c r="B87" s="73"/>
      <c r="C87" s="73"/>
      <c r="D87" s="38"/>
      <c r="E87" s="39"/>
      <c r="L87" s="38"/>
    </row>
    <row r="88">
      <c r="B88" s="73"/>
      <c r="C88" s="73"/>
      <c r="D88" s="38"/>
      <c r="E88" s="39"/>
      <c r="L88" s="38"/>
    </row>
    <row r="89">
      <c r="B89" s="73"/>
      <c r="C89" s="73"/>
      <c r="D89" s="38"/>
      <c r="E89" s="39"/>
      <c r="L89" s="38"/>
    </row>
    <row r="90">
      <c r="B90" s="73"/>
      <c r="C90" s="73"/>
      <c r="D90" s="38"/>
      <c r="E90" s="39"/>
      <c r="L90" s="38"/>
    </row>
    <row r="91">
      <c r="B91" s="73"/>
      <c r="C91" s="73"/>
      <c r="D91" s="38"/>
      <c r="E91" s="39"/>
      <c r="L91" s="38"/>
    </row>
    <row r="92">
      <c r="B92" s="73"/>
      <c r="C92" s="73"/>
      <c r="D92" s="38"/>
      <c r="E92" s="39"/>
      <c r="L92" s="38"/>
    </row>
    <row r="93">
      <c r="B93" s="73"/>
      <c r="C93" s="73"/>
      <c r="D93" s="38"/>
      <c r="E93" s="39"/>
      <c r="L93" s="38"/>
    </row>
    <row r="94">
      <c r="B94" s="73"/>
      <c r="C94" s="73"/>
      <c r="D94" s="38"/>
      <c r="E94" s="39"/>
      <c r="L94" s="38"/>
    </row>
    <row r="95">
      <c r="B95" s="73"/>
      <c r="C95" s="73"/>
      <c r="D95" s="38"/>
      <c r="E95" s="39"/>
      <c r="L95" s="38"/>
    </row>
    <row r="96">
      <c r="B96" s="73"/>
      <c r="C96" s="73"/>
      <c r="D96" s="38"/>
      <c r="E96" s="39"/>
      <c r="L96" s="38"/>
    </row>
    <row r="97">
      <c r="B97" s="73"/>
      <c r="C97" s="73"/>
      <c r="D97" s="38"/>
      <c r="E97" s="39"/>
      <c r="L97" s="38"/>
    </row>
    <row r="98">
      <c r="B98" s="73"/>
      <c r="C98" s="73"/>
      <c r="D98" s="38"/>
      <c r="E98" s="39"/>
      <c r="L98" s="38"/>
    </row>
    <row r="99">
      <c r="B99" s="73"/>
      <c r="C99" s="73"/>
      <c r="D99" s="38"/>
      <c r="E99" s="39"/>
      <c r="L99" s="38"/>
    </row>
    <row r="100">
      <c r="B100" s="73"/>
      <c r="C100" s="73"/>
      <c r="D100" s="38"/>
      <c r="E100" s="39"/>
      <c r="L100" s="38"/>
    </row>
    <row r="101">
      <c r="B101" s="73"/>
      <c r="C101" s="73"/>
      <c r="D101" s="38"/>
      <c r="E101" s="39"/>
      <c r="L101" s="38"/>
    </row>
    <row r="102">
      <c r="B102" s="73"/>
      <c r="C102" s="73"/>
      <c r="D102" s="38"/>
      <c r="E102" s="39"/>
      <c r="L102" s="38"/>
    </row>
    <row r="103">
      <c r="B103" s="73"/>
      <c r="C103" s="73"/>
      <c r="D103" s="38"/>
      <c r="E103" s="39"/>
      <c r="L103" s="38"/>
    </row>
    <row r="104">
      <c r="B104" s="73"/>
      <c r="C104" s="73"/>
      <c r="D104" s="38"/>
      <c r="E104" s="39"/>
      <c r="L104" s="38"/>
    </row>
    <row r="105">
      <c r="B105" s="73"/>
      <c r="C105" s="73"/>
      <c r="D105" s="38"/>
      <c r="E105" s="39"/>
      <c r="L105" s="38"/>
    </row>
    <row r="106">
      <c r="B106" s="73"/>
      <c r="C106" s="73"/>
      <c r="D106" s="38"/>
      <c r="E106" s="39"/>
      <c r="L106" s="38"/>
    </row>
    <row r="107">
      <c r="B107" s="73"/>
      <c r="C107" s="73"/>
      <c r="D107" s="38"/>
      <c r="E107" s="39"/>
      <c r="L107" s="38"/>
    </row>
    <row r="108">
      <c r="B108" s="73"/>
      <c r="C108" s="73"/>
      <c r="D108" s="38"/>
      <c r="E108" s="39"/>
      <c r="L108" s="38"/>
    </row>
    <row r="109">
      <c r="B109" s="73"/>
      <c r="C109" s="73"/>
      <c r="D109" s="38"/>
      <c r="E109" s="39"/>
      <c r="L109" s="38"/>
    </row>
    <row r="110">
      <c r="B110" s="73"/>
      <c r="C110" s="73"/>
      <c r="D110" s="38"/>
      <c r="E110" s="39"/>
      <c r="L110" s="38"/>
    </row>
    <row r="111">
      <c r="B111" s="73"/>
      <c r="C111" s="73"/>
      <c r="D111" s="38"/>
      <c r="E111" s="39"/>
      <c r="L111" s="38"/>
    </row>
    <row r="112">
      <c r="B112" s="73"/>
      <c r="C112" s="73"/>
      <c r="D112" s="38"/>
      <c r="E112" s="39"/>
      <c r="L112" s="38"/>
    </row>
    <row r="113">
      <c r="B113" s="73"/>
      <c r="C113" s="73"/>
      <c r="D113" s="38"/>
      <c r="E113" s="39"/>
      <c r="L113" s="38"/>
    </row>
    <row r="114">
      <c r="B114" s="73"/>
      <c r="C114" s="73"/>
      <c r="D114" s="38"/>
      <c r="E114" s="39"/>
      <c r="L114" s="38"/>
    </row>
    <row r="115">
      <c r="B115" s="73"/>
      <c r="C115" s="73"/>
      <c r="D115" s="38"/>
      <c r="E115" s="39"/>
      <c r="L115" s="38"/>
    </row>
    <row r="116">
      <c r="B116" s="73"/>
      <c r="C116" s="73"/>
      <c r="D116" s="38"/>
      <c r="E116" s="39"/>
      <c r="L116" s="38"/>
    </row>
    <row r="117">
      <c r="B117" s="73"/>
      <c r="C117" s="73"/>
      <c r="D117" s="38"/>
      <c r="E117" s="39"/>
      <c r="L117" s="38"/>
    </row>
    <row r="118">
      <c r="B118" s="73"/>
      <c r="C118" s="73"/>
      <c r="D118" s="38"/>
      <c r="E118" s="39"/>
      <c r="L118" s="38"/>
    </row>
    <row r="119">
      <c r="B119" s="73"/>
      <c r="C119" s="73"/>
      <c r="D119" s="38"/>
      <c r="E119" s="39"/>
      <c r="L119" s="38"/>
    </row>
    <row r="120">
      <c r="B120" s="73"/>
      <c r="C120" s="73"/>
      <c r="D120" s="38"/>
      <c r="E120" s="39"/>
      <c r="L120" s="38"/>
    </row>
    <row r="121">
      <c r="B121" s="73"/>
      <c r="C121" s="73"/>
      <c r="D121" s="38"/>
      <c r="E121" s="39"/>
      <c r="L121" s="38"/>
    </row>
    <row r="122">
      <c r="B122" s="73"/>
      <c r="C122" s="73"/>
      <c r="D122" s="38"/>
      <c r="E122" s="39"/>
      <c r="L122" s="38"/>
    </row>
    <row r="123">
      <c r="B123" s="73"/>
      <c r="C123" s="73"/>
      <c r="D123" s="38"/>
      <c r="E123" s="39"/>
      <c r="L123" s="38"/>
    </row>
    <row r="124">
      <c r="B124" s="73"/>
      <c r="C124" s="73"/>
      <c r="D124" s="38"/>
      <c r="E124" s="39"/>
      <c r="L124" s="38"/>
    </row>
    <row r="125">
      <c r="B125" s="73"/>
      <c r="C125" s="73"/>
      <c r="D125" s="38"/>
      <c r="E125" s="39"/>
      <c r="L125" s="38"/>
    </row>
    <row r="126">
      <c r="B126" s="73"/>
      <c r="C126" s="73"/>
      <c r="D126" s="38"/>
      <c r="E126" s="39"/>
      <c r="L126" s="38"/>
    </row>
    <row r="127">
      <c r="B127" s="73"/>
      <c r="C127" s="73"/>
      <c r="D127" s="38"/>
      <c r="E127" s="39"/>
      <c r="L127" s="38"/>
    </row>
    <row r="128">
      <c r="B128" s="73"/>
      <c r="C128" s="73"/>
      <c r="D128" s="38"/>
      <c r="E128" s="39"/>
      <c r="L128" s="38"/>
    </row>
    <row r="129">
      <c r="B129" s="73"/>
      <c r="C129" s="73"/>
      <c r="D129" s="38"/>
      <c r="E129" s="39"/>
      <c r="L129" s="38"/>
    </row>
    <row r="130">
      <c r="B130" s="73"/>
      <c r="C130" s="73"/>
      <c r="D130" s="38"/>
      <c r="E130" s="39"/>
      <c r="L130" s="38"/>
    </row>
    <row r="131">
      <c r="B131" s="73"/>
      <c r="C131" s="73"/>
      <c r="D131" s="38"/>
      <c r="E131" s="39"/>
      <c r="L131" s="38"/>
    </row>
    <row r="132">
      <c r="B132" s="73"/>
      <c r="C132" s="73"/>
      <c r="D132" s="38"/>
      <c r="E132" s="39"/>
      <c r="L132" s="38"/>
    </row>
    <row r="133">
      <c r="B133" s="73"/>
      <c r="C133" s="73"/>
      <c r="D133" s="38"/>
      <c r="E133" s="39"/>
      <c r="L133" s="38"/>
    </row>
    <row r="134">
      <c r="B134" s="73"/>
      <c r="C134" s="73"/>
      <c r="D134" s="38"/>
      <c r="E134" s="39"/>
      <c r="L134" s="38"/>
    </row>
    <row r="135">
      <c r="B135" s="73"/>
      <c r="C135" s="73"/>
      <c r="D135" s="38"/>
      <c r="E135" s="39"/>
      <c r="L135" s="38"/>
    </row>
    <row r="136">
      <c r="B136" s="73"/>
      <c r="C136" s="73"/>
      <c r="D136" s="38"/>
      <c r="E136" s="39"/>
      <c r="L136" s="38"/>
    </row>
    <row r="137">
      <c r="B137" s="73"/>
      <c r="C137" s="73"/>
      <c r="D137" s="38"/>
      <c r="E137" s="39"/>
      <c r="L137" s="38"/>
    </row>
    <row r="138">
      <c r="B138" s="73"/>
      <c r="C138" s="73"/>
      <c r="D138" s="38"/>
      <c r="E138" s="39"/>
      <c r="L138" s="38"/>
    </row>
    <row r="139">
      <c r="B139" s="73"/>
      <c r="C139" s="73"/>
      <c r="D139" s="38"/>
      <c r="E139" s="39"/>
      <c r="L139" s="38"/>
    </row>
    <row r="140">
      <c r="B140" s="73"/>
      <c r="C140" s="73"/>
      <c r="D140" s="38"/>
      <c r="E140" s="39"/>
      <c r="L140" s="38"/>
    </row>
    <row r="141">
      <c r="B141" s="73"/>
      <c r="C141" s="73"/>
      <c r="D141" s="38"/>
      <c r="E141" s="39"/>
      <c r="L141" s="38"/>
    </row>
    <row r="142">
      <c r="B142" s="73"/>
      <c r="C142" s="73"/>
      <c r="D142" s="38"/>
      <c r="E142" s="39"/>
      <c r="L142" s="38"/>
    </row>
    <row r="143">
      <c r="B143" s="73"/>
      <c r="C143" s="73"/>
      <c r="D143" s="38"/>
      <c r="E143" s="39"/>
      <c r="L143" s="38"/>
    </row>
    <row r="144">
      <c r="B144" s="73"/>
      <c r="C144" s="73"/>
      <c r="D144" s="38"/>
      <c r="E144" s="39"/>
      <c r="L144" s="38"/>
    </row>
    <row r="145">
      <c r="B145" s="73"/>
      <c r="C145" s="73"/>
      <c r="D145" s="38"/>
      <c r="E145" s="39"/>
      <c r="L145" s="38"/>
    </row>
    <row r="146">
      <c r="B146" s="73"/>
      <c r="C146" s="73"/>
      <c r="D146" s="38"/>
      <c r="E146" s="39"/>
      <c r="L146" s="38"/>
    </row>
    <row r="147">
      <c r="B147" s="73"/>
      <c r="C147" s="73"/>
      <c r="D147" s="38"/>
      <c r="E147" s="39"/>
      <c r="L147" s="38"/>
    </row>
    <row r="148">
      <c r="B148" s="73"/>
      <c r="C148" s="73"/>
      <c r="D148" s="38"/>
      <c r="E148" s="39"/>
      <c r="L148" s="38"/>
    </row>
    <row r="149">
      <c r="B149" s="73"/>
      <c r="C149" s="73"/>
      <c r="D149" s="38"/>
      <c r="E149" s="39"/>
      <c r="L149" s="38"/>
    </row>
    <row r="150">
      <c r="B150" s="73"/>
      <c r="C150" s="73"/>
      <c r="D150" s="38"/>
      <c r="E150" s="39"/>
      <c r="L150" s="38"/>
    </row>
    <row r="151">
      <c r="B151" s="73"/>
      <c r="C151" s="73"/>
      <c r="D151" s="38"/>
      <c r="E151" s="39"/>
      <c r="L151" s="38"/>
    </row>
    <row r="152">
      <c r="B152" s="73"/>
      <c r="C152" s="73"/>
      <c r="D152" s="38"/>
      <c r="E152" s="39"/>
      <c r="L152" s="38"/>
    </row>
    <row r="153">
      <c r="B153" s="73"/>
      <c r="C153" s="73"/>
      <c r="D153" s="38"/>
      <c r="E153" s="39"/>
      <c r="L153" s="38"/>
    </row>
    <row r="154">
      <c r="B154" s="73"/>
      <c r="C154" s="73"/>
      <c r="D154" s="38"/>
      <c r="E154" s="39"/>
      <c r="L154" s="38"/>
    </row>
    <row r="155">
      <c r="B155" s="73"/>
      <c r="C155" s="73"/>
      <c r="D155" s="38"/>
      <c r="E155" s="39"/>
      <c r="L155" s="38"/>
    </row>
    <row r="156">
      <c r="B156" s="73"/>
      <c r="C156" s="73"/>
      <c r="D156" s="38"/>
      <c r="E156" s="39"/>
      <c r="L156" s="38"/>
    </row>
    <row r="157">
      <c r="B157" s="73"/>
      <c r="C157" s="73"/>
      <c r="D157" s="38"/>
      <c r="E157" s="39"/>
      <c r="L157" s="38"/>
    </row>
    <row r="158">
      <c r="B158" s="73"/>
      <c r="C158" s="73"/>
      <c r="D158" s="38"/>
      <c r="E158" s="39"/>
      <c r="L158" s="38"/>
    </row>
    <row r="159">
      <c r="B159" s="73"/>
      <c r="C159" s="73"/>
      <c r="D159" s="38"/>
      <c r="E159" s="39"/>
      <c r="L159" s="38"/>
    </row>
    <row r="160">
      <c r="B160" s="73"/>
      <c r="C160" s="73"/>
      <c r="D160" s="38"/>
      <c r="E160" s="39"/>
      <c r="L160" s="38"/>
    </row>
    <row r="161">
      <c r="B161" s="73"/>
      <c r="C161" s="73"/>
      <c r="D161" s="38"/>
      <c r="E161" s="39"/>
      <c r="L161" s="38"/>
    </row>
    <row r="162">
      <c r="B162" s="73"/>
      <c r="C162" s="73"/>
      <c r="D162" s="38"/>
      <c r="E162" s="39"/>
      <c r="L162" s="38"/>
    </row>
    <row r="163">
      <c r="B163" s="73"/>
      <c r="C163" s="73"/>
      <c r="D163" s="38"/>
      <c r="E163" s="39"/>
      <c r="L163" s="38"/>
    </row>
    <row r="164">
      <c r="B164" s="73"/>
      <c r="C164" s="73"/>
      <c r="D164" s="38"/>
      <c r="E164" s="39"/>
      <c r="L164" s="38"/>
    </row>
    <row r="165">
      <c r="B165" s="73"/>
      <c r="C165" s="73"/>
      <c r="D165" s="38"/>
      <c r="E165" s="39"/>
      <c r="L165" s="38"/>
    </row>
    <row r="166">
      <c r="B166" s="73"/>
      <c r="C166" s="73"/>
      <c r="D166" s="38"/>
      <c r="E166" s="39"/>
      <c r="L166" s="38"/>
    </row>
    <row r="167">
      <c r="B167" s="73"/>
      <c r="C167" s="73"/>
      <c r="D167" s="38"/>
      <c r="E167" s="39"/>
      <c r="L167" s="38"/>
    </row>
    <row r="168">
      <c r="B168" s="73"/>
      <c r="C168" s="73"/>
      <c r="D168" s="38"/>
      <c r="E168" s="39"/>
      <c r="L168" s="38"/>
    </row>
    <row r="169">
      <c r="B169" s="73"/>
      <c r="C169" s="73"/>
      <c r="D169" s="38"/>
      <c r="E169" s="39"/>
      <c r="L169" s="38"/>
    </row>
    <row r="170">
      <c r="B170" s="73"/>
      <c r="C170" s="73"/>
      <c r="D170" s="38"/>
      <c r="E170" s="39"/>
      <c r="L170" s="38"/>
    </row>
    <row r="171">
      <c r="B171" s="73"/>
      <c r="C171" s="73"/>
      <c r="D171" s="38"/>
      <c r="E171" s="39"/>
      <c r="L171" s="38"/>
    </row>
    <row r="172">
      <c r="B172" s="73"/>
      <c r="C172" s="73"/>
      <c r="D172" s="38"/>
      <c r="E172" s="39"/>
      <c r="L172" s="38"/>
    </row>
    <row r="173">
      <c r="B173" s="73"/>
      <c r="C173" s="73"/>
      <c r="D173" s="38"/>
      <c r="E173" s="39"/>
      <c r="L173" s="38"/>
    </row>
    <row r="174">
      <c r="B174" s="73"/>
      <c r="C174" s="73"/>
      <c r="D174" s="38"/>
      <c r="E174" s="39"/>
      <c r="L174" s="38"/>
    </row>
    <row r="175">
      <c r="B175" s="73"/>
      <c r="C175" s="73"/>
      <c r="D175" s="38"/>
      <c r="E175" s="39"/>
      <c r="L175" s="38"/>
    </row>
    <row r="176">
      <c r="B176" s="73"/>
      <c r="C176" s="73"/>
      <c r="D176" s="38"/>
      <c r="E176" s="39"/>
      <c r="L176" s="38"/>
    </row>
    <row r="177">
      <c r="B177" s="73"/>
      <c r="C177" s="73"/>
      <c r="D177" s="38"/>
      <c r="E177" s="39"/>
      <c r="L177" s="38"/>
    </row>
    <row r="178">
      <c r="B178" s="73"/>
      <c r="C178" s="73"/>
      <c r="D178" s="38"/>
      <c r="E178" s="39"/>
      <c r="L178" s="38"/>
    </row>
    <row r="179">
      <c r="B179" s="73"/>
      <c r="C179" s="73"/>
      <c r="D179" s="38"/>
      <c r="E179" s="39"/>
      <c r="L179" s="38"/>
    </row>
    <row r="180">
      <c r="B180" s="73"/>
      <c r="C180" s="73"/>
      <c r="D180" s="38"/>
      <c r="E180" s="39"/>
      <c r="L180" s="38"/>
    </row>
    <row r="181">
      <c r="B181" s="73"/>
      <c r="C181" s="73"/>
      <c r="D181" s="38"/>
      <c r="E181" s="39"/>
      <c r="L181" s="38"/>
    </row>
    <row r="182">
      <c r="B182" s="73"/>
      <c r="C182" s="73"/>
      <c r="D182" s="38"/>
      <c r="E182" s="39"/>
      <c r="L182" s="38"/>
    </row>
    <row r="183">
      <c r="B183" s="73"/>
      <c r="C183" s="73"/>
      <c r="D183" s="38"/>
      <c r="E183" s="39"/>
      <c r="L183" s="38"/>
    </row>
    <row r="184">
      <c r="B184" s="73"/>
      <c r="C184" s="73"/>
      <c r="D184" s="38"/>
      <c r="E184" s="39"/>
      <c r="L184" s="38"/>
    </row>
    <row r="185">
      <c r="B185" s="73"/>
      <c r="C185" s="73"/>
      <c r="D185" s="38"/>
      <c r="E185" s="39"/>
      <c r="L185" s="38"/>
    </row>
    <row r="186">
      <c r="B186" s="73"/>
      <c r="C186" s="73"/>
      <c r="D186" s="38"/>
      <c r="E186" s="39"/>
      <c r="L186" s="38"/>
    </row>
    <row r="187">
      <c r="B187" s="73"/>
      <c r="C187" s="73"/>
      <c r="D187" s="38"/>
      <c r="E187" s="39"/>
      <c r="L187" s="38"/>
    </row>
    <row r="188">
      <c r="B188" s="73"/>
      <c r="C188" s="73"/>
      <c r="D188" s="38"/>
      <c r="E188" s="39"/>
      <c r="L188" s="38"/>
    </row>
    <row r="189">
      <c r="B189" s="73"/>
      <c r="C189" s="73"/>
      <c r="D189" s="38"/>
      <c r="E189" s="39"/>
      <c r="L189" s="38"/>
    </row>
    <row r="190">
      <c r="B190" s="73"/>
      <c r="C190" s="73"/>
      <c r="D190" s="38"/>
      <c r="E190" s="39"/>
      <c r="L190" s="38"/>
    </row>
    <row r="191">
      <c r="B191" s="73"/>
      <c r="C191" s="73"/>
      <c r="D191" s="38"/>
      <c r="E191" s="39"/>
      <c r="L191" s="38"/>
    </row>
    <row r="192">
      <c r="B192" s="73"/>
      <c r="C192" s="73"/>
      <c r="D192" s="38"/>
      <c r="E192" s="39"/>
      <c r="L192" s="38"/>
    </row>
    <row r="193">
      <c r="B193" s="73"/>
      <c r="C193" s="73"/>
      <c r="D193" s="38"/>
      <c r="E193" s="39"/>
      <c r="L193" s="38"/>
    </row>
    <row r="194">
      <c r="B194" s="73"/>
      <c r="C194" s="73"/>
      <c r="D194" s="38"/>
      <c r="E194" s="39"/>
      <c r="L194" s="38"/>
    </row>
    <row r="195">
      <c r="B195" s="73"/>
      <c r="C195" s="73"/>
      <c r="D195" s="38"/>
      <c r="E195" s="39"/>
      <c r="L195" s="38"/>
    </row>
    <row r="196">
      <c r="B196" s="73"/>
      <c r="C196" s="73"/>
      <c r="D196" s="38"/>
      <c r="E196" s="39"/>
      <c r="L196" s="38"/>
    </row>
    <row r="197">
      <c r="B197" s="73"/>
      <c r="C197" s="73"/>
      <c r="D197" s="38"/>
      <c r="E197" s="39"/>
      <c r="L197" s="38"/>
    </row>
    <row r="198">
      <c r="B198" s="73"/>
      <c r="C198" s="73"/>
      <c r="D198" s="38"/>
      <c r="E198" s="39"/>
      <c r="L198" s="38"/>
    </row>
    <row r="199">
      <c r="B199" s="73"/>
      <c r="C199" s="73"/>
      <c r="D199" s="38"/>
      <c r="E199" s="39"/>
      <c r="L199" s="38"/>
    </row>
    <row r="200">
      <c r="B200" s="73"/>
      <c r="C200" s="73"/>
      <c r="D200" s="38"/>
      <c r="E200" s="39"/>
      <c r="L200" s="38"/>
    </row>
    <row r="201">
      <c r="B201" s="73"/>
      <c r="C201" s="73"/>
      <c r="D201" s="38"/>
      <c r="E201" s="39"/>
      <c r="L201" s="38"/>
    </row>
    <row r="202">
      <c r="B202" s="73"/>
      <c r="C202" s="73"/>
      <c r="D202" s="38"/>
      <c r="E202" s="39"/>
      <c r="L202" s="38"/>
    </row>
    <row r="203">
      <c r="B203" s="73"/>
      <c r="C203" s="73"/>
      <c r="D203" s="38"/>
      <c r="E203" s="39"/>
      <c r="L203" s="38"/>
    </row>
    <row r="204">
      <c r="B204" s="73"/>
      <c r="C204" s="73"/>
      <c r="D204" s="38"/>
      <c r="E204" s="39"/>
      <c r="L204" s="38"/>
    </row>
    <row r="205">
      <c r="B205" s="73"/>
      <c r="C205" s="73"/>
      <c r="D205" s="38"/>
      <c r="E205" s="39"/>
      <c r="L205" s="38"/>
    </row>
    <row r="206">
      <c r="B206" s="73"/>
      <c r="C206" s="73"/>
      <c r="D206" s="38"/>
      <c r="E206" s="39"/>
      <c r="L206" s="38"/>
    </row>
    <row r="207">
      <c r="B207" s="73"/>
      <c r="C207" s="73"/>
      <c r="D207" s="38"/>
      <c r="E207" s="39"/>
      <c r="L207" s="38"/>
    </row>
    <row r="208">
      <c r="B208" s="73"/>
      <c r="C208" s="73"/>
      <c r="D208" s="38"/>
      <c r="E208" s="39"/>
      <c r="L208" s="38"/>
    </row>
    <row r="209">
      <c r="B209" s="73"/>
      <c r="C209" s="73"/>
      <c r="D209" s="38"/>
      <c r="E209" s="39"/>
      <c r="L209" s="38"/>
    </row>
    <row r="210">
      <c r="B210" s="73"/>
      <c r="C210" s="73"/>
      <c r="D210" s="38"/>
      <c r="E210" s="39"/>
      <c r="L210" s="38"/>
    </row>
    <row r="211">
      <c r="B211" s="73"/>
      <c r="C211" s="73"/>
      <c r="D211" s="38"/>
      <c r="E211" s="39"/>
      <c r="L211" s="38"/>
    </row>
    <row r="212">
      <c r="B212" s="73"/>
      <c r="C212" s="73"/>
      <c r="D212" s="38"/>
      <c r="E212" s="39"/>
      <c r="L212" s="38"/>
    </row>
    <row r="213">
      <c r="B213" s="73"/>
      <c r="C213" s="73"/>
      <c r="D213" s="38"/>
      <c r="E213" s="39"/>
      <c r="L213" s="38"/>
    </row>
    <row r="214">
      <c r="B214" s="73"/>
      <c r="C214" s="73"/>
      <c r="D214" s="38"/>
      <c r="E214" s="39"/>
      <c r="L214" s="38"/>
    </row>
    <row r="215">
      <c r="B215" s="73"/>
      <c r="C215" s="73"/>
      <c r="D215" s="38"/>
      <c r="E215" s="39"/>
      <c r="L215" s="38"/>
    </row>
    <row r="216">
      <c r="B216" s="73"/>
      <c r="C216" s="73"/>
      <c r="D216" s="38"/>
      <c r="E216" s="39"/>
      <c r="L216" s="38"/>
    </row>
    <row r="217">
      <c r="B217" s="73"/>
      <c r="C217" s="73"/>
      <c r="D217" s="38"/>
      <c r="E217" s="39"/>
      <c r="L217" s="38"/>
    </row>
    <row r="218">
      <c r="B218" s="73"/>
      <c r="C218" s="73"/>
      <c r="D218" s="38"/>
      <c r="E218" s="39"/>
      <c r="L218" s="38"/>
    </row>
    <row r="219">
      <c r="B219" s="73"/>
      <c r="C219" s="73"/>
      <c r="D219" s="38"/>
      <c r="E219" s="39"/>
      <c r="L219" s="38"/>
    </row>
    <row r="220">
      <c r="B220" s="73"/>
      <c r="C220" s="73"/>
      <c r="D220" s="38"/>
      <c r="E220" s="39"/>
      <c r="L220" s="38"/>
    </row>
    <row r="221">
      <c r="B221" s="73"/>
      <c r="C221" s="73"/>
      <c r="D221" s="38"/>
      <c r="E221" s="39"/>
      <c r="L221" s="38"/>
    </row>
    <row r="222">
      <c r="B222" s="73"/>
      <c r="C222" s="73"/>
      <c r="D222" s="38"/>
      <c r="E222" s="39"/>
      <c r="L222" s="38"/>
    </row>
    <row r="223">
      <c r="B223" s="73"/>
      <c r="C223" s="73"/>
      <c r="D223" s="38"/>
      <c r="E223" s="39"/>
      <c r="L223" s="38"/>
    </row>
    <row r="224">
      <c r="B224" s="73"/>
      <c r="C224" s="73"/>
      <c r="D224" s="38"/>
      <c r="E224" s="39"/>
      <c r="L224" s="38"/>
    </row>
    <row r="225">
      <c r="B225" s="73"/>
      <c r="C225" s="73"/>
      <c r="D225" s="38"/>
      <c r="E225" s="39"/>
      <c r="L225" s="38"/>
    </row>
    <row r="226">
      <c r="B226" s="73"/>
      <c r="C226" s="73"/>
      <c r="D226" s="38"/>
      <c r="E226" s="39"/>
      <c r="L226" s="38"/>
    </row>
    <row r="227">
      <c r="B227" s="73"/>
      <c r="C227" s="73"/>
      <c r="D227" s="38"/>
      <c r="E227" s="39"/>
      <c r="L227" s="38"/>
    </row>
    <row r="228">
      <c r="B228" s="73"/>
      <c r="C228" s="73"/>
      <c r="D228" s="38"/>
      <c r="E228" s="39"/>
      <c r="L228" s="38"/>
    </row>
    <row r="229">
      <c r="B229" s="73"/>
      <c r="C229" s="73"/>
      <c r="D229" s="38"/>
      <c r="E229" s="39"/>
      <c r="L229" s="38"/>
    </row>
    <row r="230">
      <c r="B230" s="73"/>
      <c r="C230" s="73"/>
      <c r="D230" s="38"/>
      <c r="E230" s="39"/>
      <c r="L230" s="38"/>
    </row>
    <row r="231">
      <c r="B231" s="73"/>
      <c r="C231" s="73"/>
      <c r="D231" s="38"/>
      <c r="E231" s="39"/>
      <c r="L231" s="38"/>
    </row>
    <row r="232">
      <c r="B232" s="73"/>
      <c r="C232" s="73"/>
      <c r="D232" s="38"/>
      <c r="E232" s="39"/>
      <c r="L232" s="38"/>
    </row>
    <row r="233">
      <c r="B233" s="73"/>
      <c r="C233" s="73"/>
      <c r="D233" s="38"/>
      <c r="E233" s="39"/>
      <c r="L233" s="38"/>
    </row>
    <row r="234">
      <c r="B234" s="73"/>
      <c r="C234" s="73"/>
      <c r="D234" s="38"/>
      <c r="E234" s="39"/>
      <c r="L234" s="38"/>
    </row>
    <row r="235">
      <c r="B235" s="73"/>
      <c r="C235" s="73"/>
      <c r="D235" s="38"/>
      <c r="E235" s="39"/>
      <c r="L235" s="38"/>
    </row>
    <row r="236">
      <c r="B236" s="73"/>
      <c r="C236" s="73"/>
      <c r="D236" s="38"/>
      <c r="E236" s="39"/>
      <c r="L236" s="38"/>
    </row>
    <row r="237">
      <c r="B237" s="73"/>
      <c r="C237" s="73"/>
      <c r="D237" s="38"/>
      <c r="E237" s="39"/>
      <c r="L237" s="38"/>
    </row>
    <row r="238">
      <c r="B238" s="73"/>
      <c r="C238" s="73"/>
      <c r="D238" s="38"/>
      <c r="E238" s="39"/>
      <c r="L238" s="38"/>
    </row>
    <row r="239">
      <c r="B239" s="73"/>
      <c r="C239" s="73"/>
      <c r="D239" s="38"/>
      <c r="E239" s="39"/>
      <c r="L239" s="38"/>
    </row>
    <row r="240">
      <c r="B240" s="73"/>
      <c r="C240" s="73"/>
      <c r="D240" s="38"/>
      <c r="E240" s="39"/>
      <c r="L240" s="38"/>
    </row>
    <row r="241">
      <c r="B241" s="73"/>
      <c r="C241" s="73"/>
      <c r="D241" s="38"/>
      <c r="E241" s="39"/>
      <c r="L241" s="38"/>
    </row>
    <row r="242">
      <c r="B242" s="73"/>
      <c r="C242" s="73"/>
      <c r="D242" s="38"/>
      <c r="E242" s="39"/>
      <c r="L242" s="38"/>
    </row>
    <row r="243">
      <c r="B243" s="73"/>
      <c r="C243" s="73"/>
      <c r="D243" s="38"/>
      <c r="E243" s="39"/>
      <c r="L243" s="38"/>
    </row>
    <row r="244">
      <c r="B244" s="73"/>
      <c r="C244" s="73"/>
      <c r="D244" s="38"/>
      <c r="E244" s="39"/>
      <c r="L244" s="38"/>
    </row>
    <row r="245">
      <c r="B245" s="73"/>
      <c r="C245" s="73"/>
      <c r="D245" s="38"/>
      <c r="E245" s="39"/>
      <c r="L245" s="38"/>
    </row>
    <row r="246">
      <c r="B246" s="73"/>
      <c r="C246" s="73"/>
      <c r="D246" s="38"/>
      <c r="E246" s="39"/>
      <c r="L246" s="38"/>
    </row>
    <row r="247">
      <c r="B247" s="73"/>
      <c r="C247" s="73"/>
      <c r="D247" s="38"/>
      <c r="E247" s="39"/>
      <c r="L247" s="38"/>
    </row>
    <row r="248">
      <c r="B248" s="73"/>
      <c r="C248" s="73"/>
      <c r="D248" s="38"/>
      <c r="E248" s="39"/>
      <c r="L248" s="38"/>
    </row>
    <row r="249">
      <c r="B249" s="73"/>
      <c r="C249" s="73"/>
      <c r="D249" s="38"/>
      <c r="E249" s="39"/>
      <c r="L249" s="38"/>
    </row>
    <row r="250">
      <c r="B250" s="73"/>
      <c r="C250" s="73"/>
      <c r="D250" s="38"/>
      <c r="E250" s="39"/>
      <c r="L250" s="38"/>
    </row>
    <row r="251">
      <c r="B251" s="73"/>
      <c r="C251" s="73"/>
      <c r="D251" s="38"/>
      <c r="E251" s="39"/>
      <c r="L251" s="38"/>
    </row>
    <row r="252">
      <c r="B252" s="73"/>
      <c r="C252" s="73"/>
      <c r="D252" s="38"/>
      <c r="E252" s="39"/>
      <c r="L252" s="38"/>
    </row>
    <row r="253">
      <c r="B253" s="73"/>
      <c r="C253" s="73"/>
      <c r="D253" s="38"/>
      <c r="E253" s="39"/>
      <c r="L253" s="38"/>
    </row>
    <row r="254">
      <c r="B254" s="73"/>
      <c r="C254" s="73"/>
      <c r="D254" s="38"/>
      <c r="E254" s="39"/>
      <c r="L254" s="38"/>
    </row>
    <row r="255">
      <c r="B255" s="73"/>
      <c r="C255" s="73"/>
      <c r="D255" s="38"/>
      <c r="E255" s="39"/>
      <c r="L255" s="38"/>
    </row>
    <row r="256">
      <c r="B256" s="73"/>
      <c r="C256" s="73"/>
      <c r="D256" s="38"/>
      <c r="E256" s="39"/>
      <c r="L256" s="38"/>
    </row>
    <row r="257">
      <c r="B257" s="73"/>
      <c r="C257" s="73"/>
      <c r="D257" s="38"/>
      <c r="E257" s="39"/>
      <c r="L257" s="38"/>
    </row>
    <row r="258">
      <c r="B258" s="73"/>
      <c r="C258" s="73"/>
      <c r="D258" s="38"/>
      <c r="E258" s="39"/>
      <c r="L258" s="38"/>
    </row>
    <row r="259">
      <c r="B259" s="73"/>
      <c r="C259" s="73"/>
      <c r="D259" s="38"/>
      <c r="E259" s="39"/>
      <c r="L259" s="38"/>
    </row>
    <row r="260">
      <c r="B260" s="73"/>
      <c r="C260" s="73"/>
      <c r="D260" s="38"/>
      <c r="E260" s="39"/>
      <c r="L260" s="38"/>
    </row>
    <row r="261">
      <c r="B261" s="73"/>
      <c r="C261" s="73"/>
      <c r="D261" s="38"/>
      <c r="E261" s="39"/>
      <c r="L261" s="38"/>
    </row>
    <row r="262">
      <c r="B262" s="73"/>
      <c r="C262" s="73"/>
      <c r="D262" s="38"/>
      <c r="E262" s="39"/>
      <c r="L262" s="38"/>
    </row>
    <row r="263">
      <c r="B263" s="73"/>
      <c r="C263" s="73"/>
      <c r="D263" s="38"/>
      <c r="E263" s="39"/>
      <c r="L263" s="38"/>
    </row>
    <row r="264">
      <c r="B264" s="73"/>
      <c r="C264" s="73"/>
      <c r="D264" s="38"/>
      <c r="E264" s="39"/>
      <c r="L264" s="38"/>
    </row>
    <row r="265">
      <c r="B265" s="73"/>
      <c r="C265" s="73"/>
      <c r="D265" s="38"/>
      <c r="E265" s="39"/>
      <c r="L265" s="38"/>
    </row>
    <row r="266">
      <c r="B266" s="73"/>
      <c r="C266" s="73"/>
      <c r="D266" s="38"/>
      <c r="E266" s="39"/>
      <c r="L266" s="38"/>
    </row>
    <row r="267">
      <c r="B267" s="73"/>
      <c r="C267" s="73"/>
      <c r="D267" s="38"/>
      <c r="E267" s="39"/>
      <c r="L267" s="38"/>
    </row>
    <row r="268">
      <c r="B268" s="73"/>
      <c r="C268" s="73"/>
      <c r="D268" s="38"/>
      <c r="E268" s="39"/>
      <c r="L268" s="38"/>
    </row>
    <row r="269">
      <c r="B269" s="73"/>
      <c r="C269" s="73"/>
      <c r="D269" s="38"/>
      <c r="E269" s="39"/>
      <c r="L269" s="38"/>
    </row>
    <row r="270">
      <c r="B270" s="73"/>
      <c r="C270" s="73"/>
      <c r="D270" s="38"/>
      <c r="E270" s="39"/>
      <c r="L270" s="38"/>
    </row>
    <row r="271">
      <c r="B271" s="73"/>
      <c r="C271" s="73"/>
      <c r="D271" s="38"/>
      <c r="E271" s="39"/>
      <c r="L271" s="38"/>
    </row>
    <row r="272">
      <c r="B272" s="73"/>
      <c r="C272" s="73"/>
      <c r="D272" s="38"/>
      <c r="E272" s="39"/>
      <c r="L272" s="38"/>
    </row>
    <row r="273">
      <c r="B273" s="73"/>
      <c r="C273" s="73"/>
      <c r="D273" s="38"/>
      <c r="E273" s="39"/>
      <c r="L273" s="38"/>
    </row>
    <row r="274">
      <c r="B274" s="73"/>
      <c r="C274" s="73"/>
      <c r="D274" s="38"/>
      <c r="E274" s="39"/>
      <c r="L274" s="38"/>
    </row>
    <row r="275">
      <c r="B275" s="73"/>
      <c r="C275" s="73"/>
      <c r="D275" s="38"/>
      <c r="E275" s="39"/>
      <c r="L275" s="38"/>
    </row>
    <row r="276">
      <c r="B276" s="73"/>
      <c r="C276" s="73"/>
      <c r="D276" s="38"/>
      <c r="E276" s="39"/>
      <c r="L276" s="38"/>
    </row>
    <row r="277">
      <c r="B277" s="73"/>
      <c r="C277" s="73"/>
      <c r="D277" s="38"/>
      <c r="E277" s="39"/>
      <c r="L277" s="38"/>
    </row>
    <row r="278">
      <c r="B278" s="73"/>
      <c r="C278" s="73"/>
      <c r="D278" s="38"/>
      <c r="E278" s="39"/>
      <c r="L278" s="38"/>
    </row>
    <row r="279">
      <c r="B279" s="73"/>
      <c r="C279" s="73"/>
      <c r="D279" s="38"/>
      <c r="E279" s="39"/>
      <c r="L279" s="38"/>
    </row>
    <row r="280">
      <c r="B280" s="73"/>
      <c r="C280" s="73"/>
      <c r="D280" s="38"/>
      <c r="E280" s="39"/>
      <c r="L280" s="38"/>
    </row>
    <row r="281">
      <c r="B281" s="73"/>
      <c r="C281" s="73"/>
      <c r="D281" s="38"/>
      <c r="E281" s="39"/>
      <c r="L281" s="38"/>
    </row>
    <row r="282">
      <c r="B282" s="73"/>
      <c r="C282" s="73"/>
      <c r="D282" s="38"/>
      <c r="E282" s="39"/>
      <c r="L282" s="38"/>
    </row>
    <row r="283">
      <c r="B283" s="73"/>
      <c r="C283" s="73"/>
      <c r="D283" s="38"/>
      <c r="E283" s="39"/>
      <c r="L283" s="38"/>
    </row>
    <row r="284">
      <c r="B284" s="73"/>
      <c r="C284" s="73"/>
      <c r="D284" s="38"/>
      <c r="E284" s="39"/>
      <c r="L284" s="38"/>
    </row>
    <row r="285">
      <c r="B285" s="73"/>
      <c r="C285" s="73"/>
      <c r="D285" s="38"/>
      <c r="E285" s="39"/>
      <c r="L285" s="38"/>
    </row>
    <row r="286">
      <c r="B286" s="73"/>
      <c r="C286" s="73"/>
      <c r="D286" s="38"/>
      <c r="E286" s="39"/>
      <c r="L286" s="38"/>
    </row>
    <row r="287">
      <c r="B287" s="73"/>
      <c r="C287" s="73"/>
      <c r="D287" s="38"/>
      <c r="E287" s="39"/>
      <c r="L287" s="38"/>
    </row>
    <row r="288">
      <c r="B288" s="73"/>
      <c r="C288" s="73"/>
      <c r="D288" s="38"/>
      <c r="E288" s="39"/>
      <c r="L288" s="38"/>
    </row>
    <row r="289">
      <c r="B289" s="73"/>
      <c r="C289" s="73"/>
      <c r="D289" s="38"/>
      <c r="E289" s="39"/>
      <c r="L289" s="38"/>
    </row>
    <row r="290">
      <c r="B290" s="73"/>
      <c r="C290" s="73"/>
      <c r="D290" s="38"/>
      <c r="E290" s="39"/>
      <c r="L290" s="38"/>
    </row>
    <row r="291">
      <c r="B291" s="73"/>
      <c r="C291" s="73"/>
      <c r="D291" s="38"/>
      <c r="E291" s="39"/>
      <c r="L291" s="38"/>
    </row>
    <row r="292">
      <c r="B292" s="73"/>
      <c r="C292" s="73"/>
      <c r="D292" s="38"/>
      <c r="E292" s="39"/>
      <c r="L292" s="38"/>
    </row>
    <row r="293">
      <c r="B293" s="73"/>
      <c r="C293" s="73"/>
      <c r="D293" s="38"/>
      <c r="E293" s="39"/>
      <c r="L293" s="38"/>
    </row>
    <row r="294">
      <c r="B294" s="73"/>
      <c r="C294" s="73"/>
      <c r="D294" s="38"/>
      <c r="E294" s="39"/>
      <c r="L294" s="38"/>
    </row>
    <row r="295">
      <c r="B295" s="73"/>
      <c r="C295" s="73"/>
      <c r="D295" s="38"/>
      <c r="E295" s="39"/>
      <c r="L295" s="38"/>
    </row>
    <row r="296">
      <c r="B296" s="73"/>
      <c r="C296" s="73"/>
      <c r="D296" s="38"/>
      <c r="E296" s="39"/>
      <c r="L296" s="38"/>
    </row>
    <row r="297">
      <c r="B297" s="73"/>
      <c r="C297" s="73"/>
      <c r="D297" s="38"/>
      <c r="E297" s="39"/>
      <c r="L297" s="38"/>
    </row>
    <row r="298">
      <c r="B298" s="73"/>
      <c r="C298" s="73"/>
      <c r="D298" s="38"/>
      <c r="E298" s="39"/>
      <c r="L298" s="38"/>
    </row>
    <row r="299">
      <c r="B299" s="73"/>
      <c r="C299" s="73"/>
      <c r="D299" s="38"/>
      <c r="E299" s="39"/>
      <c r="L299" s="38"/>
    </row>
    <row r="300">
      <c r="B300" s="73"/>
      <c r="C300" s="73"/>
      <c r="D300" s="38"/>
      <c r="E300" s="39"/>
      <c r="L300" s="38"/>
    </row>
    <row r="301">
      <c r="B301" s="73"/>
      <c r="C301" s="73"/>
      <c r="D301" s="38"/>
      <c r="E301" s="39"/>
      <c r="L301" s="38"/>
    </row>
    <row r="302">
      <c r="B302" s="73"/>
      <c r="C302" s="73"/>
      <c r="D302" s="38"/>
      <c r="E302" s="39"/>
      <c r="L302" s="38"/>
    </row>
    <row r="303">
      <c r="B303" s="73"/>
      <c r="C303" s="73"/>
      <c r="D303" s="38"/>
      <c r="E303" s="39"/>
      <c r="L303" s="38"/>
    </row>
    <row r="304">
      <c r="B304" s="73"/>
      <c r="C304" s="73"/>
      <c r="D304" s="38"/>
      <c r="E304" s="39"/>
      <c r="L304" s="38"/>
    </row>
    <row r="305">
      <c r="B305" s="73"/>
      <c r="C305" s="73"/>
      <c r="D305" s="38"/>
      <c r="E305" s="39"/>
      <c r="L305" s="38"/>
    </row>
    <row r="306">
      <c r="B306" s="73"/>
      <c r="C306" s="73"/>
      <c r="D306" s="38"/>
      <c r="E306" s="39"/>
      <c r="L306" s="38"/>
    </row>
    <row r="307">
      <c r="B307" s="73"/>
      <c r="C307" s="73"/>
      <c r="D307" s="38"/>
      <c r="E307" s="39"/>
      <c r="L307" s="38"/>
    </row>
    <row r="308">
      <c r="B308" s="73"/>
      <c r="C308" s="73"/>
      <c r="D308" s="38"/>
      <c r="E308" s="39"/>
      <c r="L308" s="38"/>
    </row>
    <row r="309">
      <c r="B309" s="73"/>
      <c r="C309" s="73"/>
      <c r="D309" s="38"/>
      <c r="E309" s="39"/>
      <c r="L309" s="38"/>
    </row>
    <row r="310">
      <c r="B310" s="73"/>
      <c r="C310" s="73"/>
      <c r="D310" s="38"/>
      <c r="E310" s="39"/>
      <c r="L310" s="38"/>
    </row>
    <row r="311">
      <c r="B311" s="73"/>
      <c r="C311" s="73"/>
      <c r="D311" s="38"/>
      <c r="E311" s="39"/>
      <c r="L311" s="38"/>
    </row>
    <row r="312">
      <c r="B312" s="73"/>
      <c r="C312" s="73"/>
      <c r="D312" s="38"/>
      <c r="E312" s="39"/>
      <c r="L312" s="38"/>
    </row>
    <row r="313">
      <c r="B313" s="73"/>
      <c r="C313" s="73"/>
      <c r="D313" s="38"/>
      <c r="E313" s="39"/>
      <c r="L313" s="38"/>
    </row>
    <row r="314">
      <c r="B314" s="73"/>
      <c r="C314" s="73"/>
      <c r="D314" s="38"/>
      <c r="E314" s="39"/>
      <c r="L314" s="38"/>
    </row>
    <row r="315">
      <c r="B315" s="73"/>
      <c r="C315" s="73"/>
      <c r="D315" s="38"/>
      <c r="E315" s="39"/>
      <c r="L315" s="38"/>
    </row>
    <row r="316">
      <c r="B316" s="73"/>
      <c r="C316" s="73"/>
      <c r="D316" s="38"/>
      <c r="E316" s="39"/>
      <c r="L316" s="38"/>
    </row>
    <row r="317">
      <c r="B317" s="73"/>
      <c r="C317" s="73"/>
      <c r="D317" s="38"/>
      <c r="E317" s="39"/>
      <c r="L317" s="38"/>
    </row>
    <row r="318">
      <c r="B318" s="73"/>
      <c r="C318" s="73"/>
      <c r="D318" s="38"/>
      <c r="E318" s="39"/>
      <c r="L318" s="38"/>
    </row>
    <row r="319">
      <c r="B319" s="73"/>
      <c r="C319" s="73"/>
      <c r="D319" s="38"/>
      <c r="E319" s="39"/>
      <c r="L319" s="38"/>
    </row>
    <row r="320">
      <c r="B320" s="73"/>
      <c r="C320" s="73"/>
      <c r="D320" s="38"/>
      <c r="E320" s="39"/>
      <c r="L320" s="38"/>
    </row>
    <row r="321">
      <c r="B321" s="73"/>
      <c r="C321" s="73"/>
      <c r="D321" s="38"/>
      <c r="E321" s="39"/>
      <c r="L321" s="38"/>
    </row>
    <row r="322">
      <c r="B322" s="73"/>
      <c r="C322" s="73"/>
      <c r="D322" s="38"/>
      <c r="E322" s="39"/>
      <c r="L322" s="38"/>
    </row>
    <row r="323">
      <c r="B323" s="73"/>
      <c r="C323" s="73"/>
      <c r="D323" s="38"/>
      <c r="E323" s="39"/>
      <c r="L323" s="38"/>
    </row>
    <row r="324">
      <c r="B324" s="73"/>
      <c r="C324" s="73"/>
      <c r="D324" s="38"/>
      <c r="E324" s="39"/>
      <c r="L324" s="38"/>
    </row>
    <row r="325">
      <c r="B325" s="73"/>
      <c r="C325" s="73"/>
      <c r="D325" s="38"/>
      <c r="E325" s="39"/>
      <c r="L325" s="38"/>
    </row>
    <row r="326">
      <c r="B326" s="73"/>
      <c r="C326" s="73"/>
      <c r="D326" s="38"/>
      <c r="E326" s="39"/>
      <c r="L326" s="38"/>
    </row>
    <row r="327">
      <c r="B327" s="73"/>
      <c r="C327" s="73"/>
      <c r="D327" s="38"/>
      <c r="E327" s="39"/>
      <c r="L327" s="38"/>
    </row>
    <row r="328">
      <c r="B328" s="73"/>
      <c r="C328" s="73"/>
      <c r="D328" s="38"/>
      <c r="E328" s="39"/>
      <c r="L328" s="38"/>
    </row>
    <row r="329">
      <c r="B329" s="73"/>
      <c r="C329" s="73"/>
      <c r="D329" s="38"/>
      <c r="E329" s="39"/>
      <c r="L329" s="38"/>
    </row>
    <row r="330">
      <c r="B330" s="73"/>
      <c r="C330" s="73"/>
      <c r="D330" s="38"/>
      <c r="E330" s="39"/>
      <c r="L330" s="38"/>
    </row>
    <row r="331">
      <c r="B331" s="73"/>
      <c r="C331" s="73"/>
      <c r="D331" s="38"/>
      <c r="E331" s="39"/>
      <c r="L331" s="38"/>
    </row>
    <row r="332">
      <c r="B332" s="73"/>
      <c r="C332" s="73"/>
      <c r="D332" s="38"/>
      <c r="E332" s="39"/>
      <c r="L332" s="38"/>
    </row>
    <row r="333">
      <c r="B333" s="73"/>
      <c r="C333" s="73"/>
      <c r="D333" s="38"/>
      <c r="E333" s="39"/>
      <c r="L333" s="38"/>
    </row>
    <row r="334">
      <c r="B334" s="73"/>
      <c r="C334" s="73"/>
      <c r="D334" s="38"/>
      <c r="E334" s="39"/>
      <c r="L334" s="38"/>
    </row>
    <row r="335">
      <c r="B335" s="73"/>
      <c r="C335" s="73"/>
      <c r="D335" s="38"/>
      <c r="E335" s="39"/>
      <c r="L335" s="38"/>
    </row>
    <row r="336">
      <c r="B336" s="73"/>
      <c r="C336" s="73"/>
      <c r="D336" s="38"/>
      <c r="E336" s="39"/>
      <c r="L336" s="38"/>
    </row>
    <row r="337">
      <c r="B337" s="73"/>
      <c r="C337" s="73"/>
      <c r="D337" s="38"/>
      <c r="E337" s="39"/>
      <c r="L337" s="38"/>
    </row>
    <row r="338">
      <c r="B338" s="73"/>
      <c r="C338" s="73"/>
      <c r="D338" s="38"/>
      <c r="E338" s="39"/>
      <c r="L338" s="38"/>
    </row>
    <row r="339">
      <c r="B339" s="73"/>
      <c r="C339" s="73"/>
      <c r="D339" s="38"/>
      <c r="E339" s="39"/>
      <c r="L339" s="38"/>
    </row>
    <row r="340">
      <c r="B340" s="73"/>
      <c r="C340" s="73"/>
      <c r="D340" s="38"/>
      <c r="E340" s="39"/>
      <c r="L340" s="38"/>
    </row>
    <row r="341">
      <c r="B341" s="73"/>
      <c r="C341" s="73"/>
      <c r="D341" s="38"/>
      <c r="E341" s="39"/>
      <c r="L341" s="38"/>
    </row>
    <row r="342">
      <c r="B342" s="73"/>
      <c r="C342" s="73"/>
      <c r="D342" s="38"/>
      <c r="E342" s="39"/>
      <c r="L342" s="38"/>
    </row>
    <row r="343">
      <c r="B343" s="73"/>
      <c r="C343" s="73"/>
      <c r="D343" s="38"/>
      <c r="E343" s="39"/>
      <c r="L343" s="38"/>
    </row>
    <row r="344">
      <c r="B344" s="73"/>
      <c r="C344" s="73"/>
      <c r="D344" s="38"/>
      <c r="E344" s="39"/>
      <c r="L344" s="38"/>
    </row>
    <row r="345">
      <c r="B345" s="73"/>
      <c r="C345" s="73"/>
      <c r="D345" s="38"/>
      <c r="E345" s="39"/>
      <c r="L345" s="38"/>
    </row>
    <row r="346">
      <c r="B346" s="73"/>
      <c r="C346" s="73"/>
      <c r="D346" s="38"/>
      <c r="E346" s="39"/>
      <c r="L346" s="38"/>
    </row>
    <row r="347">
      <c r="B347" s="73"/>
      <c r="C347" s="73"/>
      <c r="D347" s="38"/>
      <c r="E347" s="39"/>
      <c r="L347" s="38"/>
    </row>
    <row r="348">
      <c r="B348" s="73"/>
      <c r="C348" s="73"/>
      <c r="D348" s="38"/>
      <c r="E348" s="39"/>
      <c r="L348" s="38"/>
    </row>
    <row r="349">
      <c r="B349" s="73"/>
      <c r="C349" s="73"/>
      <c r="D349" s="38"/>
      <c r="E349" s="39"/>
      <c r="L349" s="38"/>
    </row>
    <row r="350">
      <c r="B350" s="73"/>
      <c r="C350" s="73"/>
      <c r="D350" s="38"/>
      <c r="E350" s="39"/>
      <c r="L350" s="38"/>
    </row>
    <row r="351">
      <c r="B351" s="73"/>
      <c r="C351" s="73"/>
      <c r="D351" s="38"/>
      <c r="E351" s="39"/>
      <c r="L351" s="38"/>
    </row>
    <row r="352">
      <c r="B352" s="73"/>
      <c r="C352" s="73"/>
      <c r="D352" s="38"/>
      <c r="E352" s="39"/>
      <c r="L352" s="38"/>
    </row>
    <row r="353">
      <c r="B353" s="73"/>
      <c r="C353" s="73"/>
      <c r="D353" s="38"/>
      <c r="E353" s="39"/>
      <c r="L353" s="38"/>
    </row>
    <row r="354">
      <c r="B354" s="73"/>
      <c r="C354" s="73"/>
      <c r="D354" s="38"/>
      <c r="E354" s="39"/>
      <c r="L354" s="38"/>
    </row>
    <row r="355">
      <c r="B355" s="73"/>
      <c r="C355" s="73"/>
      <c r="D355" s="38"/>
      <c r="E355" s="39"/>
      <c r="L355" s="38"/>
    </row>
    <row r="356">
      <c r="B356" s="73"/>
      <c r="C356" s="73"/>
      <c r="D356" s="38"/>
      <c r="E356" s="39"/>
      <c r="L356" s="38"/>
    </row>
    <row r="357">
      <c r="B357" s="73"/>
      <c r="C357" s="73"/>
      <c r="D357" s="38"/>
      <c r="E357" s="39"/>
      <c r="L357" s="38"/>
    </row>
    <row r="358">
      <c r="B358" s="73"/>
      <c r="C358" s="73"/>
      <c r="D358" s="38"/>
      <c r="E358" s="39"/>
      <c r="L358" s="38"/>
    </row>
    <row r="359">
      <c r="B359" s="73"/>
      <c r="C359" s="73"/>
      <c r="D359" s="38"/>
      <c r="E359" s="39"/>
      <c r="L359" s="38"/>
    </row>
    <row r="360">
      <c r="B360" s="73"/>
      <c r="C360" s="73"/>
      <c r="D360" s="38"/>
      <c r="E360" s="39"/>
      <c r="L360" s="38"/>
    </row>
    <row r="361">
      <c r="B361" s="73"/>
      <c r="C361" s="73"/>
      <c r="D361" s="38"/>
      <c r="E361" s="39"/>
      <c r="L361" s="38"/>
    </row>
    <row r="362">
      <c r="B362" s="73"/>
      <c r="C362" s="73"/>
      <c r="D362" s="38"/>
      <c r="E362" s="39"/>
      <c r="L362" s="38"/>
    </row>
    <row r="363">
      <c r="B363" s="73"/>
      <c r="C363" s="73"/>
      <c r="D363" s="38"/>
      <c r="E363" s="39"/>
      <c r="L363" s="38"/>
    </row>
    <row r="364">
      <c r="B364" s="73"/>
      <c r="C364" s="73"/>
      <c r="D364" s="38"/>
      <c r="E364" s="39"/>
      <c r="L364" s="38"/>
    </row>
    <row r="365">
      <c r="B365" s="73"/>
      <c r="C365" s="73"/>
      <c r="D365" s="38"/>
      <c r="E365" s="39"/>
      <c r="L365" s="38"/>
    </row>
    <row r="366">
      <c r="B366" s="73"/>
      <c r="C366" s="73"/>
      <c r="D366" s="38"/>
      <c r="E366" s="39"/>
      <c r="L366" s="38"/>
    </row>
    <row r="367">
      <c r="B367" s="73"/>
      <c r="C367" s="73"/>
      <c r="D367" s="38"/>
      <c r="E367" s="39"/>
      <c r="L367" s="38"/>
    </row>
    <row r="368">
      <c r="B368" s="73"/>
      <c r="C368" s="73"/>
      <c r="D368" s="38"/>
      <c r="E368" s="39"/>
      <c r="L368" s="38"/>
    </row>
    <row r="369">
      <c r="B369" s="73"/>
      <c r="C369" s="73"/>
      <c r="D369" s="38"/>
      <c r="E369" s="39"/>
      <c r="L369" s="38"/>
    </row>
    <row r="370">
      <c r="B370" s="73"/>
      <c r="C370" s="73"/>
      <c r="D370" s="38"/>
      <c r="E370" s="39"/>
      <c r="L370" s="38"/>
    </row>
    <row r="371">
      <c r="B371" s="73"/>
      <c r="C371" s="73"/>
      <c r="D371" s="38"/>
      <c r="E371" s="39"/>
      <c r="L371" s="38"/>
    </row>
    <row r="372">
      <c r="B372" s="73"/>
      <c r="C372" s="73"/>
      <c r="D372" s="38"/>
      <c r="E372" s="39"/>
      <c r="L372" s="38"/>
    </row>
    <row r="373">
      <c r="B373" s="73"/>
      <c r="C373" s="73"/>
      <c r="D373" s="38"/>
      <c r="E373" s="39"/>
      <c r="L373" s="38"/>
    </row>
    <row r="374">
      <c r="B374" s="73"/>
      <c r="C374" s="73"/>
      <c r="D374" s="38"/>
      <c r="E374" s="39"/>
      <c r="L374" s="38"/>
    </row>
    <row r="375">
      <c r="B375" s="73"/>
      <c r="C375" s="73"/>
      <c r="D375" s="38"/>
      <c r="E375" s="39"/>
      <c r="L375" s="38"/>
    </row>
    <row r="376">
      <c r="B376" s="73"/>
      <c r="C376" s="73"/>
      <c r="D376" s="38"/>
      <c r="E376" s="39"/>
      <c r="L376" s="38"/>
    </row>
    <row r="377">
      <c r="B377" s="73"/>
      <c r="C377" s="73"/>
      <c r="D377" s="38"/>
      <c r="E377" s="39"/>
      <c r="L377" s="38"/>
    </row>
    <row r="378">
      <c r="B378" s="73"/>
      <c r="C378" s="73"/>
      <c r="D378" s="38"/>
      <c r="E378" s="39"/>
      <c r="L378" s="38"/>
    </row>
    <row r="379">
      <c r="B379" s="73"/>
      <c r="C379" s="73"/>
      <c r="D379" s="38"/>
      <c r="E379" s="39"/>
      <c r="L379" s="38"/>
    </row>
    <row r="380">
      <c r="B380" s="73"/>
      <c r="C380" s="73"/>
      <c r="D380" s="38"/>
      <c r="E380" s="39"/>
      <c r="L380" s="38"/>
    </row>
    <row r="381">
      <c r="B381" s="73"/>
      <c r="C381" s="73"/>
      <c r="D381" s="38"/>
      <c r="E381" s="39"/>
      <c r="L381" s="38"/>
    </row>
    <row r="382">
      <c r="B382" s="73"/>
      <c r="C382" s="73"/>
      <c r="D382" s="38"/>
      <c r="E382" s="39"/>
      <c r="L382" s="38"/>
    </row>
    <row r="383">
      <c r="B383" s="73"/>
      <c r="C383" s="73"/>
      <c r="D383" s="38"/>
      <c r="E383" s="39"/>
      <c r="L383" s="38"/>
    </row>
    <row r="384">
      <c r="B384" s="73"/>
      <c r="C384" s="73"/>
      <c r="D384" s="38"/>
      <c r="E384" s="39"/>
      <c r="L384" s="38"/>
    </row>
    <row r="385">
      <c r="B385" s="73"/>
      <c r="C385" s="73"/>
      <c r="D385" s="38"/>
      <c r="E385" s="39"/>
      <c r="L385" s="38"/>
    </row>
    <row r="386">
      <c r="B386" s="73"/>
      <c r="C386" s="73"/>
      <c r="D386" s="38"/>
      <c r="E386" s="39"/>
      <c r="L386" s="38"/>
    </row>
    <row r="387">
      <c r="B387" s="73"/>
      <c r="C387" s="73"/>
      <c r="D387" s="38"/>
      <c r="E387" s="39"/>
      <c r="L387" s="38"/>
    </row>
    <row r="388">
      <c r="B388" s="73"/>
      <c r="C388" s="73"/>
      <c r="D388" s="38"/>
      <c r="E388" s="39"/>
      <c r="L388" s="38"/>
    </row>
    <row r="389">
      <c r="B389" s="73"/>
      <c r="C389" s="73"/>
      <c r="D389" s="38"/>
      <c r="E389" s="39"/>
      <c r="L389" s="38"/>
    </row>
    <row r="390">
      <c r="B390" s="73"/>
      <c r="C390" s="73"/>
      <c r="D390" s="38"/>
      <c r="E390" s="39"/>
      <c r="L390" s="38"/>
    </row>
    <row r="391">
      <c r="B391" s="73"/>
      <c r="C391" s="73"/>
      <c r="D391" s="38"/>
      <c r="E391" s="39"/>
      <c r="L391" s="38"/>
    </row>
    <row r="392">
      <c r="B392" s="73"/>
      <c r="C392" s="73"/>
      <c r="D392" s="38"/>
      <c r="E392" s="39"/>
      <c r="L392" s="38"/>
    </row>
    <row r="393">
      <c r="B393" s="73"/>
      <c r="C393" s="73"/>
      <c r="D393" s="38"/>
      <c r="E393" s="39"/>
      <c r="L393" s="38"/>
    </row>
    <row r="394">
      <c r="B394" s="73"/>
      <c r="C394" s="73"/>
      <c r="D394" s="38"/>
      <c r="E394" s="39"/>
      <c r="L394" s="38"/>
    </row>
    <row r="395">
      <c r="B395" s="73"/>
      <c r="C395" s="73"/>
      <c r="D395" s="38"/>
      <c r="E395" s="39"/>
      <c r="L395" s="38"/>
    </row>
    <row r="396">
      <c r="B396" s="73"/>
      <c r="C396" s="73"/>
      <c r="D396" s="38"/>
      <c r="E396" s="39"/>
      <c r="L396" s="38"/>
    </row>
    <row r="397">
      <c r="B397" s="73"/>
      <c r="C397" s="73"/>
      <c r="D397" s="38"/>
      <c r="E397" s="39"/>
      <c r="L397" s="38"/>
    </row>
    <row r="398">
      <c r="B398" s="73"/>
      <c r="C398" s="73"/>
      <c r="D398" s="38"/>
      <c r="E398" s="39"/>
      <c r="L398" s="38"/>
    </row>
    <row r="399">
      <c r="B399" s="73"/>
      <c r="C399" s="73"/>
      <c r="D399" s="38"/>
      <c r="E399" s="39"/>
      <c r="L399" s="38"/>
    </row>
    <row r="400">
      <c r="B400" s="73"/>
      <c r="C400" s="73"/>
      <c r="D400" s="38"/>
      <c r="E400" s="39"/>
      <c r="L400" s="38"/>
    </row>
    <row r="401">
      <c r="B401" s="73"/>
      <c r="C401" s="73"/>
      <c r="D401" s="38"/>
      <c r="E401" s="39"/>
      <c r="L401" s="38"/>
    </row>
    <row r="402">
      <c r="B402" s="73"/>
      <c r="C402" s="73"/>
      <c r="D402" s="38"/>
      <c r="E402" s="39"/>
      <c r="L402" s="38"/>
    </row>
    <row r="403">
      <c r="B403" s="73"/>
      <c r="C403" s="73"/>
      <c r="D403" s="38"/>
      <c r="E403" s="39"/>
      <c r="L403" s="38"/>
    </row>
    <row r="404">
      <c r="B404" s="73"/>
      <c r="C404" s="73"/>
      <c r="D404" s="38"/>
      <c r="E404" s="39"/>
      <c r="L404" s="38"/>
    </row>
    <row r="405">
      <c r="B405" s="73"/>
      <c r="C405" s="73"/>
      <c r="D405" s="38"/>
      <c r="E405" s="39"/>
      <c r="L405" s="38"/>
    </row>
    <row r="406">
      <c r="B406" s="73"/>
      <c r="C406" s="73"/>
      <c r="D406" s="38"/>
      <c r="E406" s="39"/>
      <c r="L406" s="38"/>
    </row>
    <row r="407">
      <c r="B407" s="73"/>
      <c r="C407" s="73"/>
      <c r="D407" s="38"/>
      <c r="E407" s="39"/>
      <c r="L407" s="38"/>
    </row>
    <row r="408">
      <c r="B408" s="73"/>
      <c r="C408" s="73"/>
      <c r="D408" s="38"/>
      <c r="E408" s="39"/>
      <c r="L408" s="38"/>
    </row>
    <row r="409">
      <c r="B409" s="73"/>
      <c r="C409" s="73"/>
      <c r="D409" s="38"/>
      <c r="E409" s="39"/>
      <c r="L409" s="38"/>
    </row>
    <row r="410">
      <c r="B410" s="73"/>
      <c r="C410" s="73"/>
      <c r="D410" s="38"/>
      <c r="E410" s="39"/>
      <c r="L410" s="38"/>
    </row>
    <row r="411">
      <c r="B411" s="73"/>
      <c r="C411" s="73"/>
      <c r="D411" s="38"/>
      <c r="E411" s="39"/>
      <c r="L411" s="38"/>
    </row>
    <row r="412">
      <c r="B412" s="73"/>
      <c r="C412" s="73"/>
      <c r="D412" s="38"/>
      <c r="E412" s="39"/>
      <c r="L412" s="38"/>
    </row>
    <row r="413">
      <c r="B413" s="73"/>
      <c r="C413" s="73"/>
      <c r="D413" s="38"/>
      <c r="E413" s="39"/>
      <c r="L413" s="38"/>
    </row>
    <row r="414">
      <c r="B414" s="73"/>
      <c r="C414" s="73"/>
      <c r="D414" s="38"/>
      <c r="E414" s="39"/>
      <c r="L414" s="38"/>
    </row>
    <row r="415">
      <c r="B415" s="73"/>
      <c r="C415" s="73"/>
      <c r="D415" s="38"/>
      <c r="E415" s="39"/>
      <c r="L415" s="38"/>
    </row>
    <row r="416">
      <c r="B416" s="73"/>
      <c r="C416" s="73"/>
      <c r="D416" s="38"/>
      <c r="E416" s="39"/>
      <c r="L416" s="38"/>
    </row>
    <row r="417">
      <c r="B417" s="73"/>
      <c r="C417" s="73"/>
      <c r="D417" s="38"/>
      <c r="E417" s="39"/>
      <c r="L417" s="38"/>
    </row>
    <row r="418">
      <c r="B418" s="73"/>
      <c r="C418" s="73"/>
      <c r="D418" s="38"/>
      <c r="E418" s="39"/>
      <c r="L418" s="38"/>
    </row>
    <row r="419">
      <c r="B419" s="73"/>
      <c r="C419" s="73"/>
      <c r="D419" s="38"/>
      <c r="E419" s="39"/>
      <c r="L419" s="38"/>
    </row>
    <row r="420">
      <c r="B420" s="73"/>
      <c r="C420" s="73"/>
      <c r="D420" s="38"/>
      <c r="E420" s="39"/>
      <c r="L420" s="38"/>
    </row>
    <row r="421">
      <c r="B421" s="73"/>
      <c r="C421" s="73"/>
      <c r="D421" s="38"/>
      <c r="E421" s="39"/>
      <c r="L421" s="38"/>
    </row>
    <row r="422">
      <c r="B422" s="73"/>
      <c r="C422" s="73"/>
      <c r="D422" s="38"/>
      <c r="E422" s="39"/>
      <c r="L422" s="38"/>
    </row>
    <row r="423">
      <c r="B423" s="73"/>
      <c r="C423" s="73"/>
      <c r="D423" s="38"/>
      <c r="E423" s="39"/>
      <c r="L423" s="38"/>
    </row>
    <row r="424">
      <c r="B424" s="73"/>
      <c r="C424" s="73"/>
      <c r="D424" s="38"/>
      <c r="E424" s="39"/>
      <c r="L424" s="38"/>
    </row>
    <row r="425">
      <c r="B425" s="73"/>
      <c r="C425" s="73"/>
      <c r="D425" s="38"/>
      <c r="E425" s="39"/>
      <c r="L425" s="38"/>
    </row>
    <row r="426">
      <c r="B426" s="73"/>
      <c r="C426" s="73"/>
      <c r="D426" s="38"/>
      <c r="E426" s="39"/>
      <c r="L426" s="38"/>
    </row>
    <row r="427">
      <c r="B427" s="73"/>
      <c r="C427" s="73"/>
      <c r="D427" s="38"/>
      <c r="E427" s="39"/>
      <c r="L427" s="38"/>
    </row>
    <row r="428">
      <c r="B428" s="73"/>
      <c r="C428" s="73"/>
      <c r="D428" s="38"/>
      <c r="E428" s="39"/>
      <c r="L428" s="38"/>
    </row>
    <row r="429">
      <c r="B429" s="73"/>
      <c r="C429" s="73"/>
      <c r="D429" s="38"/>
      <c r="E429" s="39"/>
      <c r="L429" s="38"/>
    </row>
    <row r="430">
      <c r="B430" s="73"/>
      <c r="C430" s="73"/>
      <c r="D430" s="38"/>
      <c r="E430" s="39"/>
      <c r="L430" s="38"/>
    </row>
    <row r="431">
      <c r="B431" s="73"/>
      <c r="C431" s="73"/>
      <c r="D431" s="38"/>
      <c r="E431" s="39"/>
      <c r="L431" s="38"/>
    </row>
    <row r="432">
      <c r="B432" s="73"/>
      <c r="C432" s="73"/>
      <c r="D432" s="38"/>
      <c r="E432" s="39"/>
      <c r="L432" s="38"/>
    </row>
    <row r="433">
      <c r="B433" s="73"/>
      <c r="C433" s="73"/>
      <c r="D433" s="38"/>
      <c r="E433" s="39"/>
      <c r="L433" s="38"/>
    </row>
    <row r="434">
      <c r="B434" s="73"/>
      <c r="C434" s="73"/>
      <c r="D434" s="38"/>
      <c r="E434" s="39"/>
      <c r="L434" s="38"/>
    </row>
    <row r="435">
      <c r="B435" s="73"/>
      <c r="C435" s="73"/>
      <c r="D435" s="38"/>
      <c r="E435" s="39"/>
      <c r="L435" s="38"/>
    </row>
    <row r="436">
      <c r="B436" s="73"/>
      <c r="C436" s="73"/>
      <c r="D436" s="38"/>
      <c r="E436" s="39"/>
      <c r="L436" s="38"/>
    </row>
    <row r="437">
      <c r="B437" s="73"/>
      <c r="C437" s="73"/>
      <c r="D437" s="38"/>
      <c r="E437" s="39"/>
      <c r="L437" s="38"/>
    </row>
    <row r="438">
      <c r="B438" s="73"/>
      <c r="C438" s="73"/>
      <c r="D438" s="38"/>
      <c r="E438" s="39"/>
      <c r="L438" s="38"/>
    </row>
    <row r="439">
      <c r="B439" s="73"/>
      <c r="C439" s="73"/>
      <c r="D439" s="38"/>
      <c r="E439" s="39"/>
      <c r="L439" s="38"/>
    </row>
    <row r="440">
      <c r="B440" s="73"/>
      <c r="C440" s="73"/>
      <c r="D440" s="38"/>
      <c r="E440" s="39"/>
      <c r="L440" s="38"/>
    </row>
    <row r="441">
      <c r="B441" s="73"/>
      <c r="C441" s="73"/>
      <c r="D441" s="38"/>
      <c r="E441" s="39"/>
      <c r="L441" s="38"/>
    </row>
    <row r="442">
      <c r="B442" s="73"/>
      <c r="C442" s="73"/>
      <c r="D442" s="38"/>
      <c r="E442" s="39"/>
      <c r="L442" s="38"/>
    </row>
    <row r="443">
      <c r="B443" s="73"/>
      <c r="C443" s="73"/>
      <c r="D443" s="38"/>
      <c r="E443" s="39"/>
      <c r="L443" s="38"/>
    </row>
    <row r="444">
      <c r="B444" s="73"/>
      <c r="C444" s="73"/>
      <c r="D444" s="38"/>
      <c r="E444" s="39"/>
      <c r="L444" s="38"/>
    </row>
    <row r="445">
      <c r="B445" s="73"/>
      <c r="C445" s="73"/>
      <c r="D445" s="38"/>
      <c r="E445" s="39"/>
      <c r="L445" s="38"/>
    </row>
    <row r="446">
      <c r="B446" s="73"/>
      <c r="C446" s="73"/>
      <c r="D446" s="38"/>
      <c r="E446" s="39"/>
      <c r="L446" s="38"/>
    </row>
    <row r="447">
      <c r="B447" s="73"/>
      <c r="C447" s="73"/>
      <c r="D447" s="38"/>
      <c r="E447" s="39"/>
      <c r="L447" s="38"/>
    </row>
    <row r="448">
      <c r="B448" s="73"/>
      <c r="C448" s="73"/>
      <c r="D448" s="38"/>
      <c r="E448" s="39"/>
      <c r="L448" s="38"/>
    </row>
    <row r="449">
      <c r="B449" s="73"/>
      <c r="C449" s="73"/>
      <c r="D449" s="38"/>
      <c r="E449" s="39"/>
      <c r="L449" s="38"/>
    </row>
    <row r="450">
      <c r="B450" s="73"/>
      <c r="C450" s="73"/>
      <c r="D450" s="38"/>
      <c r="E450" s="39"/>
      <c r="L450" s="38"/>
    </row>
    <row r="451">
      <c r="B451" s="73"/>
      <c r="C451" s="73"/>
      <c r="D451" s="38"/>
      <c r="E451" s="39"/>
      <c r="L451" s="38"/>
    </row>
    <row r="452">
      <c r="B452" s="73"/>
      <c r="C452" s="73"/>
      <c r="D452" s="38"/>
      <c r="E452" s="39"/>
      <c r="L452" s="38"/>
    </row>
    <row r="453">
      <c r="B453" s="73"/>
      <c r="C453" s="73"/>
      <c r="D453" s="38"/>
      <c r="E453" s="39"/>
      <c r="L453" s="38"/>
    </row>
    <row r="454">
      <c r="B454" s="73"/>
      <c r="C454" s="73"/>
      <c r="D454" s="38"/>
      <c r="E454" s="39"/>
      <c r="L454" s="38"/>
    </row>
    <row r="455">
      <c r="B455" s="73"/>
      <c r="C455" s="73"/>
      <c r="D455" s="38"/>
      <c r="E455" s="39"/>
      <c r="L455" s="38"/>
    </row>
    <row r="456">
      <c r="B456" s="73"/>
      <c r="C456" s="73"/>
      <c r="D456" s="38"/>
      <c r="E456" s="39"/>
      <c r="L456" s="38"/>
    </row>
    <row r="457">
      <c r="B457" s="73"/>
      <c r="C457" s="73"/>
      <c r="D457" s="38"/>
      <c r="E457" s="39"/>
      <c r="L457" s="38"/>
    </row>
    <row r="458">
      <c r="B458" s="73"/>
      <c r="C458" s="73"/>
      <c r="D458" s="38"/>
      <c r="E458" s="39"/>
      <c r="L458" s="38"/>
    </row>
    <row r="459">
      <c r="B459" s="73"/>
      <c r="C459" s="73"/>
      <c r="D459" s="38"/>
      <c r="E459" s="39"/>
      <c r="L459" s="38"/>
    </row>
    <row r="460">
      <c r="B460" s="73"/>
      <c r="C460" s="73"/>
      <c r="D460" s="38"/>
      <c r="E460" s="39"/>
      <c r="L460" s="38"/>
    </row>
    <row r="461">
      <c r="B461" s="73"/>
      <c r="C461" s="73"/>
      <c r="D461" s="38"/>
      <c r="E461" s="39"/>
      <c r="L461" s="38"/>
    </row>
    <row r="462">
      <c r="B462" s="73"/>
      <c r="C462" s="73"/>
      <c r="D462" s="38"/>
      <c r="E462" s="39"/>
      <c r="L462" s="38"/>
    </row>
    <row r="463">
      <c r="B463" s="73"/>
      <c r="C463" s="73"/>
      <c r="D463" s="38"/>
      <c r="E463" s="39"/>
      <c r="L463" s="38"/>
    </row>
    <row r="464">
      <c r="B464" s="73"/>
      <c r="C464" s="73"/>
      <c r="D464" s="38"/>
      <c r="E464" s="39"/>
      <c r="L464" s="38"/>
    </row>
    <row r="465">
      <c r="B465" s="73"/>
      <c r="C465" s="73"/>
      <c r="D465" s="38"/>
      <c r="E465" s="39"/>
      <c r="L465" s="38"/>
    </row>
    <row r="466">
      <c r="B466" s="73"/>
      <c r="C466" s="73"/>
      <c r="D466" s="38"/>
      <c r="E466" s="39"/>
      <c r="L466" s="38"/>
    </row>
    <row r="467">
      <c r="B467" s="73"/>
      <c r="C467" s="73"/>
      <c r="D467" s="38"/>
      <c r="E467" s="39"/>
      <c r="L467" s="38"/>
    </row>
    <row r="468">
      <c r="B468" s="73"/>
      <c r="C468" s="73"/>
      <c r="D468" s="38"/>
      <c r="E468" s="39"/>
      <c r="L468" s="38"/>
    </row>
    <row r="469">
      <c r="B469" s="73"/>
      <c r="C469" s="73"/>
      <c r="D469" s="38"/>
      <c r="E469" s="39"/>
      <c r="L469" s="38"/>
    </row>
    <row r="470">
      <c r="B470" s="73"/>
      <c r="C470" s="73"/>
      <c r="D470" s="38"/>
      <c r="E470" s="39"/>
      <c r="L470" s="38"/>
    </row>
    <row r="471">
      <c r="B471" s="73"/>
      <c r="C471" s="73"/>
      <c r="D471" s="38"/>
      <c r="E471" s="39"/>
      <c r="L471" s="38"/>
    </row>
    <row r="472">
      <c r="B472" s="73"/>
      <c r="C472" s="73"/>
      <c r="D472" s="38"/>
      <c r="E472" s="39"/>
      <c r="L472" s="38"/>
    </row>
    <row r="473">
      <c r="B473" s="73"/>
      <c r="C473" s="73"/>
      <c r="D473" s="38"/>
      <c r="E473" s="39"/>
      <c r="L473" s="38"/>
    </row>
    <row r="474">
      <c r="B474" s="73"/>
      <c r="C474" s="73"/>
      <c r="D474" s="38"/>
      <c r="E474" s="39"/>
      <c r="L474" s="38"/>
    </row>
    <row r="475">
      <c r="B475" s="73"/>
      <c r="C475" s="73"/>
      <c r="D475" s="38"/>
      <c r="E475" s="39"/>
      <c r="L475" s="38"/>
    </row>
    <row r="476">
      <c r="B476" s="73"/>
      <c r="C476" s="73"/>
      <c r="D476" s="38"/>
      <c r="E476" s="39"/>
      <c r="L476" s="38"/>
    </row>
    <row r="477">
      <c r="B477" s="73"/>
      <c r="C477" s="73"/>
      <c r="D477" s="38"/>
      <c r="E477" s="39"/>
      <c r="L477" s="38"/>
    </row>
    <row r="478">
      <c r="B478" s="73"/>
      <c r="C478" s="73"/>
      <c r="D478" s="38"/>
      <c r="E478" s="39"/>
      <c r="L478" s="38"/>
    </row>
    <row r="479">
      <c r="B479" s="73"/>
      <c r="C479" s="73"/>
      <c r="D479" s="38"/>
      <c r="E479" s="39"/>
      <c r="L479" s="38"/>
    </row>
    <row r="480">
      <c r="B480" s="73"/>
      <c r="C480" s="73"/>
      <c r="D480" s="38"/>
      <c r="E480" s="39"/>
      <c r="L480" s="38"/>
    </row>
    <row r="481">
      <c r="B481" s="73"/>
      <c r="C481" s="73"/>
      <c r="D481" s="38"/>
      <c r="E481" s="39"/>
      <c r="L481" s="38"/>
    </row>
    <row r="482">
      <c r="B482" s="73"/>
      <c r="C482" s="73"/>
      <c r="D482" s="38"/>
      <c r="E482" s="39"/>
      <c r="L482" s="38"/>
    </row>
    <row r="483">
      <c r="B483" s="73"/>
      <c r="C483" s="73"/>
      <c r="D483" s="38"/>
      <c r="E483" s="39"/>
      <c r="L483" s="38"/>
    </row>
    <row r="484">
      <c r="B484" s="73"/>
      <c r="C484" s="73"/>
      <c r="D484" s="38"/>
      <c r="E484" s="39"/>
      <c r="L484" s="38"/>
    </row>
    <row r="485">
      <c r="B485" s="73"/>
      <c r="C485" s="73"/>
      <c r="D485" s="38"/>
      <c r="E485" s="39"/>
      <c r="L485" s="38"/>
    </row>
    <row r="486">
      <c r="B486" s="73"/>
      <c r="C486" s="73"/>
      <c r="D486" s="38"/>
      <c r="E486" s="39"/>
      <c r="L486" s="38"/>
    </row>
    <row r="487">
      <c r="B487" s="73"/>
      <c r="C487" s="73"/>
      <c r="D487" s="38"/>
      <c r="E487" s="39"/>
      <c r="L487" s="38"/>
    </row>
    <row r="488">
      <c r="B488" s="73"/>
      <c r="C488" s="73"/>
      <c r="D488" s="38"/>
      <c r="E488" s="39"/>
      <c r="L488" s="38"/>
    </row>
    <row r="489">
      <c r="B489" s="73"/>
      <c r="C489" s="73"/>
      <c r="D489" s="38"/>
      <c r="E489" s="39"/>
      <c r="L489" s="38"/>
    </row>
    <row r="490">
      <c r="B490" s="73"/>
      <c r="C490" s="73"/>
      <c r="D490" s="38"/>
      <c r="E490" s="39"/>
      <c r="L490" s="38"/>
    </row>
    <row r="491">
      <c r="B491" s="73"/>
      <c r="C491" s="73"/>
      <c r="D491" s="38"/>
      <c r="E491" s="39"/>
      <c r="L491" s="38"/>
    </row>
    <row r="492">
      <c r="B492" s="73"/>
      <c r="C492" s="73"/>
      <c r="D492" s="38"/>
      <c r="E492" s="39"/>
      <c r="L492" s="38"/>
    </row>
    <row r="493">
      <c r="B493" s="73"/>
      <c r="C493" s="73"/>
      <c r="D493" s="38"/>
      <c r="E493" s="39"/>
      <c r="L493" s="38"/>
    </row>
    <row r="494">
      <c r="B494" s="73"/>
      <c r="C494" s="73"/>
      <c r="D494" s="38"/>
      <c r="E494" s="39"/>
      <c r="L494" s="38"/>
    </row>
    <row r="495">
      <c r="B495" s="73"/>
      <c r="C495" s="73"/>
      <c r="D495" s="38"/>
      <c r="E495" s="39"/>
      <c r="L495" s="38"/>
    </row>
    <row r="496">
      <c r="B496" s="73"/>
      <c r="C496" s="73"/>
      <c r="D496" s="38"/>
      <c r="E496" s="39"/>
      <c r="L496" s="38"/>
    </row>
    <row r="497">
      <c r="B497" s="73"/>
      <c r="C497" s="73"/>
      <c r="D497" s="38"/>
      <c r="E497" s="39"/>
      <c r="L497" s="38"/>
    </row>
    <row r="498">
      <c r="B498" s="73"/>
      <c r="C498" s="73"/>
      <c r="D498" s="38"/>
      <c r="E498" s="39"/>
      <c r="L498" s="38"/>
    </row>
    <row r="499">
      <c r="B499" s="73"/>
      <c r="C499" s="73"/>
      <c r="D499" s="38"/>
      <c r="E499" s="39"/>
      <c r="L499" s="38"/>
    </row>
    <row r="500">
      <c r="B500" s="73"/>
      <c r="C500" s="73"/>
      <c r="D500" s="38"/>
      <c r="E500" s="39"/>
      <c r="L500" s="38"/>
    </row>
    <row r="501">
      <c r="B501" s="73"/>
      <c r="C501" s="73"/>
      <c r="D501" s="38"/>
      <c r="E501" s="39"/>
      <c r="L501" s="38"/>
    </row>
    <row r="502">
      <c r="B502" s="73"/>
      <c r="C502" s="73"/>
      <c r="D502" s="38"/>
      <c r="E502" s="39"/>
      <c r="L502" s="38"/>
    </row>
    <row r="503">
      <c r="B503" s="73"/>
      <c r="C503" s="73"/>
      <c r="D503" s="38"/>
      <c r="E503" s="39"/>
      <c r="L503" s="38"/>
    </row>
    <row r="504">
      <c r="B504" s="73"/>
      <c r="C504" s="73"/>
      <c r="D504" s="38"/>
      <c r="E504" s="39"/>
      <c r="L504" s="38"/>
    </row>
    <row r="505">
      <c r="B505" s="73"/>
      <c r="C505" s="73"/>
      <c r="D505" s="38"/>
      <c r="E505" s="39"/>
      <c r="L505" s="38"/>
    </row>
    <row r="506">
      <c r="B506" s="73"/>
      <c r="C506" s="73"/>
      <c r="D506" s="38"/>
      <c r="E506" s="39"/>
      <c r="L506" s="38"/>
    </row>
    <row r="507">
      <c r="B507" s="73"/>
      <c r="C507" s="73"/>
      <c r="D507" s="38"/>
      <c r="E507" s="39"/>
      <c r="L507" s="38"/>
    </row>
    <row r="508">
      <c r="B508" s="73"/>
      <c r="C508" s="73"/>
      <c r="D508" s="38"/>
      <c r="E508" s="39"/>
      <c r="L508" s="38"/>
    </row>
    <row r="509">
      <c r="B509" s="73"/>
      <c r="C509" s="73"/>
      <c r="D509" s="38"/>
      <c r="E509" s="39"/>
      <c r="L509" s="38"/>
    </row>
    <row r="510">
      <c r="B510" s="73"/>
      <c r="C510" s="73"/>
      <c r="D510" s="38"/>
      <c r="E510" s="39"/>
      <c r="L510" s="38"/>
    </row>
    <row r="511">
      <c r="B511" s="73"/>
      <c r="C511" s="73"/>
      <c r="D511" s="38"/>
      <c r="E511" s="39"/>
      <c r="L511" s="38"/>
    </row>
    <row r="512">
      <c r="B512" s="73"/>
      <c r="C512" s="73"/>
      <c r="D512" s="38"/>
      <c r="E512" s="39"/>
      <c r="L512" s="38"/>
    </row>
    <row r="513">
      <c r="B513" s="73"/>
      <c r="C513" s="73"/>
      <c r="D513" s="38"/>
      <c r="E513" s="39"/>
      <c r="L513" s="38"/>
    </row>
    <row r="514">
      <c r="B514" s="73"/>
      <c r="C514" s="73"/>
      <c r="D514" s="38"/>
      <c r="E514" s="39"/>
      <c r="L514" s="38"/>
    </row>
    <row r="515">
      <c r="B515" s="73"/>
      <c r="C515" s="73"/>
      <c r="D515" s="38"/>
      <c r="E515" s="39"/>
      <c r="L515" s="38"/>
    </row>
    <row r="516">
      <c r="B516" s="73"/>
      <c r="C516" s="73"/>
      <c r="D516" s="38"/>
      <c r="E516" s="39"/>
      <c r="L516" s="38"/>
    </row>
    <row r="517">
      <c r="B517" s="73"/>
      <c r="C517" s="73"/>
      <c r="D517" s="38"/>
      <c r="E517" s="39"/>
      <c r="L517" s="38"/>
    </row>
    <row r="518">
      <c r="B518" s="73"/>
      <c r="C518" s="73"/>
      <c r="D518" s="38"/>
      <c r="E518" s="39"/>
      <c r="L518" s="38"/>
    </row>
    <row r="519">
      <c r="B519" s="73"/>
      <c r="C519" s="73"/>
      <c r="D519" s="38"/>
      <c r="E519" s="39"/>
      <c r="L519" s="38"/>
    </row>
    <row r="520">
      <c r="B520" s="73"/>
      <c r="C520" s="73"/>
      <c r="D520" s="38"/>
      <c r="E520" s="39"/>
      <c r="L520" s="38"/>
    </row>
    <row r="521">
      <c r="B521" s="73"/>
      <c r="C521" s="73"/>
      <c r="D521" s="38"/>
      <c r="E521" s="39"/>
      <c r="L521" s="38"/>
    </row>
    <row r="522">
      <c r="B522" s="73"/>
      <c r="C522" s="73"/>
      <c r="D522" s="38"/>
      <c r="E522" s="39"/>
      <c r="L522" s="38"/>
    </row>
    <row r="523">
      <c r="B523" s="73"/>
      <c r="C523" s="73"/>
      <c r="D523" s="38"/>
      <c r="E523" s="39"/>
      <c r="L523" s="38"/>
    </row>
    <row r="524">
      <c r="B524" s="73"/>
      <c r="C524" s="73"/>
      <c r="D524" s="38"/>
      <c r="E524" s="39"/>
      <c r="L524" s="38"/>
    </row>
    <row r="525">
      <c r="B525" s="73"/>
      <c r="C525" s="73"/>
      <c r="D525" s="38"/>
      <c r="E525" s="39"/>
      <c r="L525" s="38"/>
    </row>
    <row r="526">
      <c r="B526" s="73"/>
      <c r="C526" s="73"/>
      <c r="D526" s="38"/>
      <c r="E526" s="39"/>
      <c r="L526" s="38"/>
    </row>
    <row r="527">
      <c r="B527" s="73"/>
      <c r="C527" s="73"/>
      <c r="D527" s="38"/>
      <c r="E527" s="39"/>
      <c r="L527" s="38"/>
    </row>
    <row r="528">
      <c r="B528" s="73"/>
      <c r="C528" s="73"/>
      <c r="D528" s="38"/>
      <c r="E528" s="39"/>
      <c r="L528" s="38"/>
    </row>
    <row r="529">
      <c r="B529" s="73"/>
      <c r="C529" s="73"/>
      <c r="D529" s="38"/>
      <c r="E529" s="39"/>
      <c r="L529" s="38"/>
    </row>
    <row r="530">
      <c r="B530" s="73"/>
      <c r="C530" s="73"/>
      <c r="D530" s="38"/>
      <c r="E530" s="39"/>
      <c r="L530" s="38"/>
    </row>
    <row r="531">
      <c r="B531" s="73"/>
      <c r="C531" s="73"/>
      <c r="D531" s="38"/>
      <c r="E531" s="39"/>
      <c r="L531" s="38"/>
    </row>
    <row r="532">
      <c r="B532" s="73"/>
      <c r="C532" s="73"/>
      <c r="D532" s="38"/>
      <c r="E532" s="39"/>
      <c r="L532" s="38"/>
    </row>
    <row r="533">
      <c r="B533" s="73"/>
      <c r="C533" s="73"/>
      <c r="D533" s="38"/>
      <c r="E533" s="39"/>
      <c r="L533" s="38"/>
    </row>
    <row r="534">
      <c r="B534" s="73"/>
      <c r="C534" s="73"/>
      <c r="D534" s="38"/>
      <c r="E534" s="39"/>
      <c r="L534" s="38"/>
    </row>
    <row r="535">
      <c r="B535" s="73"/>
      <c r="C535" s="73"/>
      <c r="D535" s="38"/>
      <c r="E535" s="39"/>
      <c r="L535" s="38"/>
    </row>
    <row r="536">
      <c r="B536" s="73"/>
      <c r="C536" s="73"/>
      <c r="D536" s="38"/>
      <c r="E536" s="39"/>
      <c r="L536" s="38"/>
    </row>
    <row r="537">
      <c r="B537" s="73"/>
      <c r="C537" s="73"/>
      <c r="D537" s="38"/>
      <c r="E537" s="39"/>
      <c r="L537" s="38"/>
    </row>
    <row r="538">
      <c r="B538" s="73"/>
      <c r="C538" s="73"/>
      <c r="D538" s="38"/>
      <c r="E538" s="39"/>
      <c r="L538" s="38"/>
    </row>
    <row r="539">
      <c r="B539" s="73"/>
      <c r="C539" s="73"/>
      <c r="D539" s="38"/>
      <c r="E539" s="39"/>
      <c r="L539" s="38"/>
    </row>
    <row r="540">
      <c r="B540" s="73"/>
      <c r="C540" s="73"/>
      <c r="D540" s="38"/>
      <c r="E540" s="39"/>
      <c r="L540" s="38"/>
    </row>
    <row r="541">
      <c r="B541" s="73"/>
      <c r="C541" s="73"/>
      <c r="D541" s="38"/>
      <c r="E541" s="39"/>
      <c r="L541" s="38"/>
    </row>
    <row r="542">
      <c r="B542" s="73"/>
      <c r="C542" s="73"/>
      <c r="D542" s="38"/>
      <c r="E542" s="39"/>
      <c r="L542" s="38"/>
    </row>
    <row r="543">
      <c r="B543" s="73"/>
      <c r="C543" s="73"/>
      <c r="D543" s="38"/>
      <c r="E543" s="39"/>
      <c r="L543" s="38"/>
    </row>
    <row r="544">
      <c r="B544" s="73"/>
      <c r="C544" s="73"/>
      <c r="D544" s="38"/>
      <c r="E544" s="39"/>
      <c r="L544" s="38"/>
    </row>
    <row r="545">
      <c r="B545" s="73"/>
      <c r="C545" s="73"/>
      <c r="D545" s="38"/>
      <c r="E545" s="39"/>
      <c r="L545" s="38"/>
    </row>
    <row r="546">
      <c r="B546" s="73"/>
      <c r="C546" s="73"/>
      <c r="D546" s="38"/>
      <c r="E546" s="39"/>
      <c r="L546" s="38"/>
    </row>
    <row r="547">
      <c r="B547" s="73"/>
      <c r="C547" s="73"/>
      <c r="D547" s="38"/>
      <c r="E547" s="39"/>
      <c r="L547" s="38"/>
    </row>
    <row r="548">
      <c r="B548" s="73"/>
      <c r="C548" s="73"/>
      <c r="D548" s="38"/>
      <c r="E548" s="39"/>
      <c r="L548" s="38"/>
    </row>
    <row r="549">
      <c r="B549" s="73"/>
      <c r="C549" s="73"/>
      <c r="D549" s="38"/>
      <c r="E549" s="39"/>
      <c r="L549" s="38"/>
    </row>
    <row r="550">
      <c r="B550" s="73"/>
      <c r="C550" s="73"/>
      <c r="D550" s="38"/>
      <c r="E550" s="39"/>
      <c r="L550" s="38"/>
    </row>
    <row r="551">
      <c r="B551" s="73"/>
      <c r="C551" s="73"/>
      <c r="D551" s="38"/>
      <c r="E551" s="39"/>
      <c r="L551" s="38"/>
    </row>
    <row r="552">
      <c r="B552" s="73"/>
      <c r="C552" s="73"/>
      <c r="D552" s="38"/>
      <c r="E552" s="39"/>
      <c r="L552" s="38"/>
    </row>
    <row r="553">
      <c r="B553" s="73"/>
      <c r="C553" s="73"/>
      <c r="D553" s="38"/>
      <c r="E553" s="39"/>
      <c r="L553" s="38"/>
    </row>
    <row r="554">
      <c r="B554" s="73"/>
      <c r="C554" s="73"/>
      <c r="D554" s="38"/>
      <c r="E554" s="39"/>
      <c r="L554" s="38"/>
    </row>
    <row r="555">
      <c r="B555" s="73"/>
      <c r="C555" s="73"/>
      <c r="D555" s="38"/>
      <c r="E555" s="39"/>
      <c r="L555" s="38"/>
    </row>
    <row r="556">
      <c r="B556" s="73"/>
      <c r="C556" s="73"/>
      <c r="D556" s="38"/>
      <c r="E556" s="39"/>
      <c r="L556" s="38"/>
    </row>
    <row r="557">
      <c r="B557" s="73"/>
      <c r="C557" s="73"/>
      <c r="D557" s="38"/>
      <c r="E557" s="39"/>
      <c r="L557" s="38"/>
    </row>
    <row r="558">
      <c r="B558" s="73"/>
      <c r="C558" s="73"/>
      <c r="D558" s="38"/>
      <c r="E558" s="39"/>
      <c r="L558" s="38"/>
    </row>
    <row r="559">
      <c r="B559" s="73"/>
      <c r="C559" s="73"/>
      <c r="D559" s="38"/>
      <c r="E559" s="39"/>
      <c r="L559" s="38"/>
    </row>
    <row r="560">
      <c r="B560" s="73"/>
      <c r="C560" s="73"/>
      <c r="D560" s="38"/>
      <c r="E560" s="39"/>
      <c r="L560" s="38"/>
    </row>
    <row r="561">
      <c r="B561" s="73"/>
      <c r="C561" s="73"/>
      <c r="D561" s="38"/>
      <c r="E561" s="39"/>
      <c r="L561" s="38"/>
    </row>
    <row r="562">
      <c r="B562" s="73"/>
      <c r="C562" s="73"/>
      <c r="D562" s="38"/>
      <c r="E562" s="39"/>
      <c r="L562" s="38"/>
    </row>
    <row r="563">
      <c r="B563" s="73"/>
      <c r="C563" s="73"/>
      <c r="D563" s="38"/>
      <c r="E563" s="39"/>
      <c r="L563" s="38"/>
    </row>
    <row r="564">
      <c r="B564" s="73"/>
      <c r="C564" s="73"/>
      <c r="D564" s="38"/>
      <c r="E564" s="39"/>
      <c r="L564" s="38"/>
    </row>
    <row r="565">
      <c r="B565" s="73"/>
      <c r="C565" s="73"/>
      <c r="D565" s="38"/>
      <c r="E565" s="39"/>
      <c r="L565" s="38"/>
    </row>
    <row r="566">
      <c r="B566" s="73"/>
      <c r="C566" s="73"/>
      <c r="D566" s="38"/>
      <c r="E566" s="39"/>
      <c r="L566" s="38"/>
    </row>
    <row r="567">
      <c r="B567" s="73"/>
      <c r="C567" s="73"/>
      <c r="D567" s="38"/>
      <c r="E567" s="39"/>
      <c r="L567" s="38"/>
    </row>
    <row r="568">
      <c r="B568" s="73"/>
      <c r="C568" s="73"/>
      <c r="D568" s="38"/>
      <c r="E568" s="39"/>
      <c r="L568" s="38"/>
    </row>
    <row r="569">
      <c r="B569" s="73"/>
      <c r="C569" s="73"/>
      <c r="D569" s="38"/>
      <c r="E569" s="39"/>
      <c r="L569" s="38"/>
    </row>
    <row r="570">
      <c r="B570" s="73"/>
      <c r="C570" s="73"/>
      <c r="D570" s="38"/>
      <c r="E570" s="39"/>
      <c r="L570" s="38"/>
    </row>
    <row r="571">
      <c r="B571" s="73"/>
      <c r="C571" s="73"/>
      <c r="D571" s="38"/>
      <c r="E571" s="39"/>
      <c r="L571" s="38"/>
    </row>
    <row r="572">
      <c r="B572" s="73"/>
      <c r="C572" s="73"/>
      <c r="D572" s="38"/>
      <c r="E572" s="39"/>
      <c r="L572" s="38"/>
    </row>
    <row r="573">
      <c r="B573" s="73"/>
      <c r="C573" s="73"/>
      <c r="D573" s="38"/>
      <c r="E573" s="39"/>
      <c r="L573" s="38"/>
    </row>
    <row r="574">
      <c r="B574" s="73"/>
      <c r="C574" s="73"/>
      <c r="D574" s="38"/>
      <c r="E574" s="39"/>
      <c r="L574" s="38"/>
    </row>
    <row r="575">
      <c r="B575" s="73"/>
      <c r="C575" s="73"/>
      <c r="D575" s="38"/>
      <c r="E575" s="39"/>
      <c r="L575" s="38"/>
    </row>
    <row r="576">
      <c r="B576" s="73"/>
      <c r="C576" s="73"/>
      <c r="D576" s="38"/>
      <c r="E576" s="39"/>
      <c r="L576" s="38"/>
    </row>
    <row r="577">
      <c r="B577" s="73"/>
      <c r="C577" s="73"/>
      <c r="D577" s="38"/>
      <c r="E577" s="39"/>
      <c r="L577" s="38"/>
    </row>
    <row r="578">
      <c r="B578" s="73"/>
      <c r="C578" s="73"/>
      <c r="D578" s="38"/>
      <c r="E578" s="39"/>
      <c r="L578" s="38"/>
    </row>
    <row r="579">
      <c r="B579" s="73"/>
      <c r="C579" s="73"/>
      <c r="D579" s="38"/>
      <c r="E579" s="39"/>
      <c r="L579" s="38"/>
    </row>
    <row r="580">
      <c r="B580" s="73"/>
      <c r="C580" s="73"/>
      <c r="D580" s="38"/>
      <c r="E580" s="39"/>
      <c r="L580" s="38"/>
    </row>
    <row r="581">
      <c r="B581" s="73"/>
      <c r="C581" s="73"/>
      <c r="D581" s="38"/>
      <c r="E581" s="39"/>
      <c r="L581" s="38"/>
    </row>
    <row r="582">
      <c r="B582" s="73"/>
      <c r="C582" s="73"/>
      <c r="D582" s="38"/>
      <c r="E582" s="39"/>
      <c r="L582" s="38"/>
    </row>
    <row r="583">
      <c r="B583" s="73"/>
      <c r="C583" s="73"/>
      <c r="D583" s="38"/>
      <c r="E583" s="39"/>
      <c r="L583" s="38"/>
    </row>
    <row r="584">
      <c r="B584" s="73"/>
      <c r="C584" s="73"/>
      <c r="D584" s="38"/>
      <c r="E584" s="39"/>
      <c r="L584" s="38"/>
    </row>
    <row r="585">
      <c r="B585" s="73"/>
      <c r="C585" s="73"/>
      <c r="D585" s="38"/>
      <c r="E585" s="39"/>
      <c r="L585" s="38"/>
    </row>
    <row r="586">
      <c r="B586" s="73"/>
      <c r="C586" s="73"/>
      <c r="D586" s="38"/>
      <c r="E586" s="39"/>
      <c r="L586" s="38"/>
    </row>
    <row r="587">
      <c r="B587" s="73"/>
      <c r="C587" s="73"/>
      <c r="D587" s="38"/>
      <c r="E587" s="39"/>
      <c r="L587" s="38"/>
    </row>
    <row r="588">
      <c r="B588" s="73"/>
      <c r="C588" s="73"/>
      <c r="D588" s="38"/>
      <c r="E588" s="39"/>
      <c r="L588" s="38"/>
    </row>
    <row r="589">
      <c r="B589" s="73"/>
      <c r="C589" s="73"/>
      <c r="D589" s="38"/>
      <c r="E589" s="39"/>
      <c r="L589" s="38"/>
    </row>
    <row r="590">
      <c r="B590" s="73"/>
      <c r="C590" s="73"/>
      <c r="D590" s="38"/>
      <c r="E590" s="39"/>
      <c r="L590" s="38"/>
    </row>
    <row r="591">
      <c r="B591" s="73"/>
      <c r="C591" s="73"/>
      <c r="D591" s="38"/>
      <c r="E591" s="39"/>
      <c r="L591" s="38"/>
    </row>
    <row r="592">
      <c r="B592" s="73"/>
      <c r="C592" s="73"/>
      <c r="D592" s="38"/>
      <c r="E592" s="39"/>
      <c r="L592" s="38"/>
    </row>
    <row r="593">
      <c r="B593" s="73"/>
      <c r="C593" s="73"/>
      <c r="D593" s="38"/>
      <c r="E593" s="39"/>
      <c r="L593" s="38"/>
    </row>
    <row r="594">
      <c r="B594" s="73"/>
      <c r="C594" s="73"/>
      <c r="D594" s="38"/>
      <c r="E594" s="39"/>
      <c r="L594" s="38"/>
    </row>
    <row r="595">
      <c r="B595" s="73"/>
      <c r="C595" s="73"/>
      <c r="D595" s="38"/>
      <c r="E595" s="39"/>
      <c r="L595" s="38"/>
    </row>
    <row r="596">
      <c r="B596" s="73"/>
      <c r="C596" s="73"/>
      <c r="D596" s="38"/>
      <c r="E596" s="39"/>
      <c r="L596" s="38"/>
    </row>
    <row r="597">
      <c r="B597" s="73"/>
      <c r="C597" s="73"/>
      <c r="D597" s="38"/>
      <c r="E597" s="39"/>
      <c r="L597" s="38"/>
    </row>
    <row r="598">
      <c r="B598" s="73"/>
      <c r="C598" s="73"/>
      <c r="D598" s="38"/>
      <c r="E598" s="39"/>
      <c r="L598" s="38"/>
    </row>
    <row r="599">
      <c r="B599" s="73"/>
      <c r="C599" s="73"/>
      <c r="D599" s="38"/>
      <c r="E599" s="39"/>
      <c r="L599" s="38"/>
    </row>
    <row r="600">
      <c r="B600" s="73"/>
      <c r="C600" s="73"/>
      <c r="D600" s="38"/>
      <c r="E600" s="39"/>
      <c r="L600" s="38"/>
    </row>
    <row r="601">
      <c r="B601" s="73"/>
      <c r="C601" s="73"/>
      <c r="D601" s="38"/>
      <c r="E601" s="39"/>
      <c r="L601" s="38"/>
    </row>
    <row r="602">
      <c r="B602" s="73"/>
      <c r="C602" s="73"/>
      <c r="D602" s="38"/>
      <c r="E602" s="39"/>
      <c r="L602" s="38"/>
    </row>
    <row r="603">
      <c r="B603" s="73"/>
      <c r="C603" s="73"/>
      <c r="D603" s="38"/>
      <c r="E603" s="39"/>
      <c r="L603" s="38"/>
    </row>
    <row r="604">
      <c r="B604" s="73"/>
      <c r="C604" s="73"/>
      <c r="D604" s="38"/>
      <c r="E604" s="39"/>
      <c r="L604" s="38"/>
    </row>
    <row r="605">
      <c r="B605" s="73"/>
      <c r="C605" s="73"/>
      <c r="D605" s="38"/>
      <c r="E605" s="39"/>
      <c r="L605" s="38"/>
    </row>
    <row r="606">
      <c r="B606" s="73"/>
      <c r="C606" s="73"/>
      <c r="D606" s="38"/>
      <c r="E606" s="39"/>
      <c r="L606" s="38"/>
    </row>
    <row r="607">
      <c r="B607" s="73"/>
      <c r="C607" s="73"/>
      <c r="D607" s="38"/>
      <c r="E607" s="39"/>
      <c r="L607" s="38"/>
    </row>
    <row r="608">
      <c r="B608" s="73"/>
      <c r="C608" s="73"/>
      <c r="D608" s="38"/>
      <c r="E608" s="39"/>
      <c r="L608" s="38"/>
    </row>
    <row r="609">
      <c r="B609" s="73"/>
      <c r="C609" s="73"/>
      <c r="D609" s="38"/>
      <c r="E609" s="39"/>
      <c r="L609" s="38"/>
    </row>
    <row r="610">
      <c r="B610" s="73"/>
      <c r="C610" s="73"/>
      <c r="D610" s="38"/>
      <c r="E610" s="39"/>
      <c r="L610" s="38"/>
    </row>
    <row r="611">
      <c r="B611" s="73"/>
      <c r="C611" s="73"/>
      <c r="D611" s="38"/>
      <c r="E611" s="39"/>
      <c r="L611" s="38"/>
    </row>
    <row r="612">
      <c r="B612" s="73"/>
      <c r="C612" s="73"/>
      <c r="D612" s="38"/>
      <c r="E612" s="39"/>
      <c r="L612" s="38"/>
    </row>
    <row r="613">
      <c r="B613" s="73"/>
      <c r="C613" s="73"/>
      <c r="D613" s="38"/>
      <c r="E613" s="39"/>
      <c r="L613" s="38"/>
    </row>
    <row r="614">
      <c r="B614" s="73"/>
      <c r="C614" s="73"/>
      <c r="D614" s="38"/>
      <c r="E614" s="39"/>
      <c r="L614" s="38"/>
    </row>
    <row r="615">
      <c r="B615" s="73"/>
      <c r="C615" s="73"/>
      <c r="D615" s="38"/>
      <c r="E615" s="39"/>
      <c r="L615" s="38"/>
    </row>
    <row r="616">
      <c r="B616" s="73"/>
      <c r="C616" s="73"/>
      <c r="D616" s="38"/>
      <c r="E616" s="39"/>
      <c r="L616" s="38"/>
    </row>
    <row r="617">
      <c r="B617" s="73"/>
      <c r="C617" s="73"/>
      <c r="D617" s="38"/>
      <c r="E617" s="39"/>
      <c r="L617" s="38"/>
    </row>
    <row r="618">
      <c r="B618" s="73"/>
      <c r="C618" s="73"/>
      <c r="D618" s="38"/>
      <c r="E618" s="39"/>
      <c r="L618" s="38"/>
    </row>
    <row r="619">
      <c r="B619" s="73"/>
      <c r="C619" s="73"/>
      <c r="D619" s="38"/>
      <c r="E619" s="39"/>
      <c r="L619" s="38"/>
    </row>
    <row r="620">
      <c r="B620" s="73"/>
      <c r="C620" s="73"/>
      <c r="D620" s="38"/>
      <c r="E620" s="39"/>
      <c r="L620" s="38"/>
    </row>
    <row r="621">
      <c r="B621" s="73"/>
      <c r="C621" s="73"/>
      <c r="D621" s="38"/>
      <c r="E621" s="39"/>
      <c r="L621" s="38"/>
    </row>
    <row r="622">
      <c r="B622" s="73"/>
      <c r="C622" s="73"/>
      <c r="D622" s="38"/>
      <c r="E622" s="39"/>
      <c r="L622" s="38"/>
    </row>
    <row r="623">
      <c r="B623" s="73"/>
      <c r="C623" s="73"/>
      <c r="D623" s="38"/>
      <c r="E623" s="39"/>
      <c r="L623" s="38"/>
    </row>
    <row r="624">
      <c r="B624" s="73"/>
      <c r="C624" s="73"/>
      <c r="D624" s="38"/>
      <c r="E624" s="39"/>
      <c r="L624" s="38"/>
    </row>
    <row r="625">
      <c r="B625" s="73"/>
      <c r="C625" s="73"/>
      <c r="D625" s="38"/>
      <c r="E625" s="39"/>
      <c r="L625" s="38"/>
    </row>
    <row r="626">
      <c r="B626" s="73"/>
      <c r="C626" s="73"/>
      <c r="D626" s="38"/>
      <c r="E626" s="39"/>
      <c r="L626" s="38"/>
    </row>
    <row r="627">
      <c r="B627" s="73"/>
      <c r="C627" s="73"/>
      <c r="D627" s="38"/>
      <c r="E627" s="39"/>
      <c r="L627" s="38"/>
    </row>
    <row r="628">
      <c r="B628" s="73"/>
      <c r="C628" s="73"/>
      <c r="D628" s="38"/>
      <c r="E628" s="39"/>
      <c r="L628" s="38"/>
    </row>
    <row r="629">
      <c r="B629" s="73"/>
      <c r="C629" s="73"/>
      <c r="D629" s="38"/>
      <c r="E629" s="39"/>
      <c r="L629" s="38"/>
    </row>
    <row r="630">
      <c r="B630" s="73"/>
      <c r="C630" s="73"/>
      <c r="D630" s="38"/>
      <c r="E630" s="39"/>
      <c r="L630" s="38"/>
    </row>
    <row r="631">
      <c r="B631" s="73"/>
      <c r="C631" s="73"/>
      <c r="D631" s="38"/>
      <c r="E631" s="39"/>
      <c r="L631" s="38"/>
    </row>
    <row r="632">
      <c r="B632" s="73"/>
      <c r="C632" s="73"/>
      <c r="D632" s="38"/>
      <c r="E632" s="39"/>
      <c r="L632" s="38"/>
    </row>
    <row r="633">
      <c r="B633" s="73"/>
      <c r="C633" s="73"/>
      <c r="D633" s="38"/>
      <c r="E633" s="39"/>
      <c r="L633" s="38"/>
    </row>
    <row r="634">
      <c r="B634" s="73"/>
      <c r="C634" s="73"/>
      <c r="D634" s="38"/>
      <c r="E634" s="39"/>
      <c r="L634" s="38"/>
    </row>
    <row r="635">
      <c r="B635" s="73"/>
      <c r="C635" s="73"/>
      <c r="D635" s="38"/>
      <c r="E635" s="39"/>
      <c r="L635" s="38"/>
    </row>
    <row r="636">
      <c r="B636" s="73"/>
      <c r="C636" s="73"/>
      <c r="D636" s="38"/>
      <c r="E636" s="39"/>
      <c r="L636" s="38"/>
    </row>
    <row r="637">
      <c r="B637" s="73"/>
      <c r="C637" s="73"/>
      <c r="D637" s="38"/>
      <c r="E637" s="39"/>
      <c r="L637" s="38"/>
    </row>
    <row r="638">
      <c r="B638" s="73"/>
      <c r="C638" s="73"/>
      <c r="D638" s="38"/>
      <c r="E638" s="39"/>
      <c r="L638" s="38"/>
    </row>
    <row r="639">
      <c r="B639" s="73"/>
      <c r="C639" s="73"/>
      <c r="D639" s="38"/>
      <c r="E639" s="39"/>
      <c r="L639" s="38"/>
    </row>
    <row r="640">
      <c r="B640" s="73"/>
      <c r="C640" s="73"/>
      <c r="D640" s="38"/>
      <c r="E640" s="39"/>
      <c r="L640" s="38"/>
    </row>
    <row r="641">
      <c r="B641" s="73"/>
      <c r="C641" s="73"/>
      <c r="D641" s="38"/>
      <c r="E641" s="39"/>
      <c r="L641" s="38"/>
    </row>
    <row r="642">
      <c r="B642" s="73"/>
      <c r="C642" s="73"/>
      <c r="D642" s="38"/>
      <c r="E642" s="39"/>
      <c r="L642" s="38"/>
    </row>
    <row r="643">
      <c r="B643" s="73"/>
      <c r="C643" s="73"/>
      <c r="D643" s="38"/>
      <c r="E643" s="39"/>
      <c r="L643" s="38"/>
    </row>
    <row r="644">
      <c r="B644" s="73"/>
      <c r="C644" s="73"/>
      <c r="D644" s="38"/>
      <c r="E644" s="39"/>
      <c r="L644" s="38"/>
    </row>
    <row r="645">
      <c r="B645" s="73"/>
      <c r="C645" s="73"/>
      <c r="D645" s="38"/>
      <c r="E645" s="39"/>
      <c r="L645" s="38"/>
    </row>
    <row r="646">
      <c r="B646" s="73"/>
      <c r="C646" s="73"/>
      <c r="D646" s="38"/>
      <c r="E646" s="39"/>
      <c r="L646" s="38"/>
    </row>
    <row r="647">
      <c r="B647" s="73"/>
      <c r="C647" s="73"/>
      <c r="D647" s="38"/>
      <c r="E647" s="39"/>
      <c r="L647" s="38"/>
    </row>
    <row r="648">
      <c r="B648" s="73"/>
      <c r="C648" s="73"/>
      <c r="D648" s="38"/>
      <c r="E648" s="39"/>
      <c r="L648" s="38"/>
    </row>
    <row r="649">
      <c r="B649" s="73"/>
      <c r="C649" s="73"/>
      <c r="D649" s="38"/>
      <c r="E649" s="39"/>
      <c r="L649" s="38"/>
    </row>
    <row r="650">
      <c r="B650" s="73"/>
      <c r="C650" s="73"/>
      <c r="D650" s="38"/>
      <c r="E650" s="39"/>
      <c r="L650" s="38"/>
    </row>
    <row r="651">
      <c r="B651" s="73"/>
      <c r="C651" s="73"/>
      <c r="D651" s="38"/>
      <c r="E651" s="39"/>
      <c r="L651" s="38"/>
    </row>
    <row r="652">
      <c r="B652" s="73"/>
      <c r="C652" s="73"/>
      <c r="D652" s="38"/>
      <c r="E652" s="39"/>
      <c r="L652" s="38"/>
    </row>
    <row r="653">
      <c r="B653" s="73"/>
      <c r="C653" s="73"/>
      <c r="D653" s="38"/>
      <c r="E653" s="39"/>
      <c r="L653" s="38"/>
    </row>
    <row r="654">
      <c r="B654" s="73"/>
      <c r="C654" s="73"/>
      <c r="D654" s="38"/>
      <c r="E654" s="39"/>
      <c r="L654" s="38"/>
    </row>
    <row r="655">
      <c r="B655" s="73"/>
      <c r="C655" s="73"/>
      <c r="D655" s="38"/>
      <c r="E655" s="39"/>
      <c r="L655" s="38"/>
    </row>
    <row r="656">
      <c r="B656" s="73"/>
      <c r="C656" s="73"/>
      <c r="D656" s="38"/>
      <c r="E656" s="39"/>
      <c r="L656" s="38"/>
    </row>
    <row r="657">
      <c r="B657" s="73"/>
      <c r="C657" s="73"/>
      <c r="D657" s="38"/>
      <c r="E657" s="39"/>
      <c r="L657" s="38"/>
    </row>
    <row r="658">
      <c r="B658" s="73"/>
      <c r="C658" s="73"/>
      <c r="D658" s="38"/>
      <c r="E658" s="39"/>
      <c r="L658" s="38"/>
    </row>
    <row r="659">
      <c r="B659" s="73"/>
      <c r="C659" s="73"/>
      <c r="D659" s="38"/>
      <c r="E659" s="39"/>
      <c r="L659" s="38"/>
    </row>
    <row r="660">
      <c r="B660" s="73"/>
      <c r="C660" s="73"/>
      <c r="D660" s="38"/>
      <c r="E660" s="39"/>
      <c r="L660" s="38"/>
    </row>
    <row r="661">
      <c r="B661" s="73"/>
      <c r="C661" s="73"/>
      <c r="D661" s="38"/>
      <c r="E661" s="39"/>
      <c r="L661" s="38"/>
    </row>
    <row r="662">
      <c r="B662" s="73"/>
      <c r="C662" s="73"/>
      <c r="D662" s="38"/>
      <c r="E662" s="39"/>
      <c r="L662" s="38"/>
    </row>
    <row r="663">
      <c r="B663" s="73"/>
      <c r="C663" s="73"/>
      <c r="D663" s="38"/>
      <c r="E663" s="39"/>
      <c r="L663" s="38"/>
    </row>
    <row r="664">
      <c r="B664" s="73"/>
      <c r="C664" s="73"/>
      <c r="D664" s="38"/>
      <c r="E664" s="39"/>
      <c r="L664" s="38"/>
    </row>
    <row r="665">
      <c r="B665" s="73"/>
      <c r="C665" s="73"/>
      <c r="D665" s="38"/>
      <c r="E665" s="39"/>
      <c r="L665" s="38"/>
    </row>
    <row r="666">
      <c r="B666" s="73"/>
      <c r="C666" s="73"/>
      <c r="D666" s="38"/>
      <c r="E666" s="39"/>
      <c r="L666" s="38"/>
    </row>
    <row r="667">
      <c r="B667" s="73"/>
      <c r="C667" s="73"/>
      <c r="D667" s="38"/>
      <c r="E667" s="39"/>
      <c r="L667" s="38"/>
    </row>
    <row r="668">
      <c r="B668" s="73"/>
      <c r="C668" s="73"/>
      <c r="D668" s="38"/>
      <c r="E668" s="39"/>
      <c r="L668" s="38"/>
    </row>
    <row r="669">
      <c r="B669" s="73"/>
      <c r="C669" s="73"/>
      <c r="D669" s="38"/>
      <c r="E669" s="39"/>
      <c r="L669" s="38"/>
    </row>
    <row r="670">
      <c r="B670" s="73"/>
      <c r="C670" s="73"/>
      <c r="D670" s="38"/>
      <c r="E670" s="39"/>
      <c r="L670" s="38"/>
    </row>
    <row r="671">
      <c r="B671" s="73"/>
      <c r="C671" s="73"/>
      <c r="D671" s="38"/>
      <c r="E671" s="39"/>
      <c r="L671" s="38"/>
    </row>
    <row r="672">
      <c r="B672" s="73"/>
      <c r="C672" s="73"/>
      <c r="D672" s="38"/>
      <c r="E672" s="39"/>
      <c r="L672" s="38"/>
    </row>
    <row r="673">
      <c r="B673" s="73"/>
      <c r="C673" s="73"/>
      <c r="D673" s="38"/>
      <c r="E673" s="39"/>
      <c r="L673" s="38"/>
    </row>
    <row r="674">
      <c r="B674" s="73"/>
      <c r="C674" s="73"/>
      <c r="D674" s="38"/>
      <c r="E674" s="39"/>
      <c r="L674" s="38"/>
    </row>
    <row r="675">
      <c r="B675" s="73"/>
      <c r="C675" s="73"/>
      <c r="D675" s="38"/>
      <c r="E675" s="39"/>
      <c r="L675" s="38"/>
    </row>
    <row r="676">
      <c r="B676" s="73"/>
      <c r="C676" s="73"/>
      <c r="D676" s="38"/>
      <c r="E676" s="39"/>
      <c r="L676" s="38"/>
    </row>
    <row r="677">
      <c r="B677" s="73"/>
      <c r="C677" s="73"/>
      <c r="D677" s="38"/>
      <c r="E677" s="39"/>
      <c r="L677" s="38"/>
    </row>
    <row r="678">
      <c r="B678" s="73"/>
      <c r="C678" s="73"/>
      <c r="D678" s="38"/>
      <c r="E678" s="39"/>
      <c r="L678" s="38"/>
    </row>
    <row r="679">
      <c r="B679" s="73"/>
      <c r="C679" s="73"/>
      <c r="D679" s="38"/>
      <c r="E679" s="39"/>
      <c r="L679" s="38"/>
    </row>
    <row r="680">
      <c r="B680" s="73"/>
      <c r="C680" s="73"/>
      <c r="D680" s="38"/>
      <c r="E680" s="39"/>
      <c r="L680" s="38"/>
    </row>
    <row r="681">
      <c r="B681" s="73"/>
      <c r="C681" s="73"/>
      <c r="D681" s="38"/>
      <c r="E681" s="39"/>
      <c r="L681" s="38"/>
    </row>
    <row r="682">
      <c r="B682" s="73"/>
      <c r="C682" s="73"/>
      <c r="D682" s="38"/>
      <c r="E682" s="39"/>
      <c r="L682" s="38"/>
    </row>
    <row r="683">
      <c r="B683" s="73"/>
      <c r="C683" s="73"/>
      <c r="D683" s="38"/>
      <c r="E683" s="39"/>
      <c r="L683" s="38"/>
    </row>
    <row r="684">
      <c r="B684" s="73"/>
      <c r="C684" s="73"/>
      <c r="D684" s="38"/>
      <c r="E684" s="39"/>
      <c r="L684" s="38"/>
    </row>
    <row r="685">
      <c r="B685" s="73"/>
      <c r="C685" s="73"/>
      <c r="D685" s="38"/>
      <c r="E685" s="39"/>
      <c r="L685" s="38"/>
    </row>
    <row r="686">
      <c r="B686" s="73"/>
      <c r="C686" s="73"/>
      <c r="D686" s="38"/>
      <c r="E686" s="39"/>
      <c r="L686" s="38"/>
    </row>
    <row r="687">
      <c r="B687" s="73"/>
      <c r="C687" s="73"/>
      <c r="D687" s="38"/>
      <c r="E687" s="39"/>
      <c r="L687" s="38"/>
    </row>
    <row r="688">
      <c r="B688" s="73"/>
      <c r="C688" s="73"/>
      <c r="D688" s="38"/>
      <c r="E688" s="39"/>
      <c r="L688" s="38"/>
    </row>
    <row r="689">
      <c r="B689" s="73"/>
      <c r="C689" s="73"/>
      <c r="D689" s="38"/>
      <c r="E689" s="39"/>
      <c r="L689" s="38"/>
    </row>
    <row r="690">
      <c r="B690" s="73"/>
      <c r="C690" s="73"/>
      <c r="D690" s="38"/>
      <c r="E690" s="39"/>
      <c r="L690" s="38"/>
    </row>
    <row r="691">
      <c r="B691" s="73"/>
      <c r="C691" s="73"/>
      <c r="D691" s="38"/>
      <c r="E691" s="39"/>
      <c r="L691" s="38"/>
    </row>
    <row r="692">
      <c r="B692" s="73"/>
      <c r="C692" s="73"/>
      <c r="D692" s="38"/>
      <c r="E692" s="39"/>
      <c r="L692" s="38"/>
    </row>
    <row r="693">
      <c r="B693" s="73"/>
      <c r="C693" s="73"/>
      <c r="D693" s="38"/>
      <c r="E693" s="39"/>
      <c r="L693" s="38"/>
    </row>
    <row r="694">
      <c r="B694" s="73"/>
      <c r="C694" s="73"/>
      <c r="D694" s="38"/>
      <c r="E694" s="39"/>
      <c r="L694" s="38"/>
    </row>
    <row r="695">
      <c r="B695" s="73"/>
      <c r="C695" s="73"/>
      <c r="D695" s="38"/>
      <c r="E695" s="39"/>
      <c r="L695" s="38"/>
    </row>
    <row r="696">
      <c r="B696" s="73"/>
      <c r="C696" s="73"/>
      <c r="D696" s="38"/>
      <c r="E696" s="39"/>
      <c r="L696" s="38"/>
    </row>
    <row r="697">
      <c r="B697" s="73"/>
      <c r="C697" s="73"/>
      <c r="D697" s="38"/>
      <c r="E697" s="39"/>
      <c r="L697" s="38"/>
    </row>
    <row r="698">
      <c r="B698" s="73"/>
      <c r="C698" s="73"/>
      <c r="D698" s="38"/>
      <c r="E698" s="39"/>
      <c r="L698" s="38"/>
    </row>
    <row r="699">
      <c r="B699" s="73"/>
      <c r="C699" s="73"/>
      <c r="D699" s="38"/>
      <c r="E699" s="39"/>
      <c r="L699" s="38"/>
    </row>
    <row r="700">
      <c r="B700" s="73"/>
      <c r="C700" s="73"/>
      <c r="D700" s="38"/>
      <c r="E700" s="39"/>
      <c r="L700" s="38"/>
    </row>
    <row r="701">
      <c r="B701" s="73"/>
      <c r="C701" s="73"/>
      <c r="D701" s="38"/>
      <c r="E701" s="39"/>
      <c r="L701" s="38"/>
    </row>
    <row r="702">
      <c r="B702" s="73"/>
      <c r="C702" s="73"/>
      <c r="D702" s="38"/>
      <c r="E702" s="39"/>
      <c r="L702" s="38"/>
    </row>
    <row r="703">
      <c r="B703" s="73"/>
      <c r="C703" s="73"/>
      <c r="D703" s="38"/>
      <c r="E703" s="39"/>
      <c r="L703" s="38"/>
    </row>
    <row r="704">
      <c r="B704" s="73"/>
      <c r="C704" s="73"/>
      <c r="D704" s="38"/>
      <c r="E704" s="39"/>
      <c r="L704" s="38"/>
    </row>
    <row r="705">
      <c r="B705" s="73"/>
      <c r="C705" s="73"/>
      <c r="D705" s="38"/>
      <c r="E705" s="39"/>
      <c r="L705" s="38"/>
    </row>
    <row r="706">
      <c r="B706" s="73"/>
      <c r="C706" s="73"/>
      <c r="D706" s="38"/>
      <c r="E706" s="39"/>
      <c r="L706" s="38"/>
    </row>
    <row r="707">
      <c r="B707" s="73"/>
      <c r="C707" s="73"/>
      <c r="D707" s="38"/>
      <c r="E707" s="39"/>
      <c r="L707" s="38"/>
    </row>
    <row r="708">
      <c r="B708" s="73"/>
      <c r="C708" s="73"/>
      <c r="D708" s="38"/>
      <c r="E708" s="39"/>
      <c r="L708" s="38"/>
    </row>
    <row r="709">
      <c r="B709" s="73"/>
      <c r="C709" s="73"/>
      <c r="D709" s="38"/>
      <c r="E709" s="39"/>
      <c r="L709" s="38"/>
    </row>
    <row r="710">
      <c r="B710" s="73"/>
      <c r="C710" s="73"/>
      <c r="D710" s="38"/>
      <c r="E710" s="39"/>
      <c r="L710" s="38"/>
    </row>
    <row r="711">
      <c r="B711" s="73"/>
      <c r="C711" s="73"/>
      <c r="D711" s="38"/>
      <c r="E711" s="39"/>
      <c r="L711" s="38"/>
    </row>
    <row r="712">
      <c r="B712" s="73"/>
      <c r="C712" s="73"/>
      <c r="D712" s="38"/>
      <c r="E712" s="39"/>
      <c r="L712" s="38"/>
    </row>
    <row r="713">
      <c r="B713" s="73"/>
      <c r="C713" s="73"/>
      <c r="D713" s="38"/>
      <c r="E713" s="39"/>
      <c r="L713" s="38"/>
    </row>
    <row r="714">
      <c r="B714" s="73"/>
      <c r="C714" s="73"/>
      <c r="D714" s="38"/>
      <c r="E714" s="39"/>
      <c r="L714" s="38"/>
    </row>
    <row r="715">
      <c r="B715" s="73"/>
      <c r="C715" s="73"/>
      <c r="D715" s="38"/>
      <c r="E715" s="39"/>
      <c r="L715" s="38"/>
    </row>
    <row r="716">
      <c r="B716" s="73"/>
      <c r="C716" s="73"/>
      <c r="D716" s="38"/>
      <c r="E716" s="39"/>
      <c r="L716" s="38"/>
    </row>
    <row r="717">
      <c r="B717" s="73"/>
      <c r="C717" s="73"/>
      <c r="D717" s="38"/>
      <c r="E717" s="39"/>
      <c r="L717" s="38"/>
    </row>
    <row r="718">
      <c r="B718" s="73"/>
      <c r="C718" s="73"/>
      <c r="D718" s="38"/>
      <c r="E718" s="39"/>
      <c r="L718" s="38"/>
    </row>
    <row r="719">
      <c r="B719" s="73"/>
      <c r="C719" s="73"/>
      <c r="D719" s="38"/>
      <c r="E719" s="39"/>
      <c r="L719" s="38"/>
    </row>
    <row r="720">
      <c r="B720" s="73"/>
      <c r="C720" s="73"/>
      <c r="D720" s="38"/>
      <c r="E720" s="39"/>
      <c r="L720" s="38"/>
    </row>
    <row r="721">
      <c r="B721" s="73"/>
      <c r="C721" s="73"/>
      <c r="D721" s="38"/>
      <c r="E721" s="39"/>
      <c r="L721" s="38"/>
    </row>
    <row r="722">
      <c r="B722" s="73"/>
      <c r="C722" s="73"/>
      <c r="D722" s="38"/>
      <c r="E722" s="39"/>
      <c r="L722" s="38"/>
    </row>
    <row r="723">
      <c r="B723" s="73"/>
      <c r="C723" s="73"/>
      <c r="D723" s="38"/>
      <c r="E723" s="39"/>
      <c r="L723" s="38"/>
    </row>
    <row r="724">
      <c r="B724" s="73"/>
      <c r="C724" s="73"/>
      <c r="D724" s="38"/>
      <c r="E724" s="39"/>
      <c r="L724" s="38"/>
    </row>
    <row r="725">
      <c r="B725" s="73"/>
      <c r="C725" s="73"/>
      <c r="D725" s="38"/>
      <c r="E725" s="39"/>
      <c r="L725" s="38"/>
    </row>
    <row r="726">
      <c r="B726" s="73"/>
      <c r="C726" s="73"/>
      <c r="D726" s="38"/>
      <c r="E726" s="39"/>
      <c r="L726" s="38"/>
    </row>
    <row r="727">
      <c r="B727" s="73"/>
      <c r="C727" s="73"/>
      <c r="D727" s="38"/>
      <c r="E727" s="39"/>
      <c r="L727" s="38"/>
    </row>
    <row r="728">
      <c r="B728" s="73"/>
      <c r="C728" s="73"/>
      <c r="D728" s="38"/>
      <c r="E728" s="39"/>
      <c r="L728" s="38"/>
    </row>
    <row r="729">
      <c r="B729" s="73"/>
      <c r="C729" s="73"/>
      <c r="D729" s="38"/>
      <c r="E729" s="39"/>
      <c r="L729" s="38"/>
    </row>
    <row r="730">
      <c r="B730" s="73"/>
      <c r="C730" s="73"/>
      <c r="D730" s="38"/>
      <c r="E730" s="39"/>
      <c r="L730" s="38"/>
    </row>
    <row r="731">
      <c r="B731" s="73"/>
      <c r="C731" s="73"/>
      <c r="D731" s="38"/>
      <c r="E731" s="39"/>
      <c r="L731" s="38"/>
    </row>
    <row r="732">
      <c r="B732" s="73"/>
      <c r="C732" s="73"/>
      <c r="D732" s="38"/>
      <c r="E732" s="39"/>
      <c r="L732" s="38"/>
    </row>
    <row r="733">
      <c r="B733" s="73"/>
      <c r="C733" s="73"/>
      <c r="D733" s="38"/>
      <c r="E733" s="39"/>
      <c r="L733" s="38"/>
    </row>
    <row r="734">
      <c r="B734" s="73"/>
      <c r="C734" s="73"/>
      <c r="D734" s="38"/>
      <c r="E734" s="39"/>
      <c r="L734" s="38"/>
    </row>
    <row r="735">
      <c r="B735" s="73"/>
      <c r="C735" s="73"/>
      <c r="D735" s="38"/>
      <c r="E735" s="39"/>
      <c r="L735" s="38"/>
    </row>
    <row r="736">
      <c r="B736" s="73"/>
      <c r="C736" s="73"/>
      <c r="D736" s="38"/>
      <c r="E736" s="39"/>
      <c r="L736" s="38"/>
    </row>
    <row r="737">
      <c r="B737" s="73"/>
      <c r="C737" s="73"/>
      <c r="D737" s="38"/>
      <c r="E737" s="39"/>
      <c r="L737" s="38"/>
    </row>
    <row r="738">
      <c r="B738" s="73"/>
      <c r="C738" s="73"/>
      <c r="D738" s="38"/>
      <c r="E738" s="39"/>
      <c r="L738" s="38"/>
    </row>
    <row r="739">
      <c r="B739" s="73"/>
      <c r="C739" s="73"/>
      <c r="D739" s="38"/>
      <c r="E739" s="39"/>
      <c r="L739" s="38"/>
    </row>
    <row r="740">
      <c r="B740" s="73"/>
      <c r="C740" s="73"/>
      <c r="D740" s="38"/>
      <c r="E740" s="39"/>
      <c r="L740" s="38"/>
    </row>
    <row r="741">
      <c r="B741" s="73"/>
      <c r="C741" s="73"/>
      <c r="D741" s="38"/>
      <c r="E741" s="39"/>
      <c r="L741" s="38"/>
    </row>
    <row r="742">
      <c r="B742" s="73"/>
      <c r="C742" s="73"/>
      <c r="D742" s="38"/>
      <c r="E742" s="39"/>
      <c r="L742" s="38"/>
    </row>
    <row r="743">
      <c r="B743" s="73"/>
      <c r="C743" s="73"/>
      <c r="D743" s="38"/>
      <c r="E743" s="39"/>
      <c r="L743" s="38"/>
    </row>
    <row r="744">
      <c r="B744" s="73"/>
      <c r="C744" s="73"/>
      <c r="D744" s="38"/>
      <c r="E744" s="39"/>
      <c r="L744" s="38"/>
    </row>
    <row r="745">
      <c r="B745" s="73"/>
      <c r="C745" s="73"/>
      <c r="D745" s="38"/>
      <c r="E745" s="39"/>
      <c r="L745" s="38"/>
    </row>
    <row r="746">
      <c r="B746" s="73"/>
      <c r="C746" s="73"/>
      <c r="D746" s="38"/>
      <c r="E746" s="39"/>
      <c r="L746" s="38"/>
    </row>
    <row r="747">
      <c r="B747" s="73"/>
      <c r="C747" s="73"/>
      <c r="D747" s="38"/>
      <c r="E747" s="39"/>
      <c r="L747" s="38"/>
    </row>
    <row r="748">
      <c r="B748" s="73"/>
      <c r="C748" s="73"/>
      <c r="D748" s="38"/>
      <c r="E748" s="39"/>
      <c r="L748" s="38"/>
    </row>
    <row r="749">
      <c r="B749" s="73"/>
      <c r="C749" s="73"/>
      <c r="D749" s="38"/>
      <c r="E749" s="39"/>
      <c r="L749" s="38"/>
    </row>
    <row r="750">
      <c r="B750" s="73"/>
      <c r="C750" s="73"/>
      <c r="D750" s="38"/>
      <c r="E750" s="39"/>
      <c r="L750" s="38"/>
    </row>
    <row r="751">
      <c r="B751" s="73"/>
      <c r="C751" s="73"/>
      <c r="D751" s="38"/>
      <c r="E751" s="39"/>
      <c r="L751" s="38"/>
    </row>
    <row r="752">
      <c r="B752" s="73"/>
      <c r="C752" s="73"/>
      <c r="D752" s="38"/>
      <c r="E752" s="39"/>
      <c r="L752" s="38"/>
    </row>
    <row r="753">
      <c r="B753" s="73"/>
      <c r="C753" s="73"/>
      <c r="D753" s="38"/>
      <c r="E753" s="39"/>
      <c r="L753" s="38"/>
    </row>
    <row r="754">
      <c r="B754" s="73"/>
      <c r="C754" s="73"/>
      <c r="D754" s="38"/>
      <c r="E754" s="39"/>
      <c r="L754" s="38"/>
    </row>
    <row r="755">
      <c r="B755" s="73"/>
      <c r="C755" s="73"/>
      <c r="D755" s="38"/>
      <c r="E755" s="39"/>
      <c r="L755" s="38"/>
    </row>
    <row r="756">
      <c r="B756" s="73"/>
      <c r="C756" s="73"/>
      <c r="D756" s="38"/>
      <c r="E756" s="39"/>
      <c r="L756" s="38"/>
    </row>
    <row r="757">
      <c r="B757" s="73"/>
      <c r="C757" s="73"/>
      <c r="D757" s="38"/>
      <c r="E757" s="39"/>
      <c r="L757" s="38"/>
    </row>
    <row r="758">
      <c r="B758" s="73"/>
      <c r="C758" s="73"/>
      <c r="D758" s="38"/>
      <c r="E758" s="39"/>
      <c r="L758" s="38"/>
    </row>
    <row r="759">
      <c r="B759" s="73"/>
      <c r="C759" s="73"/>
      <c r="D759" s="38"/>
      <c r="E759" s="39"/>
      <c r="L759" s="38"/>
    </row>
    <row r="760">
      <c r="B760" s="73"/>
      <c r="C760" s="73"/>
      <c r="D760" s="38"/>
      <c r="E760" s="39"/>
      <c r="L760" s="38"/>
    </row>
    <row r="761">
      <c r="B761" s="73"/>
      <c r="C761" s="73"/>
      <c r="D761" s="38"/>
      <c r="E761" s="39"/>
      <c r="L761" s="38"/>
    </row>
    <row r="762">
      <c r="B762" s="73"/>
      <c r="C762" s="73"/>
      <c r="D762" s="38"/>
      <c r="E762" s="39"/>
      <c r="L762" s="38"/>
    </row>
    <row r="763">
      <c r="B763" s="73"/>
      <c r="C763" s="73"/>
      <c r="D763" s="38"/>
      <c r="E763" s="39"/>
      <c r="L763" s="38"/>
    </row>
    <row r="764">
      <c r="B764" s="73"/>
      <c r="C764" s="73"/>
      <c r="D764" s="38"/>
      <c r="E764" s="39"/>
      <c r="L764" s="38"/>
    </row>
    <row r="765">
      <c r="B765" s="73"/>
      <c r="C765" s="73"/>
      <c r="D765" s="38"/>
      <c r="E765" s="39"/>
      <c r="L765" s="38"/>
    </row>
    <row r="766">
      <c r="B766" s="73"/>
      <c r="C766" s="73"/>
      <c r="D766" s="38"/>
      <c r="E766" s="39"/>
      <c r="L766" s="38"/>
    </row>
    <row r="767">
      <c r="B767" s="73"/>
      <c r="C767" s="73"/>
      <c r="D767" s="38"/>
      <c r="E767" s="39"/>
      <c r="L767" s="38"/>
    </row>
    <row r="768">
      <c r="B768" s="73"/>
      <c r="C768" s="73"/>
      <c r="D768" s="38"/>
      <c r="E768" s="39"/>
      <c r="L768" s="38"/>
    </row>
    <row r="769">
      <c r="B769" s="73"/>
      <c r="C769" s="73"/>
      <c r="D769" s="38"/>
      <c r="E769" s="39"/>
      <c r="L769" s="38"/>
    </row>
    <row r="770">
      <c r="B770" s="73"/>
      <c r="C770" s="73"/>
      <c r="D770" s="38"/>
      <c r="E770" s="39"/>
      <c r="L770" s="38"/>
    </row>
    <row r="771">
      <c r="B771" s="73"/>
      <c r="C771" s="73"/>
      <c r="D771" s="38"/>
      <c r="E771" s="39"/>
      <c r="L771" s="38"/>
    </row>
    <row r="772">
      <c r="B772" s="73"/>
      <c r="C772" s="73"/>
      <c r="D772" s="38"/>
      <c r="E772" s="39"/>
      <c r="L772" s="38"/>
    </row>
    <row r="773">
      <c r="B773" s="73"/>
      <c r="C773" s="73"/>
      <c r="D773" s="38"/>
      <c r="E773" s="39"/>
      <c r="L773" s="38"/>
    </row>
    <row r="774">
      <c r="B774" s="73"/>
      <c r="C774" s="73"/>
      <c r="D774" s="38"/>
      <c r="E774" s="39"/>
      <c r="L774" s="38"/>
    </row>
    <row r="775">
      <c r="B775" s="73"/>
      <c r="C775" s="73"/>
      <c r="D775" s="38"/>
      <c r="E775" s="39"/>
      <c r="L775" s="38"/>
    </row>
    <row r="776">
      <c r="B776" s="73"/>
      <c r="C776" s="73"/>
      <c r="D776" s="38"/>
      <c r="E776" s="39"/>
      <c r="L776" s="38"/>
    </row>
    <row r="777">
      <c r="B777" s="73"/>
      <c r="C777" s="73"/>
      <c r="D777" s="38"/>
      <c r="E777" s="39"/>
      <c r="L777" s="38"/>
    </row>
    <row r="778">
      <c r="B778" s="73"/>
      <c r="C778" s="73"/>
      <c r="D778" s="38"/>
      <c r="E778" s="39"/>
      <c r="L778" s="38"/>
    </row>
    <row r="779">
      <c r="B779" s="73"/>
      <c r="C779" s="73"/>
      <c r="D779" s="38"/>
      <c r="E779" s="39"/>
      <c r="L779" s="38"/>
    </row>
    <row r="780">
      <c r="B780" s="73"/>
      <c r="C780" s="73"/>
      <c r="D780" s="38"/>
      <c r="E780" s="39"/>
      <c r="L780" s="38"/>
    </row>
    <row r="781">
      <c r="B781" s="73"/>
      <c r="C781" s="73"/>
      <c r="D781" s="38"/>
      <c r="E781" s="39"/>
      <c r="L781" s="38"/>
    </row>
    <row r="782">
      <c r="B782" s="73"/>
      <c r="C782" s="73"/>
      <c r="D782" s="38"/>
      <c r="E782" s="39"/>
      <c r="L782" s="38"/>
    </row>
    <row r="783">
      <c r="B783" s="73"/>
      <c r="C783" s="73"/>
      <c r="D783" s="38"/>
      <c r="E783" s="39"/>
      <c r="L783" s="38"/>
    </row>
    <row r="784">
      <c r="B784" s="73"/>
      <c r="C784" s="73"/>
      <c r="D784" s="38"/>
      <c r="E784" s="39"/>
      <c r="L784" s="38"/>
    </row>
    <row r="785">
      <c r="B785" s="73"/>
      <c r="C785" s="73"/>
      <c r="D785" s="38"/>
      <c r="E785" s="39"/>
      <c r="L785" s="38"/>
    </row>
    <row r="786">
      <c r="B786" s="73"/>
      <c r="C786" s="73"/>
      <c r="D786" s="38"/>
      <c r="E786" s="39"/>
      <c r="L786" s="38"/>
    </row>
    <row r="787">
      <c r="B787" s="73"/>
      <c r="C787" s="73"/>
      <c r="D787" s="38"/>
      <c r="E787" s="39"/>
      <c r="L787" s="38"/>
    </row>
    <row r="788">
      <c r="B788" s="73"/>
      <c r="C788" s="73"/>
      <c r="D788" s="38"/>
      <c r="E788" s="39"/>
      <c r="L788" s="38"/>
    </row>
    <row r="789">
      <c r="B789" s="73"/>
      <c r="C789" s="73"/>
      <c r="D789" s="38"/>
      <c r="E789" s="39"/>
      <c r="L789" s="38"/>
    </row>
    <row r="790">
      <c r="B790" s="73"/>
      <c r="C790" s="73"/>
      <c r="D790" s="38"/>
      <c r="E790" s="39"/>
      <c r="L790" s="38"/>
    </row>
    <row r="791">
      <c r="B791" s="73"/>
      <c r="C791" s="73"/>
      <c r="D791" s="38"/>
      <c r="E791" s="39"/>
      <c r="L791" s="38"/>
    </row>
    <row r="792">
      <c r="B792" s="73"/>
      <c r="C792" s="73"/>
      <c r="D792" s="38"/>
      <c r="E792" s="39"/>
      <c r="L792" s="38"/>
    </row>
    <row r="793">
      <c r="B793" s="73"/>
      <c r="C793" s="73"/>
      <c r="D793" s="38"/>
      <c r="E793" s="39"/>
      <c r="L793" s="38"/>
    </row>
    <row r="794">
      <c r="B794" s="73"/>
      <c r="C794" s="73"/>
      <c r="D794" s="38"/>
      <c r="E794" s="39"/>
      <c r="L794" s="38"/>
    </row>
    <row r="795">
      <c r="B795" s="73"/>
      <c r="C795" s="73"/>
      <c r="D795" s="38"/>
      <c r="E795" s="39"/>
      <c r="L795" s="38"/>
    </row>
    <row r="796">
      <c r="B796" s="73"/>
      <c r="C796" s="73"/>
      <c r="D796" s="38"/>
      <c r="E796" s="39"/>
      <c r="L796" s="38"/>
    </row>
    <row r="797">
      <c r="B797" s="73"/>
      <c r="C797" s="73"/>
      <c r="D797" s="38"/>
      <c r="E797" s="39"/>
      <c r="L797" s="38"/>
    </row>
    <row r="798">
      <c r="B798" s="73"/>
      <c r="C798" s="73"/>
      <c r="D798" s="38"/>
      <c r="E798" s="39"/>
      <c r="L798" s="38"/>
    </row>
    <row r="799">
      <c r="B799" s="73"/>
      <c r="C799" s="73"/>
      <c r="D799" s="38"/>
      <c r="E799" s="39"/>
      <c r="L799" s="38"/>
    </row>
    <row r="800">
      <c r="B800" s="73"/>
      <c r="C800" s="73"/>
      <c r="D800" s="38"/>
      <c r="E800" s="39"/>
      <c r="L800" s="38"/>
    </row>
    <row r="801">
      <c r="B801" s="73"/>
      <c r="C801" s="73"/>
      <c r="D801" s="38"/>
      <c r="E801" s="39"/>
      <c r="L801" s="38"/>
    </row>
    <row r="802">
      <c r="B802" s="73"/>
      <c r="C802" s="73"/>
      <c r="D802" s="38"/>
      <c r="E802" s="39"/>
      <c r="L802" s="38"/>
    </row>
    <row r="803">
      <c r="B803" s="73"/>
      <c r="C803" s="73"/>
      <c r="D803" s="38"/>
      <c r="E803" s="39"/>
      <c r="L803" s="38"/>
    </row>
    <row r="804">
      <c r="B804" s="73"/>
      <c r="C804" s="73"/>
      <c r="D804" s="38"/>
      <c r="E804" s="39"/>
      <c r="L804" s="38"/>
    </row>
    <row r="805">
      <c r="B805" s="73"/>
      <c r="C805" s="73"/>
      <c r="D805" s="38"/>
      <c r="E805" s="39"/>
      <c r="L805" s="38"/>
    </row>
    <row r="806">
      <c r="B806" s="73"/>
      <c r="C806" s="73"/>
      <c r="D806" s="38"/>
      <c r="E806" s="39"/>
      <c r="L806" s="38"/>
    </row>
    <row r="807">
      <c r="B807" s="73"/>
      <c r="C807" s="73"/>
      <c r="D807" s="38"/>
      <c r="E807" s="39"/>
      <c r="L807" s="38"/>
    </row>
    <row r="808">
      <c r="B808" s="73"/>
      <c r="C808" s="73"/>
      <c r="D808" s="38"/>
      <c r="E808" s="39"/>
      <c r="L808" s="38"/>
    </row>
    <row r="809">
      <c r="B809" s="73"/>
      <c r="C809" s="73"/>
      <c r="D809" s="38"/>
      <c r="E809" s="39"/>
      <c r="L809" s="38"/>
    </row>
    <row r="810">
      <c r="B810" s="73"/>
      <c r="C810" s="73"/>
      <c r="D810" s="38"/>
      <c r="E810" s="39"/>
      <c r="L810" s="38"/>
    </row>
    <row r="811">
      <c r="B811" s="73"/>
      <c r="C811" s="73"/>
      <c r="D811" s="38"/>
      <c r="E811" s="39"/>
      <c r="L811" s="38"/>
    </row>
    <row r="812">
      <c r="B812" s="73"/>
      <c r="C812" s="73"/>
      <c r="D812" s="38"/>
      <c r="E812" s="39"/>
      <c r="L812" s="38"/>
    </row>
    <row r="813">
      <c r="B813" s="73"/>
      <c r="C813" s="73"/>
      <c r="D813" s="38"/>
      <c r="E813" s="39"/>
      <c r="L813" s="38"/>
    </row>
    <row r="814">
      <c r="B814" s="73"/>
      <c r="C814" s="73"/>
      <c r="D814" s="38"/>
      <c r="E814" s="39"/>
      <c r="L814" s="38"/>
    </row>
    <row r="815">
      <c r="B815" s="73"/>
      <c r="C815" s="73"/>
      <c r="D815" s="38"/>
      <c r="E815" s="39"/>
      <c r="L815" s="38"/>
    </row>
    <row r="816">
      <c r="B816" s="73"/>
      <c r="C816" s="73"/>
      <c r="D816" s="38"/>
      <c r="E816" s="39"/>
      <c r="L816" s="38"/>
    </row>
    <row r="817">
      <c r="B817" s="73"/>
      <c r="C817" s="73"/>
      <c r="D817" s="38"/>
      <c r="E817" s="39"/>
      <c r="L817" s="38"/>
    </row>
    <row r="818">
      <c r="B818" s="73"/>
      <c r="C818" s="73"/>
      <c r="D818" s="38"/>
      <c r="E818" s="39"/>
      <c r="L818" s="38"/>
    </row>
    <row r="819">
      <c r="B819" s="73"/>
      <c r="C819" s="73"/>
      <c r="D819" s="38"/>
      <c r="E819" s="39"/>
      <c r="L819" s="38"/>
    </row>
    <row r="820">
      <c r="B820" s="73"/>
      <c r="C820" s="73"/>
      <c r="D820" s="38"/>
      <c r="E820" s="39"/>
      <c r="L820" s="38"/>
    </row>
    <row r="821">
      <c r="B821" s="73"/>
      <c r="C821" s="73"/>
      <c r="D821" s="38"/>
      <c r="E821" s="39"/>
      <c r="L821" s="38"/>
    </row>
    <row r="822">
      <c r="B822" s="73"/>
      <c r="C822" s="73"/>
      <c r="D822" s="38"/>
      <c r="E822" s="39"/>
      <c r="L822" s="38"/>
    </row>
    <row r="823">
      <c r="B823" s="73"/>
      <c r="C823" s="73"/>
      <c r="D823" s="38"/>
      <c r="E823" s="39"/>
      <c r="L823" s="38"/>
    </row>
    <row r="824">
      <c r="B824" s="73"/>
      <c r="C824" s="73"/>
      <c r="D824" s="38"/>
      <c r="E824" s="39"/>
      <c r="L824" s="38"/>
    </row>
    <row r="825">
      <c r="B825" s="73"/>
      <c r="C825" s="73"/>
      <c r="D825" s="38"/>
      <c r="E825" s="39"/>
      <c r="L825" s="38"/>
    </row>
    <row r="826">
      <c r="B826" s="73"/>
      <c r="C826" s="73"/>
      <c r="D826" s="38"/>
      <c r="E826" s="39"/>
      <c r="L826" s="38"/>
    </row>
    <row r="827">
      <c r="B827" s="73"/>
      <c r="C827" s="73"/>
      <c r="D827" s="38"/>
      <c r="E827" s="39"/>
      <c r="L827" s="38"/>
    </row>
    <row r="828">
      <c r="B828" s="73"/>
      <c r="C828" s="73"/>
      <c r="D828" s="38"/>
      <c r="E828" s="39"/>
      <c r="L828" s="38"/>
    </row>
    <row r="829">
      <c r="B829" s="73"/>
      <c r="C829" s="73"/>
      <c r="D829" s="38"/>
      <c r="E829" s="39"/>
      <c r="L829" s="38"/>
    </row>
    <row r="830">
      <c r="B830" s="73"/>
      <c r="C830" s="73"/>
      <c r="D830" s="38"/>
      <c r="E830" s="39"/>
      <c r="L830" s="38"/>
    </row>
    <row r="831">
      <c r="B831" s="73"/>
      <c r="C831" s="73"/>
      <c r="D831" s="38"/>
      <c r="E831" s="39"/>
      <c r="L831" s="38"/>
    </row>
    <row r="832">
      <c r="B832" s="73"/>
      <c r="C832" s="73"/>
      <c r="D832" s="38"/>
      <c r="E832" s="39"/>
      <c r="L832" s="38"/>
    </row>
    <row r="833">
      <c r="B833" s="73"/>
      <c r="C833" s="73"/>
      <c r="D833" s="38"/>
      <c r="E833" s="39"/>
      <c r="L833" s="38"/>
    </row>
    <row r="834">
      <c r="B834" s="73"/>
      <c r="C834" s="73"/>
      <c r="D834" s="38"/>
      <c r="E834" s="39"/>
      <c r="L834" s="38"/>
    </row>
    <row r="835">
      <c r="B835" s="73"/>
      <c r="C835" s="73"/>
      <c r="D835" s="38"/>
      <c r="E835" s="39"/>
      <c r="L835" s="38"/>
    </row>
    <row r="836">
      <c r="B836" s="73"/>
      <c r="C836" s="73"/>
      <c r="D836" s="38"/>
      <c r="E836" s="39"/>
      <c r="L836" s="38"/>
    </row>
    <row r="837">
      <c r="B837" s="73"/>
      <c r="C837" s="73"/>
      <c r="D837" s="38"/>
      <c r="E837" s="39"/>
      <c r="L837" s="38"/>
    </row>
    <row r="838">
      <c r="B838" s="73"/>
      <c r="C838" s="73"/>
      <c r="D838" s="38"/>
      <c r="E838" s="39"/>
      <c r="L838" s="38"/>
    </row>
    <row r="839">
      <c r="B839" s="73"/>
      <c r="C839" s="73"/>
      <c r="D839" s="38"/>
      <c r="E839" s="39"/>
      <c r="L839" s="38"/>
    </row>
    <row r="840">
      <c r="B840" s="73"/>
      <c r="C840" s="73"/>
      <c r="D840" s="38"/>
      <c r="E840" s="39"/>
      <c r="L840" s="38"/>
    </row>
    <row r="841">
      <c r="B841" s="73"/>
      <c r="C841" s="73"/>
      <c r="D841" s="38"/>
      <c r="E841" s="39"/>
      <c r="L841" s="38"/>
    </row>
    <row r="842">
      <c r="B842" s="73"/>
      <c r="C842" s="73"/>
      <c r="D842" s="38"/>
      <c r="E842" s="39"/>
      <c r="L842" s="38"/>
    </row>
    <row r="843">
      <c r="B843" s="73"/>
      <c r="C843" s="73"/>
      <c r="D843" s="38"/>
      <c r="E843" s="39"/>
      <c r="L843" s="38"/>
    </row>
    <row r="844">
      <c r="B844" s="73"/>
      <c r="C844" s="73"/>
      <c r="D844" s="38"/>
      <c r="E844" s="39"/>
      <c r="L844" s="38"/>
    </row>
    <row r="845">
      <c r="B845" s="73"/>
      <c r="C845" s="73"/>
      <c r="D845" s="38"/>
      <c r="E845" s="39"/>
      <c r="L845" s="38"/>
    </row>
    <row r="846">
      <c r="B846" s="73"/>
      <c r="C846" s="73"/>
      <c r="D846" s="38"/>
      <c r="E846" s="39"/>
      <c r="L846" s="38"/>
    </row>
    <row r="847">
      <c r="B847" s="73"/>
      <c r="C847" s="73"/>
      <c r="D847" s="38"/>
      <c r="E847" s="39"/>
      <c r="L847" s="38"/>
    </row>
    <row r="848">
      <c r="B848" s="73"/>
      <c r="C848" s="73"/>
      <c r="D848" s="38"/>
      <c r="E848" s="39"/>
      <c r="L848" s="38"/>
    </row>
    <row r="849">
      <c r="B849" s="73"/>
      <c r="C849" s="73"/>
      <c r="D849" s="38"/>
      <c r="E849" s="39"/>
      <c r="L849" s="38"/>
    </row>
    <row r="850">
      <c r="B850" s="73"/>
      <c r="C850" s="73"/>
      <c r="D850" s="38"/>
      <c r="E850" s="39"/>
      <c r="L850" s="38"/>
    </row>
    <row r="851">
      <c r="B851" s="73"/>
      <c r="C851" s="73"/>
      <c r="D851" s="38"/>
      <c r="E851" s="39"/>
      <c r="L851" s="38"/>
    </row>
    <row r="852">
      <c r="B852" s="73"/>
      <c r="C852" s="73"/>
      <c r="D852" s="38"/>
      <c r="E852" s="39"/>
      <c r="L852" s="38"/>
    </row>
    <row r="853">
      <c r="B853" s="73"/>
      <c r="C853" s="73"/>
      <c r="D853" s="38"/>
      <c r="E853" s="39"/>
      <c r="L853" s="38"/>
    </row>
    <row r="854">
      <c r="B854" s="73"/>
      <c r="C854" s="73"/>
      <c r="D854" s="38"/>
      <c r="E854" s="39"/>
      <c r="L854" s="38"/>
    </row>
    <row r="855">
      <c r="B855" s="73"/>
      <c r="C855" s="73"/>
      <c r="D855" s="38"/>
      <c r="E855" s="39"/>
      <c r="L855" s="38"/>
    </row>
    <row r="856">
      <c r="B856" s="73"/>
      <c r="C856" s="73"/>
      <c r="D856" s="38"/>
      <c r="E856" s="39"/>
      <c r="L856" s="38"/>
    </row>
    <row r="857">
      <c r="B857" s="73"/>
      <c r="C857" s="73"/>
      <c r="D857" s="38"/>
      <c r="E857" s="39"/>
      <c r="L857" s="38"/>
    </row>
    <row r="858">
      <c r="B858" s="73"/>
      <c r="C858" s="73"/>
      <c r="D858" s="38"/>
      <c r="E858" s="39"/>
      <c r="L858" s="38"/>
    </row>
    <row r="859">
      <c r="B859" s="73"/>
      <c r="C859" s="73"/>
      <c r="D859" s="38"/>
      <c r="E859" s="39"/>
      <c r="L859" s="38"/>
    </row>
    <row r="860">
      <c r="B860" s="73"/>
      <c r="C860" s="73"/>
      <c r="D860" s="38"/>
      <c r="E860" s="39"/>
      <c r="L860" s="38"/>
    </row>
    <row r="861">
      <c r="B861" s="73"/>
      <c r="C861" s="73"/>
      <c r="D861" s="38"/>
      <c r="E861" s="39"/>
      <c r="L861" s="38"/>
    </row>
    <row r="862">
      <c r="B862" s="73"/>
      <c r="C862" s="73"/>
      <c r="D862" s="38"/>
      <c r="E862" s="39"/>
      <c r="L862" s="38"/>
    </row>
    <row r="863">
      <c r="B863" s="73"/>
      <c r="C863" s="73"/>
      <c r="D863" s="38"/>
      <c r="E863" s="39"/>
      <c r="L863" s="38"/>
    </row>
    <row r="864">
      <c r="B864" s="73"/>
      <c r="C864" s="73"/>
      <c r="D864" s="38"/>
      <c r="E864" s="39"/>
      <c r="L864" s="38"/>
    </row>
    <row r="865">
      <c r="B865" s="73"/>
      <c r="C865" s="73"/>
      <c r="D865" s="38"/>
      <c r="E865" s="39"/>
      <c r="L865" s="38"/>
    </row>
    <row r="866">
      <c r="B866" s="73"/>
      <c r="C866" s="73"/>
      <c r="D866" s="38"/>
      <c r="E866" s="39"/>
      <c r="L866" s="38"/>
    </row>
    <row r="867">
      <c r="B867" s="73"/>
      <c r="C867" s="73"/>
      <c r="D867" s="38"/>
      <c r="E867" s="39"/>
      <c r="L867" s="38"/>
    </row>
    <row r="868">
      <c r="B868" s="73"/>
      <c r="C868" s="73"/>
      <c r="D868" s="38"/>
      <c r="E868" s="39"/>
      <c r="L868" s="38"/>
    </row>
    <row r="869">
      <c r="B869" s="73"/>
      <c r="C869" s="73"/>
      <c r="D869" s="38"/>
      <c r="E869" s="39"/>
      <c r="L869" s="38"/>
    </row>
    <row r="870">
      <c r="B870" s="73"/>
      <c r="C870" s="73"/>
      <c r="D870" s="38"/>
      <c r="E870" s="39"/>
      <c r="L870" s="38"/>
    </row>
    <row r="871">
      <c r="B871" s="73"/>
      <c r="C871" s="73"/>
      <c r="D871" s="38"/>
      <c r="E871" s="39"/>
      <c r="L871" s="38"/>
    </row>
    <row r="872">
      <c r="B872" s="73"/>
      <c r="C872" s="73"/>
      <c r="D872" s="38"/>
      <c r="E872" s="39"/>
      <c r="L872" s="38"/>
    </row>
    <row r="873">
      <c r="B873" s="73"/>
      <c r="C873" s="73"/>
      <c r="D873" s="38"/>
      <c r="E873" s="39"/>
      <c r="L873" s="38"/>
    </row>
    <row r="874">
      <c r="B874" s="73"/>
      <c r="C874" s="73"/>
      <c r="D874" s="38"/>
      <c r="E874" s="39"/>
      <c r="L874" s="38"/>
    </row>
    <row r="875">
      <c r="B875" s="73"/>
      <c r="C875" s="73"/>
      <c r="D875" s="38"/>
      <c r="E875" s="39"/>
      <c r="L875" s="38"/>
    </row>
    <row r="876">
      <c r="B876" s="73"/>
      <c r="C876" s="73"/>
      <c r="D876" s="38"/>
      <c r="E876" s="39"/>
      <c r="L876" s="38"/>
    </row>
    <row r="877">
      <c r="B877" s="73"/>
      <c r="C877" s="73"/>
      <c r="D877" s="38"/>
      <c r="E877" s="39"/>
      <c r="L877" s="38"/>
    </row>
    <row r="878">
      <c r="B878" s="73"/>
      <c r="C878" s="73"/>
      <c r="D878" s="38"/>
      <c r="E878" s="39"/>
      <c r="L878" s="38"/>
    </row>
    <row r="879">
      <c r="B879" s="73"/>
      <c r="C879" s="73"/>
      <c r="D879" s="38"/>
      <c r="E879" s="39"/>
      <c r="L879" s="38"/>
    </row>
    <row r="880">
      <c r="B880" s="73"/>
      <c r="C880" s="73"/>
      <c r="D880" s="38"/>
      <c r="E880" s="39"/>
      <c r="L880" s="38"/>
    </row>
    <row r="881">
      <c r="B881" s="73"/>
      <c r="C881" s="73"/>
      <c r="D881" s="38"/>
      <c r="E881" s="39"/>
      <c r="L881" s="38"/>
    </row>
    <row r="882">
      <c r="B882" s="73"/>
      <c r="C882" s="73"/>
      <c r="D882" s="38"/>
      <c r="E882" s="39"/>
      <c r="L882" s="38"/>
    </row>
    <row r="883">
      <c r="B883" s="73"/>
      <c r="C883" s="73"/>
      <c r="D883" s="38"/>
      <c r="E883" s="39"/>
      <c r="L883" s="38"/>
    </row>
    <row r="884">
      <c r="B884" s="73"/>
      <c r="C884" s="73"/>
      <c r="D884" s="38"/>
      <c r="E884" s="39"/>
      <c r="L884" s="38"/>
    </row>
    <row r="885">
      <c r="B885" s="73"/>
      <c r="C885" s="73"/>
      <c r="D885" s="38"/>
      <c r="E885" s="39"/>
      <c r="L885" s="38"/>
    </row>
    <row r="886">
      <c r="B886" s="73"/>
      <c r="C886" s="73"/>
      <c r="D886" s="38"/>
      <c r="E886" s="39"/>
      <c r="L886" s="38"/>
    </row>
    <row r="887">
      <c r="B887" s="73"/>
      <c r="C887" s="73"/>
      <c r="D887" s="38"/>
      <c r="E887" s="39"/>
      <c r="L887" s="38"/>
    </row>
    <row r="888">
      <c r="B888" s="73"/>
      <c r="C888" s="73"/>
      <c r="D888" s="38"/>
      <c r="E888" s="39"/>
      <c r="L888" s="38"/>
    </row>
    <row r="889">
      <c r="B889" s="73"/>
      <c r="C889" s="73"/>
      <c r="D889" s="38"/>
      <c r="E889" s="39"/>
      <c r="L889" s="38"/>
    </row>
    <row r="890">
      <c r="B890" s="73"/>
      <c r="C890" s="73"/>
      <c r="D890" s="38"/>
      <c r="E890" s="39"/>
      <c r="L890" s="38"/>
    </row>
    <row r="891">
      <c r="B891" s="73"/>
      <c r="C891" s="73"/>
      <c r="D891" s="38"/>
      <c r="E891" s="39"/>
      <c r="L891" s="38"/>
    </row>
    <row r="892">
      <c r="B892" s="73"/>
      <c r="C892" s="73"/>
      <c r="D892" s="38"/>
      <c r="E892" s="39"/>
      <c r="L892" s="38"/>
    </row>
    <row r="893">
      <c r="B893" s="73"/>
      <c r="C893" s="73"/>
      <c r="D893" s="38"/>
      <c r="E893" s="39"/>
      <c r="L893" s="38"/>
    </row>
    <row r="894">
      <c r="B894" s="73"/>
      <c r="C894" s="73"/>
      <c r="D894" s="38"/>
      <c r="E894" s="39"/>
      <c r="L894" s="38"/>
    </row>
    <row r="895">
      <c r="B895" s="73"/>
      <c r="C895" s="73"/>
      <c r="D895" s="38"/>
      <c r="E895" s="39"/>
      <c r="L895" s="38"/>
    </row>
    <row r="896">
      <c r="B896" s="73"/>
      <c r="C896" s="73"/>
      <c r="D896" s="38"/>
      <c r="E896" s="39"/>
      <c r="L896" s="38"/>
    </row>
    <row r="897">
      <c r="B897" s="73"/>
      <c r="C897" s="73"/>
      <c r="D897" s="38"/>
      <c r="E897" s="39"/>
      <c r="L897" s="38"/>
    </row>
    <row r="898">
      <c r="B898" s="73"/>
      <c r="C898" s="73"/>
      <c r="D898" s="38"/>
      <c r="E898" s="39"/>
      <c r="L898" s="38"/>
    </row>
    <row r="899">
      <c r="B899" s="73"/>
      <c r="C899" s="73"/>
      <c r="D899" s="38"/>
      <c r="E899" s="39"/>
      <c r="L899" s="38"/>
    </row>
    <row r="900">
      <c r="B900" s="73"/>
      <c r="C900" s="73"/>
      <c r="D900" s="38"/>
      <c r="E900" s="39"/>
      <c r="L900" s="38"/>
    </row>
    <row r="901">
      <c r="B901" s="73"/>
      <c r="C901" s="73"/>
      <c r="D901" s="38"/>
      <c r="E901" s="39"/>
      <c r="L901" s="38"/>
    </row>
    <row r="902">
      <c r="B902" s="73"/>
      <c r="C902" s="73"/>
      <c r="D902" s="38"/>
      <c r="E902" s="39"/>
      <c r="L902" s="38"/>
    </row>
    <row r="903">
      <c r="B903" s="73"/>
      <c r="C903" s="73"/>
      <c r="D903" s="38"/>
      <c r="E903" s="39"/>
      <c r="L903" s="38"/>
    </row>
    <row r="904">
      <c r="B904" s="73"/>
      <c r="C904" s="73"/>
      <c r="D904" s="38"/>
      <c r="E904" s="39"/>
      <c r="L904" s="38"/>
    </row>
    <row r="905">
      <c r="B905" s="73"/>
      <c r="C905" s="73"/>
      <c r="D905" s="38"/>
      <c r="E905" s="39"/>
      <c r="L905" s="38"/>
    </row>
    <row r="906">
      <c r="B906" s="73"/>
      <c r="C906" s="73"/>
      <c r="D906" s="38"/>
      <c r="E906" s="39"/>
      <c r="L906" s="38"/>
    </row>
    <row r="907">
      <c r="B907" s="73"/>
      <c r="C907" s="73"/>
      <c r="D907" s="38"/>
      <c r="E907" s="39"/>
      <c r="L907" s="38"/>
    </row>
    <row r="908">
      <c r="B908" s="73"/>
      <c r="C908" s="73"/>
      <c r="D908" s="38"/>
      <c r="E908" s="39"/>
      <c r="L908" s="38"/>
    </row>
    <row r="909">
      <c r="B909" s="73"/>
      <c r="C909" s="73"/>
      <c r="D909" s="38"/>
      <c r="E909" s="39"/>
      <c r="L909" s="38"/>
    </row>
    <row r="910">
      <c r="B910" s="73"/>
      <c r="C910" s="73"/>
      <c r="D910" s="38"/>
      <c r="E910" s="39"/>
      <c r="L910" s="38"/>
    </row>
    <row r="911">
      <c r="B911" s="73"/>
      <c r="C911" s="73"/>
      <c r="D911" s="38"/>
      <c r="E911" s="39"/>
      <c r="L911" s="38"/>
    </row>
    <row r="912">
      <c r="B912" s="73"/>
      <c r="C912" s="73"/>
      <c r="D912" s="38"/>
      <c r="E912" s="39"/>
      <c r="L912" s="38"/>
    </row>
    <row r="913">
      <c r="B913" s="73"/>
      <c r="C913" s="73"/>
      <c r="D913" s="38"/>
      <c r="E913" s="39"/>
      <c r="L913" s="38"/>
    </row>
    <row r="914">
      <c r="B914" s="73"/>
      <c r="C914" s="73"/>
      <c r="D914" s="38"/>
      <c r="E914" s="39"/>
      <c r="L914" s="38"/>
    </row>
    <row r="915">
      <c r="B915" s="73"/>
      <c r="C915" s="73"/>
      <c r="D915" s="38"/>
      <c r="E915" s="39"/>
      <c r="L915" s="38"/>
    </row>
    <row r="916">
      <c r="B916" s="73"/>
      <c r="C916" s="73"/>
      <c r="D916" s="38"/>
      <c r="E916" s="39"/>
      <c r="L916" s="38"/>
    </row>
    <row r="917">
      <c r="B917" s="73"/>
      <c r="C917" s="73"/>
      <c r="D917" s="38"/>
      <c r="E917" s="39"/>
      <c r="L917" s="38"/>
    </row>
    <row r="918">
      <c r="B918" s="73"/>
      <c r="C918" s="73"/>
      <c r="D918" s="38"/>
      <c r="E918" s="39"/>
      <c r="L918" s="38"/>
    </row>
    <row r="919">
      <c r="B919" s="73"/>
      <c r="C919" s="73"/>
      <c r="D919" s="38"/>
      <c r="E919" s="39"/>
      <c r="L919" s="38"/>
    </row>
    <row r="920">
      <c r="B920" s="73"/>
      <c r="C920" s="73"/>
      <c r="D920" s="38"/>
      <c r="E920" s="39"/>
      <c r="L920" s="38"/>
    </row>
    <row r="921">
      <c r="B921" s="73"/>
      <c r="C921" s="73"/>
      <c r="D921" s="38"/>
      <c r="E921" s="39"/>
      <c r="L921" s="38"/>
    </row>
    <row r="922">
      <c r="B922" s="73"/>
      <c r="C922" s="73"/>
      <c r="D922" s="38"/>
      <c r="E922" s="39"/>
      <c r="L922" s="38"/>
    </row>
    <row r="923">
      <c r="B923" s="73"/>
      <c r="C923" s="73"/>
      <c r="D923" s="38"/>
      <c r="E923" s="39"/>
      <c r="L923" s="38"/>
    </row>
    <row r="924">
      <c r="B924" s="73"/>
      <c r="C924" s="73"/>
      <c r="D924" s="38"/>
      <c r="E924" s="39"/>
      <c r="L924" s="38"/>
    </row>
    <row r="925">
      <c r="B925" s="73"/>
      <c r="C925" s="73"/>
      <c r="D925" s="38"/>
      <c r="E925" s="39"/>
      <c r="L925" s="38"/>
    </row>
    <row r="926">
      <c r="B926" s="73"/>
      <c r="C926" s="73"/>
      <c r="D926" s="38"/>
      <c r="E926" s="39"/>
      <c r="L926" s="38"/>
    </row>
    <row r="927">
      <c r="B927" s="73"/>
      <c r="C927" s="73"/>
      <c r="D927" s="38"/>
      <c r="E927" s="39"/>
      <c r="L927" s="38"/>
    </row>
    <row r="928">
      <c r="B928" s="73"/>
      <c r="C928" s="73"/>
      <c r="D928" s="38"/>
      <c r="E928" s="39"/>
      <c r="L928" s="38"/>
    </row>
    <row r="929">
      <c r="B929" s="73"/>
      <c r="C929" s="73"/>
      <c r="D929" s="38"/>
      <c r="E929" s="39"/>
      <c r="L929" s="38"/>
    </row>
    <row r="930">
      <c r="B930" s="73"/>
      <c r="C930" s="73"/>
      <c r="D930" s="38"/>
      <c r="E930" s="39"/>
      <c r="L930" s="38"/>
    </row>
    <row r="931">
      <c r="B931" s="73"/>
      <c r="C931" s="73"/>
      <c r="D931" s="38"/>
      <c r="E931" s="39"/>
      <c r="L931" s="38"/>
    </row>
    <row r="932">
      <c r="B932" s="73"/>
      <c r="C932" s="73"/>
      <c r="D932" s="38"/>
      <c r="E932" s="39"/>
      <c r="L932" s="38"/>
    </row>
    <row r="933">
      <c r="B933" s="73"/>
      <c r="C933" s="73"/>
      <c r="D933" s="38"/>
      <c r="E933" s="39"/>
      <c r="L933" s="38"/>
    </row>
    <row r="934">
      <c r="B934" s="73"/>
      <c r="C934" s="73"/>
      <c r="D934" s="38"/>
      <c r="E934" s="39"/>
      <c r="L934" s="38"/>
    </row>
    <row r="935">
      <c r="B935" s="73"/>
      <c r="C935" s="73"/>
      <c r="D935" s="38"/>
      <c r="E935" s="39"/>
      <c r="L935" s="38"/>
    </row>
    <row r="936">
      <c r="B936" s="73"/>
      <c r="C936" s="73"/>
      <c r="D936" s="38"/>
      <c r="E936" s="39"/>
      <c r="L936" s="38"/>
    </row>
    <row r="937">
      <c r="B937" s="73"/>
      <c r="C937" s="73"/>
      <c r="D937" s="38"/>
      <c r="E937" s="39"/>
      <c r="L937" s="38"/>
    </row>
    <row r="938">
      <c r="B938" s="73"/>
      <c r="C938" s="73"/>
      <c r="D938" s="38"/>
      <c r="E938" s="39"/>
      <c r="L938" s="38"/>
    </row>
    <row r="939">
      <c r="B939" s="73"/>
      <c r="C939" s="73"/>
      <c r="D939" s="38"/>
      <c r="E939" s="39"/>
      <c r="L939" s="38"/>
    </row>
    <row r="940">
      <c r="B940" s="73"/>
      <c r="C940" s="73"/>
      <c r="D940" s="38"/>
      <c r="E940" s="39"/>
      <c r="L940" s="38"/>
    </row>
    <row r="941">
      <c r="B941" s="73"/>
      <c r="C941" s="73"/>
      <c r="D941" s="38"/>
      <c r="E941" s="39"/>
      <c r="L941" s="38"/>
    </row>
    <row r="942">
      <c r="B942" s="73"/>
      <c r="C942" s="73"/>
      <c r="D942" s="38"/>
      <c r="E942" s="39"/>
      <c r="L942" s="38"/>
    </row>
    <row r="943">
      <c r="B943" s="73"/>
      <c r="C943" s="73"/>
      <c r="D943" s="38"/>
      <c r="E943" s="39"/>
      <c r="L943" s="38"/>
    </row>
    <row r="944">
      <c r="B944" s="73"/>
      <c r="C944" s="73"/>
      <c r="D944" s="38"/>
      <c r="E944" s="39"/>
      <c r="L944" s="38"/>
    </row>
    <row r="945">
      <c r="B945" s="73"/>
      <c r="C945" s="73"/>
      <c r="D945" s="38"/>
      <c r="E945" s="39"/>
      <c r="L945" s="38"/>
    </row>
    <row r="946">
      <c r="B946" s="73"/>
      <c r="C946" s="73"/>
      <c r="D946" s="38"/>
      <c r="E946" s="39"/>
      <c r="L946" s="38"/>
    </row>
    <row r="947">
      <c r="B947" s="73"/>
      <c r="C947" s="73"/>
      <c r="D947" s="38"/>
      <c r="E947" s="39"/>
      <c r="L947" s="38"/>
    </row>
    <row r="948">
      <c r="B948" s="73"/>
      <c r="C948" s="73"/>
      <c r="D948" s="38"/>
      <c r="E948" s="39"/>
      <c r="L948" s="38"/>
    </row>
    <row r="949">
      <c r="B949" s="73"/>
      <c r="C949" s="73"/>
      <c r="D949" s="38"/>
      <c r="E949" s="39"/>
      <c r="L949" s="38"/>
    </row>
    <row r="950">
      <c r="B950" s="73"/>
      <c r="C950" s="73"/>
      <c r="D950" s="38"/>
      <c r="E950" s="39"/>
      <c r="L950" s="38"/>
    </row>
    <row r="951">
      <c r="B951" s="73"/>
      <c r="C951" s="73"/>
      <c r="D951" s="38"/>
      <c r="E951" s="39"/>
      <c r="L951" s="38"/>
    </row>
    <row r="952">
      <c r="B952" s="73"/>
      <c r="C952" s="73"/>
      <c r="D952" s="38"/>
      <c r="E952" s="39"/>
      <c r="L952" s="38"/>
    </row>
    <row r="953">
      <c r="B953" s="73"/>
      <c r="C953" s="73"/>
      <c r="D953" s="38"/>
      <c r="E953" s="39"/>
      <c r="L953" s="38"/>
    </row>
    <row r="954">
      <c r="B954" s="73"/>
      <c r="C954" s="73"/>
      <c r="D954" s="38"/>
      <c r="E954" s="39"/>
      <c r="L954" s="38"/>
    </row>
    <row r="955">
      <c r="B955" s="73"/>
      <c r="C955" s="73"/>
      <c r="D955" s="38"/>
      <c r="E955" s="39"/>
      <c r="L955" s="38"/>
    </row>
    <row r="956">
      <c r="B956" s="73"/>
      <c r="C956" s="73"/>
      <c r="D956" s="38"/>
      <c r="E956" s="39"/>
      <c r="L956" s="38"/>
    </row>
    <row r="957">
      <c r="B957" s="73"/>
      <c r="C957" s="73"/>
      <c r="D957" s="38"/>
      <c r="E957" s="39"/>
      <c r="L957" s="38"/>
    </row>
    <row r="958">
      <c r="B958" s="73"/>
      <c r="C958" s="73"/>
      <c r="D958" s="38"/>
      <c r="E958" s="39"/>
      <c r="L958" s="38"/>
    </row>
    <row r="959">
      <c r="B959" s="73"/>
      <c r="C959" s="73"/>
      <c r="D959" s="38"/>
      <c r="E959" s="39"/>
      <c r="L959" s="38"/>
    </row>
    <row r="960">
      <c r="B960" s="73"/>
      <c r="C960" s="73"/>
      <c r="D960" s="38"/>
      <c r="E960" s="39"/>
      <c r="L960" s="38"/>
    </row>
    <row r="961">
      <c r="B961" s="73"/>
      <c r="C961" s="73"/>
      <c r="D961" s="38"/>
      <c r="E961" s="39"/>
      <c r="L961" s="38"/>
    </row>
    <row r="962">
      <c r="B962" s="73"/>
      <c r="C962" s="73"/>
      <c r="D962" s="38"/>
      <c r="E962" s="39"/>
      <c r="L962" s="38"/>
    </row>
    <row r="963">
      <c r="B963" s="73"/>
      <c r="C963" s="73"/>
      <c r="D963" s="38"/>
      <c r="E963" s="39"/>
      <c r="L963" s="38"/>
    </row>
    <row r="964">
      <c r="B964" s="73"/>
      <c r="C964" s="73"/>
      <c r="D964" s="38"/>
      <c r="E964" s="39"/>
      <c r="L964" s="38"/>
    </row>
    <row r="965">
      <c r="B965" s="73"/>
      <c r="C965" s="73"/>
      <c r="D965" s="38"/>
      <c r="E965" s="39"/>
      <c r="L965" s="38"/>
    </row>
    <row r="966">
      <c r="B966" s="73"/>
      <c r="C966" s="73"/>
      <c r="D966" s="38"/>
      <c r="E966" s="39"/>
      <c r="L966" s="38"/>
    </row>
    <row r="967">
      <c r="B967" s="73"/>
      <c r="C967" s="73"/>
      <c r="D967" s="38"/>
      <c r="E967" s="39"/>
      <c r="L967" s="38"/>
    </row>
    <row r="968">
      <c r="B968" s="73"/>
      <c r="C968" s="73"/>
      <c r="D968" s="38"/>
      <c r="E968" s="39"/>
      <c r="L968" s="38"/>
    </row>
    <row r="969">
      <c r="B969" s="73"/>
      <c r="C969" s="73"/>
      <c r="D969" s="38"/>
      <c r="E969" s="39"/>
      <c r="L969" s="38"/>
    </row>
    <row r="970">
      <c r="B970" s="73"/>
      <c r="C970" s="73"/>
      <c r="D970" s="38"/>
      <c r="E970" s="39"/>
      <c r="L970" s="38"/>
    </row>
    <row r="971">
      <c r="B971" s="73"/>
      <c r="C971" s="73"/>
      <c r="D971" s="38"/>
      <c r="E971" s="39"/>
      <c r="L971" s="38"/>
    </row>
    <row r="972">
      <c r="B972" s="73"/>
      <c r="C972" s="73"/>
      <c r="D972" s="38"/>
      <c r="E972" s="39"/>
      <c r="L972" s="38"/>
    </row>
    <row r="973">
      <c r="B973" s="73"/>
      <c r="C973" s="73"/>
      <c r="D973" s="38"/>
      <c r="E973" s="39"/>
      <c r="L973" s="38"/>
    </row>
    <row r="974">
      <c r="B974" s="73"/>
      <c r="C974" s="73"/>
      <c r="D974" s="38"/>
      <c r="E974" s="39"/>
      <c r="L974" s="38"/>
    </row>
    <row r="975">
      <c r="B975" s="73"/>
      <c r="C975" s="73"/>
      <c r="D975" s="38"/>
      <c r="E975" s="39"/>
      <c r="L975" s="38"/>
    </row>
    <row r="976">
      <c r="B976" s="73"/>
      <c r="C976" s="73"/>
      <c r="D976" s="38"/>
      <c r="E976" s="39"/>
      <c r="L976" s="38"/>
    </row>
    <row r="977">
      <c r="B977" s="73"/>
      <c r="C977" s="73"/>
      <c r="D977" s="38"/>
      <c r="E977" s="39"/>
      <c r="L977" s="38"/>
    </row>
    <row r="978">
      <c r="B978" s="73"/>
      <c r="C978" s="73"/>
      <c r="D978" s="38"/>
      <c r="E978" s="39"/>
      <c r="L978" s="38"/>
    </row>
    <row r="979">
      <c r="B979" s="73"/>
      <c r="C979" s="73"/>
      <c r="D979" s="38"/>
      <c r="E979" s="39"/>
      <c r="L979" s="38"/>
    </row>
    <row r="980">
      <c r="B980" s="73"/>
      <c r="C980" s="73"/>
      <c r="D980" s="38"/>
      <c r="E980" s="39"/>
      <c r="L980" s="38"/>
    </row>
    <row r="981">
      <c r="B981" s="73"/>
      <c r="C981" s="73"/>
      <c r="D981" s="38"/>
      <c r="E981" s="39"/>
      <c r="L981" s="38"/>
    </row>
    <row r="982">
      <c r="B982" s="73"/>
      <c r="C982" s="73"/>
      <c r="D982" s="38"/>
      <c r="E982" s="39"/>
      <c r="L982" s="38"/>
    </row>
    <row r="983">
      <c r="B983" s="73"/>
      <c r="C983" s="73"/>
      <c r="D983" s="38"/>
      <c r="E983" s="39"/>
      <c r="L983" s="38"/>
    </row>
    <row r="984">
      <c r="B984" s="73"/>
      <c r="C984" s="73"/>
      <c r="D984" s="38"/>
      <c r="E984" s="39"/>
      <c r="L984" s="38"/>
    </row>
    <row r="985">
      <c r="B985" s="73"/>
      <c r="C985" s="73"/>
      <c r="D985" s="38"/>
      <c r="E985" s="39"/>
      <c r="L985" s="38"/>
    </row>
    <row r="986">
      <c r="B986" s="73"/>
      <c r="C986" s="73"/>
      <c r="D986" s="38"/>
      <c r="E986" s="39"/>
      <c r="L986" s="38"/>
    </row>
    <row r="987">
      <c r="B987" s="73"/>
      <c r="C987" s="73"/>
      <c r="D987" s="38"/>
      <c r="E987" s="39"/>
      <c r="L987" s="38"/>
    </row>
    <row r="988">
      <c r="B988" s="73"/>
      <c r="C988" s="73"/>
      <c r="D988" s="38"/>
      <c r="E988" s="39"/>
      <c r="L988" s="38"/>
    </row>
    <row r="989">
      <c r="B989" s="73"/>
      <c r="C989" s="73"/>
      <c r="D989" s="38"/>
      <c r="E989" s="39"/>
      <c r="L989" s="38"/>
    </row>
    <row r="990">
      <c r="B990" s="73"/>
      <c r="C990" s="73"/>
      <c r="D990" s="38"/>
      <c r="E990" s="39"/>
      <c r="L990" s="38"/>
    </row>
    <row r="991">
      <c r="B991" s="73"/>
      <c r="C991" s="73"/>
      <c r="D991" s="38"/>
      <c r="E991" s="39"/>
      <c r="L991" s="38"/>
    </row>
    <row r="992">
      <c r="B992" s="73"/>
      <c r="C992" s="73"/>
      <c r="D992" s="38"/>
      <c r="E992" s="39"/>
      <c r="L992" s="38"/>
    </row>
    <row r="993">
      <c r="B993" s="73"/>
      <c r="C993" s="73"/>
      <c r="D993" s="38"/>
      <c r="E993" s="39"/>
      <c r="L993" s="38"/>
    </row>
    <row r="994">
      <c r="B994" s="73"/>
      <c r="C994" s="73"/>
      <c r="D994" s="38"/>
      <c r="E994" s="39"/>
      <c r="L994" s="38"/>
    </row>
    <row r="995">
      <c r="B995" s="73"/>
      <c r="C995" s="73"/>
      <c r="D995" s="38"/>
      <c r="E995" s="39"/>
      <c r="L995" s="38"/>
    </row>
    <row r="996">
      <c r="B996" s="73"/>
      <c r="C996" s="73"/>
      <c r="D996" s="38"/>
      <c r="E996" s="39"/>
      <c r="L996" s="38"/>
    </row>
    <row r="997">
      <c r="B997" s="73"/>
      <c r="C997" s="73"/>
      <c r="D997" s="38"/>
      <c r="E997" s="39"/>
      <c r="L997" s="38"/>
    </row>
    <row r="998">
      <c r="B998" s="73"/>
      <c r="C998" s="73"/>
      <c r="D998" s="38"/>
      <c r="E998" s="39"/>
      <c r="L998" s="38"/>
    </row>
    <row r="999">
      <c r="B999" s="73"/>
      <c r="C999" s="73"/>
      <c r="D999" s="38"/>
      <c r="E999" s="39"/>
      <c r="L999" s="38"/>
    </row>
    <row r="1000">
      <c r="B1000" s="73"/>
      <c r="C1000" s="73"/>
      <c r="D1000" s="38"/>
      <c r="E1000" s="39"/>
      <c r="L1000" s="3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.88"/>
    <col customWidth="1" min="2" max="20" width="15.13"/>
    <col customWidth="1" min="21" max="21" width="6.5"/>
    <col customWidth="1" min="22" max="28" width="15.13"/>
  </cols>
  <sheetData>
    <row r="1" ht="14.25" customHeight="1">
      <c r="A1" s="131"/>
      <c r="B1" s="132" t="s">
        <v>312</v>
      </c>
      <c r="C1" s="132">
        <v>1.0</v>
      </c>
      <c r="D1" s="132"/>
      <c r="E1" s="132">
        <v>2.0</v>
      </c>
      <c r="F1" s="132"/>
      <c r="G1" s="132">
        <v>3.0</v>
      </c>
      <c r="H1" s="132"/>
      <c r="I1" s="132">
        <v>4.0</v>
      </c>
      <c r="J1" s="132"/>
      <c r="K1" s="132">
        <v>5.0</v>
      </c>
      <c r="L1" s="132"/>
      <c r="M1" s="133" t="s">
        <v>313</v>
      </c>
      <c r="N1" s="132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2"/>
      <c r="AA1" s="132"/>
      <c r="AB1" s="131"/>
    </row>
    <row r="2" ht="14.25" customHeight="1">
      <c r="A2" s="134"/>
      <c r="B2" s="135"/>
      <c r="C2" s="136" t="s">
        <v>126</v>
      </c>
      <c r="D2" s="135" t="s">
        <v>124</v>
      </c>
      <c r="E2" s="136" t="s">
        <v>126</v>
      </c>
      <c r="F2" s="135" t="s">
        <v>124</v>
      </c>
      <c r="G2" s="136" t="s">
        <v>126</v>
      </c>
      <c r="H2" s="135" t="s">
        <v>124</v>
      </c>
      <c r="I2" s="136" t="s">
        <v>126</v>
      </c>
      <c r="J2" s="135" t="s">
        <v>124</v>
      </c>
      <c r="K2" s="136" t="s">
        <v>126</v>
      </c>
      <c r="L2" s="135" t="s">
        <v>124</v>
      </c>
      <c r="M2" s="136" t="s">
        <v>314</v>
      </c>
      <c r="N2" s="135" t="s">
        <v>315</v>
      </c>
      <c r="O2" s="137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5"/>
      <c r="AA2" s="135"/>
      <c r="AB2" s="134"/>
    </row>
    <row r="3" ht="14.25" customHeight="1">
      <c r="A3" s="134"/>
      <c r="B3" s="135" t="str">
        <f>Data!A2</f>
        <v>1INCH</v>
      </c>
      <c r="C3" s="136">
        <f>IFERROR(VLOOKUP($B3,Price!$A$2:$B$120, 2,), 1)*IFERROR(VLOOKUP($B3, Data!$A$2:$K$89, 2,),0)</f>
        <v>515153.1539</v>
      </c>
      <c r="D3" s="138">
        <f>IFERROR(VLOOKUP($B3, Data!$A$2:$K$89, 7,),0)</f>
        <v>0</v>
      </c>
      <c r="E3" s="136">
        <f>IFERROR(VLOOKUP($B3,Price!$A$2:$B$120, 2,), 1)*IFERROR(VLOOKUP($B3, Data!$A$2:$K$89, 3,),0)</f>
        <v>0</v>
      </c>
      <c r="F3" s="138">
        <f>IFERROR(VLOOKUP($B3, Data!$A$2:$K$89, 8,),0)</f>
        <v>0</v>
      </c>
      <c r="G3" s="136">
        <f>IFERROR(VLOOKUP($B3,Price!$A$2:$B$120, 2,), 1)*IFERROR(VLOOKUP($B3, Data!$A$2:$K$89, 4,),0)</f>
        <v>0</v>
      </c>
      <c r="H3" s="138">
        <f>IFERROR(VLOOKUP($B3, Data!$A$2:$K$89, 9,),0)</f>
        <v>0</v>
      </c>
      <c r="I3" s="136">
        <f>IFERROR(VLOOKUP($B3,Price!$A$2:$B$120, 2,), 1)*IFERROR(VLOOKUP($B3, Data!$A$2:$K$89, 5,),0)</f>
        <v>0</v>
      </c>
      <c r="J3" s="138">
        <f>IFERROR(VLOOKUP($B3, Data!$A$2:$K$89, 10,),0)</f>
        <v>0</v>
      </c>
      <c r="K3" s="136">
        <f>IFERROR(VLOOKUP($B3,Price!$A$2:$B$120, 2,), 1)*IFERROR(VLOOKUP($B3, Data!$A$2:$K$89, 6,),0)</f>
        <v>15724100.72</v>
      </c>
      <c r="L3" s="138">
        <f>IFERROR(VLOOKUP($B3, Data!$A$2:$K$89, 11,),0)</f>
        <v>0</v>
      </c>
      <c r="M3" s="136">
        <f t="shared" ref="M3:M101" si="1">SUM(C3,E3,G3,I3,K3)</f>
        <v>16239253.88</v>
      </c>
      <c r="N3" s="138">
        <f t="shared" ref="N3:N101" si="2">IFERROR(SUM(C3*D3,E3*F3,G3*H3,I3*J3,K3*L3)/M3,0)</f>
        <v>0</v>
      </c>
      <c r="O3" s="139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5"/>
      <c r="AA3" s="135"/>
      <c r="AB3" s="134"/>
    </row>
    <row r="4" ht="14.25" customHeight="1">
      <c r="A4" s="134"/>
      <c r="B4" s="135" t="str">
        <f>Data!A3</f>
        <v>3CRV</v>
      </c>
      <c r="C4" s="136">
        <f>IFERROR(VLOOKUP($B4,Price!$A$2:$B$120, 2,), 1)*IFERROR(VLOOKUP($B4, Data!$A$2:$K$89, 2,),0)</f>
        <v>0</v>
      </c>
      <c r="D4" s="138">
        <f>IFERROR(VLOOKUP($B4, Data!$A$2:$K$89, 7,),0)</f>
        <v>0</v>
      </c>
      <c r="E4" s="136">
        <f>IFERROR(VLOOKUP($B4,Price!$A$2:$B$120, 2,), 1)*IFERROR(VLOOKUP($B4, Data!$A$2:$K$89, 3,),0)</f>
        <v>47841159.32</v>
      </c>
      <c r="F4" s="138">
        <f>IFERROR(VLOOKUP($B4, Data!$A$2:$K$89, 8,),0)</f>
        <v>0</v>
      </c>
      <c r="G4" s="136">
        <f>IFERROR(VLOOKUP($B4,Price!$A$2:$B$120, 2,), 1)*IFERROR(VLOOKUP($B4, Data!$A$2:$K$89, 4,),0)</f>
        <v>0</v>
      </c>
      <c r="H4" s="138">
        <f>IFERROR(VLOOKUP($B4, Data!$A$2:$K$89, 9,),0)</f>
        <v>0</v>
      </c>
      <c r="I4" s="136">
        <f>IFERROR(VLOOKUP($B4,Price!$A$2:$B$120, 2,), 1)*IFERROR(VLOOKUP($B4, Data!$A$2:$K$89, 5,),0)</f>
        <v>0</v>
      </c>
      <c r="J4" s="138">
        <f>IFERROR(VLOOKUP($B4, Data!$A$2:$K$89, 10,),0)</f>
        <v>0</v>
      </c>
      <c r="K4" s="136">
        <f>IFERROR(VLOOKUP($B4,Price!$A$2:$B$120, 2,), 1)*IFERROR(VLOOKUP($B4, Data!$A$2:$K$89, 6,),0)</f>
        <v>4084.508669</v>
      </c>
      <c r="L4" s="138">
        <f>IFERROR(VLOOKUP($B4, Data!$A$2:$K$89, 11,),0)</f>
        <v>0</v>
      </c>
      <c r="M4" s="136">
        <f t="shared" si="1"/>
        <v>47845243.83</v>
      </c>
      <c r="N4" s="138">
        <f t="shared" si="2"/>
        <v>0</v>
      </c>
      <c r="O4" s="139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5"/>
      <c r="AA4" s="135"/>
      <c r="AB4" s="134"/>
    </row>
    <row r="5" ht="14.25" customHeight="1">
      <c r="A5" s="134"/>
      <c r="B5" s="135" t="str">
        <f>Data!A4</f>
        <v>AAVE</v>
      </c>
      <c r="C5" s="136">
        <f>IFERROR(VLOOKUP($B5,Price!$A$2:$B$120, 2,), 1)*IFERROR(VLOOKUP($B5, Data!$A$2:$K$89, 2,),0)</f>
        <v>1762208.673</v>
      </c>
      <c r="D5" s="138">
        <f>IFERROR(VLOOKUP($B5, Data!$A$2:$K$89, 7,),0)</f>
        <v>0</v>
      </c>
      <c r="E5" s="136">
        <f>IFERROR(VLOOKUP($B5,Price!$A$2:$B$120, 2,), 1)*IFERROR(VLOOKUP($B5, Data!$A$2:$K$89, 3,),0)</f>
        <v>2.320395397</v>
      </c>
      <c r="F5" s="138">
        <f>IFERROR(VLOOKUP($B5, Data!$A$2:$K$89, 8,),0)</f>
        <v>0</v>
      </c>
      <c r="G5" s="136">
        <f>IFERROR(VLOOKUP($B5,Price!$A$2:$B$120, 2,), 1)*IFERROR(VLOOKUP($B5, Data!$A$2:$K$89, 4,),0)</f>
        <v>0</v>
      </c>
      <c r="H5" s="138">
        <f>IFERROR(VLOOKUP($B5, Data!$A$2:$K$89, 9,),0)</f>
        <v>0</v>
      </c>
      <c r="I5" s="136">
        <f>IFERROR(VLOOKUP($B5,Price!$A$2:$B$120, 2,), 1)*IFERROR(VLOOKUP($B5, Data!$A$2:$K$89, 5,),0)</f>
        <v>3426687.539</v>
      </c>
      <c r="J5" s="138">
        <f>IFERROR(VLOOKUP($B5, Data!$A$2:$K$89, 10,),0)</f>
        <v>0.06534035609</v>
      </c>
      <c r="K5" s="136">
        <f>IFERROR(VLOOKUP($B5,Price!$A$2:$B$120, 2,), 1)*IFERROR(VLOOKUP($B5, Data!$A$2:$K$89, 6,),0)</f>
        <v>30494355.1</v>
      </c>
      <c r="L5" s="138">
        <f>IFERROR(VLOOKUP($B5, Data!$A$2:$K$89, 11,),0)</f>
        <v>0.05780826983</v>
      </c>
      <c r="M5" s="136">
        <f t="shared" si="1"/>
        <v>35683253.63</v>
      </c>
      <c r="N5" s="138">
        <f t="shared" si="2"/>
        <v>0.05567673039</v>
      </c>
      <c r="O5" s="139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5"/>
      <c r="AA5" s="135"/>
      <c r="AB5" s="134"/>
    </row>
    <row r="6" ht="14.25" customHeight="1">
      <c r="A6" s="134"/>
      <c r="B6" s="135" t="str">
        <f>Data!A5</f>
        <v>ADA</v>
      </c>
      <c r="C6" s="136">
        <f>IFERROR(VLOOKUP($B6,Price!$A$2:$B$120, 2,), 1)*IFERROR(VLOOKUP($B6, Data!$A$2:$K$89, 2,),0)</f>
        <v>27734540.18</v>
      </c>
      <c r="D6" s="138">
        <f>IFERROR(VLOOKUP($B6, Data!$A$2:$K$89, 7,),0)</f>
        <v>0</v>
      </c>
      <c r="E6" s="136">
        <f>IFERROR(VLOOKUP($B6,Price!$A$2:$B$120, 2,), 1)*IFERROR(VLOOKUP($B6, Data!$A$2:$K$89, 3,),0)</f>
        <v>0</v>
      </c>
      <c r="F6" s="138">
        <f>IFERROR(VLOOKUP($B6, Data!$A$2:$K$89, 8,),0)</f>
        <v>0</v>
      </c>
      <c r="G6" s="136">
        <f>IFERROR(VLOOKUP($B6,Price!$A$2:$B$120, 2,), 1)*IFERROR(VLOOKUP($B6, Data!$A$2:$K$89, 4,),0)</f>
        <v>0</v>
      </c>
      <c r="H6" s="138">
        <f>IFERROR(VLOOKUP($B6, Data!$A$2:$K$89, 9,),0)</f>
        <v>0</v>
      </c>
      <c r="I6" s="136">
        <f>IFERROR(VLOOKUP($B6,Price!$A$2:$B$120, 2,), 1)*IFERROR(VLOOKUP($B6, Data!$A$2:$K$89, 5,),0)</f>
        <v>77613287.36</v>
      </c>
      <c r="J6" s="138">
        <f>IFERROR(VLOOKUP($B6, Data!$A$2:$K$89, 10,),0)</f>
        <v>0.0747</v>
      </c>
      <c r="K6" s="136">
        <f>IFERROR(VLOOKUP($B6,Price!$A$2:$B$120, 2,), 1)*IFERROR(VLOOKUP($B6, Data!$A$2:$K$89, 6,),0)</f>
        <v>211899708.5</v>
      </c>
      <c r="L6" s="138">
        <f>IFERROR(VLOOKUP($B6, Data!$A$2:$K$89, 11,),0)</f>
        <v>0.045</v>
      </c>
      <c r="M6" s="136">
        <f t="shared" si="1"/>
        <v>317247536</v>
      </c>
      <c r="N6" s="138">
        <f t="shared" si="2"/>
        <v>0.04833197332</v>
      </c>
      <c r="O6" s="139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5"/>
      <c r="AA6" s="135"/>
      <c r="AB6" s="134"/>
    </row>
    <row r="7" ht="14.25" customHeight="1">
      <c r="A7" s="134"/>
      <c r="B7" s="135" t="str">
        <f>Data!A6</f>
        <v>ALCX</v>
      </c>
      <c r="C7" s="136">
        <f>IFERROR(VLOOKUP($B7,Price!$A$2:$B$120, 2,), 1)*IFERROR(VLOOKUP($B7, Data!$A$2:$K$89, 2,),0)</f>
        <v>0</v>
      </c>
      <c r="D7" s="138">
        <f>IFERROR(VLOOKUP($B7, Data!$A$2:$K$89, 7,),0)</f>
        <v>0</v>
      </c>
      <c r="E7" s="136">
        <f>IFERROR(VLOOKUP($B7,Price!$A$2:$B$120, 2,), 1)*IFERROR(VLOOKUP($B7, Data!$A$2:$K$89, 3,),0)</f>
        <v>2.468931524</v>
      </c>
      <c r="F7" s="138">
        <f>IFERROR(VLOOKUP($B7, Data!$A$2:$K$89, 8,),0)</f>
        <v>0</v>
      </c>
      <c r="G7" s="136">
        <f>IFERROR(VLOOKUP($B7,Price!$A$2:$B$120, 2,), 1)*IFERROR(VLOOKUP($B7, Data!$A$2:$K$89, 4,),0)</f>
        <v>0</v>
      </c>
      <c r="H7" s="138">
        <f>IFERROR(VLOOKUP($B7, Data!$A$2:$K$89, 9,),0)</f>
        <v>0</v>
      </c>
      <c r="I7" s="136">
        <f>IFERROR(VLOOKUP($B7,Price!$A$2:$B$120, 2,), 1)*IFERROR(VLOOKUP($B7, Data!$A$2:$K$89, 5,),0)</f>
        <v>0</v>
      </c>
      <c r="J7" s="138">
        <f>IFERROR(VLOOKUP($B7, Data!$A$2:$K$89, 10,),0)</f>
        <v>0</v>
      </c>
      <c r="K7" s="136">
        <f>IFERROR(VLOOKUP($B7,Price!$A$2:$B$120, 2,), 1)*IFERROR(VLOOKUP($B7, Data!$A$2:$K$89, 6,),0)</f>
        <v>0</v>
      </c>
      <c r="L7" s="138">
        <f>IFERROR(VLOOKUP($B7, Data!$A$2:$K$89, 11,),0)</f>
        <v>0</v>
      </c>
      <c r="M7" s="136">
        <f t="shared" si="1"/>
        <v>2.468931524</v>
      </c>
      <c r="N7" s="138">
        <f t="shared" si="2"/>
        <v>0</v>
      </c>
      <c r="O7" s="139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5"/>
      <c r="AA7" s="135"/>
      <c r="AB7" s="134"/>
    </row>
    <row r="8" ht="14.25" customHeight="1">
      <c r="A8" s="134"/>
      <c r="B8" s="135" t="str">
        <f>Data!A7</f>
        <v>ALPHA</v>
      </c>
      <c r="C8" s="136">
        <f>IFERROR(VLOOKUP($B8,Price!$A$2:$B$120, 2,), 1)*IFERROR(VLOOKUP($B8, Data!$A$2:$K$89, 2,),0)</f>
        <v>0</v>
      </c>
      <c r="D8" s="138">
        <f>IFERROR(VLOOKUP($B8, Data!$A$2:$K$89, 7,),0)</f>
        <v>0</v>
      </c>
      <c r="E8" s="136">
        <f>IFERROR(VLOOKUP($B8,Price!$A$2:$B$120, 2,), 1)*IFERROR(VLOOKUP($B8, Data!$A$2:$K$89, 3,),0)</f>
        <v>242125.0747</v>
      </c>
      <c r="F8" s="138">
        <f>IFERROR(VLOOKUP($B8, Data!$A$2:$K$89, 8,),0)</f>
        <v>0.4706</v>
      </c>
      <c r="G8" s="136">
        <f>IFERROR(VLOOKUP($B8,Price!$A$2:$B$120, 2,), 1)*IFERROR(VLOOKUP($B8, Data!$A$2:$K$89, 4,),0)</f>
        <v>0</v>
      </c>
      <c r="H8" s="138">
        <f>IFERROR(VLOOKUP($B8, Data!$A$2:$K$89, 9,),0)</f>
        <v>0</v>
      </c>
      <c r="I8" s="136">
        <f>IFERROR(VLOOKUP($B8,Price!$A$2:$B$120, 2,), 1)*IFERROR(VLOOKUP($B8, Data!$A$2:$K$89, 5,),0)</f>
        <v>0.5585418545</v>
      </c>
      <c r="J8" s="138">
        <f>IFERROR(VLOOKUP($B8, Data!$A$2:$K$89, 10,),0)</f>
        <v>0.004363530593</v>
      </c>
      <c r="K8" s="136">
        <f>IFERROR(VLOOKUP($B8,Price!$A$2:$B$120, 2,), 1)*IFERROR(VLOOKUP($B8, Data!$A$2:$K$89, 6,),0)</f>
        <v>126953.3405</v>
      </c>
      <c r="L8" s="138">
        <f>IFERROR(VLOOKUP($B8, Data!$A$2:$K$89, 11,),0)</f>
        <v>0</v>
      </c>
      <c r="M8" s="136">
        <f t="shared" si="1"/>
        <v>369078.9737</v>
      </c>
      <c r="N8" s="138">
        <f t="shared" si="2"/>
        <v>0.3087254239</v>
      </c>
      <c r="O8" s="139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5"/>
      <c r="AA8" s="135"/>
      <c r="AB8" s="134"/>
    </row>
    <row r="9" ht="14.25" customHeight="1">
      <c r="A9" s="134"/>
      <c r="B9" s="135" t="str">
        <f>Data!A8</f>
        <v>AMPL</v>
      </c>
      <c r="C9" s="136">
        <f>IFERROR(VLOOKUP($B9,Price!$A$2:$B$120, 2,), 1)*IFERROR(VLOOKUP($B9, Data!$A$2:$K$89, 2,),0)</f>
        <v>4233.557268</v>
      </c>
      <c r="D9" s="138">
        <f>IFERROR(VLOOKUP($B9, Data!$A$2:$K$89, 7,),0)</f>
        <v>0</v>
      </c>
      <c r="E9" s="136">
        <f>IFERROR(VLOOKUP($B9,Price!$A$2:$B$120, 2,), 1)*IFERROR(VLOOKUP($B9, Data!$A$2:$K$89, 3,),0)</f>
        <v>0</v>
      </c>
      <c r="F9" s="138">
        <f>IFERROR(VLOOKUP($B9, Data!$A$2:$K$89, 8,),0)</f>
        <v>0</v>
      </c>
      <c r="G9" s="136">
        <f>IFERROR(VLOOKUP($B9,Price!$A$2:$B$120, 2,), 1)*IFERROR(VLOOKUP($B9, Data!$A$2:$K$89, 4,),0)</f>
        <v>0</v>
      </c>
      <c r="H9" s="138">
        <f>IFERROR(VLOOKUP($B9, Data!$A$2:$K$89, 9,),0)</f>
        <v>0</v>
      </c>
      <c r="I9" s="136">
        <f>IFERROR(VLOOKUP($B9,Price!$A$2:$B$120, 2,), 1)*IFERROR(VLOOKUP($B9, Data!$A$2:$K$89, 5,),0)</f>
        <v>0</v>
      </c>
      <c r="J9" s="138">
        <f>IFERROR(VLOOKUP($B9, Data!$A$2:$K$89, 10,),0)</f>
        <v>0</v>
      </c>
      <c r="K9" s="136">
        <f>IFERROR(VLOOKUP($B9,Price!$A$2:$B$120, 2,), 1)*IFERROR(VLOOKUP($B9, Data!$A$2:$K$89, 6,),0)</f>
        <v>27.80272138</v>
      </c>
      <c r="L9" s="138">
        <f>IFERROR(VLOOKUP($B9, Data!$A$2:$K$89, 11,),0)</f>
        <v>0</v>
      </c>
      <c r="M9" s="136">
        <f t="shared" si="1"/>
        <v>4261.359989</v>
      </c>
      <c r="N9" s="138">
        <f t="shared" si="2"/>
        <v>0</v>
      </c>
      <c r="O9" s="139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5"/>
      <c r="AA9" s="135"/>
      <c r="AB9" s="134"/>
    </row>
    <row r="10" ht="14.25" customHeight="1">
      <c r="A10" s="134"/>
      <c r="B10" s="135" t="str">
        <f>Data!A9</f>
        <v>ANKR</v>
      </c>
      <c r="C10" s="136">
        <f>IFERROR(VLOOKUP($B10,Price!$A$2:$B$120, 2,), 1)*IFERROR(VLOOKUP($B10, Data!$A$2:$K$89, 2,),0)</f>
        <v>2324.86158</v>
      </c>
      <c r="D10" s="138">
        <f>IFERROR(VLOOKUP($B10, Data!$A$2:$K$89, 7,),0)</f>
        <v>0</v>
      </c>
      <c r="E10" s="136">
        <f>IFERROR(VLOOKUP($B10,Price!$A$2:$B$120, 2,), 1)*IFERROR(VLOOKUP($B10, Data!$A$2:$K$89, 3,),0)</f>
        <v>0</v>
      </c>
      <c r="F10" s="138">
        <f>IFERROR(VLOOKUP($B10, Data!$A$2:$K$89, 8,),0)</f>
        <v>0</v>
      </c>
      <c r="G10" s="136">
        <f>IFERROR(VLOOKUP($B10,Price!$A$2:$B$120, 2,), 1)*IFERROR(VLOOKUP($B10, Data!$A$2:$K$89, 4,),0)</f>
        <v>0</v>
      </c>
      <c r="H10" s="138">
        <f>IFERROR(VLOOKUP($B10, Data!$A$2:$K$89, 9,),0)</f>
        <v>0</v>
      </c>
      <c r="I10" s="136">
        <f>IFERROR(VLOOKUP($B10,Price!$A$2:$B$120, 2,), 1)*IFERROR(VLOOKUP($B10, Data!$A$2:$K$89, 5,),0)</f>
        <v>1917.229697</v>
      </c>
      <c r="J10" s="138">
        <f>IFERROR(VLOOKUP($B10, Data!$A$2:$K$89, 10,),0)</f>
        <v>0</v>
      </c>
      <c r="K10" s="136">
        <f>IFERROR(VLOOKUP($B10,Price!$A$2:$B$120, 2,), 1)*IFERROR(VLOOKUP($B10, Data!$A$2:$K$89, 6,),0)</f>
        <v>465.0854883</v>
      </c>
      <c r="L10" s="138">
        <f>IFERROR(VLOOKUP($B10, Data!$A$2:$K$89, 11,),0)</f>
        <v>0</v>
      </c>
      <c r="M10" s="136">
        <f t="shared" si="1"/>
        <v>4707.176766</v>
      </c>
      <c r="N10" s="138">
        <f t="shared" si="2"/>
        <v>0</v>
      </c>
      <c r="O10" s="139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5"/>
      <c r="AA10" s="135"/>
      <c r="AB10" s="134"/>
    </row>
    <row r="11" ht="14.25" customHeight="1">
      <c r="A11" s="134"/>
      <c r="B11" s="135" t="str">
        <f>Data!A10</f>
        <v>ATLAS</v>
      </c>
      <c r="C11" s="136">
        <f>IFERROR(VLOOKUP($B11,Price!$A$2:$B$120, 2,), 1)*IFERROR(VLOOKUP($B11, Data!$A$2:$K$89, 2,),0)</f>
        <v>0</v>
      </c>
      <c r="D11" s="138">
        <f>IFERROR(VLOOKUP($B11, Data!$A$2:$K$89, 7,),0)</f>
        <v>0</v>
      </c>
      <c r="E11" s="136">
        <f>IFERROR(VLOOKUP($B11,Price!$A$2:$B$120, 2,), 1)*IFERROR(VLOOKUP($B11, Data!$A$2:$K$89, 3,),0)</f>
        <v>0</v>
      </c>
      <c r="F11" s="138">
        <f>IFERROR(VLOOKUP($B11, Data!$A$2:$K$89, 8,),0)</f>
        <v>0</v>
      </c>
      <c r="G11" s="136">
        <f>IFERROR(VLOOKUP($B11,Price!$A$2:$B$120, 2,), 1)*IFERROR(VLOOKUP($B11, Data!$A$2:$K$89, 4,),0)</f>
        <v>0</v>
      </c>
      <c r="H11" s="138">
        <f>IFERROR(VLOOKUP($B11, Data!$A$2:$K$89, 9,),0)</f>
        <v>0</v>
      </c>
      <c r="I11" s="136">
        <f>IFERROR(VLOOKUP($B11,Price!$A$2:$B$120, 2,), 1)*IFERROR(VLOOKUP($B11, Data!$A$2:$K$89, 5,),0)</f>
        <v>696559.3546</v>
      </c>
      <c r="J11" s="138">
        <f>IFERROR(VLOOKUP($B11, Data!$A$2:$K$89, 10,),0)</f>
        <v>-0.0295482322</v>
      </c>
      <c r="K11" s="136">
        <f>IFERROR(VLOOKUP($B11,Price!$A$2:$B$120, 2,), 1)*IFERROR(VLOOKUP($B11, Data!$A$2:$K$89, 6,),0)</f>
        <v>0</v>
      </c>
      <c r="L11" s="138">
        <f>IFERROR(VLOOKUP($B11, Data!$A$2:$K$89, 11,),0)</f>
        <v>0</v>
      </c>
      <c r="M11" s="136">
        <f t="shared" si="1"/>
        <v>696559.3546</v>
      </c>
      <c r="N11" s="138">
        <f t="shared" si="2"/>
        <v>-0.0295482322</v>
      </c>
      <c r="O11" s="139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5"/>
      <c r="AA11" s="135"/>
      <c r="AB11" s="134"/>
    </row>
    <row r="12" ht="14.25" customHeight="1">
      <c r="A12" s="134"/>
      <c r="B12" s="135" t="str">
        <f>Data!A11</f>
        <v>AVAX</v>
      </c>
      <c r="C12" s="136">
        <f>IFERROR(VLOOKUP($B12,Price!$A$2:$B$120, 2,), 1)*IFERROR(VLOOKUP($B12, Data!$A$2:$K$89, 2,),0)</f>
        <v>331424.7108</v>
      </c>
      <c r="D12" s="138">
        <f>IFERROR(VLOOKUP($B12, Data!$A$2:$K$89, 7,),0)</f>
        <v>0</v>
      </c>
      <c r="E12" s="136">
        <f>IFERROR(VLOOKUP($B12,Price!$A$2:$B$120, 2,), 1)*IFERROR(VLOOKUP($B12, Data!$A$2:$K$89, 3,),0)</f>
        <v>2494.285216</v>
      </c>
      <c r="F12" s="138">
        <f>IFERROR(VLOOKUP($B12, Data!$A$2:$K$89, 8,),0)</f>
        <v>0</v>
      </c>
      <c r="G12" s="136">
        <f>IFERROR(VLOOKUP($B12,Price!$A$2:$B$120, 2,), 1)*IFERROR(VLOOKUP($B12, Data!$A$2:$K$89, 4,),0)</f>
        <v>0</v>
      </c>
      <c r="H12" s="138">
        <f>IFERROR(VLOOKUP($B12, Data!$A$2:$K$89, 9,),0)</f>
        <v>0</v>
      </c>
      <c r="I12" s="136">
        <f>IFERROR(VLOOKUP($B12,Price!$A$2:$B$120, 2,), 1)*IFERROR(VLOOKUP($B12, Data!$A$2:$K$89, 5,),0)</f>
        <v>13021348.77</v>
      </c>
      <c r="J12" s="138">
        <f>IFERROR(VLOOKUP($B12, Data!$A$2:$K$89, 10,),0)</f>
        <v>0.04294802288</v>
      </c>
      <c r="K12" s="136">
        <f>IFERROR(VLOOKUP($B12,Price!$A$2:$B$120, 2,), 1)*IFERROR(VLOOKUP($B12, Data!$A$2:$K$89, 6,),0)</f>
        <v>339.4529791</v>
      </c>
      <c r="L12" s="138">
        <f>IFERROR(VLOOKUP($B12, Data!$A$2:$K$89, 11,),0)</f>
        <v>0</v>
      </c>
      <c r="M12" s="136">
        <f t="shared" si="1"/>
        <v>13355607.22</v>
      </c>
      <c r="N12" s="138">
        <f t="shared" si="2"/>
        <v>0.04187313805</v>
      </c>
      <c r="O12" s="139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5"/>
      <c r="AA12" s="135"/>
      <c r="AB12" s="134"/>
    </row>
    <row r="13" ht="14.25" customHeight="1">
      <c r="A13" s="134"/>
      <c r="B13" s="135" t="str">
        <f>Data!A12</f>
        <v>BADGER</v>
      </c>
      <c r="C13" s="136">
        <f>IFERROR(VLOOKUP($B13,Price!$A$2:$B$120, 2,), 1)*IFERROR(VLOOKUP($B13, Data!$A$2:$K$89, 2,),0)</f>
        <v>13883.48888</v>
      </c>
      <c r="D13" s="138">
        <f>IFERROR(VLOOKUP($B13, Data!$A$2:$K$89, 7,),0)</f>
        <v>0</v>
      </c>
      <c r="E13" s="136">
        <f>IFERROR(VLOOKUP($B13,Price!$A$2:$B$120, 2,), 1)*IFERROR(VLOOKUP($B13, Data!$A$2:$K$89, 3,),0)</f>
        <v>3034855.693</v>
      </c>
      <c r="F13" s="138">
        <f>IFERROR(VLOOKUP($B13, Data!$A$2:$K$89, 8,),0)</f>
        <v>0</v>
      </c>
      <c r="G13" s="136">
        <f>IFERROR(VLOOKUP($B13,Price!$A$2:$B$120, 2,), 1)*IFERROR(VLOOKUP($B13, Data!$A$2:$K$89, 4,),0)</f>
        <v>0</v>
      </c>
      <c r="H13" s="138">
        <f>IFERROR(VLOOKUP($B13, Data!$A$2:$K$89, 9,),0)</f>
        <v>0</v>
      </c>
      <c r="I13" s="136">
        <f>IFERROR(VLOOKUP($B13,Price!$A$2:$B$120, 2,), 1)*IFERROR(VLOOKUP($B13, Data!$A$2:$K$89, 5,),0)</f>
        <v>294730.5043</v>
      </c>
      <c r="J13" s="138">
        <f>IFERROR(VLOOKUP($B13, Data!$A$2:$K$89, 10,),0)</f>
        <v>0.5499999285</v>
      </c>
      <c r="K13" s="136">
        <f>IFERROR(VLOOKUP($B13,Price!$A$2:$B$120, 2,), 1)*IFERROR(VLOOKUP($B13, Data!$A$2:$K$89, 6,),0)</f>
        <v>0</v>
      </c>
      <c r="L13" s="138">
        <f>IFERROR(VLOOKUP($B13, Data!$A$2:$K$89, 11,),0)</f>
        <v>0</v>
      </c>
      <c r="M13" s="136">
        <f t="shared" si="1"/>
        <v>3343469.686</v>
      </c>
      <c r="N13" s="138">
        <f t="shared" si="2"/>
        <v>0.04848309437</v>
      </c>
      <c r="O13" s="139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5"/>
      <c r="AA13" s="135"/>
      <c r="AB13" s="134"/>
    </row>
    <row r="14" ht="14.25" hidden="1" customHeight="1" outlineLevel="1">
      <c r="A14" s="134"/>
      <c r="B14" s="135" t="str">
        <f>Data!A13</f>
        <v>BAL</v>
      </c>
      <c r="C14" s="136">
        <f>IFERROR(VLOOKUP($B14,Price!$A$2:$B$120, 2,), 1)*IFERROR(VLOOKUP($B14, Data!$A$2:$K$89, 2,),0)</f>
        <v>12309.68905</v>
      </c>
      <c r="D14" s="138">
        <f>IFERROR(VLOOKUP($B14, Data!$A$2:$K$89, 7,),0)</f>
        <v>0</v>
      </c>
      <c r="E14" s="136">
        <f>IFERROR(VLOOKUP($B14,Price!$A$2:$B$120, 2,), 1)*IFERROR(VLOOKUP($B14, Data!$A$2:$K$89, 3,),0)</f>
        <v>0.1160087173</v>
      </c>
      <c r="F14" s="138">
        <f>IFERROR(VLOOKUP($B14, Data!$A$2:$K$89, 8,),0)</f>
        <v>0</v>
      </c>
      <c r="G14" s="136">
        <f>IFERROR(VLOOKUP($B14,Price!$A$2:$B$120, 2,), 1)*IFERROR(VLOOKUP($B14, Data!$A$2:$K$89, 4,),0)</f>
        <v>0</v>
      </c>
      <c r="H14" s="138">
        <f>IFERROR(VLOOKUP($B14, Data!$A$2:$K$89, 9,),0)</f>
        <v>0</v>
      </c>
      <c r="I14" s="136">
        <f>IFERROR(VLOOKUP($B14,Price!$A$2:$B$120, 2,), 1)*IFERROR(VLOOKUP($B14, Data!$A$2:$K$89, 5,),0)</f>
        <v>206240.7806</v>
      </c>
      <c r="J14" s="138">
        <f>IFERROR(VLOOKUP($B14, Data!$A$2:$K$89, 10,),0)</f>
        <v>0.1624</v>
      </c>
      <c r="K14" s="136">
        <f>IFERROR(VLOOKUP($B14,Price!$A$2:$B$120, 2,), 1)*IFERROR(VLOOKUP($B14, Data!$A$2:$K$89, 6,),0)</f>
        <v>3.118101172</v>
      </c>
      <c r="L14" s="138">
        <f>IFERROR(VLOOKUP($B14, Data!$A$2:$K$89, 11,),0)</f>
        <v>0</v>
      </c>
      <c r="M14" s="136">
        <f t="shared" si="1"/>
        <v>218553.7038</v>
      </c>
      <c r="N14" s="138">
        <f t="shared" si="2"/>
        <v>0.1532506757</v>
      </c>
      <c r="O14" s="139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5"/>
      <c r="AA14" s="135"/>
      <c r="AB14" s="134"/>
    </row>
    <row r="15" ht="14.25" hidden="1" customHeight="1" outlineLevel="1">
      <c r="A15" s="134"/>
      <c r="B15" s="135" t="str">
        <f>Data!A14</f>
        <v>BAT</v>
      </c>
      <c r="C15" s="136">
        <f>IFERROR(VLOOKUP($B15,Price!$A$2:$B$120, 2,), 1)*IFERROR(VLOOKUP($B15, Data!$A$2:$K$89, 2,),0)</f>
        <v>3560022.444</v>
      </c>
      <c r="D15" s="138">
        <f>IFERROR(VLOOKUP($B15, Data!$A$2:$K$89, 7,),0)</f>
        <v>0</v>
      </c>
      <c r="E15" s="136">
        <f>IFERROR(VLOOKUP($B15,Price!$A$2:$B$120, 2,), 1)*IFERROR(VLOOKUP($B15, Data!$A$2:$K$89, 3,),0)</f>
        <v>0</v>
      </c>
      <c r="F15" s="138">
        <f>IFERROR(VLOOKUP($B15, Data!$A$2:$K$89, 8,),0)</f>
        <v>0</v>
      </c>
      <c r="G15" s="136">
        <f>IFERROR(VLOOKUP($B15,Price!$A$2:$B$120, 2,), 1)*IFERROR(VLOOKUP($B15, Data!$A$2:$K$89, 4,),0)</f>
        <v>0</v>
      </c>
      <c r="H15" s="138">
        <f>IFERROR(VLOOKUP($B15, Data!$A$2:$K$89, 9,),0)</f>
        <v>0</v>
      </c>
      <c r="I15" s="136">
        <f>IFERROR(VLOOKUP($B15,Price!$A$2:$B$120, 2,), 1)*IFERROR(VLOOKUP($B15, Data!$A$2:$K$89, 5,),0)</f>
        <v>5113189.404</v>
      </c>
      <c r="J15" s="138">
        <f>IFERROR(VLOOKUP($B15, Data!$A$2:$K$89, 10,),0)</f>
        <v>0.0537319682</v>
      </c>
      <c r="K15" s="136">
        <f>IFERROR(VLOOKUP($B15,Price!$A$2:$B$120, 2,), 1)*IFERROR(VLOOKUP($B15, Data!$A$2:$K$89, 6,),0)</f>
        <v>11071154.43</v>
      </c>
      <c r="L15" s="138">
        <f>IFERROR(VLOOKUP($B15, Data!$A$2:$K$89, 11,),0)</f>
        <v>0.01587275897</v>
      </c>
      <c r="M15" s="136">
        <f t="shared" si="1"/>
        <v>19744366.28</v>
      </c>
      <c r="N15" s="138">
        <f t="shared" si="2"/>
        <v>0.02281519143</v>
      </c>
      <c r="O15" s="139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5"/>
      <c r="AA15" s="135"/>
      <c r="AB15" s="134"/>
    </row>
    <row r="16" ht="14.25" hidden="1" customHeight="1" outlineLevel="1">
      <c r="A16" s="134"/>
      <c r="B16" s="135" t="str">
        <f>Data!A15</f>
        <v>BCH</v>
      </c>
      <c r="C16" s="136">
        <f>IFERROR(VLOOKUP($B16,Price!$A$2:$B$120, 2,), 1)*IFERROR(VLOOKUP($B16, Data!$A$2:$K$89, 2,),0)</f>
        <v>978656.7472</v>
      </c>
      <c r="D16" s="138">
        <f>IFERROR(VLOOKUP($B16, Data!$A$2:$K$89, 7,),0)</f>
        <v>0</v>
      </c>
      <c r="E16" s="136">
        <f>IFERROR(VLOOKUP($B16,Price!$A$2:$B$120, 2,), 1)*IFERROR(VLOOKUP($B16, Data!$A$2:$K$89, 3,),0)</f>
        <v>0</v>
      </c>
      <c r="F16" s="138">
        <f>IFERROR(VLOOKUP($B16, Data!$A$2:$K$89, 8,),0)</f>
        <v>0</v>
      </c>
      <c r="G16" s="136">
        <f>IFERROR(VLOOKUP($B16,Price!$A$2:$B$120, 2,), 1)*IFERROR(VLOOKUP($B16, Data!$A$2:$K$89, 4,),0)</f>
        <v>0</v>
      </c>
      <c r="H16" s="138">
        <f>IFERROR(VLOOKUP($B16, Data!$A$2:$K$89, 9,),0)</f>
        <v>0</v>
      </c>
      <c r="I16" s="136">
        <f>IFERROR(VLOOKUP($B16,Price!$A$2:$B$120, 2,), 1)*IFERROR(VLOOKUP($B16, Data!$A$2:$K$89, 5,),0)</f>
        <v>30897523.51</v>
      </c>
      <c r="J16" s="138">
        <f>IFERROR(VLOOKUP($B16, Data!$A$2:$K$89, 10,),0)</f>
        <v>0.04086840675</v>
      </c>
      <c r="K16" s="136">
        <f>IFERROR(VLOOKUP($B16,Price!$A$2:$B$120, 2,), 1)*IFERROR(VLOOKUP($B16, Data!$A$2:$K$89, 6,),0)</f>
        <v>7321433.333</v>
      </c>
      <c r="L16" s="138">
        <f>IFERROR(VLOOKUP($B16, Data!$A$2:$K$89, 11,),0)</f>
        <v>0</v>
      </c>
      <c r="M16" s="136">
        <f t="shared" si="1"/>
        <v>39197613.59</v>
      </c>
      <c r="N16" s="138">
        <f t="shared" si="2"/>
        <v>0.03221452641</v>
      </c>
      <c r="O16" s="139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5"/>
      <c r="AA16" s="135"/>
      <c r="AB16" s="134"/>
    </row>
    <row r="17" ht="14.25" hidden="1" customHeight="1" outlineLevel="1">
      <c r="A17" s="134"/>
      <c r="B17" s="135" t="str">
        <f>Data!A16</f>
        <v>BNB</v>
      </c>
      <c r="C17" s="136">
        <f>IFERROR(VLOOKUP($B17,Price!$A$2:$B$120, 2,), 1)*IFERROR(VLOOKUP($B17, Data!$A$2:$K$89, 2,),0)</f>
        <v>4407151.607</v>
      </c>
      <c r="D17" s="138">
        <f>IFERROR(VLOOKUP($B17, Data!$A$2:$K$89, 7,),0)</f>
        <v>0</v>
      </c>
      <c r="E17" s="136">
        <f>IFERROR(VLOOKUP($B17,Price!$A$2:$B$120, 2,), 1)*IFERROR(VLOOKUP($B17, Data!$A$2:$K$89, 3,),0)</f>
        <v>2670658.945</v>
      </c>
      <c r="F17" s="138">
        <f>IFERROR(VLOOKUP($B17, Data!$A$2:$K$89, 8,),0)</f>
        <v>0</v>
      </c>
      <c r="G17" s="136">
        <f>IFERROR(VLOOKUP($B17,Price!$A$2:$B$120, 2,), 1)*IFERROR(VLOOKUP($B17, Data!$A$2:$K$89, 4,),0)</f>
        <v>0</v>
      </c>
      <c r="H17" s="138">
        <f>IFERROR(VLOOKUP($B17, Data!$A$2:$K$89, 9,),0)</f>
        <v>0</v>
      </c>
      <c r="I17" s="136">
        <f>IFERROR(VLOOKUP($B17,Price!$A$2:$B$120, 2,), 1)*IFERROR(VLOOKUP($B17, Data!$A$2:$K$89, 5,),0)</f>
        <v>30425986.05</v>
      </c>
      <c r="J17" s="138">
        <f>IFERROR(VLOOKUP($B17, Data!$A$2:$K$89, 10,),0)</f>
        <v>0.0726</v>
      </c>
      <c r="K17" s="136">
        <f>IFERROR(VLOOKUP($B17,Price!$A$2:$B$120, 2,), 1)*IFERROR(VLOOKUP($B17, Data!$A$2:$K$89, 6,),0)</f>
        <v>0</v>
      </c>
      <c r="L17" s="138">
        <f>IFERROR(VLOOKUP($B17, Data!$A$2:$K$89, 11,),0)</f>
        <v>0</v>
      </c>
      <c r="M17" s="136">
        <f t="shared" si="1"/>
        <v>37503796.6</v>
      </c>
      <c r="N17" s="138">
        <f t="shared" si="2"/>
        <v>0.05889874592</v>
      </c>
      <c r="O17" s="139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5"/>
      <c r="AA17" s="135"/>
      <c r="AB17" s="134"/>
    </row>
    <row r="18" ht="14.25" hidden="1" customHeight="1" outlineLevel="1">
      <c r="A18" s="134"/>
      <c r="B18" s="135" t="str">
        <f>Data!A17</f>
        <v>BNT</v>
      </c>
      <c r="C18" s="136">
        <f>IFERROR(VLOOKUP($B18,Price!$A$2:$B$120, 2,), 1)*IFERROR(VLOOKUP($B18, Data!$A$2:$K$89, 2,),0)</f>
        <v>927119.0125</v>
      </c>
      <c r="D18" s="138">
        <f>IFERROR(VLOOKUP($B18, Data!$A$2:$K$89, 7,),0)</f>
        <v>0</v>
      </c>
      <c r="E18" s="136">
        <f>IFERROR(VLOOKUP($B18,Price!$A$2:$B$120, 2,), 1)*IFERROR(VLOOKUP($B18, Data!$A$2:$K$89, 3,),0)</f>
        <v>2891817.749</v>
      </c>
      <c r="F18" s="138">
        <f>IFERROR(VLOOKUP($B18, Data!$A$2:$K$89, 8,),0)</f>
        <v>0.4622592596</v>
      </c>
      <c r="G18" s="136">
        <f>IFERROR(VLOOKUP($B18,Price!$A$2:$B$120, 2,), 1)*IFERROR(VLOOKUP($B18, Data!$A$2:$K$89, 4,),0)</f>
        <v>0</v>
      </c>
      <c r="H18" s="138">
        <f>IFERROR(VLOOKUP($B18, Data!$A$2:$K$89, 9,),0)</f>
        <v>0</v>
      </c>
      <c r="I18" s="136">
        <f>IFERROR(VLOOKUP($B18,Price!$A$2:$B$120, 2,), 1)*IFERROR(VLOOKUP($B18, Data!$A$2:$K$89, 5,),0)</f>
        <v>8097734.78</v>
      </c>
      <c r="J18" s="138">
        <f>IFERROR(VLOOKUP($B18, Data!$A$2:$K$89, 10,),0)</f>
        <v>0.0715999564</v>
      </c>
      <c r="K18" s="136">
        <f>IFERROR(VLOOKUP($B18,Price!$A$2:$B$120, 2,), 1)*IFERROR(VLOOKUP($B18, Data!$A$2:$K$89, 6,),0)</f>
        <v>642376.5055</v>
      </c>
      <c r="L18" s="138">
        <f>IFERROR(VLOOKUP($B18, Data!$A$2:$K$89, 11,),0)</f>
        <v>0</v>
      </c>
      <c r="M18" s="136">
        <f t="shared" si="1"/>
        <v>12559048.05</v>
      </c>
      <c r="N18" s="138">
        <f t="shared" si="2"/>
        <v>0.1526044794</v>
      </c>
      <c r="O18" s="139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5"/>
      <c r="AA18" s="135"/>
      <c r="AB18" s="134"/>
    </row>
    <row r="19" ht="14.25" hidden="1" customHeight="1" outlineLevel="1">
      <c r="A19" s="134"/>
      <c r="B19" s="135" t="str">
        <f>Data!A18</f>
        <v>BOBA</v>
      </c>
      <c r="C19" s="136">
        <f>IFERROR(VLOOKUP($B19,Price!$A$2:$B$120, 2,), 1)*IFERROR(VLOOKUP($B19, Data!$A$2:$K$89, 2,),0)</f>
        <v>0</v>
      </c>
      <c r="D19" s="138">
        <f>IFERROR(VLOOKUP($B19, Data!$A$2:$K$89, 7,),0)</f>
        <v>0</v>
      </c>
      <c r="E19" s="136">
        <f>IFERROR(VLOOKUP($B19,Price!$A$2:$B$120, 2,), 1)*IFERROR(VLOOKUP($B19, Data!$A$2:$K$89, 3,),0)</f>
        <v>0</v>
      </c>
      <c r="F19" s="138">
        <f>IFERROR(VLOOKUP($B19, Data!$A$2:$K$89, 8,),0)</f>
        <v>0</v>
      </c>
      <c r="G19" s="136">
        <f>IFERROR(VLOOKUP($B19,Price!$A$2:$B$120, 2,), 1)*IFERROR(VLOOKUP($B19, Data!$A$2:$K$89, 4,),0)</f>
        <v>0</v>
      </c>
      <c r="H19" s="138">
        <f>IFERROR(VLOOKUP($B19, Data!$A$2:$K$89, 9,),0)</f>
        <v>0</v>
      </c>
      <c r="I19" s="136">
        <f>IFERROR(VLOOKUP($B19,Price!$A$2:$B$120, 2,), 1)*IFERROR(VLOOKUP($B19, Data!$A$2:$K$89, 5,),0)</f>
        <v>1204000.382</v>
      </c>
      <c r="J19" s="138">
        <f>IFERROR(VLOOKUP($B19, Data!$A$2:$K$89, 10,),0)</f>
        <v>0.04294812297</v>
      </c>
      <c r="K19" s="136">
        <f>IFERROR(VLOOKUP($B19,Price!$A$2:$B$120, 2,), 1)*IFERROR(VLOOKUP($B19, Data!$A$2:$K$89, 6,),0)</f>
        <v>0</v>
      </c>
      <c r="L19" s="138">
        <f>IFERROR(VLOOKUP($B19, Data!$A$2:$K$89, 11,),0)</f>
        <v>0</v>
      </c>
      <c r="M19" s="136">
        <f t="shared" si="1"/>
        <v>1204000.382</v>
      </c>
      <c r="N19" s="138">
        <f t="shared" si="2"/>
        <v>0.04294812297</v>
      </c>
      <c r="O19" s="139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5"/>
      <c r="AA19" s="135"/>
      <c r="AB19" s="134"/>
    </row>
    <row r="20" ht="14.25" hidden="1" customHeight="1" outlineLevel="1">
      <c r="A20" s="134"/>
      <c r="B20" s="135" t="str">
        <f>Data!A19</f>
        <v>BOND</v>
      </c>
      <c r="C20" s="136">
        <f>IFERROR(VLOOKUP($B20,Price!$A$2:$B$120, 2,), 1)*IFERROR(VLOOKUP($B20, Data!$A$2:$K$89, 2,),0)</f>
        <v>3.682515175</v>
      </c>
      <c r="D20" s="138">
        <f>IFERROR(VLOOKUP($B20, Data!$A$2:$K$89, 7,),0)</f>
        <v>0</v>
      </c>
      <c r="E20" s="136">
        <f>IFERROR(VLOOKUP($B20,Price!$A$2:$B$120, 2,), 1)*IFERROR(VLOOKUP($B20, Data!$A$2:$K$89, 3,),0)</f>
        <v>0</v>
      </c>
      <c r="F20" s="138">
        <f>IFERROR(VLOOKUP($B20, Data!$A$2:$K$89, 8,),0)</f>
        <v>0</v>
      </c>
      <c r="G20" s="136">
        <f>IFERROR(VLOOKUP($B20,Price!$A$2:$B$120, 2,), 1)*IFERROR(VLOOKUP($B20, Data!$A$2:$K$89, 4,),0)</f>
        <v>0</v>
      </c>
      <c r="H20" s="138">
        <f>IFERROR(VLOOKUP($B20, Data!$A$2:$K$89, 9,),0)</f>
        <v>0</v>
      </c>
      <c r="I20" s="136">
        <f>IFERROR(VLOOKUP($B20,Price!$A$2:$B$120, 2,), 1)*IFERROR(VLOOKUP($B20, Data!$A$2:$K$89, 5,),0)</f>
        <v>0</v>
      </c>
      <c r="J20" s="138">
        <f>IFERROR(VLOOKUP($B20, Data!$A$2:$K$89, 10,),0)</f>
        <v>0</v>
      </c>
      <c r="K20" s="136">
        <f>IFERROR(VLOOKUP($B20,Price!$A$2:$B$120, 2,), 1)*IFERROR(VLOOKUP($B20, Data!$A$2:$K$89, 6,),0)</f>
        <v>4120.500688</v>
      </c>
      <c r="L20" s="138">
        <f>IFERROR(VLOOKUP($B20, Data!$A$2:$K$89, 11,),0)</f>
        <v>0</v>
      </c>
      <c r="M20" s="136">
        <f t="shared" si="1"/>
        <v>4124.183204</v>
      </c>
      <c r="N20" s="138">
        <f t="shared" si="2"/>
        <v>0</v>
      </c>
      <c r="O20" s="139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5"/>
      <c r="AA20" s="135"/>
      <c r="AB20" s="134"/>
    </row>
    <row r="21" ht="14.25" hidden="1" customHeight="1" outlineLevel="1">
      <c r="A21" s="134"/>
      <c r="B21" s="135" t="str">
        <f>Data!A20</f>
        <v>BOR</v>
      </c>
      <c r="C21" s="136">
        <f>IFERROR(VLOOKUP($B21,Price!$A$2:$B$120, 2,), 1)*IFERROR(VLOOKUP($B21, Data!$A$2:$K$89, 2,),0)</f>
        <v>0</v>
      </c>
      <c r="D21" s="138">
        <f>IFERROR(VLOOKUP($B21, Data!$A$2:$K$89, 7,),0)</f>
        <v>0</v>
      </c>
      <c r="E21" s="136">
        <f>IFERROR(VLOOKUP($B21,Price!$A$2:$B$120, 2,), 1)*IFERROR(VLOOKUP($B21, Data!$A$2:$K$89, 3,),0)</f>
        <v>90062.73705</v>
      </c>
      <c r="F21" s="138">
        <f>IFERROR(VLOOKUP($B21, Data!$A$2:$K$89, 8,),0)</f>
        <v>0</v>
      </c>
      <c r="G21" s="136">
        <f>IFERROR(VLOOKUP($B21,Price!$A$2:$B$120, 2,), 1)*IFERROR(VLOOKUP($B21, Data!$A$2:$K$89, 4,),0)</f>
        <v>0</v>
      </c>
      <c r="H21" s="138">
        <f>IFERROR(VLOOKUP($B21, Data!$A$2:$K$89, 9,),0)</f>
        <v>0</v>
      </c>
      <c r="I21" s="136">
        <f>IFERROR(VLOOKUP($B21,Price!$A$2:$B$120, 2,), 1)*IFERROR(VLOOKUP($B21, Data!$A$2:$K$89, 5,),0)</f>
        <v>0</v>
      </c>
      <c r="J21" s="138">
        <f>IFERROR(VLOOKUP($B21, Data!$A$2:$K$89, 10,),0)</f>
        <v>0</v>
      </c>
      <c r="K21" s="136">
        <f>IFERROR(VLOOKUP($B21,Price!$A$2:$B$120, 2,), 1)*IFERROR(VLOOKUP($B21, Data!$A$2:$K$89, 6,),0)</f>
        <v>0</v>
      </c>
      <c r="L21" s="138">
        <f>IFERROR(VLOOKUP($B21, Data!$A$2:$K$89, 11,),0)</f>
        <v>0</v>
      </c>
      <c r="M21" s="136">
        <f t="shared" si="1"/>
        <v>90062.73705</v>
      </c>
      <c r="N21" s="138">
        <f t="shared" si="2"/>
        <v>0</v>
      </c>
      <c r="O21" s="139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5"/>
      <c r="AA21" s="135"/>
      <c r="AB21" s="134"/>
    </row>
    <row r="22" ht="14.25" hidden="1" customHeight="1" outlineLevel="1">
      <c r="A22" s="134"/>
      <c r="B22" s="135" t="str">
        <f>Data!A21</f>
        <v>BSV</v>
      </c>
      <c r="C22" s="136">
        <f>IFERROR(VLOOKUP($B22,Price!$A$2:$B$120, 2,), 1)*IFERROR(VLOOKUP($B22, Data!$A$2:$K$89, 2,),0)</f>
        <v>642492.2529</v>
      </c>
      <c r="D22" s="138">
        <f>IFERROR(VLOOKUP($B22, Data!$A$2:$K$89, 7,),0)</f>
        <v>0</v>
      </c>
      <c r="E22" s="136">
        <f>IFERROR(VLOOKUP($B22,Price!$A$2:$B$120, 2,), 1)*IFERROR(VLOOKUP($B22, Data!$A$2:$K$89, 3,),0)</f>
        <v>0</v>
      </c>
      <c r="F22" s="138">
        <f>IFERROR(VLOOKUP($B22, Data!$A$2:$K$89, 8,),0)</f>
        <v>0</v>
      </c>
      <c r="G22" s="136">
        <f>IFERROR(VLOOKUP($B22,Price!$A$2:$B$120, 2,), 1)*IFERROR(VLOOKUP($B22, Data!$A$2:$K$89, 4,),0)</f>
        <v>0</v>
      </c>
      <c r="H22" s="138">
        <f>IFERROR(VLOOKUP($B22, Data!$A$2:$K$89, 9,),0)</f>
        <v>0</v>
      </c>
      <c r="I22" s="136">
        <f>IFERROR(VLOOKUP($B22,Price!$A$2:$B$120, 2,), 1)*IFERROR(VLOOKUP($B22, Data!$A$2:$K$89, 5,),0)</f>
        <v>3034959.774</v>
      </c>
      <c r="J22" s="138">
        <f>IFERROR(VLOOKUP($B22, Data!$A$2:$K$89, 10,),0)</f>
        <v>0.0489</v>
      </c>
      <c r="K22" s="136">
        <f>IFERROR(VLOOKUP($B22,Price!$A$2:$B$120, 2,), 1)*IFERROR(VLOOKUP($B22, Data!$A$2:$K$89, 6,),0)</f>
        <v>0</v>
      </c>
      <c r="L22" s="138">
        <f>IFERROR(VLOOKUP($B22, Data!$A$2:$K$89, 11,),0)</f>
        <v>0</v>
      </c>
      <c r="M22" s="136">
        <f t="shared" si="1"/>
        <v>3677452.027</v>
      </c>
      <c r="N22" s="138">
        <f t="shared" si="2"/>
        <v>0.04035661971</v>
      </c>
      <c r="O22" s="139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5"/>
      <c r="AA22" s="135"/>
      <c r="AB22" s="134"/>
    </row>
    <row r="23" ht="14.25" hidden="1" customHeight="1" outlineLevel="1">
      <c r="A23" s="134"/>
      <c r="B23" s="135" t="str">
        <f>Data!A22</f>
        <v>BTC</v>
      </c>
      <c r="C23" s="136">
        <f>IFERROR(VLOOKUP($B23,Price!$A$2:$B$120, 2,), 1)*IFERROR(VLOOKUP($B23, Data!$A$2:$K$89, 2,),0)</f>
        <v>1016625633</v>
      </c>
      <c r="D23" s="138">
        <f>IFERROR(VLOOKUP($B23, Data!$A$2:$K$89, 7,),0)</f>
        <v>0</v>
      </c>
      <c r="E23" s="136">
        <f>IFERROR(VLOOKUP($B23,Price!$A$2:$B$120, 2,), 1)*IFERROR(VLOOKUP($B23, Data!$A$2:$K$89, 3,),0)</f>
        <v>669210049.6</v>
      </c>
      <c r="F23" s="138">
        <f>IFERROR(VLOOKUP($B23, Data!$A$2:$K$89, 8,),0)</f>
        <v>0.01214150688</v>
      </c>
      <c r="G23" s="136">
        <f>IFERROR(VLOOKUP($B23,Price!$A$2:$B$120, 2,), 1)*IFERROR(VLOOKUP($B23, Data!$A$2:$K$89, 4,),0)</f>
        <v>0</v>
      </c>
      <c r="H23" s="138">
        <f>IFERROR(VLOOKUP($B23, Data!$A$2:$K$89, 9,),0)</f>
        <v>0</v>
      </c>
      <c r="I23" s="136">
        <f>IFERROR(VLOOKUP($B23,Price!$A$2:$B$120, 2,), 1)*IFERROR(VLOOKUP($B23, Data!$A$2:$K$89, 5,),0)</f>
        <v>1449936144</v>
      </c>
      <c r="J23" s="138">
        <f>IFERROR(VLOOKUP($B23, Data!$A$2:$K$89, 10,),0)</f>
        <v>0.03080503816</v>
      </c>
      <c r="K23" s="136">
        <f>IFERROR(VLOOKUP($B23,Price!$A$2:$B$120, 2,), 1)*IFERROR(VLOOKUP($B23, Data!$A$2:$K$89, 6,),0)</f>
        <v>2398438999</v>
      </c>
      <c r="L23" s="138">
        <f>IFERROR(VLOOKUP($B23, Data!$A$2:$K$89, 11,),0)</f>
        <v>0.00136989358</v>
      </c>
      <c r="M23" s="136">
        <f t="shared" si="1"/>
        <v>5534210826</v>
      </c>
      <c r="N23" s="138">
        <f t="shared" si="2"/>
        <v>0.01013263943</v>
      </c>
      <c r="O23" s="139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5"/>
      <c r="AA23" s="135"/>
      <c r="AB23" s="134"/>
    </row>
    <row r="24" ht="14.25" hidden="1" customHeight="1" outlineLevel="1">
      <c r="A24" s="134"/>
      <c r="B24" s="135" t="str">
        <f>Data!A23</f>
        <v>BTG</v>
      </c>
      <c r="C24" s="136">
        <f>IFERROR(VLOOKUP($B24,Price!$A$2:$B$120, 2,), 1)*IFERROR(VLOOKUP($B24, Data!$A$2:$K$89, 2,),0)</f>
        <v>0</v>
      </c>
      <c r="D24" s="138">
        <f>IFERROR(VLOOKUP($B24, Data!$A$2:$K$89, 7,),0)</f>
        <v>0</v>
      </c>
      <c r="E24" s="136">
        <f>IFERROR(VLOOKUP($B24,Price!$A$2:$B$120, 2,), 1)*IFERROR(VLOOKUP($B24, Data!$A$2:$K$89, 3,),0)</f>
        <v>0</v>
      </c>
      <c r="F24" s="138">
        <f>IFERROR(VLOOKUP($B24, Data!$A$2:$K$89, 8,),0)</f>
        <v>0</v>
      </c>
      <c r="G24" s="136">
        <f>IFERROR(VLOOKUP($B24,Price!$A$2:$B$120, 2,), 1)*IFERROR(VLOOKUP($B24, Data!$A$2:$K$89, 4,),0)</f>
        <v>0</v>
      </c>
      <c r="H24" s="138">
        <f>IFERROR(VLOOKUP($B24, Data!$A$2:$K$89, 9,),0)</f>
        <v>0</v>
      </c>
      <c r="I24" s="136">
        <f>IFERROR(VLOOKUP($B24,Price!$A$2:$B$120, 2,), 1)*IFERROR(VLOOKUP($B24, Data!$A$2:$K$89, 5,),0)</f>
        <v>155308.0237</v>
      </c>
      <c r="J24" s="138">
        <f>IFERROR(VLOOKUP($B24, Data!$A$2:$K$89, 10,),0)</f>
        <v>0.071</v>
      </c>
      <c r="K24" s="136">
        <f>IFERROR(VLOOKUP($B24,Price!$A$2:$B$120, 2,), 1)*IFERROR(VLOOKUP($B24, Data!$A$2:$K$89, 6,),0)</f>
        <v>0</v>
      </c>
      <c r="L24" s="138">
        <f>IFERROR(VLOOKUP($B24, Data!$A$2:$K$89, 11,),0)</f>
        <v>0</v>
      </c>
      <c r="M24" s="136">
        <f t="shared" si="1"/>
        <v>155308.0237</v>
      </c>
      <c r="N24" s="138">
        <f t="shared" si="2"/>
        <v>0.071</v>
      </c>
      <c r="O24" s="139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5"/>
      <c r="AA24" s="135"/>
      <c r="AB24" s="134"/>
    </row>
    <row r="25" ht="14.25" hidden="1" customHeight="1" outlineLevel="1">
      <c r="A25" s="134"/>
      <c r="B25" s="135" t="str">
        <f>Data!A24</f>
        <v>CEL</v>
      </c>
      <c r="C25" s="136">
        <f>IFERROR(VLOOKUP($B25,Price!$A$2:$B$120, 2,), 1)*IFERROR(VLOOKUP($B25, Data!$A$2:$K$89, 2,),0)</f>
        <v>2365446205</v>
      </c>
      <c r="D25" s="138">
        <f>IFERROR(VLOOKUP($B25, Data!$A$2:$K$89, 7,),0)</f>
        <v>0</v>
      </c>
      <c r="E25" s="136">
        <f>IFERROR(VLOOKUP($B25,Price!$A$2:$B$120, 2,), 1)*IFERROR(VLOOKUP($B25, Data!$A$2:$K$89, 3,),0)</f>
        <v>22635466.54</v>
      </c>
      <c r="F25" s="138">
        <f>IFERROR(VLOOKUP($B25, Data!$A$2:$K$89, 8,),0)</f>
        <v>0</v>
      </c>
      <c r="G25" s="136">
        <f>IFERROR(VLOOKUP($B25,Price!$A$2:$B$120, 2,), 1)*IFERROR(VLOOKUP($B25, Data!$A$2:$K$89, 4,),0)</f>
        <v>0</v>
      </c>
      <c r="H25" s="138">
        <f>IFERROR(VLOOKUP($B25, Data!$A$2:$K$89, 9,),0)</f>
        <v>0</v>
      </c>
      <c r="I25" s="136">
        <f>IFERROR(VLOOKUP($B25,Price!$A$2:$B$120, 2,), 1)*IFERROR(VLOOKUP($B25, Data!$A$2:$K$89, 5,),0)</f>
        <v>185519443.7</v>
      </c>
      <c r="J25" s="138">
        <f>IFERROR(VLOOKUP($B25, Data!$A$2:$K$89, 10,),0)</f>
        <v>0.03090765204</v>
      </c>
      <c r="K25" s="136">
        <f>IFERROR(VLOOKUP($B25,Price!$A$2:$B$120, 2,), 1)*IFERROR(VLOOKUP($B25, Data!$A$2:$K$89, 6,),0)</f>
        <v>772134.9576</v>
      </c>
      <c r="L25" s="138">
        <f>IFERROR(VLOOKUP($B25, Data!$A$2:$K$89, 11,),0)</f>
        <v>0</v>
      </c>
      <c r="M25" s="136">
        <f t="shared" si="1"/>
        <v>2574373250</v>
      </c>
      <c r="N25" s="138">
        <f t="shared" si="2"/>
        <v>0.002227326753</v>
      </c>
      <c r="O25" s="139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5"/>
      <c r="AA25" s="135"/>
      <c r="AB25" s="134"/>
    </row>
    <row r="26" ht="14.25" hidden="1" customHeight="1" outlineLevel="1">
      <c r="A26" s="134"/>
      <c r="B26" s="135" t="str">
        <f>Data!A25</f>
        <v>COMP</v>
      </c>
      <c r="C26" s="136">
        <f>IFERROR(VLOOKUP($B26,Price!$A$2:$B$120, 2,), 1)*IFERROR(VLOOKUP($B26, Data!$A$2:$K$89, 2,),0)</f>
        <v>3823111.487</v>
      </c>
      <c r="D26" s="138">
        <f>IFERROR(VLOOKUP($B26, Data!$A$2:$K$89, 7,),0)</f>
        <v>0</v>
      </c>
      <c r="E26" s="136">
        <f>IFERROR(VLOOKUP($B26,Price!$A$2:$B$120, 2,), 1)*IFERROR(VLOOKUP($B26, Data!$A$2:$K$89, 3,),0)</f>
        <v>695.5934219</v>
      </c>
      <c r="F26" s="138">
        <f>IFERROR(VLOOKUP($B26, Data!$A$2:$K$89, 8,),0)</f>
        <v>0</v>
      </c>
      <c r="G26" s="136">
        <f>IFERROR(VLOOKUP($B26,Price!$A$2:$B$120, 2,), 1)*IFERROR(VLOOKUP($B26, Data!$A$2:$K$89, 4,),0)</f>
        <v>0</v>
      </c>
      <c r="H26" s="138">
        <f>IFERROR(VLOOKUP($B26, Data!$A$2:$K$89, 9,),0)</f>
        <v>0</v>
      </c>
      <c r="I26" s="136">
        <f>IFERROR(VLOOKUP($B26,Price!$A$2:$B$120, 2,), 1)*IFERROR(VLOOKUP($B26, Data!$A$2:$K$89, 5,),0)</f>
        <v>2801806.046</v>
      </c>
      <c r="J26" s="138">
        <f>IFERROR(VLOOKUP($B26, Data!$A$2:$K$89, 10,),0)</f>
        <v>0.1255776572</v>
      </c>
      <c r="K26" s="136">
        <f>IFERROR(VLOOKUP($B26,Price!$A$2:$B$120, 2,), 1)*IFERROR(VLOOKUP($B26, Data!$A$2:$K$89, 6,),0)</f>
        <v>1460043.372</v>
      </c>
      <c r="L26" s="138">
        <f>IFERROR(VLOOKUP($B26, Data!$A$2:$K$89, 11,),0)</f>
        <v>0.03096694405</v>
      </c>
      <c r="M26" s="136">
        <f t="shared" si="1"/>
        <v>8085656.498</v>
      </c>
      <c r="N26" s="138">
        <f t="shared" si="2"/>
        <v>0.04910638001</v>
      </c>
      <c r="O26" s="139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5"/>
      <c r="AA26" s="135"/>
      <c r="AB26" s="134"/>
    </row>
    <row r="27" ht="14.25" hidden="1" customHeight="1" outlineLevel="1">
      <c r="A27" s="134"/>
      <c r="B27" s="135" t="str">
        <f>Data!A26</f>
        <v>CREAM</v>
      </c>
      <c r="C27" s="136">
        <f>IFERROR(VLOOKUP($B27,Price!$A$2:$B$120, 2,), 1)*IFERROR(VLOOKUP($B27, Data!$A$2:$K$89, 2,),0)</f>
        <v>155.3085142</v>
      </c>
      <c r="D27" s="138">
        <f>IFERROR(VLOOKUP($B27, Data!$A$2:$K$89, 7,),0)</f>
        <v>0</v>
      </c>
      <c r="E27" s="136">
        <f>IFERROR(VLOOKUP($B27,Price!$A$2:$B$120, 2,), 1)*IFERROR(VLOOKUP($B27, Data!$A$2:$K$89, 3,),0)</f>
        <v>0</v>
      </c>
      <c r="F27" s="138">
        <f>IFERROR(VLOOKUP($B27, Data!$A$2:$K$89, 8,),0)</f>
        <v>0</v>
      </c>
      <c r="G27" s="136">
        <f>IFERROR(VLOOKUP($B27,Price!$A$2:$B$120, 2,), 1)*IFERROR(VLOOKUP($B27, Data!$A$2:$K$89, 4,),0)</f>
        <v>0</v>
      </c>
      <c r="H27" s="138">
        <f>IFERROR(VLOOKUP($B27, Data!$A$2:$K$89, 9,),0)</f>
        <v>0</v>
      </c>
      <c r="I27" s="136">
        <f>IFERROR(VLOOKUP($B27,Price!$A$2:$B$120, 2,), 1)*IFERROR(VLOOKUP($B27, Data!$A$2:$K$89, 5,),0)</f>
        <v>3.202275718</v>
      </c>
      <c r="J27" s="138">
        <f>IFERROR(VLOOKUP($B27, Data!$A$2:$K$89, 10,),0)</f>
        <v>0</v>
      </c>
      <c r="K27" s="136">
        <f>IFERROR(VLOOKUP($B27,Price!$A$2:$B$120, 2,), 1)*IFERROR(VLOOKUP($B27, Data!$A$2:$K$89, 6,),0)</f>
        <v>0</v>
      </c>
      <c r="L27" s="138">
        <f>IFERROR(VLOOKUP($B27, Data!$A$2:$K$89, 11,),0)</f>
        <v>0</v>
      </c>
      <c r="M27" s="136">
        <f t="shared" si="1"/>
        <v>158.5107899</v>
      </c>
      <c r="N27" s="138">
        <f t="shared" si="2"/>
        <v>0</v>
      </c>
      <c r="O27" s="139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5"/>
      <c r="AA27" s="135"/>
      <c r="AB27" s="134"/>
    </row>
    <row r="28" ht="14.25" hidden="1" customHeight="1" outlineLevel="1">
      <c r="A28" s="134"/>
      <c r="B28" s="135" t="str">
        <f>Data!A27</f>
        <v>CRV</v>
      </c>
      <c r="C28" s="136">
        <f>IFERROR(VLOOKUP($B28,Price!$A$2:$B$120, 2,), 1)*IFERROR(VLOOKUP($B28, Data!$A$2:$K$89, 2,),0)</f>
        <v>488374.8387</v>
      </c>
      <c r="D28" s="138">
        <f>IFERROR(VLOOKUP($B28, Data!$A$2:$K$89, 7,),0)</f>
        <v>0</v>
      </c>
      <c r="E28" s="136">
        <f>IFERROR(VLOOKUP($B28,Price!$A$2:$B$120, 2,), 1)*IFERROR(VLOOKUP($B28, Data!$A$2:$K$89, 3,),0)</f>
        <v>791761.3006</v>
      </c>
      <c r="F28" s="138">
        <f>IFERROR(VLOOKUP($B28, Data!$A$2:$K$89, 8,),0)</f>
        <v>0.003846354694</v>
      </c>
      <c r="G28" s="136">
        <f>IFERROR(VLOOKUP($B28,Price!$A$2:$B$120, 2,), 1)*IFERROR(VLOOKUP($B28, Data!$A$2:$K$89, 4,),0)</f>
        <v>0</v>
      </c>
      <c r="H28" s="138">
        <f>IFERROR(VLOOKUP($B28, Data!$A$2:$K$89, 9,),0)</f>
        <v>0</v>
      </c>
      <c r="I28" s="136">
        <f>IFERROR(VLOOKUP($B28,Price!$A$2:$B$120, 2,), 1)*IFERROR(VLOOKUP($B28, Data!$A$2:$K$89, 5,),0)</f>
        <v>3792063.741</v>
      </c>
      <c r="J28" s="138">
        <f>IFERROR(VLOOKUP($B28, Data!$A$2:$K$89, 10,),0)</f>
        <v>0.125920834</v>
      </c>
      <c r="K28" s="136">
        <f>IFERROR(VLOOKUP($B28,Price!$A$2:$B$120, 2,), 1)*IFERROR(VLOOKUP($B28, Data!$A$2:$K$89, 6,),0)</f>
        <v>57096.15031</v>
      </c>
      <c r="L28" s="138">
        <f>IFERROR(VLOOKUP($B28, Data!$A$2:$K$89, 11,),0)</f>
        <v>0</v>
      </c>
      <c r="M28" s="136">
        <f t="shared" si="1"/>
        <v>5129296.031</v>
      </c>
      <c r="N28" s="138">
        <f t="shared" si="2"/>
        <v>0.09368638909</v>
      </c>
      <c r="O28" s="139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5"/>
      <c r="AA28" s="135"/>
      <c r="AB28" s="134"/>
    </row>
    <row r="29" ht="14.25" hidden="1" customHeight="1" outlineLevel="1">
      <c r="A29" s="134"/>
      <c r="B29" s="135" t="str">
        <f>Data!A28</f>
        <v>CVX</v>
      </c>
      <c r="C29" s="136">
        <f>IFERROR(VLOOKUP($B29,Price!$A$2:$B$120, 2,), 1)*IFERROR(VLOOKUP($B29, Data!$A$2:$K$89, 2,),0)</f>
        <v>0</v>
      </c>
      <c r="D29" s="138">
        <f>IFERROR(VLOOKUP($B29, Data!$A$2:$K$89, 7,),0)</f>
        <v>0</v>
      </c>
      <c r="E29" s="136">
        <f>IFERROR(VLOOKUP($B29,Price!$A$2:$B$120, 2,), 1)*IFERROR(VLOOKUP($B29, Data!$A$2:$K$89, 3,),0)</f>
        <v>8009487.442</v>
      </c>
      <c r="F29" s="138">
        <f>IFERROR(VLOOKUP($B29, Data!$A$2:$K$89, 8,),0)</f>
        <v>0</v>
      </c>
      <c r="G29" s="136">
        <f>IFERROR(VLOOKUP($B29,Price!$A$2:$B$120, 2,), 1)*IFERROR(VLOOKUP($B29, Data!$A$2:$K$89, 4,),0)</f>
        <v>0</v>
      </c>
      <c r="H29" s="138">
        <f>IFERROR(VLOOKUP($B29, Data!$A$2:$K$89, 9,),0)</f>
        <v>0</v>
      </c>
      <c r="I29" s="136">
        <f>IFERROR(VLOOKUP($B29,Price!$A$2:$B$120, 2,), 1)*IFERROR(VLOOKUP($B29, Data!$A$2:$K$89, 5,),0)</f>
        <v>15316.55528</v>
      </c>
      <c r="J29" s="138">
        <f>IFERROR(VLOOKUP($B29, Data!$A$2:$K$89, 10,),0)</f>
        <v>0</v>
      </c>
      <c r="K29" s="136">
        <f>IFERROR(VLOOKUP($B29,Price!$A$2:$B$120, 2,), 1)*IFERROR(VLOOKUP($B29, Data!$A$2:$K$89, 6,),0)</f>
        <v>554761.0112</v>
      </c>
      <c r="L29" s="138">
        <f>IFERROR(VLOOKUP($B29, Data!$A$2:$K$89, 11,),0)</f>
        <v>0</v>
      </c>
      <c r="M29" s="136">
        <f t="shared" si="1"/>
        <v>8579565.009</v>
      </c>
      <c r="N29" s="138">
        <f t="shared" si="2"/>
        <v>0</v>
      </c>
      <c r="O29" s="139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5"/>
      <c r="AA29" s="135"/>
      <c r="AB29" s="134"/>
    </row>
    <row r="30" ht="14.25" hidden="1" customHeight="1" outlineLevel="1">
      <c r="A30" s="134"/>
      <c r="B30" s="135" t="str">
        <f>Data!A29</f>
        <v>DASH</v>
      </c>
      <c r="C30" s="136">
        <f>IFERROR(VLOOKUP($B30,Price!$A$2:$B$120, 2,), 1)*IFERROR(VLOOKUP($B30, Data!$A$2:$K$89, 2,),0)</f>
        <v>2505959.777</v>
      </c>
      <c r="D30" s="138">
        <f>IFERROR(VLOOKUP($B30, Data!$A$2:$K$89, 7,),0)</f>
        <v>0</v>
      </c>
      <c r="E30" s="136">
        <f>IFERROR(VLOOKUP($B30,Price!$A$2:$B$120, 2,), 1)*IFERROR(VLOOKUP($B30, Data!$A$2:$K$89, 3,),0)</f>
        <v>0</v>
      </c>
      <c r="F30" s="138">
        <f>IFERROR(VLOOKUP($B30, Data!$A$2:$K$89, 8,),0)</f>
        <v>0</v>
      </c>
      <c r="G30" s="136">
        <f>IFERROR(VLOOKUP($B30,Price!$A$2:$B$120, 2,), 1)*IFERROR(VLOOKUP($B30, Data!$A$2:$K$89, 4,),0)</f>
        <v>0</v>
      </c>
      <c r="H30" s="138">
        <f>IFERROR(VLOOKUP($B30, Data!$A$2:$K$89, 9,),0)</f>
        <v>0</v>
      </c>
      <c r="I30" s="136">
        <f>IFERROR(VLOOKUP($B30,Price!$A$2:$B$120, 2,), 1)*IFERROR(VLOOKUP($B30, Data!$A$2:$K$89, 5,),0)</f>
        <v>5608247.385</v>
      </c>
      <c r="J30" s="138">
        <f>IFERROR(VLOOKUP($B30, Data!$A$2:$K$89, 10,),0)</f>
        <v>0.05682141214</v>
      </c>
      <c r="K30" s="136">
        <f>IFERROR(VLOOKUP($B30,Price!$A$2:$B$120, 2,), 1)*IFERROR(VLOOKUP($B30, Data!$A$2:$K$89, 6,),0)</f>
        <v>9318995.092</v>
      </c>
      <c r="L30" s="138">
        <f>IFERROR(VLOOKUP($B30, Data!$A$2:$K$89, 11,),0)</f>
        <v>0.01998857831</v>
      </c>
      <c r="M30" s="136">
        <f t="shared" si="1"/>
        <v>17433202.25</v>
      </c>
      <c r="N30" s="138">
        <f t="shared" si="2"/>
        <v>0.028964386</v>
      </c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5"/>
      <c r="AA30" s="135"/>
      <c r="AB30" s="134"/>
    </row>
    <row r="31" ht="14.25" hidden="1" customHeight="1" outlineLevel="1">
      <c r="A31" s="134"/>
      <c r="B31" s="135" t="str">
        <f>Data!A30</f>
        <v>DIGG</v>
      </c>
      <c r="C31" s="136">
        <f>IFERROR(VLOOKUP($B31,Price!$A$2:$B$120, 2,), 1)*IFERROR(VLOOKUP($B31, Data!$A$2:$K$89, 2,),0)</f>
        <v>0</v>
      </c>
      <c r="D31" s="138">
        <f>IFERROR(VLOOKUP($B31, Data!$A$2:$K$89, 7,),0)</f>
        <v>0</v>
      </c>
      <c r="E31" s="136">
        <f>IFERROR(VLOOKUP($B31,Price!$A$2:$B$120, 2,), 1)*IFERROR(VLOOKUP($B31, Data!$A$2:$K$89, 3,),0)</f>
        <v>1320736.133</v>
      </c>
      <c r="F31" s="138">
        <f>IFERROR(VLOOKUP($B31, Data!$A$2:$K$89, 8,),0)</f>
        <v>0.05</v>
      </c>
      <c r="G31" s="136">
        <f>IFERROR(VLOOKUP($B31,Price!$A$2:$B$120, 2,), 1)*IFERROR(VLOOKUP($B31, Data!$A$2:$K$89, 4,),0)</f>
        <v>0</v>
      </c>
      <c r="H31" s="138">
        <f>IFERROR(VLOOKUP($B31, Data!$A$2:$K$89, 9,),0)</f>
        <v>0</v>
      </c>
      <c r="I31" s="136">
        <f>IFERROR(VLOOKUP($B31,Price!$A$2:$B$120, 2,), 1)*IFERROR(VLOOKUP($B31, Data!$A$2:$K$89, 5,),0)</f>
        <v>0</v>
      </c>
      <c r="J31" s="138">
        <f>IFERROR(VLOOKUP($B31, Data!$A$2:$K$89, 10,),0)</f>
        <v>0</v>
      </c>
      <c r="K31" s="136">
        <f>IFERROR(VLOOKUP($B31,Price!$A$2:$B$120, 2,), 1)*IFERROR(VLOOKUP($B31, Data!$A$2:$K$89, 6,),0)</f>
        <v>112.0500932</v>
      </c>
      <c r="L31" s="138">
        <f>IFERROR(VLOOKUP($B31, Data!$A$2:$K$89, 11,),0)</f>
        <v>0</v>
      </c>
      <c r="M31" s="136">
        <f t="shared" si="1"/>
        <v>1320848.183</v>
      </c>
      <c r="N31" s="138">
        <f t="shared" si="2"/>
        <v>0.0499957584</v>
      </c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5"/>
      <c r="AA31" s="135"/>
      <c r="AB31" s="134"/>
    </row>
    <row r="32" ht="14.25" hidden="1" customHeight="1" outlineLevel="1">
      <c r="A32" s="134"/>
      <c r="B32" s="135" t="str">
        <f>Data!A31</f>
        <v>DOT</v>
      </c>
      <c r="C32" s="136">
        <f>IFERROR(VLOOKUP($B32,Price!$A$2:$B$120, 2,), 1)*IFERROR(VLOOKUP($B32, Data!$A$2:$K$89, 2,),0)</f>
        <v>4610509.291</v>
      </c>
      <c r="D32" s="138">
        <f>IFERROR(VLOOKUP($B32, Data!$A$2:$K$89, 7,),0)</f>
        <v>0</v>
      </c>
      <c r="E32" s="136">
        <f>IFERROR(VLOOKUP($B32,Price!$A$2:$B$120, 2,), 1)*IFERROR(VLOOKUP($B32, Data!$A$2:$K$89, 3,),0)</f>
        <v>0</v>
      </c>
      <c r="F32" s="138">
        <f>IFERROR(VLOOKUP($B32, Data!$A$2:$K$89, 8,),0)</f>
        <v>0</v>
      </c>
      <c r="G32" s="136">
        <f>IFERROR(VLOOKUP($B32,Price!$A$2:$B$120, 2,), 1)*IFERROR(VLOOKUP($B32, Data!$A$2:$K$89, 4,),0)</f>
        <v>0</v>
      </c>
      <c r="H32" s="138">
        <f>IFERROR(VLOOKUP($B32, Data!$A$2:$K$89, 9,),0)</f>
        <v>0</v>
      </c>
      <c r="I32" s="136">
        <f>IFERROR(VLOOKUP($B32,Price!$A$2:$B$120, 2,), 1)*IFERROR(VLOOKUP($B32, Data!$A$2:$K$89, 5,),0)</f>
        <v>14000384.93</v>
      </c>
      <c r="J32" s="138">
        <f>IFERROR(VLOOKUP($B32, Data!$A$2:$K$89, 10,),0)</f>
        <v>0.0904</v>
      </c>
      <c r="K32" s="136">
        <f>IFERROR(VLOOKUP($B32,Price!$A$2:$B$120, 2,), 1)*IFERROR(VLOOKUP($B32, Data!$A$2:$K$89, 6,),0)</f>
        <v>53500750.89</v>
      </c>
      <c r="L32" s="138">
        <f>IFERROR(VLOOKUP($B32, Data!$A$2:$K$89, 11,),0)</f>
        <v>0.1323714401</v>
      </c>
      <c r="M32" s="136">
        <f t="shared" si="1"/>
        <v>72111645.11</v>
      </c>
      <c r="N32" s="138">
        <f t="shared" si="2"/>
        <v>0.1157594758</v>
      </c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5"/>
      <c r="AA32" s="135"/>
      <c r="AB32" s="134"/>
    </row>
    <row r="33" ht="14.25" hidden="1" customHeight="1" outlineLevel="1">
      <c r="A33" s="134"/>
      <c r="B33" s="135" t="str">
        <f>Data!A32</f>
        <v>EOS</v>
      </c>
      <c r="C33" s="136">
        <f>IFERROR(VLOOKUP($B33,Price!$A$2:$B$120, 2,), 1)*IFERROR(VLOOKUP($B33, Data!$A$2:$K$89, 2,),0)</f>
        <v>2701806.348</v>
      </c>
      <c r="D33" s="138">
        <f>IFERROR(VLOOKUP($B33, Data!$A$2:$K$89, 7,),0)</f>
        <v>0</v>
      </c>
      <c r="E33" s="136">
        <f>IFERROR(VLOOKUP($B33,Price!$A$2:$B$120, 2,), 1)*IFERROR(VLOOKUP($B33, Data!$A$2:$K$89, 3,),0)</f>
        <v>0</v>
      </c>
      <c r="F33" s="138">
        <f>IFERROR(VLOOKUP($B33, Data!$A$2:$K$89, 8,),0)</f>
        <v>0</v>
      </c>
      <c r="G33" s="136">
        <f>IFERROR(VLOOKUP($B33,Price!$A$2:$B$120, 2,), 1)*IFERROR(VLOOKUP($B33, Data!$A$2:$K$89, 4,),0)</f>
        <v>0</v>
      </c>
      <c r="H33" s="138">
        <f>IFERROR(VLOOKUP($B33, Data!$A$2:$K$89, 9,),0)</f>
        <v>0</v>
      </c>
      <c r="I33" s="136">
        <f>IFERROR(VLOOKUP($B33,Price!$A$2:$B$120, 2,), 1)*IFERROR(VLOOKUP($B33, Data!$A$2:$K$89, 5,),0)</f>
        <v>18115977.51</v>
      </c>
      <c r="J33" s="138">
        <f>IFERROR(VLOOKUP($B33, Data!$A$2:$K$89, 10,),0)</f>
        <v>0.06465194451</v>
      </c>
      <c r="K33" s="136">
        <f>IFERROR(VLOOKUP($B33,Price!$A$2:$B$120, 2,), 1)*IFERROR(VLOOKUP($B33, Data!$A$2:$K$89, 6,),0)</f>
        <v>0</v>
      </c>
      <c r="L33" s="138">
        <f>IFERROR(VLOOKUP($B33, Data!$A$2:$K$89, 11,),0)</f>
        <v>0</v>
      </c>
      <c r="M33" s="136">
        <f t="shared" si="1"/>
        <v>20817783.86</v>
      </c>
      <c r="N33" s="138">
        <f t="shared" si="2"/>
        <v>0.05626118422</v>
      </c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5"/>
      <c r="AA33" s="135"/>
      <c r="AB33" s="134"/>
    </row>
    <row r="34" ht="14.25" hidden="1" customHeight="1" outlineLevel="1">
      <c r="A34" s="134"/>
      <c r="B34" s="135" t="str">
        <f>Data!A33</f>
        <v>ETC</v>
      </c>
      <c r="C34" s="136">
        <f>IFERROR(VLOOKUP($B34,Price!$A$2:$B$120, 2,), 1)*IFERROR(VLOOKUP($B34, Data!$A$2:$K$89, 2,),0)</f>
        <v>1104211.359</v>
      </c>
      <c r="D34" s="138">
        <f>IFERROR(VLOOKUP($B34, Data!$A$2:$K$89, 7,),0)</f>
        <v>0</v>
      </c>
      <c r="E34" s="136">
        <f>IFERROR(VLOOKUP($B34,Price!$A$2:$B$120, 2,), 1)*IFERROR(VLOOKUP($B34, Data!$A$2:$K$89, 3,),0)</f>
        <v>0</v>
      </c>
      <c r="F34" s="138">
        <f>IFERROR(VLOOKUP($B34, Data!$A$2:$K$89, 8,),0)</f>
        <v>0</v>
      </c>
      <c r="G34" s="136">
        <f>IFERROR(VLOOKUP($B34,Price!$A$2:$B$120, 2,), 1)*IFERROR(VLOOKUP($B34, Data!$A$2:$K$89, 4,),0)</f>
        <v>0</v>
      </c>
      <c r="H34" s="138">
        <f>IFERROR(VLOOKUP($B34, Data!$A$2:$K$89, 9,),0)</f>
        <v>0</v>
      </c>
      <c r="I34" s="136">
        <f>IFERROR(VLOOKUP($B34,Price!$A$2:$B$120, 2,), 1)*IFERROR(VLOOKUP($B34, Data!$A$2:$K$89, 5,),0)</f>
        <v>2158303.612</v>
      </c>
      <c r="J34" s="138">
        <f>IFERROR(VLOOKUP($B34, Data!$A$2:$K$89, 10,),0)</f>
        <v>0.04667170987</v>
      </c>
      <c r="K34" s="136">
        <f>IFERROR(VLOOKUP($B34,Price!$A$2:$B$120, 2,), 1)*IFERROR(VLOOKUP($B34, Data!$A$2:$K$89, 6,),0)</f>
        <v>4098621.36</v>
      </c>
      <c r="L34" s="138">
        <f>IFERROR(VLOOKUP($B34, Data!$A$2:$K$89, 11,),0)</f>
        <v>0</v>
      </c>
      <c r="M34" s="136">
        <f t="shared" si="1"/>
        <v>7361136.331</v>
      </c>
      <c r="N34" s="138">
        <f t="shared" si="2"/>
        <v>0.01368426225</v>
      </c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5"/>
      <c r="AA34" s="135"/>
      <c r="AB34" s="134"/>
    </row>
    <row r="35" ht="14.25" hidden="1" customHeight="1" outlineLevel="1">
      <c r="A35" s="134"/>
      <c r="B35" s="135" t="str">
        <f>Data!A34</f>
        <v>ETH</v>
      </c>
      <c r="C35" s="136">
        <f>IFERROR(VLOOKUP($B35,Price!$A$2:$B$120, 2,), 1)*IFERROR(VLOOKUP($B35, Data!$A$2:$K$89, 2,),0)</f>
        <v>425508945.6</v>
      </c>
      <c r="D35" s="138">
        <f>IFERROR(VLOOKUP($B35, Data!$A$2:$K$89, 7,),0)</f>
        <v>0</v>
      </c>
      <c r="E35" s="136">
        <f>IFERROR(VLOOKUP($B35,Price!$A$2:$B$120, 2,), 1)*IFERROR(VLOOKUP($B35, Data!$A$2:$K$89, 3,),0)</f>
        <v>2884320800</v>
      </c>
      <c r="F35" s="138">
        <f>IFERROR(VLOOKUP($B35, Data!$A$2:$K$89, 8,),0)</f>
        <v>0.02546050885</v>
      </c>
      <c r="G35" s="136">
        <f>IFERROR(VLOOKUP($B35,Price!$A$2:$B$120, 2,), 1)*IFERROR(VLOOKUP($B35, Data!$A$2:$K$89, 4,),0)</f>
        <v>18053.91754</v>
      </c>
      <c r="H35" s="138">
        <f>IFERROR(VLOOKUP($B35, Data!$A$2:$K$89, 9,),0)</f>
        <v>0</v>
      </c>
      <c r="I35" s="136">
        <f>IFERROR(VLOOKUP($B35,Price!$A$2:$B$120, 2,), 1)*IFERROR(VLOOKUP($B35, Data!$A$2:$K$89, 5,),0)</f>
        <v>1229535261</v>
      </c>
      <c r="J35" s="138">
        <f>IFERROR(VLOOKUP($B35, Data!$A$2:$K$89, 10,),0)</f>
        <v>0.07380192487</v>
      </c>
      <c r="K35" s="136">
        <f>IFERROR(VLOOKUP($B35,Price!$A$2:$B$120, 2,), 1)*IFERROR(VLOOKUP($B35, Data!$A$2:$K$89, 6,),0)</f>
        <v>1632498593</v>
      </c>
      <c r="L35" s="138">
        <f>IFERROR(VLOOKUP($B35, Data!$A$2:$K$89, 11,),0)</f>
        <v>0.01099337831</v>
      </c>
      <c r="M35" s="136">
        <f t="shared" si="1"/>
        <v>6171881654</v>
      </c>
      <c r="N35" s="138">
        <f t="shared" si="2"/>
        <v>0.029508832</v>
      </c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5"/>
      <c r="AA35" s="135"/>
      <c r="AB35" s="134"/>
    </row>
    <row r="36" ht="14.25" hidden="1" customHeight="1" outlineLevel="1">
      <c r="A36" s="134"/>
      <c r="B36" s="135" t="str">
        <f>Data!A35</f>
        <v>FARM</v>
      </c>
      <c r="C36" s="136">
        <f>IFERROR(VLOOKUP($B36,Price!$A$2:$B$120, 2,), 1)*IFERROR(VLOOKUP($B36, Data!$A$2:$K$89, 2,),0)</f>
        <v>0</v>
      </c>
      <c r="D36" s="138">
        <f>IFERROR(VLOOKUP($B36, Data!$A$2:$K$89, 7,),0)</f>
        <v>0</v>
      </c>
      <c r="E36" s="136">
        <f>IFERROR(VLOOKUP($B36,Price!$A$2:$B$120, 2,), 1)*IFERROR(VLOOKUP($B36, Data!$A$2:$K$89, 3,),0)</f>
        <v>26354.92926</v>
      </c>
      <c r="F36" s="138">
        <f>IFERROR(VLOOKUP($B36, Data!$A$2:$K$89, 8,),0)</f>
        <v>0</v>
      </c>
      <c r="G36" s="136">
        <f>IFERROR(VLOOKUP($B36,Price!$A$2:$B$120, 2,), 1)*IFERROR(VLOOKUP($B36, Data!$A$2:$K$89, 4,),0)</f>
        <v>0</v>
      </c>
      <c r="H36" s="138">
        <f>IFERROR(VLOOKUP($B36, Data!$A$2:$K$89, 9,),0)</f>
        <v>0</v>
      </c>
      <c r="I36" s="136">
        <f>IFERROR(VLOOKUP($B36,Price!$A$2:$B$120, 2,), 1)*IFERROR(VLOOKUP($B36, Data!$A$2:$K$89, 5,),0)</f>
        <v>0</v>
      </c>
      <c r="J36" s="138">
        <f>IFERROR(VLOOKUP($B36, Data!$A$2:$K$89, 10,),0)</f>
        <v>0</v>
      </c>
      <c r="K36" s="136">
        <f>IFERROR(VLOOKUP($B36,Price!$A$2:$B$120, 2,), 1)*IFERROR(VLOOKUP($B36, Data!$A$2:$K$89, 6,),0)</f>
        <v>15735.42186</v>
      </c>
      <c r="L36" s="138">
        <f>IFERROR(VLOOKUP($B36, Data!$A$2:$K$89, 11,),0)</f>
        <v>0</v>
      </c>
      <c r="M36" s="136">
        <f t="shared" si="1"/>
        <v>42090.35112</v>
      </c>
      <c r="N36" s="138">
        <f t="shared" si="2"/>
        <v>0</v>
      </c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5"/>
      <c r="AA36" s="135"/>
      <c r="AB36" s="134"/>
    </row>
    <row r="37" ht="14.25" hidden="1" customHeight="1" outlineLevel="1">
      <c r="A37" s="134"/>
      <c r="B37" s="135" t="str">
        <f>Data!A36</f>
        <v>FIS</v>
      </c>
      <c r="C37" s="136">
        <f>IFERROR(VLOOKUP($B37,Price!$A$2:$B$120, 2,), 1)*IFERROR(VLOOKUP($B37, Data!$A$2:$K$89, 2,),0)</f>
        <v>0</v>
      </c>
      <c r="D37" s="138">
        <f>IFERROR(VLOOKUP($B37, Data!$A$2:$K$89, 7,),0)</f>
        <v>0</v>
      </c>
      <c r="E37" s="136">
        <f>IFERROR(VLOOKUP($B37,Price!$A$2:$B$120, 2,), 1)*IFERROR(VLOOKUP($B37, Data!$A$2:$K$89, 3,),0)</f>
        <v>31432.65625</v>
      </c>
      <c r="F37" s="138">
        <f>IFERROR(VLOOKUP($B37, Data!$A$2:$K$89, 8,),0)</f>
        <v>0</v>
      </c>
      <c r="G37" s="136">
        <f>IFERROR(VLOOKUP($B37,Price!$A$2:$B$120, 2,), 1)*IFERROR(VLOOKUP($B37, Data!$A$2:$K$89, 4,),0)</f>
        <v>0</v>
      </c>
      <c r="H37" s="138">
        <f>IFERROR(VLOOKUP($B37, Data!$A$2:$K$89, 9,),0)</f>
        <v>0</v>
      </c>
      <c r="I37" s="136">
        <f>IFERROR(VLOOKUP($B37,Price!$A$2:$B$120, 2,), 1)*IFERROR(VLOOKUP($B37, Data!$A$2:$K$89, 5,),0)</f>
        <v>0</v>
      </c>
      <c r="J37" s="138">
        <f>IFERROR(VLOOKUP($B37, Data!$A$2:$K$89, 10,),0)</f>
        <v>0</v>
      </c>
      <c r="K37" s="136">
        <f>IFERROR(VLOOKUP($B37,Price!$A$2:$B$120, 2,), 1)*IFERROR(VLOOKUP($B37, Data!$A$2:$K$89, 6,),0)</f>
        <v>0</v>
      </c>
      <c r="L37" s="138">
        <f>IFERROR(VLOOKUP($B37, Data!$A$2:$K$89, 11,),0)</f>
        <v>0</v>
      </c>
      <c r="M37" s="136">
        <f t="shared" si="1"/>
        <v>31432.65625</v>
      </c>
      <c r="N37" s="138">
        <f t="shared" si="2"/>
        <v>0</v>
      </c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5"/>
      <c r="AA37" s="135"/>
      <c r="AB37" s="134"/>
    </row>
    <row r="38" ht="14.25" hidden="1" customHeight="1" outlineLevel="1">
      <c r="A38" s="134"/>
      <c r="B38" s="135" t="str">
        <f>Data!A37</f>
        <v>FTM</v>
      </c>
      <c r="C38" s="136">
        <f>IFERROR(VLOOKUP($B38,Price!$A$2:$B$120, 2,), 1)*IFERROR(VLOOKUP($B38, Data!$A$2:$K$89, 2,),0)</f>
        <v>6274.054344</v>
      </c>
      <c r="D38" s="138">
        <f>IFERROR(VLOOKUP($B38, Data!$A$2:$K$89, 7,),0)</f>
        <v>0</v>
      </c>
      <c r="E38" s="136">
        <f>IFERROR(VLOOKUP($B38,Price!$A$2:$B$120, 2,), 1)*IFERROR(VLOOKUP($B38, Data!$A$2:$K$89, 3,),0)</f>
        <v>0.0681281069</v>
      </c>
      <c r="F38" s="138">
        <f>IFERROR(VLOOKUP($B38, Data!$A$2:$K$89, 8,),0)</f>
        <v>0</v>
      </c>
      <c r="G38" s="136">
        <f>IFERROR(VLOOKUP($B38,Price!$A$2:$B$120, 2,), 1)*IFERROR(VLOOKUP($B38, Data!$A$2:$K$89, 4,),0)</f>
        <v>0</v>
      </c>
      <c r="H38" s="138">
        <f>IFERROR(VLOOKUP($B38, Data!$A$2:$K$89, 9,),0)</f>
        <v>0</v>
      </c>
      <c r="I38" s="136">
        <f>IFERROR(VLOOKUP($B38,Price!$A$2:$B$120, 2,), 1)*IFERROR(VLOOKUP($B38, Data!$A$2:$K$89, 5,),0)</f>
        <v>681299.1918</v>
      </c>
      <c r="J38" s="138">
        <f>IFERROR(VLOOKUP($B38, Data!$A$2:$K$89, 10,),0)</f>
        <v>0.04294812889</v>
      </c>
      <c r="K38" s="136">
        <f>IFERROR(VLOOKUP($B38,Price!$A$2:$B$120, 2,), 1)*IFERROR(VLOOKUP($B38, Data!$A$2:$K$89, 6,),0)</f>
        <v>0.1362562138</v>
      </c>
      <c r="L38" s="138">
        <f>IFERROR(VLOOKUP($B38, Data!$A$2:$K$89, 11,),0)</f>
        <v>0</v>
      </c>
      <c r="M38" s="136">
        <f t="shared" si="1"/>
        <v>687573.4505</v>
      </c>
      <c r="N38" s="138">
        <f t="shared" si="2"/>
        <v>0.04255621778</v>
      </c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5"/>
      <c r="AA38" s="135"/>
      <c r="AB38" s="134"/>
    </row>
    <row r="39" ht="14.25" hidden="1" customHeight="1" outlineLevel="1">
      <c r="A39" s="134"/>
      <c r="B39" s="135" t="str">
        <f>Data!A38</f>
        <v>FTT</v>
      </c>
      <c r="C39" s="136">
        <f>IFERROR(VLOOKUP($B39,Price!$A$2:$B$120, 2,), 1)*IFERROR(VLOOKUP($B39, Data!$A$2:$K$89, 2,),0)</f>
        <v>97180587.87</v>
      </c>
      <c r="D39" s="138">
        <f>IFERROR(VLOOKUP($B39, Data!$A$2:$K$89, 7,),0)</f>
        <v>0</v>
      </c>
      <c r="E39" s="136">
        <f>IFERROR(VLOOKUP($B39,Price!$A$2:$B$120, 2,), 1)*IFERROR(VLOOKUP($B39, Data!$A$2:$K$89, 3,),0)</f>
        <v>4940222.22</v>
      </c>
      <c r="F39" s="138">
        <f>IFERROR(VLOOKUP($B39, Data!$A$2:$K$89, 8,),0)</f>
        <v>0</v>
      </c>
      <c r="G39" s="136">
        <f>IFERROR(VLOOKUP($B39,Price!$A$2:$B$120, 2,), 1)*IFERROR(VLOOKUP($B39, Data!$A$2:$K$89, 4,),0)</f>
        <v>0</v>
      </c>
      <c r="H39" s="138">
        <f>IFERROR(VLOOKUP($B39, Data!$A$2:$K$89, 9,),0)</f>
        <v>0</v>
      </c>
      <c r="I39" s="136">
        <f>IFERROR(VLOOKUP($B39,Price!$A$2:$B$120, 2,), 1)*IFERROR(VLOOKUP($B39, Data!$A$2:$K$89, 5,),0)</f>
        <v>237644448.3</v>
      </c>
      <c r="J39" s="138">
        <f>IFERROR(VLOOKUP($B39, Data!$A$2:$K$89, 10,),0)</f>
        <v>0.03253503049</v>
      </c>
      <c r="K39" s="136">
        <f>IFERROR(VLOOKUP($B39,Price!$A$2:$B$120, 2,), 1)*IFERROR(VLOOKUP($B39, Data!$A$2:$K$89, 6,),0)</f>
        <v>322869433.8</v>
      </c>
      <c r="L39" s="138">
        <f>IFERROR(VLOOKUP($B39, Data!$A$2:$K$89, 11,),0)</f>
        <v>0.02178704898</v>
      </c>
      <c r="M39" s="136">
        <f t="shared" si="1"/>
        <v>662634692.2</v>
      </c>
      <c r="N39" s="138">
        <f t="shared" si="2"/>
        <v>0.022283985</v>
      </c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5"/>
      <c r="AA39" s="135"/>
      <c r="AB39" s="134"/>
    </row>
    <row r="40" ht="14.25" hidden="1" customHeight="1" outlineLevel="1">
      <c r="A40" s="134"/>
      <c r="B40" s="135" t="str">
        <f>Data!A39</f>
        <v>KNC</v>
      </c>
      <c r="C40" s="136">
        <f>IFERROR(VLOOKUP($B40,Price!$A$2:$B$120, 2,), 1)*IFERROR(VLOOKUP($B40, Data!$A$2:$K$89, 2,),0)</f>
        <v>343226.5045</v>
      </c>
      <c r="D40" s="138">
        <f>IFERROR(VLOOKUP($B40, Data!$A$2:$K$89, 7,),0)</f>
        <v>0</v>
      </c>
      <c r="E40" s="136">
        <f>IFERROR(VLOOKUP($B40,Price!$A$2:$B$120, 2,), 1)*IFERROR(VLOOKUP($B40, Data!$A$2:$K$89, 3,),0)</f>
        <v>1563628.685</v>
      </c>
      <c r="F40" s="138">
        <f>IFERROR(VLOOKUP($B40, Data!$A$2:$K$89, 8,),0)</f>
        <v>0.003805892613</v>
      </c>
      <c r="G40" s="136">
        <f>IFERROR(VLOOKUP($B40,Price!$A$2:$B$120, 2,), 1)*IFERROR(VLOOKUP($B40, Data!$A$2:$K$89, 4,),0)</f>
        <v>0</v>
      </c>
      <c r="H40" s="138">
        <f>IFERROR(VLOOKUP($B40, Data!$A$2:$K$89, 9,),0)</f>
        <v>0</v>
      </c>
      <c r="I40" s="136">
        <f>IFERROR(VLOOKUP($B40,Price!$A$2:$B$120, 2,), 1)*IFERROR(VLOOKUP($B40, Data!$A$2:$K$89, 5,),0)</f>
        <v>407743.0609</v>
      </c>
      <c r="J40" s="138">
        <f>IFERROR(VLOOKUP($B40, Data!$A$2:$K$89, 10,),0)</f>
        <v>0.0686</v>
      </c>
      <c r="K40" s="136">
        <f>IFERROR(VLOOKUP($B40,Price!$A$2:$B$120, 2,), 1)*IFERROR(VLOOKUP($B40, Data!$A$2:$K$89, 6,),0)</f>
        <v>0</v>
      </c>
      <c r="L40" s="138">
        <f>IFERROR(VLOOKUP($B40, Data!$A$2:$K$89, 11,),0)</f>
        <v>0</v>
      </c>
      <c r="M40" s="136">
        <f t="shared" si="1"/>
        <v>2314598.251</v>
      </c>
      <c r="N40" s="138">
        <f t="shared" si="2"/>
        <v>0.01465575152</v>
      </c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5"/>
      <c r="AA40" s="135"/>
      <c r="AB40" s="134"/>
    </row>
    <row r="41" ht="14.25" hidden="1" customHeight="1" outlineLevel="1">
      <c r="A41" s="134"/>
      <c r="B41" s="135" t="str">
        <f>Data!A40</f>
        <v>LDO</v>
      </c>
      <c r="C41" s="136">
        <f>IFERROR(VLOOKUP($B41,Price!$A$2:$B$120, 2,), 1)*IFERROR(VLOOKUP($B41, Data!$A$2:$K$89, 2,),0)</f>
        <v>0</v>
      </c>
      <c r="D41" s="138">
        <f>IFERROR(VLOOKUP($B41, Data!$A$2:$K$89, 7,),0)</f>
        <v>0</v>
      </c>
      <c r="E41" s="136">
        <f>IFERROR(VLOOKUP($B41,Price!$A$2:$B$120, 2,), 1)*IFERROR(VLOOKUP($B41, Data!$A$2:$K$89, 3,),0)</f>
        <v>1149090.956</v>
      </c>
      <c r="F41" s="138">
        <f>IFERROR(VLOOKUP($B41, Data!$A$2:$K$89, 8,),0)</f>
        <v>0</v>
      </c>
      <c r="G41" s="136">
        <f>IFERROR(VLOOKUP($B41,Price!$A$2:$B$120, 2,), 1)*IFERROR(VLOOKUP($B41, Data!$A$2:$K$89, 4,),0)</f>
        <v>0</v>
      </c>
      <c r="H41" s="138">
        <f>IFERROR(VLOOKUP($B41, Data!$A$2:$K$89, 9,),0)</f>
        <v>0</v>
      </c>
      <c r="I41" s="136">
        <f>IFERROR(VLOOKUP($B41,Price!$A$2:$B$120, 2,), 1)*IFERROR(VLOOKUP($B41, Data!$A$2:$K$89, 5,),0)</f>
        <v>0</v>
      </c>
      <c r="J41" s="138">
        <f>IFERROR(VLOOKUP($B41, Data!$A$2:$K$89, 10,),0)</f>
        <v>0</v>
      </c>
      <c r="K41" s="136">
        <f>IFERROR(VLOOKUP($B41,Price!$A$2:$B$120, 2,), 1)*IFERROR(VLOOKUP($B41, Data!$A$2:$K$89, 6,),0)</f>
        <v>1174236.849</v>
      </c>
      <c r="L41" s="138">
        <f>IFERROR(VLOOKUP($B41, Data!$A$2:$K$89, 11,),0)</f>
        <v>0</v>
      </c>
      <c r="M41" s="136">
        <f t="shared" si="1"/>
        <v>2323327.804</v>
      </c>
      <c r="N41" s="138">
        <f t="shared" si="2"/>
        <v>0</v>
      </c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5"/>
      <c r="AA41" s="135"/>
      <c r="AB41" s="134"/>
    </row>
    <row r="42" ht="14.25" hidden="1" customHeight="1" outlineLevel="1">
      <c r="A42" s="134"/>
      <c r="B42" s="135" t="str">
        <f>Data!A41</f>
        <v>LINK</v>
      </c>
      <c r="C42" s="136">
        <f>IFERROR(VLOOKUP($B42,Price!$A$2:$B$120, 2,), 1)*IFERROR(VLOOKUP($B42, Data!$A$2:$K$89, 2,),0)</f>
        <v>17570851.15</v>
      </c>
      <c r="D42" s="138">
        <f>IFERROR(VLOOKUP($B42, Data!$A$2:$K$89, 7,),0)</f>
        <v>0</v>
      </c>
      <c r="E42" s="136">
        <f>IFERROR(VLOOKUP($B42,Price!$A$2:$B$120, 2,), 1)*IFERROR(VLOOKUP($B42, Data!$A$2:$K$89, 3,),0)</f>
        <v>21072669.13</v>
      </c>
      <c r="F42" s="138">
        <f>IFERROR(VLOOKUP($B42, Data!$A$2:$K$89, 8,),0)</f>
        <v>0.01113116183</v>
      </c>
      <c r="G42" s="136">
        <f>IFERROR(VLOOKUP($B42,Price!$A$2:$B$120, 2,), 1)*IFERROR(VLOOKUP($B42, Data!$A$2:$K$89, 4,),0)</f>
        <v>0</v>
      </c>
      <c r="H42" s="138">
        <f>IFERROR(VLOOKUP($B42, Data!$A$2:$K$89, 9,),0)</f>
        <v>0</v>
      </c>
      <c r="I42" s="136">
        <f>IFERROR(VLOOKUP($B42,Price!$A$2:$B$120, 2,), 1)*IFERROR(VLOOKUP($B42, Data!$A$2:$K$89, 5,),0)</f>
        <v>155989930</v>
      </c>
      <c r="J42" s="138">
        <f>IFERROR(VLOOKUP($B42, Data!$A$2:$K$89, 10,),0)</f>
        <v>0.01721910963</v>
      </c>
      <c r="K42" s="136">
        <f>IFERROR(VLOOKUP($B42,Price!$A$2:$B$120, 2,), 1)*IFERROR(VLOOKUP($B42, Data!$A$2:$K$89, 6,),0)</f>
        <v>44616461.3</v>
      </c>
      <c r="L42" s="138">
        <f>IFERROR(VLOOKUP($B42, Data!$A$2:$K$89, 11,),0)</f>
        <v>0.0007444320098</v>
      </c>
      <c r="M42" s="136">
        <f t="shared" si="1"/>
        <v>239249911.5</v>
      </c>
      <c r="N42" s="138">
        <f t="shared" si="2"/>
        <v>0.01234602303</v>
      </c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5"/>
      <c r="AA42" s="135"/>
      <c r="AB42" s="134"/>
    </row>
    <row r="43" ht="14.25" hidden="1" customHeight="1" outlineLevel="1">
      <c r="A43" s="134"/>
      <c r="B43" s="135" t="str">
        <f>Data!A42</f>
        <v>LPT</v>
      </c>
      <c r="C43" s="136">
        <f>IFERROR(VLOOKUP($B43,Price!$A$2:$B$120, 2,), 1)*IFERROR(VLOOKUP($B43, Data!$A$2:$K$89, 2,),0)</f>
        <v>410137.7426</v>
      </c>
      <c r="D43" s="138">
        <f>IFERROR(VLOOKUP($B43, Data!$A$2:$K$89, 7,),0)</f>
        <v>0</v>
      </c>
      <c r="E43" s="136">
        <f>IFERROR(VLOOKUP($B43,Price!$A$2:$B$120, 2,), 1)*IFERROR(VLOOKUP($B43, Data!$A$2:$K$89, 3,),0)</f>
        <v>0</v>
      </c>
      <c r="F43" s="138">
        <f>IFERROR(VLOOKUP($B43, Data!$A$2:$K$89, 8,),0)</f>
        <v>0</v>
      </c>
      <c r="G43" s="136">
        <f>IFERROR(VLOOKUP($B43,Price!$A$2:$B$120, 2,), 1)*IFERROR(VLOOKUP($B43, Data!$A$2:$K$89, 4,),0)</f>
        <v>0</v>
      </c>
      <c r="H43" s="138">
        <f>IFERROR(VLOOKUP($B43, Data!$A$2:$K$89, 9,),0)</f>
        <v>0</v>
      </c>
      <c r="I43" s="136">
        <f>IFERROR(VLOOKUP($B43,Price!$A$2:$B$120, 2,), 1)*IFERROR(VLOOKUP($B43, Data!$A$2:$K$89, 5,),0)</f>
        <v>0</v>
      </c>
      <c r="J43" s="138">
        <f>IFERROR(VLOOKUP($B43, Data!$A$2:$K$89, 10,),0)</f>
        <v>0</v>
      </c>
      <c r="K43" s="136">
        <f>IFERROR(VLOOKUP($B43,Price!$A$2:$B$120, 2,), 1)*IFERROR(VLOOKUP($B43, Data!$A$2:$K$89, 6,),0)</f>
        <v>0</v>
      </c>
      <c r="L43" s="138">
        <f>IFERROR(VLOOKUP($B43, Data!$A$2:$K$89, 11,),0)</f>
        <v>0</v>
      </c>
      <c r="M43" s="136">
        <f t="shared" si="1"/>
        <v>410137.7426</v>
      </c>
      <c r="N43" s="138">
        <f t="shared" si="2"/>
        <v>0</v>
      </c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5"/>
      <c r="AA43" s="135"/>
      <c r="AB43" s="134"/>
    </row>
    <row r="44" ht="14.25" hidden="1" customHeight="1" outlineLevel="1">
      <c r="A44" s="134"/>
      <c r="B44" s="135" t="str">
        <f>Data!A43</f>
        <v>LQTY</v>
      </c>
      <c r="C44" s="136">
        <f>IFERROR(VLOOKUP($B44,Price!$A$2:$B$120, 2,), 1)*IFERROR(VLOOKUP($B44, Data!$A$2:$K$89, 2,),0)</f>
        <v>0</v>
      </c>
      <c r="D44" s="138">
        <f>IFERROR(VLOOKUP($B44, Data!$A$2:$K$89, 7,),0)</f>
        <v>0</v>
      </c>
      <c r="E44" s="136">
        <f>IFERROR(VLOOKUP($B44,Price!$A$2:$B$120, 2,), 1)*IFERROR(VLOOKUP($B44, Data!$A$2:$K$89, 3,),0)</f>
        <v>69.09448283</v>
      </c>
      <c r="F44" s="138">
        <f>IFERROR(VLOOKUP($B44, Data!$A$2:$K$89, 8,),0)</f>
        <v>0</v>
      </c>
      <c r="G44" s="136">
        <f>IFERROR(VLOOKUP($B44,Price!$A$2:$B$120, 2,), 1)*IFERROR(VLOOKUP($B44, Data!$A$2:$K$89, 4,),0)</f>
        <v>0</v>
      </c>
      <c r="H44" s="138">
        <f>IFERROR(VLOOKUP($B44, Data!$A$2:$K$89, 9,),0)</f>
        <v>0</v>
      </c>
      <c r="I44" s="136">
        <f>IFERROR(VLOOKUP($B44,Price!$A$2:$B$120, 2,), 1)*IFERROR(VLOOKUP($B44, Data!$A$2:$K$89, 5,),0)</f>
        <v>0</v>
      </c>
      <c r="J44" s="138">
        <f>IFERROR(VLOOKUP($B44, Data!$A$2:$K$89, 10,),0)</f>
        <v>0</v>
      </c>
      <c r="K44" s="136">
        <f>IFERROR(VLOOKUP($B44,Price!$A$2:$B$120, 2,), 1)*IFERROR(VLOOKUP($B44, Data!$A$2:$K$89, 6,),0)</f>
        <v>0</v>
      </c>
      <c r="L44" s="138">
        <f>IFERROR(VLOOKUP($B44, Data!$A$2:$K$89, 11,),0)</f>
        <v>0</v>
      </c>
      <c r="M44" s="136">
        <f t="shared" si="1"/>
        <v>69.09448283</v>
      </c>
      <c r="N44" s="138">
        <f t="shared" si="2"/>
        <v>0</v>
      </c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5"/>
      <c r="AA44" s="135"/>
      <c r="AB44" s="134"/>
    </row>
    <row r="45" ht="14.25" hidden="1" customHeight="1" outlineLevel="1">
      <c r="A45" s="134"/>
      <c r="B45" s="135" t="str">
        <f>Data!A44</f>
        <v>LTC</v>
      </c>
      <c r="C45" s="136">
        <f>IFERROR(VLOOKUP($B45,Price!$A$2:$B$120, 2,), 1)*IFERROR(VLOOKUP($B45, Data!$A$2:$K$89, 2,),0)</f>
        <v>13134199.17</v>
      </c>
      <c r="D45" s="138">
        <f>IFERROR(VLOOKUP($B45, Data!$A$2:$K$89, 7,),0)</f>
        <v>0</v>
      </c>
      <c r="E45" s="136">
        <f>IFERROR(VLOOKUP($B45,Price!$A$2:$B$120, 2,), 1)*IFERROR(VLOOKUP($B45, Data!$A$2:$K$89, 3,),0)</f>
        <v>7525252.11</v>
      </c>
      <c r="F45" s="138">
        <f>IFERROR(VLOOKUP($B45, Data!$A$2:$K$89, 8,),0)</f>
        <v>0.09742215</v>
      </c>
      <c r="G45" s="136">
        <f>IFERROR(VLOOKUP($B45,Price!$A$2:$B$120, 2,), 1)*IFERROR(VLOOKUP($B45, Data!$A$2:$K$89, 4,),0)</f>
        <v>0</v>
      </c>
      <c r="H45" s="138">
        <f>IFERROR(VLOOKUP($B45, Data!$A$2:$K$89, 9,),0)</f>
        <v>0</v>
      </c>
      <c r="I45" s="136">
        <f>IFERROR(VLOOKUP($B45,Price!$A$2:$B$120, 2,), 1)*IFERROR(VLOOKUP($B45, Data!$A$2:$K$89, 5,),0)</f>
        <v>56925214</v>
      </c>
      <c r="J45" s="138">
        <f>IFERROR(VLOOKUP($B45, Data!$A$2:$K$89, 10,),0)</f>
        <v>0.0420559266</v>
      </c>
      <c r="K45" s="136">
        <f>IFERROR(VLOOKUP($B45,Price!$A$2:$B$120, 2,), 1)*IFERROR(VLOOKUP($B45, Data!$A$2:$K$89, 6,),0)</f>
        <v>3793806.188</v>
      </c>
      <c r="L45" s="138">
        <f>IFERROR(VLOOKUP($B45, Data!$A$2:$K$89, 11,),0)</f>
        <v>0</v>
      </c>
      <c r="M45" s="136">
        <f t="shared" si="1"/>
        <v>81378471.48</v>
      </c>
      <c r="N45" s="138">
        <f t="shared" si="2"/>
        <v>0.03842747111</v>
      </c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5"/>
      <c r="AA45" s="135"/>
      <c r="AB45" s="134"/>
    </row>
    <row r="46" ht="14.25" hidden="1" customHeight="1" outlineLevel="1">
      <c r="A46" s="134"/>
      <c r="B46" s="135" t="str">
        <f>Data!A45</f>
        <v>LUNA</v>
      </c>
      <c r="C46" s="136">
        <f>IFERROR(VLOOKUP($B46,Price!$A$2:$B$120, 2,), 1)*IFERROR(VLOOKUP($B46, Data!$A$2:$K$89, 2,),0)</f>
        <v>39035835.24</v>
      </c>
      <c r="D46" s="138">
        <f>IFERROR(VLOOKUP($B46, Data!$A$2:$K$89, 7,),0)</f>
        <v>0</v>
      </c>
      <c r="E46" s="136">
        <f>IFERROR(VLOOKUP($B46,Price!$A$2:$B$120, 2,), 1)*IFERROR(VLOOKUP($B46, Data!$A$2:$K$89, 3,),0)</f>
        <v>0</v>
      </c>
      <c r="F46" s="138">
        <f>IFERROR(VLOOKUP($B46, Data!$A$2:$K$89, 8,),0)</f>
        <v>0</v>
      </c>
      <c r="G46" s="136">
        <f>IFERROR(VLOOKUP($B46,Price!$A$2:$B$120, 2,), 1)*IFERROR(VLOOKUP($B46, Data!$A$2:$K$89, 4,),0)</f>
        <v>0</v>
      </c>
      <c r="H46" s="138">
        <f>IFERROR(VLOOKUP($B46, Data!$A$2:$K$89, 9,),0)</f>
        <v>0</v>
      </c>
      <c r="I46" s="136">
        <f>IFERROR(VLOOKUP($B46,Price!$A$2:$B$120, 2,), 1)*IFERROR(VLOOKUP($B46, Data!$A$2:$K$89, 5,),0)</f>
        <v>-13025048.12</v>
      </c>
      <c r="J46" s="138">
        <f>IFERROR(VLOOKUP($B46, Data!$A$2:$K$89, 10,),0)</f>
        <v>0.05858823183</v>
      </c>
      <c r="K46" s="136">
        <f>IFERROR(VLOOKUP($B46,Price!$A$2:$B$120, 2,), 1)*IFERROR(VLOOKUP($B46, Data!$A$2:$K$89, 6,),0)</f>
        <v>172496875.7</v>
      </c>
      <c r="L46" s="138">
        <f>IFERROR(VLOOKUP($B46, Data!$A$2:$K$89, 11,),0)</f>
        <v>0.12</v>
      </c>
      <c r="M46" s="136">
        <f t="shared" si="1"/>
        <v>198507662.8</v>
      </c>
      <c r="N46" s="138">
        <f t="shared" si="2"/>
        <v>0.1004319444</v>
      </c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5"/>
      <c r="AA46" s="135"/>
      <c r="AB46" s="134"/>
    </row>
    <row r="47" ht="14.25" hidden="1" customHeight="1" outlineLevel="1">
      <c r="A47" s="134"/>
      <c r="B47" s="135" t="str">
        <f>Data!A46</f>
        <v>MANA</v>
      </c>
      <c r="C47" s="136">
        <f>IFERROR(VLOOKUP($B47,Price!$A$2:$B$120, 2,), 1)*IFERROR(VLOOKUP($B47, Data!$A$2:$K$89, 2,),0)</f>
        <v>1850882.741</v>
      </c>
      <c r="D47" s="138">
        <f>IFERROR(VLOOKUP($B47, Data!$A$2:$K$89, 7,),0)</f>
        <v>0</v>
      </c>
      <c r="E47" s="136">
        <f>IFERROR(VLOOKUP($B47,Price!$A$2:$B$120, 2,), 1)*IFERROR(VLOOKUP($B47, Data!$A$2:$K$89, 3,),0)</f>
        <v>0</v>
      </c>
      <c r="F47" s="138">
        <f>IFERROR(VLOOKUP($B47, Data!$A$2:$K$89, 8,),0)</f>
        <v>0</v>
      </c>
      <c r="G47" s="136">
        <f>IFERROR(VLOOKUP($B47,Price!$A$2:$B$120, 2,), 1)*IFERROR(VLOOKUP($B47, Data!$A$2:$K$89, 4,),0)</f>
        <v>0</v>
      </c>
      <c r="H47" s="138">
        <f>IFERROR(VLOOKUP($B47, Data!$A$2:$K$89, 9,),0)</f>
        <v>0</v>
      </c>
      <c r="I47" s="136">
        <f>IFERROR(VLOOKUP($B47,Price!$A$2:$B$120, 2,), 1)*IFERROR(VLOOKUP($B47, Data!$A$2:$K$89, 5,),0)</f>
        <v>24037034.63</v>
      </c>
      <c r="J47" s="138">
        <f>IFERROR(VLOOKUP($B47, Data!$A$2:$K$89, 10,),0)</f>
        <v>0.002825597106</v>
      </c>
      <c r="K47" s="136">
        <f>IFERROR(VLOOKUP($B47,Price!$A$2:$B$120, 2,), 1)*IFERROR(VLOOKUP($B47, Data!$A$2:$K$89, 6,),0)</f>
        <v>3888362.917</v>
      </c>
      <c r="L47" s="138">
        <f>IFERROR(VLOOKUP($B47, Data!$A$2:$K$89, 11,),0)</f>
        <v>0.0005</v>
      </c>
      <c r="M47" s="136">
        <f t="shared" si="1"/>
        <v>29776280.29</v>
      </c>
      <c r="N47" s="138">
        <f t="shared" si="2"/>
        <v>0.002346268784</v>
      </c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5"/>
      <c r="AA47" s="135"/>
      <c r="AB47" s="134"/>
    </row>
    <row r="48" ht="14.25" hidden="1" customHeight="1" outlineLevel="1">
      <c r="A48" s="134"/>
      <c r="B48" s="135" t="str">
        <f>Data!A47</f>
        <v>MATIC</v>
      </c>
      <c r="C48" s="136">
        <f>IFERROR(VLOOKUP($B48,Price!$A$2:$B$120, 2,), 1)*IFERROR(VLOOKUP($B48, Data!$A$2:$K$89, 2,),0)</f>
        <v>66173612.41</v>
      </c>
      <c r="D48" s="138">
        <f>IFERROR(VLOOKUP($B48, Data!$A$2:$K$89, 7,),0)</f>
        <v>0</v>
      </c>
      <c r="E48" s="136">
        <f>IFERROR(VLOOKUP($B48,Price!$A$2:$B$120, 2,), 1)*IFERROR(VLOOKUP($B48, Data!$A$2:$K$89, 3,),0)</f>
        <v>667.5889355</v>
      </c>
      <c r="F48" s="138">
        <f>IFERROR(VLOOKUP($B48, Data!$A$2:$K$89, 8,),0)</f>
        <v>0</v>
      </c>
      <c r="G48" s="136">
        <f>IFERROR(VLOOKUP($B48,Price!$A$2:$B$120, 2,), 1)*IFERROR(VLOOKUP($B48, Data!$A$2:$K$89, 4,),0)</f>
        <v>53124074.5</v>
      </c>
      <c r="H48" s="138">
        <f>IFERROR(VLOOKUP($B48, Data!$A$2:$K$89, 9,),0)</f>
        <v>0</v>
      </c>
      <c r="I48" s="136">
        <f>IFERROR(VLOOKUP($B48,Price!$A$2:$B$120, 2,), 1)*IFERROR(VLOOKUP($B48, Data!$A$2:$K$89, 5,),0)</f>
        <v>31611305.55</v>
      </c>
      <c r="J48" s="138">
        <f>IFERROR(VLOOKUP($B48, Data!$A$2:$K$89, 10,),0)</f>
        <v>0.0730191904</v>
      </c>
      <c r="K48" s="136">
        <f>IFERROR(VLOOKUP($B48,Price!$A$2:$B$120, 2,), 1)*IFERROR(VLOOKUP($B48, Data!$A$2:$K$89, 6,),0)</f>
        <v>687855553.7</v>
      </c>
      <c r="L48" s="138">
        <f>IFERROR(VLOOKUP($B48, Data!$A$2:$K$89, 11,),0)</f>
        <v>0.1305143225</v>
      </c>
      <c r="M48" s="136">
        <f t="shared" si="1"/>
        <v>838765213.7</v>
      </c>
      <c r="N48" s="138">
        <f t="shared" si="2"/>
        <v>0.1097842782</v>
      </c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5"/>
      <c r="AA48" s="135"/>
      <c r="AB48" s="134"/>
    </row>
    <row r="49" ht="14.25" hidden="1" customHeight="1" outlineLevel="1">
      <c r="A49" s="134"/>
      <c r="B49" s="135" t="str">
        <f>Data!A48</f>
        <v>MKR</v>
      </c>
      <c r="C49" s="136">
        <f>IFERROR(VLOOKUP($B49,Price!$A$2:$B$120, 2,), 1)*IFERROR(VLOOKUP($B49, Data!$A$2:$K$89, 2,),0)</f>
        <v>27243.99593</v>
      </c>
      <c r="D49" s="138">
        <f>IFERROR(VLOOKUP($B49, Data!$A$2:$K$89, 7,),0)</f>
        <v>0</v>
      </c>
      <c r="E49" s="136">
        <f>IFERROR(VLOOKUP($B49,Price!$A$2:$B$120, 2,), 1)*IFERROR(VLOOKUP($B49, Data!$A$2:$K$89, 3,),0)</f>
        <v>0</v>
      </c>
      <c r="F49" s="138">
        <f>IFERROR(VLOOKUP($B49, Data!$A$2:$K$89, 8,),0)</f>
        <v>0</v>
      </c>
      <c r="G49" s="136">
        <f>IFERROR(VLOOKUP($B49,Price!$A$2:$B$120, 2,), 1)*IFERROR(VLOOKUP($B49, Data!$A$2:$K$89, 4,),0)</f>
        <v>0</v>
      </c>
      <c r="H49" s="138">
        <f>IFERROR(VLOOKUP($B49, Data!$A$2:$K$89, 9,),0)</f>
        <v>0</v>
      </c>
      <c r="I49" s="136">
        <f>IFERROR(VLOOKUP($B49,Price!$A$2:$B$120, 2,), 1)*IFERROR(VLOOKUP($B49, Data!$A$2:$K$89, 5,),0)</f>
        <v>0</v>
      </c>
      <c r="J49" s="138">
        <f>IFERROR(VLOOKUP($B49, Data!$A$2:$K$89, 10,),0)</f>
        <v>0</v>
      </c>
      <c r="K49" s="136">
        <f>IFERROR(VLOOKUP($B49,Price!$A$2:$B$120, 2,), 1)*IFERROR(VLOOKUP($B49, Data!$A$2:$K$89, 6,),0)</f>
        <v>10.38154121</v>
      </c>
      <c r="L49" s="138">
        <f>IFERROR(VLOOKUP($B49, Data!$A$2:$K$89, 11,),0)</f>
        <v>0</v>
      </c>
      <c r="M49" s="136">
        <f t="shared" si="1"/>
        <v>27254.37747</v>
      </c>
      <c r="N49" s="138">
        <f t="shared" si="2"/>
        <v>0</v>
      </c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5"/>
      <c r="AA49" s="135"/>
      <c r="AB49" s="134"/>
    </row>
    <row r="50" ht="14.25" hidden="1" customHeight="1" outlineLevel="1">
      <c r="A50" s="134"/>
      <c r="B50" s="135" t="str">
        <f>Data!A49</f>
        <v>OMG</v>
      </c>
      <c r="C50" s="136">
        <f>IFERROR(VLOOKUP($B50,Price!$A$2:$B$120, 2,), 1)*IFERROR(VLOOKUP($B50, Data!$A$2:$K$89, 2,),0)</f>
        <v>1514217.102</v>
      </c>
      <c r="D50" s="138">
        <f>IFERROR(VLOOKUP($B50, Data!$A$2:$K$89, 7,),0)</f>
        <v>0</v>
      </c>
      <c r="E50" s="136">
        <f>IFERROR(VLOOKUP($B50,Price!$A$2:$B$120, 2,), 1)*IFERROR(VLOOKUP($B50, Data!$A$2:$K$89, 3,),0)</f>
        <v>0</v>
      </c>
      <c r="F50" s="138">
        <f>IFERROR(VLOOKUP($B50, Data!$A$2:$K$89, 8,),0)</f>
        <v>0</v>
      </c>
      <c r="G50" s="136">
        <f>IFERROR(VLOOKUP($B50,Price!$A$2:$B$120, 2,), 1)*IFERROR(VLOOKUP($B50, Data!$A$2:$K$89, 4,),0)</f>
        <v>0</v>
      </c>
      <c r="H50" s="138">
        <f>IFERROR(VLOOKUP($B50, Data!$A$2:$K$89, 9,),0)</f>
        <v>0</v>
      </c>
      <c r="I50" s="136">
        <f>IFERROR(VLOOKUP($B50,Price!$A$2:$B$120, 2,), 1)*IFERROR(VLOOKUP($B50, Data!$A$2:$K$89, 5,),0)</f>
        <v>2840924.098</v>
      </c>
      <c r="J50" s="138">
        <f>IFERROR(VLOOKUP($B50, Data!$A$2:$K$89, 10,),0)</f>
        <v>0.07160769033</v>
      </c>
      <c r="K50" s="136">
        <f>IFERROR(VLOOKUP($B50,Price!$A$2:$B$120, 2,), 1)*IFERROR(VLOOKUP($B50, Data!$A$2:$K$89, 6,),0)</f>
        <v>0</v>
      </c>
      <c r="L50" s="138">
        <f>IFERROR(VLOOKUP($B50, Data!$A$2:$K$89, 11,),0)</f>
        <v>0</v>
      </c>
      <c r="M50" s="136">
        <f t="shared" si="1"/>
        <v>4355141.2</v>
      </c>
      <c r="N50" s="138">
        <f t="shared" si="2"/>
        <v>0.04671077325</v>
      </c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5"/>
      <c r="AA50" s="135"/>
      <c r="AB50" s="134"/>
    </row>
    <row r="51" ht="14.25" hidden="1" customHeight="1" outlineLevel="1">
      <c r="A51" s="134"/>
      <c r="B51" s="135" t="str">
        <f>Data!A50</f>
        <v>ONX</v>
      </c>
      <c r="C51" s="136">
        <f>IFERROR(VLOOKUP($B51,Price!$A$2:$B$120, 2,), 1)*IFERROR(VLOOKUP($B51, Data!$A$2:$K$89, 2,),0)</f>
        <v>0</v>
      </c>
      <c r="D51" s="138">
        <f>IFERROR(VLOOKUP($B51, Data!$A$2:$K$89, 7,),0)</f>
        <v>0</v>
      </c>
      <c r="E51" s="136">
        <f>IFERROR(VLOOKUP($B51,Price!$A$2:$B$120, 2,), 1)*IFERROR(VLOOKUP($B51, Data!$A$2:$K$89, 3,),0)</f>
        <v>0</v>
      </c>
      <c r="F51" s="138">
        <f>IFERROR(VLOOKUP($B51, Data!$A$2:$K$89, 8,),0)</f>
        <v>0</v>
      </c>
      <c r="G51" s="136">
        <f>IFERROR(VLOOKUP($B51,Price!$A$2:$B$120, 2,), 1)*IFERROR(VLOOKUP($B51, Data!$A$2:$K$89, 4,),0)</f>
        <v>0</v>
      </c>
      <c r="H51" s="138">
        <f>IFERROR(VLOOKUP($B51, Data!$A$2:$K$89, 9,),0)</f>
        <v>0</v>
      </c>
      <c r="I51" s="136">
        <f>IFERROR(VLOOKUP($B51,Price!$A$2:$B$120, 2,), 1)*IFERROR(VLOOKUP($B51, Data!$A$2:$K$89, 5,),0)</f>
        <v>37.54005962</v>
      </c>
      <c r="J51" s="138">
        <f>IFERROR(VLOOKUP($B51, Data!$A$2:$K$89, 10,),0)</f>
        <v>0</v>
      </c>
      <c r="K51" s="136">
        <f>IFERROR(VLOOKUP($B51,Price!$A$2:$B$120, 2,), 1)*IFERROR(VLOOKUP($B51, Data!$A$2:$K$89, 6,),0)</f>
        <v>265.0588704</v>
      </c>
      <c r="L51" s="138">
        <f>IFERROR(VLOOKUP($B51, Data!$A$2:$K$89, 11,),0)</f>
        <v>0</v>
      </c>
      <c r="M51" s="136">
        <f t="shared" si="1"/>
        <v>302.59893</v>
      </c>
      <c r="N51" s="138">
        <f t="shared" si="2"/>
        <v>0</v>
      </c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5"/>
      <c r="AA51" s="135"/>
      <c r="AB51" s="134"/>
    </row>
    <row r="52" ht="14.25" hidden="1" customHeight="1" outlineLevel="1">
      <c r="A52" s="134"/>
      <c r="B52" s="135" t="str">
        <f>Data!A51</f>
        <v>ORBS</v>
      </c>
      <c r="C52" s="136">
        <f>IFERROR(VLOOKUP($B52,Price!$A$2:$B$120, 2,), 1)*IFERROR(VLOOKUP($B52, Data!$A$2:$K$89, 2,),0)</f>
        <v>15917.73237</v>
      </c>
      <c r="D52" s="138">
        <f>IFERROR(VLOOKUP($B52, Data!$A$2:$K$89, 7,),0)</f>
        <v>0</v>
      </c>
      <c r="E52" s="136">
        <f>IFERROR(VLOOKUP($B52,Price!$A$2:$B$120, 2,), 1)*IFERROR(VLOOKUP($B52, Data!$A$2:$K$89, 3,),0)</f>
        <v>0</v>
      </c>
      <c r="F52" s="138">
        <f>IFERROR(VLOOKUP($B52, Data!$A$2:$K$89, 8,),0)</f>
        <v>0</v>
      </c>
      <c r="G52" s="136">
        <f>IFERROR(VLOOKUP($B52,Price!$A$2:$B$120, 2,), 1)*IFERROR(VLOOKUP($B52, Data!$A$2:$K$89, 4,),0)</f>
        <v>0</v>
      </c>
      <c r="H52" s="138">
        <f>IFERROR(VLOOKUP($B52, Data!$A$2:$K$89, 9,),0)</f>
        <v>0</v>
      </c>
      <c r="I52" s="136">
        <f>IFERROR(VLOOKUP($B52,Price!$A$2:$B$120, 2,), 1)*IFERROR(VLOOKUP($B52, Data!$A$2:$K$89, 5,),0)</f>
        <v>0</v>
      </c>
      <c r="J52" s="138">
        <f>IFERROR(VLOOKUP($B52, Data!$A$2:$K$89, 10,),0)</f>
        <v>0</v>
      </c>
      <c r="K52" s="136">
        <f>IFERROR(VLOOKUP($B52,Price!$A$2:$B$120, 2,), 1)*IFERROR(VLOOKUP($B52, Data!$A$2:$K$89, 6,),0)</f>
        <v>0</v>
      </c>
      <c r="L52" s="138">
        <f>IFERROR(VLOOKUP($B52, Data!$A$2:$K$89, 11,),0)</f>
        <v>0</v>
      </c>
      <c r="M52" s="136">
        <f t="shared" si="1"/>
        <v>15917.73237</v>
      </c>
      <c r="N52" s="138">
        <f t="shared" si="2"/>
        <v>0</v>
      </c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5"/>
      <c r="AA52" s="135"/>
      <c r="AB52" s="134"/>
    </row>
    <row r="53" ht="14.25" hidden="1" customHeight="1" outlineLevel="1">
      <c r="A53" s="134"/>
      <c r="B53" s="135" t="str">
        <f>Data!A52</f>
        <v>PAXG</v>
      </c>
      <c r="C53" s="136">
        <f>IFERROR(VLOOKUP($B53,Price!$A$2:$B$120, 2,), 1)*IFERROR(VLOOKUP($B53, Data!$A$2:$K$89, 2,),0)</f>
        <v>14579094.65</v>
      </c>
      <c r="D53" s="138">
        <f>IFERROR(VLOOKUP($B53, Data!$A$2:$K$89, 7,),0)</f>
        <v>0</v>
      </c>
      <c r="E53" s="136">
        <f>IFERROR(VLOOKUP($B53,Price!$A$2:$B$120, 2,), 1)*IFERROR(VLOOKUP($B53, Data!$A$2:$K$89, 3,),0)</f>
        <v>0</v>
      </c>
      <c r="F53" s="138">
        <f>IFERROR(VLOOKUP($B53, Data!$A$2:$K$89, 8,),0)</f>
        <v>0</v>
      </c>
      <c r="G53" s="136">
        <f>IFERROR(VLOOKUP($B53,Price!$A$2:$B$120, 2,), 1)*IFERROR(VLOOKUP($B53, Data!$A$2:$K$89, 4,),0)</f>
        <v>0</v>
      </c>
      <c r="H53" s="138">
        <f>IFERROR(VLOOKUP($B53, Data!$A$2:$K$89, 9,),0)</f>
        <v>0</v>
      </c>
      <c r="I53" s="136">
        <f>IFERROR(VLOOKUP($B53,Price!$A$2:$B$120, 2,), 1)*IFERROR(VLOOKUP($B53, Data!$A$2:$K$89, 5,),0)</f>
        <v>99337.65886</v>
      </c>
      <c r="J53" s="138">
        <f>IFERROR(VLOOKUP($B53, Data!$A$2:$K$89, 10,),0)</f>
        <v>0.045</v>
      </c>
      <c r="K53" s="136">
        <f>IFERROR(VLOOKUP($B53,Price!$A$2:$B$120, 2,), 1)*IFERROR(VLOOKUP($B53, Data!$A$2:$K$89, 6,),0)</f>
        <v>0</v>
      </c>
      <c r="L53" s="138">
        <f>IFERROR(VLOOKUP($B53, Data!$A$2:$K$89, 11,),0)</f>
        <v>0</v>
      </c>
      <c r="M53" s="136">
        <f t="shared" si="1"/>
        <v>14678432.31</v>
      </c>
      <c r="N53" s="138">
        <f t="shared" si="2"/>
        <v>0.0003045416946</v>
      </c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5"/>
      <c r="AA53" s="135"/>
      <c r="AB53" s="134"/>
    </row>
    <row r="54" ht="14.25" hidden="1" customHeight="1" outlineLevel="1">
      <c r="A54" s="134"/>
      <c r="B54" s="135" t="str">
        <f>Data!A53</f>
        <v>PNT</v>
      </c>
      <c r="C54" s="136">
        <f>IFERROR(VLOOKUP($B54,Price!$A$2:$B$120, 2,), 1)*IFERROR(VLOOKUP($B54, Data!$A$2:$K$89, 2,),0)</f>
        <v>0</v>
      </c>
      <c r="D54" s="138">
        <f>IFERROR(VLOOKUP($B54, Data!$A$2:$K$89, 7,),0)</f>
        <v>0</v>
      </c>
      <c r="E54" s="136">
        <f>IFERROR(VLOOKUP($B54,Price!$A$2:$B$120, 2,), 1)*IFERROR(VLOOKUP($B54, Data!$A$2:$K$89, 3,),0)</f>
        <v>146809.3767</v>
      </c>
      <c r="F54" s="138">
        <f>IFERROR(VLOOKUP($B54, Data!$A$2:$K$89, 8,),0)</f>
        <v>0</v>
      </c>
      <c r="G54" s="136">
        <f>IFERROR(VLOOKUP($B54,Price!$A$2:$B$120, 2,), 1)*IFERROR(VLOOKUP($B54, Data!$A$2:$K$89, 4,),0)</f>
        <v>0</v>
      </c>
      <c r="H54" s="138">
        <f>IFERROR(VLOOKUP($B54, Data!$A$2:$K$89, 9,),0)</f>
        <v>0</v>
      </c>
      <c r="I54" s="136">
        <f>IFERROR(VLOOKUP($B54,Price!$A$2:$B$120, 2,), 1)*IFERROR(VLOOKUP($B54, Data!$A$2:$K$89, 5,),0)</f>
        <v>0</v>
      </c>
      <c r="J54" s="138">
        <f>IFERROR(VLOOKUP($B54, Data!$A$2:$K$89, 10,),0)</f>
        <v>0</v>
      </c>
      <c r="K54" s="136">
        <f>IFERROR(VLOOKUP($B54,Price!$A$2:$B$120, 2,), 1)*IFERROR(VLOOKUP($B54, Data!$A$2:$K$89, 6,),0)</f>
        <v>0</v>
      </c>
      <c r="L54" s="138">
        <f>IFERROR(VLOOKUP($B54, Data!$A$2:$K$89, 11,),0)</f>
        <v>0</v>
      </c>
      <c r="M54" s="136">
        <f t="shared" si="1"/>
        <v>146809.3767</v>
      </c>
      <c r="N54" s="138">
        <f t="shared" si="2"/>
        <v>0</v>
      </c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5"/>
      <c r="AA54" s="135"/>
      <c r="AB54" s="134"/>
    </row>
    <row r="55" ht="14.25" hidden="1" customHeight="1" outlineLevel="1">
      <c r="A55" s="134"/>
      <c r="B55" s="135" t="str">
        <f>Data!A54</f>
        <v>QI</v>
      </c>
      <c r="C55" s="136">
        <f>IFERROR(VLOOKUP($B55,Price!$A$2:$B$120, 2,), 1)*IFERROR(VLOOKUP($B55, Data!$A$2:$K$89, 2,),0)</f>
        <v>623943.1188</v>
      </c>
      <c r="D55" s="138">
        <f>IFERROR(VLOOKUP($B55, Data!$A$2:$K$89, 7,),0)</f>
        <v>0</v>
      </c>
      <c r="E55" s="136">
        <f>IFERROR(VLOOKUP($B55,Price!$A$2:$B$120, 2,), 1)*IFERROR(VLOOKUP($B55, Data!$A$2:$K$89, 3,),0)</f>
        <v>0</v>
      </c>
      <c r="F55" s="138">
        <f>IFERROR(VLOOKUP($B55, Data!$A$2:$K$89, 8,),0)</f>
        <v>0</v>
      </c>
      <c r="G55" s="136">
        <f>IFERROR(VLOOKUP($B55,Price!$A$2:$B$120, 2,), 1)*IFERROR(VLOOKUP($B55, Data!$A$2:$K$89, 4,),0)</f>
        <v>0</v>
      </c>
      <c r="H55" s="138">
        <f>IFERROR(VLOOKUP($B55, Data!$A$2:$K$89, 9,),0)</f>
        <v>0</v>
      </c>
      <c r="I55" s="136">
        <f>IFERROR(VLOOKUP($B55,Price!$A$2:$B$120, 2,), 1)*IFERROR(VLOOKUP($B55, Data!$A$2:$K$89, 5,),0)</f>
        <v>0</v>
      </c>
      <c r="J55" s="138">
        <f>IFERROR(VLOOKUP($B55, Data!$A$2:$K$89, 10,),0)</f>
        <v>0</v>
      </c>
      <c r="K55" s="136">
        <f>IFERROR(VLOOKUP($B55,Price!$A$2:$B$120, 2,), 1)*IFERROR(VLOOKUP($B55, Data!$A$2:$K$89, 6,),0)</f>
        <v>14.05821857</v>
      </c>
      <c r="L55" s="138">
        <f>IFERROR(VLOOKUP($B55, Data!$A$2:$K$89, 11,),0)</f>
        <v>0</v>
      </c>
      <c r="M55" s="136">
        <f t="shared" si="1"/>
        <v>623957.177</v>
      </c>
      <c r="N55" s="138">
        <f t="shared" si="2"/>
        <v>0</v>
      </c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5"/>
      <c r="AA55" s="135"/>
      <c r="AB55" s="134"/>
    </row>
    <row r="56" ht="14.25" hidden="1" customHeight="1" outlineLevel="1">
      <c r="A56" s="134"/>
      <c r="B56" s="135" t="str">
        <f>Data!A55</f>
        <v>RAY</v>
      </c>
      <c r="C56" s="136">
        <f>IFERROR(VLOOKUP($B56,Price!$A$2:$B$120, 2,), 1)*IFERROR(VLOOKUP($B56, Data!$A$2:$K$89, 2,),0)</f>
        <v>0</v>
      </c>
      <c r="D56" s="138">
        <f>IFERROR(VLOOKUP($B56, Data!$A$2:$K$89, 7,),0)</f>
        <v>0</v>
      </c>
      <c r="E56" s="136">
        <f>IFERROR(VLOOKUP($B56,Price!$A$2:$B$120, 2,), 1)*IFERROR(VLOOKUP($B56, Data!$A$2:$K$89, 3,),0)</f>
        <v>0</v>
      </c>
      <c r="F56" s="138">
        <f>IFERROR(VLOOKUP($B56, Data!$A$2:$K$89, 8,),0)</f>
        <v>0</v>
      </c>
      <c r="G56" s="136">
        <f>IFERROR(VLOOKUP($B56,Price!$A$2:$B$120, 2,), 1)*IFERROR(VLOOKUP($B56, Data!$A$2:$K$89, 4,),0)</f>
        <v>0</v>
      </c>
      <c r="H56" s="138">
        <f>IFERROR(VLOOKUP($B56, Data!$A$2:$K$89, 9,),0)</f>
        <v>0</v>
      </c>
      <c r="I56" s="136">
        <f>IFERROR(VLOOKUP($B56,Price!$A$2:$B$120, 2,), 1)*IFERROR(VLOOKUP($B56, Data!$A$2:$K$89, 5,),0)</f>
        <v>1145678.657</v>
      </c>
      <c r="J56" s="138">
        <f>IFERROR(VLOOKUP($B56, Data!$A$2:$K$89, 10,),0)</f>
        <v>-0.0295482322</v>
      </c>
      <c r="K56" s="136">
        <f>IFERROR(VLOOKUP($B56,Price!$A$2:$B$120, 2,), 1)*IFERROR(VLOOKUP($B56, Data!$A$2:$K$89, 6,),0)</f>
        <v>0</v>
      </c>
      <c r="L56" s="138">
        <f>IFERROR(VLOOKUP($B56, Data!$A$2:$K$89, 11,),0)</f>
        <v>0</v>
      </c>
      <c r="M56" s="136">
        <f t="shared" si="1"/>
        <v>1145678.657</v>
      </c>
      <c r="N56" s="138">
        <f t="shared" si="2"/>
        <v>-0.0295482322</v>
      </c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5"/>
      <c r="AA56" s="135"/>
      <c r="AB56" s="134"/>
    </row>
    <row r="57" ht="14.25" hidden="1" customHeight="1" outlineLevel="1">
      <c r="A57" s="134"/>
      <c r="B57" s="135" t="str">
        <f>Data!A56</f>
        <v>REN</v>
      </c>
      <c r="C57" s="136">
        <f>IFERROR(VLOOKUP($B57,Price!$A$2:$B$120, 2,), 1)*IFERROR(VLOOKUP($B57, Data!$A$2:$K$89, 2,),0)</f>
        <v>62248.20215</v>
      </c>
      <c r="D57" s="138">
        <f>IFERROR(VLOOKUP($B57, Data!$A$2:$K$89, 7,),0)</f>
        <v>0</v>
      </c>
      <c r="E57" s="136">
        <f>IFERROR(VLOOKUP($B57,Price!$A$2:$B$120, 2,), 1)*IFERROR(VLOOKUP($B57, Data!$A$2:$K$89, 3,),0)</f>
        <v>0</v>
      </c>
      <c r="F57" s="138">
        <f>IFERROR(VLOOKUP($B57, Data!$A$2:$K$89, 8,),0)</f>
        <v>0</v>
      </c>
      <c r="G57" s="136">
        <f>IFERROR(VLOOKUP($B57,Price!$A$2:$B$120, 2,), 1)*IFERROR(VLOOKUP($B57, Data!$A$2:$K$89, 4,),0)</f>
        <v>0</v>
      </c>
      <c r="H57" s="138">
        <f>IFERROR(VLOOKUP($B57, Data!$A$2:$K$89, 9,),0)</f>
        <v>0</v>
      </c>
      <c r="I57" s="136">
        <f>IFERROR(VLOOKUP($B57,Price!$A$2:$B$120, 2,), 1)*IFERROR(VLOOKUP($B57, Data!$A$2:$K$89, 5,),0)</f>
        <v>386224.1949</v>
      </c>
      <c r="J57" s="138">
        <f>IFERROR(VLOOKUP($B57, Data!$A$2:$K$89, 10,),0)</f>
        <v>0.0943</v>
      </c>
      <c r="K57" s="136">
        <f>IFERROR(VLOOKUP($B57,Price!$A$2:$B$120, 2,), 1)*IFERROR(VLOOKUP($B57, Data!$A$2:$K$89, 6,),0)</f>
        <v>0</v>
      </c>
      <c r="L57" s="138">
        <f>IFERROR(VLOOKUP($B57, Data!$A$2:$K$89, 11,),0)</f>
        <v>0</v>
      </c>
      <c r="M57" s="136">
        <f t="shared" si="1"/>
        <v>448472.397</v>
      </c>
      <c r="N57" s="138">
        <f t="shared" si="2"/>
        <v>0.08121111091</v>
      </c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5"/>
      <c r="AA57" s="135"/>
      <c r="AB57" s="134"/>
    </row>
    <row r="58" ht="14.25" hidden="1" customHeight="1" outlineLevel="1">
      <c r="A58" s="134"/>
      <c r="B58" s="135" t="str">
        <f>Data!A57</f>
        <v>ROOK</v>
      </c>
      <c r="C58" s="136">
        <f>IFERROR(VLOOKUP($B58,Price!$A$2:$B$120, 2,), 1)*IFERROR(VLOOKUP($B58, Data!$A$2:$K$89, 2,),0)</f>
        <v>0</v>
      </c>
      <c r="D58" s="138">
        <f>IFERROR(VLOOKUP($B58, Data!$A$2:$K$89, 7,),0)</f>
        <v>0</v>
      </c>
      <c r="E58" s="136">
        <f>IFERROR(VLOOKUP($B58,Price!$A$2:$B$120, 2,), 1)*IFERROR(VLOOKUP($B58, Data!$A$2:$K$89, 3,),0)</f>
        <v>0</v>
      </c>
      <c r="F58" s="138">
        <f>IFERROR(VLOOKUP($B58, Data!$A$2:$K$89, 8,),0)</f>
        <v>0</v>
      </c>
      <c r="G58" s="136">
        <f>IFERROR(VLOOKUP($B58,Price!$A$2:$B$120, 2,), 1)*IFERROR(VLOOKUP($B58, Data!$A$2:$K$89, 4,),0)</f>
        <v>0</v>
      </c>
      <c r="H58" s="138">
        <f>IFERROR(VLOOKUP($B58, Data!$A$2:$K$89, 9,),0)</f>
        <v>0</v>
      </c>
      <c r="I58" s="136">
        <f>IFERROR(VLOOKUP($B58,Price!$A$2:$B$120, 2,), 1)*IFERROR(VLOOKUP($B58, Data!$A$2:$K$89, 5,),0)</f>
        <v>101.5339148</v>
      </c>
      <c r="J58" s="138">
        <f>IFERROR(VLOOKUP($B58, Data!$A$2:$K$89, 10,),0)</f>
        <v>0</v>
      </c>
      <c r="K58" s="136">
        <f>IFERROR(VLOOKUP($B58,Price!$A$2:$B$120, 2,), 1)*IFERROR(VLOOKUP($B58, Data!$A$2:$K$89, 6,),0)</f>
        <v>0</v>
      </c>
      <c r="L58" s="138">
        <f>IFERROR(VLOOKUP($B58, Data!$A$2:$K$89, 11,),0)</f>
        <v>0</v>
      </c>
      <c r="M58" s="136">
        <f t="shared" si="1"/>
        <v>101.5339148</v>
      </c>
      <c r="N58" s="138">
        <f t="shared" si="2"/>
        <v>0</v>
      </c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5"/>
      <c r="AA58" s="135"/>
      <c r="AB58" s="134"/>
    </row>
    <row r="59" ht="14.25" hidden="1" customHeight="1" outlineLevel="1">
      <c r="A59" s="134"/>
      <c r="B59" s="135" t="str">
        <f>Data!A58</f>
        <v>SGA</v>
      </c>
      <c r="C59" s="136">
        <f>IFERROR(VLOOKUP($B59,Price!$A$2:$B$120, 2,), 1)*IFERROR(VLOOKUP($B59, Data!$A$2:$K$89, 2,),0)</f>
        <v>0</v>
      </c>
      <c r="D59" s="138">
        <f>IFERROR(VLOOKUP($B59, Data!$A$2:$K$89, 7,),0)</f>
        <v>0</v>
      </c>
      <c r="E59" s="136">
        <f>IFERROR(VLOOKUP($B59,Price!$A$2:$B$120, 2,), 1)*IFERROR(VLOOKUP($B59, Data!$A$2:$K$89, 3,),0)</f>
        <v>0</v>
      </c>
      <c r="F59" s="138">
        <f>IFERROR(VLOOKUP($B59, Data!$A$2:$K$89, 8,),0)</f>
        <v>0</v>
      </c>
      <c r="G59" s="136">
        <f>IFERROR(VLOOKUP($B59,Price!$A$2:$B$120, 2,), 1)*IFERROR(VLOOKUP($B59, Data!$A$2:$K$89, 4,),0)</f>
        <v>0</v>
      </c>
      <c r="H59" s="138">
        <f>IFERROR(VLOOKUP($B59, Data!$A$2:$K$89, 9,),0)</f>
        <v>0</v>
      </c>
      <c r="I59" s="136">
        <f>IFERROR(VLOOKUP($B59,Price!$A$2:$B$120, 2,), 1)*IFERROR(VLOOKUP($B59, Data!$A$2:$K$89, 5,),0)</f>
        <v>0</v>
      </c>
      <c r="J59" s="138">
        <f>IFERROR(VLOOKUP($B59, Data!$A$2:$K$89, 10,),0)</f>
        <v>0</v>
      </c>
      <c r="K59" s="136">
        <f>IFERROR(VLOOKUP($B59,Price!$A$2:$B$120, 2,), 1)*IFERROR(VLOOKUP($B59, Data!$A$2:$K$89, 6,),0)</f>
        <v>0</v>
      </c>
      <c r="L59" s="138">
        <f>IFERROR(VLOOKUP($B59, Data!$A$2:$K$89, 11,),0)</f>
        <v>0</v>
      </c>
      <c r="M59" s="136">
        <f t="shared" si="1"/>
        <v>0</v>
      </c>
      <c r="N59" s="138">
        <f t="shared" si="2"/>
        <v>0</v>
      </c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5"/>
      <c r="AA59" s="135"/>
      <c r="AB59" s="134"/>
    </row>
    <row r="60" ht="14.25" hidden="1" customHeight="1" outlineLevel="1">
      <c r="A60" s="134"/>
      <c r="B60" s="135" t="str">
        <f>Data!A59</f>
        <v>SGB</v>
      </c>
      <c r="C60" s="136">
        <f>IFERROR(VLOOKUP($B60,Price!$A$2:$B$120, 2,), 1)*IFERROR(VLOOKUP($B60, Data!$A$2:$K$89, 2,),0)</f>
        <v>0</v>
      </c>
      <c r="D60" s="138">
        <f>IFERROR(VLOOKUP($B60, Data!$A$2:$K$89, 7,),0)</f>
        <v>0</v>
      </c>
      <c r="E60" s="136">
        <f>IFERROR(VLOOKUP($B60,Price!$A$2:$B$120, 2,), 1)*IFERROR(VLOOKUP($B60, Data!$A$2:$K$89, 3,),0)</f>
        <v>0</v>
      </c>
      <c r="F60" s="138">
        <f>IFERROR(VLOOKUP($B60, Data!$A$2:$K$89, 8,),0)</f>
        <v>0</v>
      </c>
      <c r="G60" s="136">
        <f>IFERROR(VLOOKUP($B60,Price!$A$2:$B$120, 2,), 1)*IFERROR(VLOOKUP($B60, Data!$A$2:$K$89, 4,),0)</f>
        <v>0</v>
      </c>
      <c r="H60" s="138">
        <f>IFERROR(VLOOKUP($B60, Data!$A$2:$K$89, 9,),0)</f>
        <v>0</v>
      </c>
      <c r="I60" s="136">
        <f>IFERROR(VLOOKUP($B60,Price!$A$2:$B$120, 2,), 1)*IFERROR(VLOOKUP($B60, Data!$A$2:$K$89, 5,),0)</f>
        <v>0</v>
      </c>
      <c r="J60" s="138">
        <f>IFERROR(VLOOKUP($B60, Data!$A$2:$K$89, 10,),0)</f>
        <v>0</v>
      </c>
      <c r="K60" s="136">
        <f>IFERROR(VLOOKUP($B60,Price!$A$2:$B$120, 2,), 1)*IFERROR(VLOOKUP($B60, Data!$A$2:$K$89, 6,),0)</f>
        <v>0</v>
      </c>
      <c r="L60" s="138">
        <f>IFERROR(VLOOKUP($B60, Data!$A$2:$K$89, 11,),0)</f>
        <v>0</v>
      </c>
      <c r="M60" s="136">
        <f t="shared" si="1"/>
        <v>0</v>
      </c>
      <c r="N60" s="138">
        <f t="shared" si="2"/>
        <v>0</v>
      </c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5"/>
      <c r="AA60" s="135"/>
      <c r="AB60" s="134"/>
    </row>
    <row r="61" ht="14.25" hidden="1" customHeight="1" outlineLevel="1">
      <c r="A61" s="134"/>
      <c r="B61" s="135" t="str">
        <f>Data!A60</f>
        <v>SGR</v>
      </c>
      <c r="C61" s="136">
        <f>IFERROR(VLOOKUP($B61,Price!$A$2:$B$120, 2,), 1)*IFERROR(VLOOKUP($B61, Data!$A$2:$K$89, 2,),0)</f>
        <v>111.7968254</v>
      </c>
      <c r="D61" s="138">
        <f>IFERROR(VLOOKUP($B61, Data!$A$2:$K$89, 7,),0)</f>
        <v>0</v>
      </c>
      <c r="E61" s="136">
        <f>IFERROR(VLOOKUP($B61,Price!$A$2:$B$120, 2,), 1)*IFERROR(VLOOKUP($B61, Data!$A$2:$K$89, 3,),0)</f>
        <v>0</v>
      </c>
      <c r="F61" s="138">
        <f>IFERROR(VLOOKUP($B61, Data!$A$2:$K$89, 8,),0)</f>
        <v>0</v>
      </c>
      <c r="G61" s="136">
        <f>IFERROR(VLOOKUP($B61,Price!$A$2:$B$120, 2,), 1)*IFERROR(VLOOKUP($B61, Data!$A$2:$K$89, 4,),0)</f>
        <v>0</v>
      </c>
      <c r="H61" s="138">
        <f>IFERROR(VLOOKUP($B61, Data!$A$2:$K$89, 9,),0)</f>
        <v>0</v>
      </c>
      <c r="I61" s="136">
        <f>IFERROR(VLOOKUP($B61,Price!$A$2:$B$120, 2,), 1)*IFERROR(VLOOKUP($B61, Data!$A$2:$K$89, 5,),0)</f>
        <v>0</v>
      </c>
      <c r="J61" s="138">
        <f>IFERROR(VLOOKUP($B61, Data!$A$2:$K$89, 10,),0)</f>
        <v>0</v>
      </c>
      <c r="K61" s="136">
        <f>IFERROR(VLOOKUP($B61,Price!$A$2:$B$120, 2,), 1)*IFERROR(VLOOKUP($B61, Data!$A$2:$K$89, 6,),0)</f>
        <v>0</v>
      </c>
      <c r="L61" s="138">
        <f>IFERROR(VLOOKUP($B61, Data!$A$2:$K$89, 11,),0)</f>
        <v>0</v>
      </c>
      <c r="M61" s="136">
        <f t="shared" si="1"/>
        <v>111.7968254</v>
      </c>
      <c r="N61" s="138">
        <f t="shared" si="2"/>
        <v>0</v>
      </c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5"/>
      <c r="AA61" s="135"/>
      <c r="AB61" s="134"/>
    </row>
    <row r="62" ht="14.25" hidden="1" customHeight="1" outlineLevel="1">
      <c r="A62" s="134"/>
      <c r="B62" s="135" t="str">
        <f>Data!A61</f>
        <v>SNX</v>
      </c>
      <c r="C62" s="136">
        <f>IFERROR(VLOOKUP($B62,Price!$A$2:$B$120, 2,), 1)*IFERROR(VLOOKUP($B62, Data!$A$2:$K$89, 2,),0)</f>
        <v>2275796.51</v>
      </c>
      <c r="D62" s="138">
        <f>IFERROR(VLOOKUP($B62, Data!$A$2:$K$89, 7,),0)</f>
        <v>0</v>
      </c>
      <c r="E62" s="136">
        <f>IFERROR(VLOOKUP($B62,Price!$A$2:$B$120, 2,), 1)*IFERROR(VLOOKUP($B62, Data!$A$2:$K$89, 3,),0)</f>
        <v>1491112.448</v>
      </c>
      <c r="F62" s="138">
        <f>IFERROR(VLOOKUP($B62, Data!$A$2:$K$89, 8,),0)</f>
        <v>0.024966</v>
      </c>
      <c r="G62" s="136">
        <f>IFERROR(VLOOKUP($B62,Price!$A$2:$B$120, 2,), 1)*IFERROR(VLOOKUP($B62, Data!$A$2:$K$89, 4,),0)</f>
        <v>0</v>
      </c>
      <c r="H62" s="138">
        <f>IFERROR(VLOOKUP($B62, Data!$A$2:$K$89, 9,),0)</f>
        <v>0</v>
      </c>
      <c r="I62" s="136">
        <f>IFERROR(VLOOKUP($B62,Price!$A$2:$B$120, 2,), 1)*IFERROR(VLOOKUP($B62, Data!$A$2:$K$89, 5,),0)</f>
        <v>1439567.525</v>
      </c>
      <c r="J62" s="138">
        <f>IFERROR(VLOOKUP($B62, Data!$A$2:$K$89, 10,),0)</f>
        <v>0.1424999784</v>
      </c>
      <c r="K62" s="136">
        <f>IFERROR(VLOOKUP($B62,Price!$A$2:$B$120, 2,), 1)*IFERROR(VLOOKUP($B62, Data!$A$2:$K$89, 6,),0)</f>
        <v>29796394.81</v>
      </c>
      <c r="L62" s="138">
        <f>IFERROR(VLOOKUP($B62, Data!$A$2:$K$89, 11,),0)</f>
        <v>0.35</v>
      </c>
      <c r="M62" s="136">
        <f t="shared" si="1"/>
        <v>35002871.3</v>
      </c>
      <c r="N62" s="138">
        <f t="shared" si="2"/>
        <v>0.3048636653</v>
      </c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5"/>
      <c r="AA62" s="135"/>
      <c r="AB62" s="134"/>
    </row>
    <row r="63" ht="14.25" hidden="1" customHeight="1" outlineLevel="1">
      <c r="A63" s="134"/>
      <c r="B63" s="135" t="str">
        <f>Data!A62</f>
        <v>SOL</v>
      </c>
      <c r="C63" s="136">
        <f>IFERROR(VLOOKUP($B63,Price!$A$2:$B$120, 2,), 1)*IFERROR(VLOOKUP($B63, Data!$A$2:$K$89, 2,),0)</f>
        <v>0</v>
      </c>
      <c r="D63" s="138">
        <f>IFERROR(VLOOKUP($B63, Data!$A$2:$K$89, 7,),0)</f>
        <v>0</v>
      </c>
      <c r="E63" s="136">
        <f>IFERROR(VLOOKUP($B63,Price!$A$2:$B$120, 2,), 1)*IFERROR(VLOOKUP($B63, Data!$A$2:$K$89, 3,),0)</f>
        <v>0.000003512392354</v>
      </c>
      <c r="F63" s="138">
        <f>IFERROR(VLOOKUP($B63, Data!$A$2:$K$89, 8,),0)</f>
        <v>0</v>
      </c>
      <c r="G63" s="136">
        <f>IFERROR(VLOOKUP($B63,Price!$A$2:$B$120, 2,), 1)*IFERROR(VLOOKUP($B63, Data!$A$2:$K$89, 4,),0)</f>
        <v>0</v>
      </c>
      <c r="H63" s="138">
        <f>IFERROR(VLOOKUP($B63, Data!$A$2:$K$89, 9,),0)</f>
        <v>0</v>
      </c>
      <c r="I63" s="136">
        <f>IFERROR(VLOOKUP($B63,Price!$A$2:$B$120, 2,), 1)*IFERROR(VLOOKUP($B63, Data!$A$2:$K$89, 5,),0)</f>
        <v>18293953.96</v>
      </c>
      <c r="J63" s="138">
        <f>IFERROR(VLOOKUP($B63, Data!$A$2:$K$89, 10,),0)</f>
        <v>0.0330888812</v>
      </c>
      <c r="K63" s="136">
        <f>IFERROR(VLOOKUP($B63,Price!$A$2:$B$120, 2,), 1)*IFERROR(VLOOKUP($B63, Data!$A$2:$K$89, 6,),0)</f>
        <v>0</v>
      </c>
      <c r="L63" s="138">
        <f>IFERROR(VLOOKUP($B63, Data!$A$2:$K$89, 11,),0)</f>
        <v>0</v>
      </c>
      <c r="M63" s="136">
        <f t="shared" si="1"/>
        <v>18293953.96</v>
      </c>
      <c r="N63" s="138">
        <f t="shared" si="2"/>
        <v>0.0330888812</v>
      </c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5"/>
      <c r="AA63" s="135"/>
      <c r="AB63" s="134"/>
    </row>
    <row r="64" ht="14.25" hidden="1" customHeight="1" outlineLevel="1">
      <c r="A64" s="134"/>
      <c r="B64" s="135" t="str">
        <f>Data!A63</f>
        <v>SPARK</v>
      </c>
      <c r="C64" s="136">
        <f>IFERROR(VLOOKUP($B64,Price!$A$2:$B$120, 2,), 1)*IFERROR(VLOOKUP($B64, Data!$A$2:$K$89, 2,),0)</f>
        <v>0</v>
      </c>
      <c r="D64" s="138">
        <f>IFERROR(VLOOKUP($B64, Data!$A$2:$K$89, 7,),0)</f>
        <v>0</v>
      </c>
      <c r="E64" s="136">
        <f>IFERROR(VLOOKUP($B64,Price!$A$2:$B$120, 2,), 1)*IFERROR(VLOOKUP($B64, Data!$A$2:$K$89, 3,),0)</f>
        <v>0</v>
      </c>
      <c r="F64" s="138">
        <f>IFERROR(VLOOKUP($B64, Data!$A$2:$K$89, 8,),0)</f>
        <v>0</v>
      </c>
      <c r="G64" s="136">
        <f>IFERROR(VLOOKUP($B64,Price!$A$2:$B$120, 2,), 1)*IFERROR(VLOOKUP($B64, Data!$A$2:$K$89, 4,),0)</f>
        <v>0</v>
      </c>
      <c r="H64" s="138">
        <f>IFERROR(VLOOKUP($B64, Data!$A$2:$K$89, 9,),0)</f>
        <v>0</v>
      </c>
      <c r="I64" s="136">
        <f>IFERROR(VLOOKUP($B64,Price!$A$2:$B$120, 2,), 1)*IFERROR(VLOOKUP($B64, Data!$A$2:$K$89, 5,),0)</f>
        <v>0</v>
      </c>
      <c r="J64" s="138">
        <f>IFERROR(VLOOKUP($B64, Data!$A$2:$K$89, 10,),0)</f>
        <v>0</v>
      </c>
      <c r="K64" s="136">
        <f>IFERROR(VLOOKUP($B64,Price!$A$2:$B$120, 2,), 1)*IFERROR(VLOOKUP($B64, Data!$A$2:$K$89, 6,),0)</f>
        <v>0</v>
      </c>
      <c r="L64" s="138">
        <f>IFERROR(VLOOKUP($B64, Data!$A$2:$K$89, 11,),0)</f>
        <v>0</v>
      </c>
      <c r="M64" s="136">
        <f t="shared" si="1"/>
        <v>0</v>
      </c>
      <c r="N64" s="138">
        <f t="shared" si="2"/>
        <v>0</v>
      </c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5"/>
      <c r="AA64" s="135"/>
      <c r="AB64" s="134"/>
    </row>
    <row r="65" ht="14.25" hidden="1" customHeight="1" outlineLevel="1">
      <c r="A65" s="134"/>
      <c r="B65" s="135" t="str">
        <f>Data!A64</f>
        <v>SRM</v>
      </c>
      <c r="C65" s="136">
        <f>IFERROR(VLOOKUP($B65,Price!$A$2:$B$120, 2,), 1)*IFERROR(VLOOKUP($B65, Data!$A$2:$K$89, 2,),0)</f>
        <v>3.325319692</v>
      </c>
      <c r="D65" s="138">
        <f>IFERROR(VLOOKUP($B65, Data!$A$2:$K$89, 7,),0)</f>
        <v>0</v>
      </c>
      <c r="E65" s="136">
        <f>IFERROR(VLOOKUP($B65,Price!$A$2:$B$120, 2,), 1)*IFERROR(VLOOKUP($B65, Data!$A$2:$K$89, 3,),0)</f>
        <v>66526657.24</v>
      </c>
      <c r="F65" s="138">
        <f>IFERROR(VLOOKUP($B65, Data!$A$2:$K$89, 8,),0)</f>
        <v>0</v>
      </c>
      <c r="G65" s="136">
        <f>IFERROR(VLOOKUP($B65,Price!$A$2:$B$120, 2,), 1)*IFERROR(VLOOKUP($B65, Data!$A$2:$K$89, 4,),0)</f>
        <v>0</v>
      </c>
      <c r="H65" s="138">
        <f>IFERROR(VLOOKUP($B65, Data!$A$2:$K$89, 9,),0)</f>
        <v>0</v>
      </c>
      <c r="I65" s="136">
        <f>IFERROR(VLOOKUP($B65,Price!$A$2:$B$120, 2,), 1)*IFERROR(VLOOKUP($B65, Data!$A$2:$K$89, 5,),0)</f>
        <v>11910.78808</v>
      </c>
      <c r="J65" s="138">
        <f>IFERROR(VLOOKUP($B65, Data!$A$2:$K$89, 10,),0)</f>
        <v>0.01164463537</v>
      </c>
      <c r="K65" s="136">
        <f>IFERROR(VLOOKUP($B65,Price!$A$2:$B$120, 2,), 1)*IFERROR(VLOOKUP($B65, Data!$A$2:$K$89, 6,),0)</f>
        <v>533390154.2</v>
      </c>
      <c r="L65" s="138">
        <f>IFERROR(VLOOKUP($B65, Data!$A$2:$K$89, 11,),0)</f>
        <v>0.03</v>
      </c>
      <c r="M65" s="136">
        <f t="shared" si="1"/>
        <v>599928725.6</v>
      </c>
      <c r="N65" s="138">
        <f t="shared" si="2"/>
        <v>0.02667290737</v>
      </c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5"/>
      <c r="AA65" s="135"/>
      <c r="AB65" s="134"/>
    </row>
    <row r="66" ht="14.25" hidden="1" customHeight="1" outlineLevel="1">
      <c r="A66" s="134"/>
      <c r="B66" s="135" t="str">
        <f>Data!A65</f>
        <v>SUSHI</v>
      </c>
      <c r="C66" s="136">
        <f>IFERROR(VLOOKUP($B66,Price!$A$2:$B$120, 2,), 1)*IFERROR(VLOOKUP($B66, Data!$A$2:$K$89, 2,),0)</f>
        <v>422565.473</v>
      </c>
      <c r="D66" s="138">
        <f>IFERROR(VLOOKUP($B66, Data!$A$2:$K$89, 7,),0)</f>
        <v>0</v>
      </c>
      <c r="E66" s="136">
        <f>IFERROR(VLOOKUP($B66,Price!$A$2:$B$120, 2,), 1)*IFERROR(VLOOKUP($B66, Data!$A$2:$K$89, 3,),0)</f>
        <v>3061645.249</v>
      </c>
      <c r="F66" s="138">
        <f>IFERROR(VLOOKUP($B66, Data!$A$2:$K$89, 8,),0)</f>
        <v>0.09041287062</v>
      </c>
      <c r="G66" s="136">
        <f>IFERROR(VLOOKUP($B66,Price!$A$2:$B$120, 2,), 1)*IFERROR(VLOOKUP($B66, Data!$A$2:$K$89, 4,),0)</f>
        <v>0</v>
      </c>
      <c r="H66" s="138">
        <f>IFERROR(VLOOKUP($B66, Data!$A$2:$K$89, 9,),0)</f>
        <v>0</v>
      </c>
      <c r="I66" s="136">
        <f>IFERROR(VLOOKUP($B66,Price!$A$2:$B$120, 2,), 1)*IFERROR(VLOOKUP($B66, Data!$A$2:$K$89, 5,),0)</f>
        <v>520931.6846</v>
      </c>
      <c r="J66" s="138">
        <f>IFERROR(VLOOKUP($B66, Data!$A$2:$K$89, 10,),0)</f>
        <v>0.1473</v>
      </c>
      <c r="K66" s="136">
        <f>IFERROR(VLOOKUP($B66,Price!$A$2:$B$120, 2,), 1)*IFERROR(VLOOKUP($B66, Data!$A$2:$K$89, 6,),0)</f>
        <v>0</v>
      </c>
      <c r="L66" s="138">
        <f>IFERROR(VLOOKUP($B66, Data!$A$2:$K$89, 11,),0)</f>
        <v>0</v>
      </c>
      <c r="M66" s="136">
        <f t="shared" si="1"/>
        <v>4005142.407</v>
      </c>
      <c r="N66" s="138">
        <f t="shared" si="2"/>
        <v>0.0882728595</v>
      </c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5"/>
      <c r="AA66" s="135"/>
      <c r="AB66" s="134"/>
    </row>
    <row r="67" ht="14.25" hidden="1" customHeight="1" outlineLevel="1">
      <c r="A67" s="134"/>
      <c r="B67" s="135" t="str">
        <f>Data!A66</f>
        <v>TAUD</v>
      </c>
      <c r="C67" s="136">
        <f>IFERROR(VLOOKUP($B67,Price!$A$2:$B$120, 2,), 1)*IFERROR(VLOOKUP($B67, Data!$A$2:$K$89, 2,),0)</f>
        <v>5116882.614</v>
      </c>
      <c r="D67" s="138">
        <f>IFERROR(VLOOKUP($B67, Data!$A$2:$K$89, 7,),0)</f>
        <v>0</v>
      </c>
      <c r="E67" s="136">
        <f>IFERROR(VLOOKUP($B67,Price!$A$2:$B$120, 2,), 1)*IFERROR(VLOOKUP($B67, Data!$A$2:$K$89, 3,),0)</f>
        <v>0</v>
      </c>
      <c r="F67" s="138">
        <f>IFERROR(VLOOKUP($B67, Data!$A$2:$K$89, 8,),0)</f>
        <v>0</v>
      </c>
      <c r="G67" s="136">
        <f>IFERROR(VLOOKUP($B67,Price!$A$2:$B$120, 2,), 1)*IFERROR(VLOOKUP($B67, Data!$A$2:$K$89, 4,),0)</f>
        <v>0</v>
      </c>
      <c r="H67" s="138">
        <f>IFERROR(VLOOKUP($B67, Data!$A$2:$K$89, 9,),0)</f>
        <v>0</v>
      </c>
      <c r="I67" s="136">
        <f>IFERROR(VLOOKUP($B67,Price!$A$2:$B$120, 2,), 1)*IFERROR(VLOOKUP($B67, Data!$A$2:$K$89, 5,),0)</f>
        <v>0</v>
      </c>
      <c r="J67" s="138">
        <f>IFERROR(VLOOKUP($B67, Data!$A$2:$K$89, 10,),0)</f>
        <v>0</v>
      </c>
      <c r="K67" s="136">
        <f>IFERROR(VLOOKUP($B67,Price!$A$2:$B$120, 2,), 1)*IFERROR(VLOOKUP($B67, Data!$A$2:$K$89, 6,),0)</f>
        <v>0</v>
      </c>
      <c r="L67" s="138">
        <f>IFERROR(VLOOKUP($B67, Data!$A$2:$K$89, 11,),0)</f>
        <v>0</v>
      </c>
      <c r="M67" s="136">
        <f t="shared" si="1"/>
        <v>5116882.614</v>
      </c>
      <c r="N67" s="138">
        <f t="shared" si="2"/>
        <v>0</v>
      </c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5"/>
      <c r="AA67" s="135"/>
      <c r="AB67" s="134"/>
    </row>
    <row r="68" ht="14.25" hidden="1" customHeight="1" outlineLevel="1">
      <c r="A68" s="134"/>
      <c r="B68" s="135" t="str">
        <f>Data!A67</f>
        <v>TCAD</v>
      </c>
      <c r="C68" s="136">
        <f>IFERROR(VLOOKUP($B68,Price!$A$2:$B$120, 2,), 1)*IFERROR(VLOOKUP($B68, Data!$A$2:$K$89, 2,),0)</f>
        <v>2590775.501</v>
      </c>
      <c r="D68" s="138">
        <f>IFERROR(VLOOKUP($B68, Data!$A$2:$K$89, 7,),0)</f>
        <v>0</v>
      </c>
      <c r="E68" s="136">
        <f>IFERROR(VLOOKUP($B68,Price!$A$2:$B$120, 2,), 1)*IFERROR(VLOOKUP($B68, Data!$A$2:$K$89, 3,),0)</f>
        <v>0</v>
      </c>
      <c r="F68" s="138">
        <f>IFERROR(VLOOKUP($B68, Data!$A$2:$K$89, 8,),0)</f>
        <v>0</v>
      </c>
      <c r="G68" s="136">
        <f>IFERROR(VLOOKUP($B68,Price!$A$2:$B$120, 2,), 1)*IFERROR(VLOOKUP($B68, Data!$A$2:$K$89, 4,),0)</f>
        <v>0</v>
      </c>
      <c r="H68" s="138">
        <f>IFERROR(VLOOKUP($B68, Data!$A$2:$K$89, 9,),0)</f>
        <v>0</v>
      </c>
      <c r="I68" s="136">
        <f>IFERROR(VLOOKUP($B68,Price!$A$2:$B$120, 2,), 1)*IFERROR(VLOOKUP($B68, Data!$A$2:$K$89, 5,),0)</f>
        <v>0</v>
      </c>
      <c r="J68" s="138">
        <f>IFERROR(VLOOKUP($B68, Data!$A$2:$K$89, 10,),0)</f>
        <v>0</v>
      </c>
      <c r="K68" s="136">
        <f>IFERROR(VLOOKUP($B68,Price!$A$2:$B$120, 2,), 1)*IFERROR(VLOOKUP($B68, Data!$A$2:$K$89, 6,),0)</f>
        <v>0</v>
      </c>
      <c r="L68" s="138">
        <f>IFERROR(VLOOKUP($B68, Data!$A$2:$K$89, 11,),0)</f>
        <v>0</v>
      </c>
      <c r="M68" s="136">
        <f t="shared" si="1"/>
        <v>2590775.501</v>
      </c>
      <c r="N68" s="138">
        <f t="shared" si="2"/>
        <v>0</v>
      </c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5"/>
      <c r="AA68" s="135"/>
      <c r="AB68" s="134"/>
    </row>
    <row r="69" ht="14.25" hidden="1" customHeight="1" outlineLevel="1">
      <c r="A69" s="134"/>
      <c r="B69" s="135" t="str">
        <f>Data!A68</f>
        <v>TGBP</v>
      </c>
      <c r="C69" s="136">
        <f>IFERROR(VLOOKUP($B69,Price!$A$2:$B$120, 2,), 1)*IFERROR(VLOOKUP($B69, Data!$A$2:$K$89, 2,),0)</f>
        <v>5748701.567</v>
      </c>
      <c r="D69" s="138">
        <f>IFERROR(VLOOKUP($B69, Data!$A$2:$K$89, 7,),0)</f>
        <v>0</v>
      </c>
      <c r="E69" s="136">
        <f>IFERROR(VLOOKUP($B69,Price!$A$2:$B$120, 2,), 1)*IFERROR(VLOOKUP($B69, Data!$A$2:$K$89, 3,),0)</f>
        <v>0</v>
      </c>
      <c r="F69" s="138">
        <f>IFERROR(VLOOKUP($B69, Data!$A$2:$K$89, 8,),0)</f>
        <v>0</v>
      </c>
      <c r="G69" s="136">
        <f>IFERROR(VLOOKUP($B69,Price!$A$2:$B$120, 2,), 1)*IFERROR(VLOOKUP($B69, Data!$A$2:$K$89, 4,),0)</f>
        <v>0</v>
      </c>
      <c r="H69" s="138">
        <f>IFERROR(VLOOKUP($B69, Data!$A$2:$K$89, 9,),0)</f>
        <v>0</v>
      </c>
      <c r="I69" s="136">
        <f>IFERROR(VLOOKUP($B69,Price!$A$2:$B$120, 2,), 1)*IFERROR(VLOOKUP($B69, Data!$A$2:$K$89, 5,),0)</f>
        <v>0</v>
      </c>
      <c r="J69" s="138">
        <f>IFERROR(VLOOKUP($B69, Data!$A$2:$K$89, 10,),0)</f>
        <v>0</v>
      </c>
      <c r="K69" s="136">
        <f>IFERROR(VLOOKUP($B69,Price!$A$2:$B$120, 2,), 1)*IFERROR(VLOOKUP($B69, Data!$A$2:$K$89, 6,),0)</f>
        <v>0</v>
      </c>
      <c r="L69" s="138">
        <f>IFERROR(VLOOKUP($B69, Data!$A$2:$K$89, 11,),0)</f>
        <v>0</v>
      </c>
      <c r="M69" s="136">
        <f t="shared" si="1"/>
        <v>5748701.567</v>
      </c>
      <c r="N69" s="138">
        <f t="shared" si="2"/>
        <v>0</v>
      </c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5"/>
      <c r="AA69" s="135"/>
      <c r="AB69" s="134"/>
    </row>
    <row r="70" ht="14.25" hidden="1" customHeight="1" outlineLevel="1">
      <c r="A70" s="134"/>
      <c r="B70" s="135" t="str">
        <f>Data!A69</f>
        <v>THKD</v>
      </c>
      <c r="C70" s="136">
        <f>IFERROR(VLOOKUP($B70,Price!$A$2:$B$120, 2,), 1)*IFERROR(VLOOKUP($B70, Data!$A$2:$K$89, 2,),0)</f>
        <v>2431864.547</v>
      </c>
      <c r="D70" s="138">
        <f>IFERROR(VLOOKUP($B70, Data!$A$2:$K$89, 7,),0)</f>
        <v>0</v>
      </c>
      <c r="E70" s="136">
        <f>IFERROR(VLOOKUP($B70,Price!$A$2:$B$120, 2,), 1)*IFERROR(VLOOKUP($B70, Data!$A$2:$K$89, 3,),0)</f>
        <v>0</v>
      </c>
      <c r="F70" s="138">
        <f>IFERROR(VLOOKUP($B70, Data!$A$2:$K$89, 8,),0)</f>
        <v>0</v>
      </c>
      <c r="G70" s="136">
        <f>IFERROR(VLOOKUP($B70,Price!$A$2:$B$120, 2,), 1)*IFERROR(VLOOKUP($B70, Data!$A$2:$K$89, 4,),0)</f>
        <v>0</v>
      </c>
      <c r="H70" s="138">
        <f>IFERROR(VLOOKUP($B70, Data!$A$2:$K$89, 9,),0)</f>
        <v>0</v>
      </c>
      <c r="I70" s="136">
        <f>IFERROR(VLOOKUP($B70,Price!$A$2:$B$120, 2,), 1)*IFERROR(VLOOKUP($B70, Data!$A$2:$K$89, 5,),0)</f>
        <v>0</v>
      </c>
      <c r="J70" s="138">
        <f>IFERROR(VLOOKUP($B70, Data!$A$2:$K$89, 10,),0)</f>
        <v>0</v>
      </c>
      <c r="K70" s="136">
        <f>IFERROR(VLOOKUP($B70,Price!$A$2:$B$120, 2,), 1)*IFERROR(VLOOKUP($B70, Data!$A$2:$K$89, 6,),0)</f>
        <v>0</v>
      </c>
      <c r="L70" s="138">
        <f>IFERROR(VLOOKUP($B70, Data!$A$2:$K$89, 11,),0)</f>
        <v>0</v>
      </c>
      <c r="M70" s="136">
        <f t="shared" si="1"/>
        <v>2431864.547</v>
      </c>
      <c r="N70" s="138">
        <f t="shared" si="2"/>
        <v>0</v>
      </c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5"/>
      <c r="AA70" s="135"/>
      <c r="AB70" s="134"/>
    </row>
    <row r="71" ht="14.25" hidden="1" customHeight="1" outlineLevel="1">
      <c r="A71" s="134"/>
      <c r="B71" s="135" t="str">
        <f>Data!A70</f>
        <v>TRU</v>
      </c>
      <c r="C71" s="136">
        <f>IFERROR(VLOOKUP($B71,Price!$A$2:$B$120, 2,), 1)*IFERROR(VLOOKUP($B71, Data!$A$2:$K$89, 2,),0)</f>
        <v>5039.308625</v>
      </c>
      <c r="D71" s="138">
        <f>IFERROR(VLOOKUP($B71, Data!$A$2:$K$89, 7,),0)</f>
        <v>0</v>
      </c>
      <c r="E71" s="136">
        <f>IFERROR(VLOOKUP($B71,Price!$A$2:$B$120, 2,), 1)*IFERROR(VLOOKUP($B71, Data!$A$2:$K$89, 3,),0)</f>
        <v>251386.2328</v>
      </c>
      <c r="F71" s="138">
        <f>IFERROR(VLOOKUP($B71, Data!$A$2:$K$89, 8,),0)</f>
        <v>0</v>
      </c>
      <c r="G71" s="136">
        <f>IFERROR(VLOOKUP($B71,Price!$A$2:$B$120, 2,), 1)*IFERROR(VLOOKUP($B71, Data!$A$2:$K$89, 4,),0)</f>
        <v>0</v>
      </c>
      <c r="H71" s="138">
        <f>IFERROR(VLOOKUP($B71, Data!$A$2:$K$89, 9,),0)</f>
        <v>0</v>
      </c>
      <c r="I71" s="136">
        <f>IFERROR(VLOOKUP($B71,Price!$A$2:$B$120, 2,), 1)*IFERROR(VLOOKUP($B71, Data!$A$2:$K$89, 5,),0)</f>
        <v>0</v>
      </c>
      <c r="J71" s="138">
        <f>IFERROR(VLOOKUP($B71, Data!$A$2:$K$89, 10,),0)</f>
        <v>0</v>
      </c>
      <c r="K71" s="136">
        <f>IFERROR(VLOOKUP($B71,Price!$A$2:$B$120, 2,), 1)*IFERROR(VLOOKUP($B71, Data!$A$2:$K$89, 6,),0)</f>
        <v>162109.6721</v>
      </c>
      <c r="L71" s="138">
        <f>IFERROR(VLOOKUP($B71, Data!$A$2:$K$89, 11,),0)</f>
        <v>0</v>
      </c>
      <c r="M71" s="136">
        <f t="shared" si="1"/>
        <v>418535.2135</v>
      </c>
      <c r="N71" s="138">
        <f t="shared" si="2"/>
        <v>0</v>
      </c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5"/>
      <c r="AA71" s="135"/>
      <c r="AB71" s="134"/>
    </row>
    <row r="72" ht="14.25" hidden="1" customHeight="1" outlineLevel="1">
      <c r="A72" s="134"/>
      <c r="B72" s="135" t="str">
        <f>Data!A71</f>
        <v>UMA</v>
      </c>
      <c r="C72" s="136">
        <f>IFERROR(VLOOKUP($B72,Price!$A$2:$B$120, 2,), 1)*IFERROR(VLOOKUP($B72, Data!$A$2:$K$89, 2,),0)</f>
        <v>273543.05</v>
      </c>
      <c r="D72" s="138">
        <f>IFERROR(VLOOKUP($B72, Data!$A$2:$K$89, 7,),0)</f>
        <v>0</v>
      </c>
      <c r="E72" s="136">
        <f>IFERROR(VLOOKUP($B72,Price!$A$2:$B$120, 2,), 1)*IFERROR(VLOOKUP($B72, Data!$A$2:$K$89, 3,),0)</f>
        <v>0</v>
      </c>
      <c r="F72" s="138">
        <f>IFERROR(VLOOKUP($B72, Data!$A$2:$K$89, 8,),0)</f>
        <v>0</v>
      </c>
      <c r="G72" s="136">
        <f>IFERROR(VLOOKUP($B72,Price!$A$2:$B$120, 2,), 1)*IFERROR(VLOOKUP($B72, Data!$A$2:$K$89, 4,),0)</f>
        <v>0</v>
      </c>
      <c r="H72" s="138">
        <f>IFERROR(VLOOKUP($B72, Data!$A$2:$K$89, 9,),0)</f>
        <v>0</v>
      </c>
      <c r="I72" s="136">
        <f>IFERROR(VLOOKUP($B72,Price!$A$2:$B$120, 2,), 1)*IFERROR(VLOOKUP($B72, Data!$A$2:$K$89, 5,),0)</f>
        <v>812346.6515</v>
      </c>
      <c r="J72" s="138">
        <f>IFERROR(VLOOKUP($B72, Data!$A$2:$K$89, 10,),0)</f>
        <v>0.0747</v>
      </c>
      <c r="K72" s="136">
        <f>IFERROR(VLOOKUP($B72,Price!$A$2:$B$120, 2,), 1)*IFERROR(VLOOKUP($B72, Data!$A$2:$K$89, 6,),0)</f>
        <v>0</v>
      </c>
      <c r="L72" s="138">
        <f>IFERROR(VLOOKUP($B72, Data!$A$2:$K$89, 11,),0)</f>
        <v>0</v>
      </c>
      <c r="M72" s="136">
        <f t="shared" si="1"/>
        <v>1085889.701</v>
      </c>
      <c r="N72" s="138">
        <f t="shared" si="2"/>
        <v>0.05588255859</v>
      </c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5"/>
      <c r="AA72" s="135"/>
      <c r="AB72" s="134"/>
    </row>
    <row r="73" ht="14.25" hidden="1" customHeight="1" outlineLevel="1">
      <c r="A73" s="134"/>
      <c r="B73" s="135" t="str">
        <f>Data!A72</f>
        <v>UNI</v>
      </c>
      <c r="C73" s="136">
        <f>IFERROR(VLOOKUP($B73,Price!$A$2:$B$120, 2,), 1)*IFERROR(VLOOKUP($B73, Data!$A$2:$K$89, 2,),0)</f>
        <v>2205342.055</v>
      </c>
      <c r="D73" s="138">
        <f>IFERROR(VLOOKUP($B73, Data!$A$2:$K$89, 7,),0)</f>
        <v>0</v>
      </c>
      <c r="E73" s="136">
        <f>IFERROR(VLOOKUP($B73,Price!$A$2:$B$120, 2,), 1)*IFERROR(VLOOKUP($B73, Data!$A$2:$K$89, 3,),0)</f>
        <v>2962344.261</v>
      </c>
      <c r="F73" s="138">
        <f>IFERROR(VLOOKUP($B73, Data!$A$2:$K$89, 8,),0)</f>
        <v>0.00876</v>
      </c>
      <c r="G73" s="136">
        <f>IFERROR(VLOOKUP($B73,Price!$A$2:$B$120, 2,), 1)*IFERROR(VLOOKUP($B73, Data!$A$2:$K$89, 4,),0)</f>
        <v>0</v>
      </c>
      <c r="H73" s="138">
        <f>IFERROR(VLOOKUP($B73, Data!$A$2:$K$89, 9,),0)</f>
        <v>0</v>
      </c>
      <c r="I73" s="136">
        <f>IFERROR(VLOOKUP($B73,Price!$A$2:$B$120, 2,), 1)*IFERROR(VLOOKUP($B73, Data!$A$2:$K$89, 5,),0)</f>
        <v>14550537.85</v>
      </c>
      <c r="J73" s="138">
        <f>IFERROR(VLOOKUP($B73, Data!$A$2:$K$89, 10,),0)</f>
        <v>0.07018909834</v>
      </c>
      <c r="K73" s="136">
        <f>IFERROR(VLOOKUP($B73,Price!$A$2:$B$120, 2,), 1)*IFERROR(VLOOKUP($B73, Data!$A$2:$K$89, 6,),0)</f>
        <v>13643844.77</v>
      </c>
      <c r="L73" s="138">
        <f>IFERROR(VLOOKUP($B73, Data!$A$2:$K$89, 11,),0)</f>
        <v>0.0000000004082194405</v>
      </c>
      <c r="M73" s="136">
        <f t="shared" si="1"/>
        <v>33362068.94</v>
      </c>
      <c r="N73" s="138">
        <f t="shared" si="2"/>
        <v>0.03139011778</v>
      </c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5"/>
      <c r="AA73" s="135"/>
      <c r="AB73" s="134"/>
    </row>
    <row r="74" ht="14.25" hidden="1" customHeight="1" outlineLevel="1">
      <c r="A74" s="134"/>
      <c r="B74" s="135" t="str">
        <f>Data!A73</f>
        <v>VSP</v>
      </c>
      <c r="C74" s="136">
        <f>IFERROR(VLOOKUP($B74,Price!$A$2:$B$120, 2,), 1)*IFERROR(VLOOKUP($B74, Data!$A$2:$K$89, 2,),0)</f>
        <v>0</v>
      </c>
      <c r="D74" s="138">
        <f>IFERROR(VLOOKUP($B74, Data!$A$2:$K$89, 7,),0)</f>
        <v>0</v>
      </c>
      <c r="E74" s="136">
        <f>IFERROR(VLOOKUP($B74,Price!$A$2:$B$120, 2,), 1)*IFERROR(VLOOKUP($B74, Data!$A$2:$K$89, 3,),0)</f>
        <v>147365.6777</v>
      </c>
      <c r="F74" s="138">
        <f>IFERROR(VLOOKUP($B74, Data!$A$2:$K$89, 8,),0)</f>
        <v>0</v>
      </c>
      <c r="G74" s="136">
        <f>IFERROR(VLOOKUP($B74,Price!$A$2:$B$120, 2,), 1)*IFERROR(VLOOKUP($B74, Data!$A$2:$K$89, 4,),0)</f>
        <v>0</v>
      </c>
      <c r="H74" s="138">
        <f>IFERROR(VLOOKUP($B74, Data!$A$2:$K$89, 9,),0)</f>
        <v>0</v>
      </c>
      <c r="I74" s="136">
        <f>IFERROR(VLOOKUP($B74,Price!$A$2:$B$120, 2,), 1)*IFERROR(VLOOKUP($B74, Data!$A$2:$K$89, 5,),0)</f>
        <v>0</v>
      </c>
      <c r="J74" s="138">
        <f>IFERROR(VLOOKUP($B74, Data!$A$2:$K$89, 10,),0)</f>
        <v>0</v>
      </c>
      <c r="K74" s="136">
        <f>IFERROR(VLOOKUP($B74,Price!$A$2:$B$120, 2,), 1)*IFERROR(VLOOKUP($B74, Data!$A$2:$K$89, 6,),0)</f>
        <v>0</v>
      </c>
      <c r="L74" s="138">
        <f>IFERROR(VLOOKUP($B74, Data!$A$2:$K$89, 11,),0)</f>
        <v>0</v>
      </c>
      <c r="M74" s="136">
        <f t="shared" si="1"/>
        <v>147365.6777</v>
      </c>
      <c r="N74" s="138">
        <f t="shared" si="2"/>
        <v>0</v>
      </c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5"/>
      <c r="AA74" s="135"/>
      <c r="AB74" s="134"/>
    </row>
    <row r="75" ht="14.25" hidden="1" customHeight="1" outlineLevel="1">
      <c r="A75" s="134"/>
      <c r="B75" s="135" t="str">
        <f>Data!A74</f>
        <v>WBTC</v>
      </c>
      <c r="C75" s="136">
        <f>IFERROR(VLOOKUP($B75,Price!$A$2:$B$120, 2,), 1)*IFERROR(VLOOKUP($B75, Data!$A$2:$K$89, 2,),0)</f>
        <v>4140973.091</v>
      </c>
      <c r="D75" s="138">
        <f>IFERROR(VLOOKUP($B75, Data!$A$2:$K$89, 7,),0)</f>
        <v>0</v>
      </c>
      <c r="E75" s="136">
        <f>IFERROR(VLOOKUP($B75,Price!$A$2:$B$120, 2,), 1)*IFERROR(VLOOKUP($B75, Data!$A$2:$K$89, 3,),0)</f>
        <v>527929592.9</v>
      </c>
      <c r="F75" s="138">
        <f>IFERROR(VLOOKUP($B75, Data!$A$2:$K$89, 8,),0)</f>
        <v>0.03112324704</v>
      </c>
      <c r="G75" s="136">
        <f>IFERROR(VLOOKUP($B75,Price!$A$2:$B$120, 2,), 1)*IFERROR(VLOOKUP($B75, Data!$A$2:$K$89, 4,),0)</f>
        <v>0</v>
      </c>
      <c r="H75" s="138">
        <f>IFERROR(VLOOKUP($B75, Data!$A$2:$K$89, 9,),0)</f>
        <v>0</v>
      </c>
      <c r="I75" s="136">
        <f>IFERROR(VLOOKUP($B75,Price!$A$2:$B$120, 2,), 1)*IFERROR(VLOOKUP($B75, Data!$A$2:$K$89, 5,),0)</f>
        <v>896553316.3</v>
      </c>
      <c r="J75" s="138">
        <f>IFERROR(VLOOKUP($B75, Data!$A$2:$K$89, 10,),0)</f>
        <v>0.004373024678</v>
      </c>
      <c r="K75" s="136">
        <f>IFERROR(VLOOKUP($B75,Price!$A$2:$B$120, 2,), 1)*IFERROR(VLOOKUP($B75, Data!$A$2:$K$89, 6,),0)</f>
        <v>76238686.86</v>
      </c>
      <c r="L75" s="138">
        <f>IFERROR(VLOOKUP($B75, Data!$A$2:$K$89, 11,),0)</f>
        <v>0.01945913113</v>
      </c>
      <c r="M75" s="136">
        <f t="shared" si="1"/>
        <v>1504862569</v>
      </c>
      <c r="N75" s="138">
        <f t="shared" si="2"/>
        <v>0.01450967814</v>
      </c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5"/>
      <c r="AA75" s="135"/>
      <c r="AB75" s="134"/>
    </row>
    <row r="76" ht="14.25" hidden="1" customHeight="1" outlineLevel="1">
      <c r="A76" s="134"/>
      <c r="B76" s="135" t="str">
        <f>Data!A75</f>
        <v>WDGLD</v>
      </c>
      <c r="C76" s="136">
        <f>IFERROR(VLOOKUP($B76,Price!$A$2:$B$120, 2,), 1)*IFERROR(VLOOKUP($B76, Data!$A$2:$K$89, 2,),0)</f>
        <v>293232.3244</v>
      </c>
      <c r="D76" s="138">
        <f>IFERROR(VLOOKUP($B76, Data!$A$2:$K$89, 7,),0)</f>
        <v>0</v>
      </c>
      <c r="E76" s="136">
        <f>IFERROR(VLOOKUP($B76,Price!$A$2:$B$120, 2,), 1)*IFERROR(VLOOKUP($B76, Data!$A$2:$K$89, 3,),0)</f>
        <v>0</v>
      </c>
      <c r="F76" s="138">
        <f>IFERROR(VLOOKUP($B76, Data!$A$2:$K$89, 8,),0)</f>
        <v>0</v>
      </c>
      <c r="G76" s="136">
        <f>IFERROR(VLOOKUP($B76,Price!$A$2:$B$120, 2,), 1)*IFERROR(VLOOKUP($B76, Data!$A$2:$K$89, 4,),0)</f>
        <v>0</v>
      </c>
      <c r="H76" s="138">
        <f>IFERROR(VLOOKUP($B76, Data!$A$2:$K$89, 9,),0)</f>
        <v>0</v>
      </c>
      <c r="I76" s="136">
        <f>IFERROR(VLOOKUP($B76,Price!$A$2:$B$120, 2,), 1)*IFERROR(VLOOKUP($B76, Data!$A$2:$K$89, 5,),0)</f>
        <v>0</v>
      </c>
      <c r="J76" s="138">
        <f>IFERROR(VLOOKUP($B76, Data!$A$2:$K$89, 10,),0)</f>
        <v>0</v>
      </c>
      <c r="K76" s="136">
        <f>IFERROR(VLOOKUP($B76,Price!$A$2:$B$120, 2,), 1)*IFERROR(VLOOKUP($B76, Data!$A$2:$K$89, 6,),0)</f>
        <v>0</v>
      </c>
      <c r="L76" s="138">
        <f>IFERROR(VLOOKUP($B76, Data!$A$2:$K$89, 11,),0)</f>
        <v>0</v>
      </c>
      <c r="M76" s="136">
        <f t="shared" si="1"/>
        <v>293232.3244</v>
      </c>
      <c r="N76" s="138">
        <f t="shared" si="2"/>
        <v>0</v>
      </c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5"/>
      <c r="AA76" s="135"/>
      <c r="AB76" s="134"/>
    </row>
    <row r="77" ht="14.25" hidden="1" customHeight="1" outlineLevel="1">
      <c r="A77" s="134"/>
      <c r="B77" s="135" t="str">
        <f>Data!A76</f>
        <v>XAUT</v>
      </c>
      <c r="C77" s="136">
        <f>IFERROR(VLOOKUP($B77,Price!$A$2:$B$120, 2,), 1)*IFERROR(VLOOKUP($B77, Data!$A$2:$K$89, 2,),0)</f>
        <v>427640.7024</v>
      </c>
      <c r="D77" s="138">
        <f>IFERROR(VLOOKUP($B77, Data!$A$2:$K$89, 7,),0)</f>
        <v>0</v>
      </c>
      <c r="E77" s="136">
        <f>IFERROR(VLOOKUP($B77,Price!$A$2:$B$120, 2,), 1)*IFERROR(VLOOKUP($B77, Data!$A$2:$K$89, 3,),0)</f>
        <v>181947.518</v>
      </c>
      <c r="F77" s="138">
        <f>IFERROR(VLOOKUP($B77, Data!$A$2:$K$89, 8,),0)</f>
        <v>0</v>
      </c>
      <c r="G77" s="136">
        <f>IFERROR(VLOOKUP($B77,Price!$A$2:$B$120, 2,), 1)*IFERROR(VLOOKUP($B77, Data!$A$2:$K$89, 4,),0)</f>
        <v>0</v>
      </c>
      <c r="H77" s="138">
        <f>IFERROR(VLOOKUP($B77, Data!$A$2:$K$89, 9,),0)</f>
        <v>0</v>
      </c>
      <c r="I77" s="136">
        <f>IFERROR(VLOOKUP($B77,Price!$A$2:$B$120, 2,), 1)*IFERROR(VLOOKUP($B77, Data!$A$2:$K$89, 5,),0)</f>
        <v>0</v>
      </c>
      <c r="J77" s="138">
        <f>IFERROR(VLOOKUP($B77, Data!$A$2:$K$89, 10,),0)</f>
        <v>0</v>
      </c>
      <c r="K77" s="136">
        <f>IFERROR(VLOOKUP($B77,Price!$A$2:$B$120, 2,), 1)*IFERROR(VLOOKUP($B77, Data!$A$2:$K$89, 6,),0)</f>
        <v>0</v>
      </c>
      <c r="L77" s="138">
        <f>IFERROR(VLOOKUP($B77, Data!$A$2:$K$89, 11,),0)</f>
        <v>0</v>
      </c>
      <c r="M77" s="136">
        <f t="shared" si="1"/>
        <v>609588.2204</v>
      </c>
      <c r="N77" s="138">
        <f t="shared" si="2"/>
        <v>0</v>
      </c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5"/>
      <c r="AA77" s="135"/>
      <c r="AB77" s="134"/>
    </row>
    <row r="78" ht="14.25" hidden="1" customHeight="1" outlineLevel="1">
      <c r="A78" s="134"/>
      <c r="B78" s="135" t="str">
        <f>Data!A77</f>
        <v>XLM</v>
      </c>
      <c r="C78" s="136">
        <f>IFERROR(VLOOKUP($B78,Price!$A$2:$B$120, 2,), 1)*IFERROR(VLOOKUP($B78, Data!$A$2:$K$89, 2,),0)</f>
        <v>14898364.88</v>
      </c>
      <c r="D78" s="138">
        <f>IFERROR(VLOOKUP($B78, Data!$A$2:$K$89, 7,),0)</f>
        <v>0</v>
      </c>
      <c r="E78" s="136">
        <f>IFERROR(VLOOKUP($B78,Price!$A$2:$B$120, 2,), 1)*IFERROR(VLOOKUP($B78, Data!$A$2:$K$89, 3,),0)</f>
        <v>0</v>
      </c>
      <c r="F78" s="138">
        <f>IFERROR(VLOOKUP($B78, Data!$A$2:$K$89, 8,),0)</f>
        <v>0</v>
      </c>
      <c r="G78" s="136">
        <f>IFERROR(VLOOKUP($B78,Price!$A$2:$B$120, 2,), 1)*IFERROR(VLOOKUP($B78, Data!$A$2:$K$89, 4,),0)</f>
        <v>0</v>
      </c>
      <c r="H78" s="138">
        <f>IFERROR(VLOOKUP($B78, Data!$A$2:$K$89, 9,),0)</f>
        <v>0</v>
      </c>
      <c r="I78" s="136">
        <f>IFERROR(VLOOKUP($B78,Price!$A$2:$B$120, 2,), 1)*IFERROR(VLOOKUP($B78, Data!$A$2:$K$89, 5,),0)</f>
        <v>20669516.1</v>
      </c>
      <c r="J78" s="138">
        <f>IFERROR(VLOOKUP($B78, Data!$A$2:$K$89, 10,),0)</f>
        <v>0.04676931766</v>
      </c>
      <c r="K78" s="136">
        <f>IFERROR(VLOOKUP($B78,Price!$A$2:$B$120, 2,), 1)*IFERROR(VLOOKUP($B78, Data!$A$2:$K$89, 6,),0)</f>
        <v>0</v>
      </c>
      <c r="L78" s="138">
        <f>IFERROR(VLOOKUP($B78, Data!$A$2:$K$89, 11,),0)</f>
        <v>0</v>
      </c>
      <c r="M78" s="136">
        <f t="shared" si="1"/>
        <v>35567880.98</v>
      </c>
      <c r="N78" s="138">
        <f t="shared" si="2"/>
        <v>0.02717899233</v>
      </c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5"/>
      <c r="AA78" s="135"/>
      <c r="AB78" s="134"/>
    </row>
    <row r="79" ht="14.25" hidden="1" customHeight="1" outlineLevel="1">
      <c r="A79" s="134"/>
      <c r="B79" s="135" t="str">
        <f>Data!A78</f>
        <v>XRP</v>
      </c>
      <c r="C79" s="136">
        <f>IFERROR(VLOOKUP($B79,Price!$A$2:$B$120, 2,), 1)*IFERROR(VLOOKUP($B79, Data!$A$2:$K$89, 2,),0)</f>
        <v>27397207.08</v>
      </c>
      <c r="D79" s="138">
        <f>IFERROR(VLOOKUP($B79, Data!$A$2:$K$89, 7,),0)</f>
        <v>0</v>
      </c>
      <c r="E79" s="136">
        <f>IFERROR(VLOOKUP($B79,Price!$A$2:$B$120, 2,), 1)*IFERROR(VLOOKUP($B79, Data!$A$2:$K$89, 3,),0)</f>
        <v>0.01950219288</v>
      </c>
      <c r="F79" s="138">
        <f>IFERROR(VLOOKUP($B79, Data!$A$2:$K$89, 8,),0)</f>
        <v>0</v>
      </c>
      <c r="G79" s="136">
        <f>IFERROR(VLOOKUP($B79,Price!$A$2:$B$120, 2,), 1)*IFERROR(VLOOKUP($B79, Data!$A$2:$K$89, 4,),0)</f>
        <v>0</v>
      </c>
      <c r="H79" s="138">
        <f>IFERROR(VLOOKUP($B79, Data!$A$2:$K$89, 9,),0)</f>
        <v>0</v>
      </c>
      <c r="I79" s="136">
        <f>IFERROR(VLOOKUP($B79,Price!$A$2:$B$120, 2,), 1)*IFERROR(VLOOKUP($B79, Data!$A$2:$K$89, 5,),0)</f>
        <v>166904814.2</v>
      </c>
      <c r="J79" s="138">
        <f>IFERROR(VLOOKUP($B79, Data!$A$2:$K$89, 10,),0)</f>
        <v>0.04619952633</v>
      </c>
      <c r="K79" s="136">
        <f>IFERROR(VLOOKUP($B79,Price!$A$2:$B$120, 2,), 1)*IFERROR(VLOOKUP($B79, Data!$A$2:$K$89, 6,),0)</f>
        <v>8403878.706</v>
      </c>
      <c r="L79" s="138">
        <f>IFERROR(VLOOKUP($B79, Data!$A$2:$K$89, 11,),0)</f>
        <v>0</v>
      </c>
      <c r="M79" s="136">
        <f t="shared" si="1"/>
        <v>202705900</v>
      </c>
      <c r="N79" s="138">
        <f t="shared" si="2"/>
        <v>0.03803995521</v>
      </c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5"/>
      <c r="AA79" s="135"/>
      <c r="AB79" s="134"/>
    </row>
    <row r="80" ht="14.25" hidden="1" customHeight="1" outlineLevel="1">
      <c r="A80" s="134"/>
      <c r="B80" s="135" t="str">
        <f>Data!A79</f>
        <v>XTZ</v>
      </c>
      <c r="C80" s="136">
        <f>IFERROR(VLOOKUP($B80,Price!$A$2:$B$120, 2,), 1)*IFERROR(VLOOKUP($B80, Data!$A$2:$K$89, 2,),0)</f>
        <v>379604.3187</v>
      </c>
      <c r="D80" s="138">
        <f>IFERROR(VLOOKUP($B80, Data!$A$2:$K$89, 7,),0)</f>
        <v>0</v>
      </c>
      <c r="E80" s="136">
        <f>IFERROR(VLOOKUP($B80,Price!$A$2:$B$120, 2,), 1)*IFERROR(VLOOKUP($B80, Data!$A$2:$K$89, 3,),0)</f>
        <v>0</v>
      </c>
      <c r="F80" s="138">
        <f>IFERROR(VLOOKUP($B80, Data!$A$2:$K$89, 8,),0)</f>
        <v>0</v>
      </c>
      <c r="G80" s="136">
        <f>IFERROR(VLOOKUP($B80,Price!$A$2:$B$120, 2,), 1)*IFERROR(VLOOKUP($B80, Data!$A$2:$K$89, 4,),0)</f>
        <v>0</v>
      </c>
      <c r="H80" s="138">
        <f>IFERROR(VLOOKUP($B80, Data!$A$2:$K$89, 9,),0)</f>
        <v>0</v>
      </c>
      <c r="I80" s="136">
        <f>IFERROR(VLOOKUP($B80,Price!$A$2:$B$120, 2,), 1)*IFERROR(VLOOKUP($B80, Data!$A$2:$K$89, 5,),0)</f>
        <v>806691.871</v>
      </c>
      <c r="J80" s="138">
        <f>IFERROR(VLOOKUP($B80, Data!$A$2:$K$89, 10,),0)</f>
        <v>0</v>
      </c>
      <c r="K80" s="136">
        <f>IFERROR(VLOOKUP($B80,Price!$A$2:$B$120, 2,), 1)*IFERROR(VLOOKUP($B80, Data!$A$2:$K$89, 6,),0)</f>
        <v>1105.611544</v>
      </c>
      <c r="L80" s="138">
        <f>IFERROR(VLOOKUP($B80, Data!$A$2:$K$89, 11,),0)</f>
        <v>0</v>
      </c>
      <c r="M80" s="136">
        <f t="shared" si="1"/>
        <v>1187401.801</v>
      </c>
      <c r="N80" s="138">
        <f t="shared" si="2"/>
        <v>0</v>
      </c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5"/>
      <c r="AA80" s="135"/>
      <c r="AB80" s="134"/>
    </row>
    <row r="81" ht="14.25" hidden="1" customHeight="1" outlineLevel="1">
      <c r="A81" s="134"/>
      <c r="B81" s="135" t="str">
        <f>Data!A80</f>
        <v>YFI</v>
      </c>
      <c r="C81" s="136">
        <f>IFERROR(VLOOKUP($B81,Price!$A$2:$B$120, 2,), 1)*IFERROR(VLOOKUP($B81, Data!$A$2:$K$89, 2,),0)</f>
        <v>10920.29651</v>
      </c>
      <c r="D81" s="138">
        <f>IFERROR(VLOOKUP($B81, Data!$A$2:$K$89, 7,),0)</f>
        <v>0</v>
      </c>
      <c r="E81" s="136">
        <f>IFERROR(VLOOKUP($B81,Price!$A$2:$B$120, 2,), 1)*IFERROR(VLOOKUP($B81, Data!$A$2:$K$89, 3,),0)</f>
        <v>0</v>
      </c>
      <c r="F81" s="138">
        <f>IFERROR(VLOOKUP($B81, Data!$A$2:$K$89, 8,),0)</f>
        <v>0</v>
      </c>
      <c r="G81" s="136">
        <f>IFERROR(VLOOKUP($B81,Price!$A$2:$B$120, 2,), 1)*IFERROR(VLOOKUP($B81, Data!$A$2:$K$89, 4,),0)</f>
        <v>0</v>
      </c>
      <c r="H81" s="138">
        <f>IFERROR(VLOOKUP($B81, Data!$A$2:$K$89, 9,),0)</f>
        <v>0</v>
      </c>
      <c r="I81" s="136">
        <f>IFERROR(VLOOKUP($B81,Price!$A$2:$B$120, 2,), 1)*IFERROR(VLOOKUP($B81, Data!$A$2:$K$89, 5,),0)</f>
        <v>1830478.378</v>
      </c>
      <c r="J81" s="138">
        <f>IFERROR(VLOOKUP($B81, Data!$A$2:$K$89, 10,),0)</f>
        <v>0.08163806133</v>
      </c>
      <c r="K81" s="136">
        <f>IFERROR(VLOOKUP($B81,Price!$A$2:$B$120, 2,), 1)*IFERROR(VLOOKUP($B81, Data!$A$2:$K$89, 6,),0)</f>
        <v>15056.66829</v>
      </c>
      <c r="L81" s="138">
        <f>IFERROR(VLOOKUP($B81, Data!$A$2:$K$89, 11,),0)</f>
        <v>0</v>
      </c>
      <c r="M81" s="136">
        <f t="shared" si="1"/>
        <v>1856455.342</v>
      </c>
      <c r="N81" s="138">
        <f t="shared" si="2"/>
        <v>0.08049571818</v>
      </c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5"/>
      <c r="AA81" s="135"/>
      <c r="AB81" s="134"/>
    </row>
    <row r="82" ht="14.25" hidden="1" customHeight="1" outlineLevel="1">
      <c r="A82" s="134"/>
      <c r="B82" s="135" t="str">
        <f>Data!A81</f>
        <v>YFL</v>
      </c>
      <c r="C82" s="136">
        <f>IFERROR(VLOOKUP($B82,Price!$A$2:$B$120, 2,), 1)*IFERROR(VLOOKUP($B82, Data!$A$2:$K$89, 2,),0)</f>
        <v>217304.4833</v>
      </c>
      <c r="D82" s="138">
        <f>IFERROR(VLOOKUP($B82, Data!$A$2:$K$89, 7,),0)</f>
        <v>0</v>
      </c>
      <c r="E82" s="136">
        <f>IFERROR(VLOOKUP($B82,Price!$A$2:$B$120, 2,), 1)*IFERROR(VLOOKUP($B82, Data!$A$2:$K$89, 3,),0)</f>
        <v>0</v>
      </c>
      <c r="F82" s="138">
        <f>IFERROR(VLOOKUP($B82, Data!$A$2:$K$89, 8,),0)</f>
        <v>0</v>
      </c>
      <c r="G82" s="136">
        <f>IFERROR(VLOOKUP($B82,Price!$A$2:$B$120, 2,), 1)*IFERROR(VLOOKUP($B82, Data!$A$2:$K$89, 4,),0)</f>
        <v>0</v>
      </c>
      <c r="H82" s="138">
        <f>IFERROR(VLOOKUP($B82, Data!$A$2:$K$89, 9,),0)</f>
        <v>0</v>
      </c>
      <c r="I82" s="136">
        <f>IFERROR(VLOOKUP($B82,Price!$A$2:$B$120, 2,), 1)*IFERROR(VLOOKUP($B82, Data!$A$2:$K$89, 5,),0)</f>
        <v>0</v>
      </c>
      <c r="J82" s="138">
        <f>IFERROR(VLOOKUP($B82, Data!$A$2:$K$89, 10,),0)</f>
        <v>0</v>
      </c>
      <c r="K82" s="136">
        <f>IFERROR(VLOOKUP($B82,Price!$A$2:$B$120, 2,), 1)*IFERROR(VLOOKUP($B82, Data!$A$2:$K$89, 6,),0)</f>
        <v>0</v>
      </c>
      <c r="L82" s="138">
        <f>IFERROR(VLOOKUP($B82, Data!$A$2:$K$89, 11,),0)</f>
        <v>0</v>
      </c>
      <c r="M82" s="136">
        <f t="shared" si="1"/>
        <v>217304.4833</v>
      </c>
      <c r="N82" s="138">
        <f t="shared" si="2"/>
        <v>0</v>
      </c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5"/>
      <c r="AA82" s="135"/>
      <c r="AB82" s="134"/>
    </row>
    <row r="83" ht="14.25" hidden="1" customHeight="1" outlineLevel="1">
      <c r="A83" s="134"/>
      <c r="B83" s="135" t="str">
        <f>Data!A82</f>
        <v>yveCRV-DAO</v>
      </c>
      <c r="C83" s="136">
        <f>IFERROR(VLOOKUP($B83,Price!$A$2:$B$120, 2,), 1)*IFERROR(VLOOKUP($B83, Data!$A$2:$K$89, 2,),0)</f>
        <v>0</v>
      </c>
      <c r="D83" s="138">
        <f>IFERROR(VLOOKUP($B83, Data!$A$2:$K$89, 7,),0)</f>
        <v>0</v>
      </c>
      <c r="E83" s="136">
        <f>IFERROR(VLOOKUP($B83,Price!$A$2:$B$120, 2,), 1)*IFERROR(VLOOKUP($B83, Data!$A$2:$K$89, 3,),0)</f>
        <v>0</v>
      </c>
      <c r="F83" s="138">
        <f>IFERROR(VLOOKUP($B83, Data!$A$2:$K$89, 8,),0)</f>
        <v>0</v>
      </c>
      <c r="G83" s="136">
        <f>IFERROR(VLOOKUP($B83,Price!$A$2:$B$120, 2,), 1)*IFERROR(VLOOKUP($B83, Data!$A$2:$K$89, 4,),0)</f>
        <v>0</v>
      </c>
      <c r="H83" s="138">
        <f>IFERROR(VLOOKUP($B83, Data!$A$2:$K$89, 9,),0)</f>
        <v>0</v>
      </c>
      <c r="I83" s="136">
        <f>IFERROR(VLOOKUP($B83,Price!$A$2:$B$120, 2,), 1)*IFERROR(VLOOKUP($B83, Data!$A$2:$K$89, 5,),0)</f>
        <v>0</v>
      </c>
      <c r="J83" s="138">
        <f>IFERROR(VLOOKUP($B83, Data!$A$2:$K$89, 10,),0)</f>
        <v>0</v>
      </c>
      <c r="K83" s="136">
        <f>IFERROR(VLOOKUP($B83,Price!$A$2:$B$120, 2,), 1)*IFERROR(VLOOKUP($B83, Data!$A$2:$K$89, 6,),0)</f>
        <v>47617.22853</v>
      </c>
      <c r="L83" s="138">
        <f>IFERROR(VLOOKUP($B83, Data!$A$2:$K$89, 11,),0)</f>
        <v>0</v>
      </c>
      <c r="M83" s="136">
        <f t="shared" si="1"/>
        <v>47617.22853</v>
      </c>
      <c r="N83" s="138">
        <f t="shared" si="2"/>
        <v>0</v>
      </c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5"/>
      <c r="AA83" s="135"/>
      <c r="AB83" s="134"/>
    </row>
    <row r="84" ht="14.25" hidden="1" customHeight="1" outlineLevel="1">
      <c r="A84" s="134"/>
      <c r="B84" s="135" t="str">
        <f>Data!A83</f>
        <v>ZEC</v>
      </c>
      <c r="C84" s="136">
        <f>IFERROR(VLOOKUP($B84,Price!$A$2:$B$120, 2,), 1)*IFERROR(VLOOKUP($B84, Data!$A$2:$K$89, 2,),0)</f>
        <v>14987654.83</v>
      </c>
      <c r="D84" s="138">
        <f>IFERROR(VLOOKUP($B84, Data!$A$2:$K$89, 7,),0)</f>
        <v>0</v>
      </c>
      <c r="E84" s="136">
        <f>IFERROR(VLOOKUP($B84,Price!$A$2:$B$120, 2,), 1)*IFERROR(VLOOKUP($B84, Data!$A$2:$K$89, 3,),0)</f>
        <v>0</v>
      </c>
      <c r="F84" s="138">
        <f>IFERROR(VLOOKUP($B84, Data!$A$2:$K$89, 8,),0)</f>
        <v>0</v>
      </c>
      <c r="G84" s="136">
        <f>IFERROR(VLOOKUP($B84,Price!$A$2:$B$120, 2,), 1)*IFERROR(VLOOKUP($B84, Data!$A$2:$K$89, 4,),0)</f>
        <v>0</v>
      </c>
      <c r="H84" s="138">
        <f>IFERROR(VLOOKUP($B84, Data!$A$2:$K$89, 9,),0)</f>
        <v>0</v>
      </c>
      <c r="I84" s="136">
        <f>IFERROR(VLOOKUP($B84,Price!$A$2:$B$120, 2,), 1)*IFERROR(VLOOKUP($B84, Data!$A$2:$K$89, 5,),0)</f>
        <v>4566727.51</v>
      </c>
      <c r="J84" s="138">
        <f>IFERROR(VLOOKUP($B84, Data!$A$2:$K$89, 10,),0)</f>
        <v>0.03235697222</v>
      </c>
      <c r="K84" s="136">
        <f>IFERROR(VLOOKUP($B84,Price!$A$2:$B$120, 2,), 1)*IFERROR(VLOOKUP($B84, Data!$A$2:$K$89, 6,),0)</f>
        <v>0</v>
      </c>
      <c r="L84" s="138">
        <f>IFERROR(VLOOKUP($B84, Data!$A$2:$K$89, 11,),0)</f>
        <v>0</v>
      </c>
      <c r="M84" s="136">
        <f t="shared" si="1"/>
        <v>19554382.34</v>
      </c>
      <c r="N84" s="138">
        <f t="shared" si="2"/>
        <v>0.007556642423</v>
      </c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5"/>
      <c r="AA84" s="135"/>
      <c r="AB84" s="134"/>
    </row>
    <row r="85" ht="14.25" hidden="1" customHeight="1" outlineLevel="1">
      <c r="A85" s="134"/>
      <c r="B85" s="135" t="str">
        <f>Data!A84</f>
        <v>ZRX</v>
      </c>
      <c r="C85" s="136">
        <f>IFERROR(VLOOKUP($B85,Price!$A$2:$B$120, 2,), 1)*IFERROR(VLOOKUP($B85, Data!$A$2:$K$89, 2,),0)</f>
        <v>1070770.428</v>
      </c>
      <c r="D85" s="138">
        <f>IFERROR(VLOOKUP($B85, Data!$A$2:$K$89, 7,),0)</f>
        <v>0</v>
      </c>
      <c r="E85" s="136">
        <f>IFERROR(VLOOKUP($B85,Price!$A$2:$B$120, 2,), 1)*IFERROR(VLOOKUP($B85, Data!$A$2:$K$89, 3,),0)</f>
        <v>0</v>
      </c>
      <c r="F85" s="138">
        <f>IFERROR(VLOOKUP($B85, Data!$A$2:$K$89, 8,),0)</f>
        <v>0</v>
      </c>
      <c r="G85" s="136">
        <f>IFERROR(VLOOKUP($B85,Price!$A$2:$B$120, 2,), 1)*IFERROR(VLOOKUP($B85, Data!$A$2:$K$89, 4,),0)</f>
        <v>0</v>
      </c>
      <c r="H85" s="138">
        <f>IFERROR(VLOOKUP($B85, Data!$A$2:$K$89, 9,),0)</f>
        <v>0</v>
      </c>
      <c r="I85" s="136">
        <f>IFERROR(VLOOKUP($B85,Price!$A$2:$B$120, 2,), 1)*IFERROR(VLOOKUP($B85, Data!$A$2:$K$89, 5,),0)</f>
        <v>7587480.809</v>
      </c>
      <c r="J85" s="138">
        <f>IFERROR(VLOOKUP($B85, Data!$A$2:$K$89, 10,),0)</f>
        <v>0.023504098</v>
      </c>
      <c r="K85" s="136">
        <f>IFERROR(VLOOKUP($B85,Price!$A$2:$B$120, 2,), 1)*IFERROR(VLOOKUP($B85, Data!$A$2:$K$89, 6,),0)</f>
        <v>2429437.863</v>
      </c>
      <c r="L85" s="138">
        <f>IFERROR(VLOOKUP($B85, Data!$A$2:$K$89, 11,),0)</f>
        <v>0.01994618632</v>
      </c>
      <c r="M85" s="136">
        <f t="shared" si="1"/>
        <v>11087689.1</v>
      </c>
      <c r="N85" s="138">
        <f t="shared" si="2"/>
        <v>0.02045466018</v>
      </c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5"/>
      <c r="AA85" s="135"/>
      <c r="AB85" s="134"/>
    </row>
    <row r="86" ht="14.25" hidden="1" customHeight="1" outlineLevel="1">
      <c r="A86" s="134"/>
      <c r="B86" s="135" t="str">
        <f>Data!A85</f>
        <v>SRM_LOCKED</v>
      </c>
      <c r="C86" s="136">
        <f>IFERROR(VLOOKUP($B86,Price!$A$2:$B$120, 2,), 1)*IFERROR(VLOOKUP($B86, Data!$A$2:$K$89, 2,),0)</f>
        <v>0</v>
      </c>
      <c r="D86" s="138">
        <f>IFERROR(VLOOKUP($B86, Data!$A$2:$K$89, 7,),0)</f>
        <v>0</v>
      </c>
      <c r="E86" s="136">
        <f>IFERROR(VLOOKUP($B86,Price!$A$2:$B$120, 2,), 1)*IFERROR(VLOOKUP($B86, Data!$A$2:$K$89, 3,),0)</f>
        <v>237236.3605</v>
      </c>
      <c r="F86" s="138">
        <f>IFERROR(VLOOKUP($B86, Data!$A$2:$K$89, 8,),0)</f>
        <v>0</v>
      </c>
      <c r="G86" s="136">
        <f>IFERROR(VLOOKUP($B86,Price!$A$2:$B$120, 2,), 1)*IFERROR(VLOOKUP($B86, Data!$A$2:$K$89, 4,),0)</f>
        <v>0</v>
      </c>
      <c r="H86" s="138">
        <f>IFERROR(VLOOKUP($B86, Data!$A$2:$K$89, 9,),0)</f>
        <v>0</v>
      </c>
      <c r="I86" s="136">
        <f>IFERROR(VLOOKUP($B86,Price!$A$2:$B$120, 2,), 1)*IFERROR(VLOOKUP($B86, Data!$A$2:$K$89, 5,),0)</f>
        <v>2278648.181</v>
      </c>
      <c r="J86" s="138">
        <f>IFERROR(VLOOKUP($B86, Data!$A$2:$K$89, 10,),0)</f>
        <v>0.03428704614</v>
      </c>
      <c r="K86" s="136">
        <f>IFERROR(VLOOKUP($B86,Price!$A$2:$B$120, 2,), 1)*IFERROR(VLOOKUP($B86, Data!$A$2:$K$89, 6,),0)</f>
        <v>588489.8712</v>
      </c>
      <c r="L86" s="138">
        <f>IFERROR(VLOOKUP($B86, Data!$A$2:$K$89, 11,),0)</f>
        <v>0</v>
      </c>
      <c r="M86" s="136">
        <f t="shared" si="1"/>
        <v>3104374.413</v>
      </c>
      <c r="N86" s="138">
        <f t="shared" si="2"/>
        <v>0.02516710452</v>
      </c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5"/>
      <c r="AA86" s="135"/>
      <c r="AB86" s="134"/>
    </row>
    <row r="87" ht="14.25" hidden="1" customHeight="1" outlineLevel="1">
      <c r="A87" s="134"/>
      <c r="B87" s="135" t="str">
        <f>Data!A86</f>
        <v>ALICE</v>
      </c>
      <c r="C87" s="136">
        <f>IFERROR(VLOOKUP($B87,Price!$A$2:$B$120, 2,), 1)*IFERROR(VLOOKUP($B87, Data!$A$2:$K$89, 2,),0)</f>
        <v>0</v>
      </c>
      <c r="D87" s="138">
        <f>IFERROR(VLOOKUP($B87, Data!$A$2:$K$89, 7,),0)</f>
        <v>0</v>
      </c>
      <c r="E87" s="136">
        <f>IFERROR(VLOOKUP($B87,Price!$A$2:$B$120, 2,), 1)*IFERROR(VLOOKUP($B87, Data!$A$2:$K$89, 3,),0)</f>
        <v>0</v>
      </c>
      <c r="F87" s="138">
        <f>IFERROR(VLOOKUP($B87, Data!$A$2:$K$89, 8,),0)</f>
        <v>0</v>
      </c>
      <c r="G87" s="136">
        <f>IFERROR(VLOOKUP($B87,Price!$A$2:$B$120, 2,), 1)*IFERROR(VLOOKUP($B87, Data!$A$2:$K$89, 4,),0)</f>
        <v>0</v>
      </c>
      <c r="H87" s="138">
        <f>IFERROR(VLOOKUP($B87, Data!$A$2:$K$89, 9,),0)</f>
        <v>0</v>
      </c>
      <c r="I87" s="136">
        <f>IFERROR(VLOOKUP($B87,Price!$A$2:$B$120, 2,), 1)*IFERROR(VLOOKUP($B87, Data!$A$2:$K$89, 5,),0)</f>
        <v>60000.04744</v>
      </c>
      <c r="J87" s="138">
        <f>IFERROR(VLOOKUP($B87, Data!$A$2:$K$89, 10,),0)</f>
        <v>0.04294812889</v>
      </c>
      <c r="K87" s="136">
        <f>IFERROR(VLOOKUP($B87,Price!$A$2:$B$120, 2,), 1)*IFERROR(VLOOKUP($B87, Data!$A$2:$K$89, 6,),0)</f>
        <v>0</v>
      </c>
      <c r="L87" s="138">
        <f>IFERROR(VLOOKUP($B87, Data!$A$2:$K$89, 11,),0)</f>
        <v>0</v>
      </c>
      <c r="M87" s="136">
        <f t="shared" si="1"/>
        <v>60000.04744</v>
      </c>
      <c r="N87" s="138">
        <f t="shared" si="2"/>
        <v>0.04294812889</v>
      </c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5"/>
      <c r="AA87" s="135"/>
      <c r="AB87" s="134"/>
    </row>
    <row r="88" ht="14.25" hidden="1" customHeight="1" outlineLevel="1">
      <c r="A88" s="134"/>
      <c r="B88" s="135" t="str">
        <f>Data!A87</f>
        <v>LRC</v>
      </c>
      <c r="C88" s="136">
        <f>IFERROR(VLOOKUP($B88,Price!$A$2:$B$120, 2,), 1)*IFERROR(VLOOKUP($B88, Data!$A$2:$K$89, 2,),0)</f>
        <v>0</v>
      </c>
      <c r="D88" s="138">
        <f>IFERROR(VLOOKUP($B88, Data!$A$2:$K$89, 7,),0)</f>
        <v>0</v>
      </c>
      <c r="E88" s="136">
        <f>IFERROR(VLOOKUP($B88,Price!$A$2:$B$120, 2,), 1)*IFERROR(VLOOKUP($B88, Data!$A$2:$K$89, 3,),0)</f>
        <v>0</v>
      </c>
      <c r="F88" s="138">
        <f>IFERROR(VLOOKUP($B88, Data!$A$2:$K$89, 8,),0)</f>
        <v>0</v>
      </c>
      <c r="G88" s="136">
        <f>IFERROR(VLOOKUP($B88,Price!$A$2:$B$120, 2,), 1)*IFERROR(VLOOKUP($B88, Data!$A$2:$K$89, 4,),0)</f>
        <v>0</v>
      </c>
      <c r="H88" s="138">
        <f>IFERROR(VLOOKUP($B88, Data!$A$2:$K$89, 9,),0)</f>
        <v>0</v>
      </c>
      <c r="I88" s="136">
        <f>IFERROR(VLOOKUP($B88,Price!$A$2:$B$120, 2,), 1)*IFERROR(VLOOKUP($B88, Data!$A$2:$K$89, 5,),0)</f>
        <v>900021.2306</v>
      </c>
      <c r="J88" s="138">
        <f>IFERROR(VLOOKUP($B88, Data!$A$2:$K$89, 10,),0)</f>
        <v>0.04294812889</v>
      </c>
      <c r="K88" s="136">
        <f>IFERROR(VLOOKUP($B88,Price!$A$2:$B$120, 2,), 1)*IFERROR(VLOOKUP($B88, Data!$A$2:$K$89, 6,),0)</f>
        <v>0</v>
      </c>
      <c r="L88" s="138">
        <f>IFERROR(VLOOKUP($B88, Data!$A$2:$K$89, 11,),0)</f>
        <v>0</v>
      </c>
      <c r="M88" s="136">
        <f t="shared" si="1"/>
        <v>900021.2306</v>
      </c>
      <c r="N88" s="138">
        <f t="shared" si="2"/>
        <v>0.04294812889</v>
      </c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5"/>
      <c r="AA88" s="135"/>
      <c r="AB88" s="134"/>
    </row>
    <row r="89" ht="14.25" hidden="1" customHeight="1" outlineLevel="1">
      <c r="A89" s="134"/>
      <c r="B89" s="135" t="str">
        <f>Data!A88</f>
        <v>POLIS</v>
      </c>
      <c r="C89" s="136">
        <f>IFERROR(VLOOKUP($B89,Price!$A$2:$B$120, 2,), 1)*IFERROR(VLOOKUP($B89, Data!$A$2:$K$89, 2,),0)</f>
        <v>0</v>
      </c>
      <c r="D89" s="138">
        <f>IFERROR(VLOOKUP($B89, Data!$A$2:$K$89, 7,),0)</f>
        <v>0</v>
      </c>
      <c r="E89" s="136">
        <f>IFERROR(VLOOKUP($B89,Price!$A$2:$B$120, 2,), 1)*IFERROR(VLOOKUP($B89, Data!$A$2:$K$89, 3,),0)</f>
        <v>0</v>
      </c>
      <c r="F89" s="138">
        <f>IFERROR(VLOOKUP($B89, Data!$A$2:$K$89, 8,),0)</f>
        <v>0</v>
      </c>
      <c r="G89" s="136">
        <f>IFERROR(VLOOKUP($B89,Price!$A$2:$B$120, 2,), 1)*IFERROR(VLOOKUP($B89, Data!$A$2:$K$89, 4,),0)</f>
        <v>0</v>
      </c>
      <c r="H89" s="138">
        <f>IFERROR(VLOOKUP($B89, Data!$A$2:$K$89, 9,),0)</f>
        <v>0</v>
      </c>
      <c r="I89" s="136">
        <f>IFERROR(VLOOKUP($B89,Price!$A$2:$B$120, 2,), 1)*IFERROR(VLOOKUP($B89, Data!$A$2:$K$89, 5,),0)</f>
        <v>1283179.092</v>
      </c>
      <c r="J89" s="138">
        <f>IFERROR(VLOOKUP($B89, Data!$A$2:$K$89, 10,),0)</f>
        <v>-0.0295482322</v>
      </c>
      <c r="K89" s="136">
        <f>IFERROR(VLOOKUP($B89,Price!$A$2:$B$120, 2,), 1)*IFERROR(VLOOKUP($B89, Data!$A$2:$K$89, 6,),0)</f>
        <v>0</v>
      </c>
      <c r="L89" s="138">
        <f>IFERROR(VLOOKUP($B89, Data!$A$2:$K$89, 11,),0)</f>
        <v>0</v>
      </c>
      <c r="M89" s="136">
        <f t="shared" si="1"/>
        <v>1283179.092</v>
      </c>
      <c r="N89" s="138">
        <f t="shared" si="2"/>
        <v>-0.0295482322</v>
      </c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5"/>
      <c r="AA89" s="135"/>
      <c r="AB89" s="134"/>
    </row>
    <row r="90" ht="14.25" hidden="1" customHeight="1" outlineLevel="1">
      <c r="A90" s="134"/>
      <c r="B90" s="135" t="str">
        <f>Data!A89</f>
        <v>TRX</v>
      </c>
      <c r="C90" s="136">
        <f>IFERROR(VLOOKUP($B90,Price!$A$2:$B$120, 2,), 1)*IFERROR(VLOOKUP($B90, Data!$A$2:$K$89, 2,),0)</f>
        <v>0</v>
      </c>
      <c r="D90" s="138">
        <f>IFERROR(VLOOKUP($B90, Data!$A$2:$K$89, 7,),0)</f>
        <v>0</v>
      </c>
      <c r="E90" s="136">
        <f>IFERROR(VLOOKUP($B90,Price!$A$2:$B$120, 2,), 1)*IFERROR(VLOOKUP($B90, Data!$A$2:$K$89, 3,),0)</f>
        <v>0</v>
      </c>
      <c r="F90" s="138">
        <f>IFERROR(VLOOKUP($B90, Data!$A$2:$K$89, 8,),0)</f>
        <v>0</v>
      </c>
      <c r="G90" s="136">
        <f>IFERROR(VLOOKUP($B90,Price!$A$2:$B$120, 2,), 1)*IFERROR(VLOOKUP($B90, Data!$A$2:$K$89, 4,),0)</f>
        <v>0</v>
      </c>
      <c r="H90" s="138">
        <f>IFERROR(VLOOKUP($B90, Data!$A$2:$K$89, 9,),0)</f>
        <v>0</v>
      </c>
      <c r="I90" s="136">
        <f>IFERROR(VLOOKUP($B90,Price!$A$2:$B$120, 2,), 1)*IFERROR(VLOOKUP($B90, Data!$A$2:$K$89, 5,),0)</f>
        <v>0.000003</v>
      </c>
      <c r="J90" s="138">
        <f>IFERROR(VLOOKUP($B90, Data!$A$2:$K$89, 10,),0)</f>
        <v>0</v>
      </c>
      <c r="K90" s="136">
        <f>IFERROR(VLOOKUP($B90,Price!$A$2:$B$120, 2,), 1)*IFERROR(VLOOKUP($B90, Data!$A$2:$K$89, 6,),0)</f>
        <v>0</v>
      </c>
      <c r="L90" s="138">
        <f>IFERROR(VLOOKUP($B90, Data!$A$2:$K$89, 11,),0)</f>
        <v>0</v>
      </c>
      <c r="M90" s="136">
        <f t="shared" si="1"/>
        <v>0.000003</v>
      </c>
      <c r="N90" s="138">
        <f t="shared" si="2"/>
        <v>0</v>
      </c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5"/>
      <c r="AA90" s="135"/>
      <c r="AB90" s="134"/>
    </row>
    <row r="91" ht="14.25" hidden="1" customHeight="1" outlineLevel="1">
      <c r="A91" s="134"/>
      <c r="B91" s="135" t="str">
        <f>Data!A90</f>
        <v>KIN</v>
      </c>
      <c r="C91" s="136">
        <f>IFERROR(VLOOKUP($B91,Price!$A$2:$B$120, 2,), 1)*IFERROR(VLOOKUP($B91, Data!$A$2:$K$89, 2,),0)</f>
        <v>0</v>
      </c>
      <c r="D91" s="138">
        <f>IFERROR(VLOOKUP($B91, Data!$A$2:$K$89, 7,),0)</f>
        <v>0</v>
      </c>
      <c r="E91" s="136">
        <f>IFERROR(VLOOKUP($B91,Price!$A$2:$B$120, 2,), 1)*IFERROR(VLOOKUP($B91, Data!$A$2:$K$89, 3,),0)</f>
        <v>0</v>
      </c>
      <c r="F91" s="138">
        <f>IFERROR(VLOOKUP($B91, Data!$A$2:$K$89, 8,),0)</f>
        <v>0</v>
      </c>
      <c r="G91" s="136">
        <f>IFERROR(VLOOKUP($B91,Price!$A$2:$B$120, 2,), 1)*IFERROR(VLOOKUP($B91, Data!$A$2:$K$89, 4,),0)</f>
        <v>0</v>
      </c>
      <c r="H91" s="138">
        <f>IFERROR(VLOOKUP($B91, Data!$A$2:$K$89, 9,),0)</f>
        <v>0</v>
      </c>
      <c r="I91" s="136">
        <f>IFERROR(VLOOKUP($B91,Price!$A$2:$B$120, 2,), 1)*IFERROR(VLOOKUP($B91, Data!$A$2:$K$89, 5,),0)</f>
        <v>0</v>
      </c>
      <c r="J91" s="138">
        <f>IFERROR(VLOOKUP($B91, Data!$A$2:$K$89, 10,),0)</f>
        <v>0</v>
      </c>
      <c r="K91" s="136">
        <f>IFERROR(VLOOKUP($B91,Price!$A$2:$B$120, 2,), 1)*IFERROR(VLOOKUP($B91, Data!$A$2:$K$89, 6,),0)</f>
        <v>0</v>
      </c>
      <c r="L91" s="138">
        <f>IFERROR(VLOOKUP($B91, Data!$A$2:$K$89, 11,),0)</f>
        <v>0</v>
      </c>
      <c r="M91" s="136">
        <f t="shared" si="1"/>
        <v>0</v>
      </c>
      <c r="N91" s="138">
        <f t="shared" si="2"/>
        <v>0</v>
      </c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5"/>
      <c r="AA91" s="135"/>
      <c r="AB91" s="134"/>
    </row>
    <row r="92" ht="14.25" hidden="1" customHeight="1" outlineLevel="1">
      <c r="A92" s="134"/>
      <c r="B92" s="135" t="str">
        <f>Data!A91</f>
        <v>Stable Coins</v>
      </c>
      <c r="C92" s="136">
        <f>IFERROR(VLOOKUP($B92,Price!$A$2:$B$120, 2,), 1)*IFERROR(VLOOKUP($B92, Data!$A$2:$K$89, 2,),0)</f>
        <v>0</v>
      </c>
      <c r="D92" s="138">
        <f>IFERROR(VLOOKUP($B92, Data!$A$2:$K$89, 7,),0)</f>
        <v>0</v>
      </c>
      <c r="E92" s="136">
        <f>IFERROR(VLOOKUP($B92,Price!$A$2:$B$120, 2,), 1)*IFERROR(VLOOKUP($B92, Data!$A$2:$K$89, 3,),0)</f>
        <v>0</v>
      </c>
      <c r="F92" s="138">
        <f>IFERROR(VLOOKUP($B92, Data!$A$2:$K$89, 8,),0)</f>
        <v>0</v>
      </c>
      <c r="G92" s="136">
        <f>IFERROR(VLOOKUP($B92,Price!$A$2:$B$120, 2,), 1)*IFERROR(VLOOKUP($B92, Data!$A$2:$K$89, 4,),0)</f>
        <v>0</v>
      </c>
      <c r="H92" s="138">
        <f>IFERROR(VLOOKUP($B92, Data!$A$2:$K$89, 9,),0)</f>
        <v>0</v>
      </c>
      <c r="I92" s="136">
        <f>IFERROR(VLOOKUP($B92,Price!$A$2:$B$120, 2,), 1)*IFERROR(VLOOKUP($B92, Data!$A$2:$K$89, 5,),0)</f>
        <v>0</v>
      </c>
      <c r="J92" s="138">
        <f>IFERROR(VLOOKUP($B92, Data!$A$2:$K$89, 10,),0)</f>
        <v>0</v>
      </c>
      <c r="K92" s="136">
        <f>IFERROR(VLOOKUP($B92,Price!$A$2:$B$120, 2,), 1)*IFERROR(VLOOKUP($B92, Data!$A$2:$K$89, 6,),0)</f>
        <v>0</v>
      </c>
      <c r="L92" s="138">
        <f>IFERROR(VLOOKUP($B92, Data!$A$2:$K$89, 11,),0)</f>
        <v>0</v>
      </c>
      <c r="M92" s="136">
        <f t="shared" si="1"/>
        <v>0</v>
      </c>
      <c r="N92" s="138">
        <f t="shared" si="2"/>
        <v>0</v>
      </c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5"/>
      <c r="AA92" s="135"/>
      <c r="AB92" s="134"/>
    </row>
    <row r="93" ht="14.25" hidden="1" customHeight="1" outlineLevel="1">
      <c r="A93" s="134"/>
      <c r="B93" s="135" t="str">
        <f>Data!A92</f>
        <v/>
      </c>
      <c r="C93" s="136">
        <f>IFERROR(VLOOKUP($B93,Price!$A$2:$B$120, 2,), 1)*IFERROR(VLOOKUP($B93, Data!$A$2:$K$89, 2,),0)</f>
        <v>0</v>
      </c>
      <c r="D93" s="138">
        <f>IFERROR(VLOOKUP($B93, Data!$A$2:$K$89, 7,),0)</f>
        <v>0</v>
      </c>
      <c r="E93" s="136">
        <f>IFERROR(VLOOKUP($B93,Price!$A$2:$B$120, 2,), 1)*IFERROR(VLOOKUP($B93, Data!$A$2:$K$89, 3,),0)</f>
        <v>0</v>
      </c>
      <c r="F93" s="138">
        <f>IFERROR(VLOOKUP($B93, Data!$A$2:$K$89, 8,),0)</f>
        <v>0</v>
      </c>
      <c r="G93" s="136">
        <f>IFERROR(VLOOKUP($B93,Price!$A$2:$B$120, 2,), 1)*IFERROR(VLOOKUP($B93, Data!$A$2:$K$89, 4,),0)</f>
        <v>0</v>
      </c>
      <c r="H93" s="138">
        <f>IFERROR(VLOOKUP($B93, Data!$A$2:$K$89, 9,),0)</f>
        <v>0</v>
      </c>
      <c r="I93" s="136">
        <f>IFERROR(VLOOKUP($B93,Price!$A$2:$B$120, 2,), 1)*IFERROR(VLOOKUP($B93, Data!$A$2:$K$89, 5,),0)</f>
        <v>0</v>
      </c>
      <c r="J93" s="138">
        <f>IFERROR(VLOOKUP($B93, Data!$A$2:$K$89, 10,),0)</f>
        <v>0</v>
      </c>
      <c r="K93" s="136">
        <f>IFERROR(VLOOKUP($B93,Price!$A$2:$B$120, 2,), 1)*IFERROR(VLOOKUP($B93, Data!$A$2:$K$89, 6,),0)</f>
        <v>0</v>
      </c>
      <c r="L93" s="138">
        <f>IFERROR(VLOOKUP($B93, Data!$A$2:$K$89, 11,),0)</f>
        <v>0</v>
      </c>
      <c r="M93" s="136">
        <f t="shared" si="1"/>
        <v>0</v>
      </c>
      <c r="N93" s="138">
        <f t="shared" si="2"/>
        <v>0</v>
      </c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5"/>
      <c r="AA93" s="135"/>
      <c r="AB93" s="134"/>
    </row>
    <row r="94" ht="14.25" hidden="1" customHeight="1" outlineLevel="1">
      <c r="A94" s="134"/>
      <c r="B94" s="135" t="str">
        <f>Data!A93</f>
        <v/>
      </c>
      <c r="C94" s="136">
        <f>IFERROR(VLOOKUP($B94,Price!$A$2:$B$120, 2,), 1)*IFERROR(VLOOKUP($B94, Data!$A$2:$K$89, 2,),0)</f>
        <v>0</v>
      </c>
      <c r="D94" s="138">
        <f>IFERROR(VLOOKUP($B94, Data!$A$2:$K$89, 7,),0)</f>
        <v>0</v>
      </c>
      <c r="E94" s="136">
        <f>IFERROR(VLOOKUP($B94,Price!$A$2:$B$120, 2,), 1)*IFERROR(VLOOKUP($B94, Data!$A$2:$K$89, 3,),0)</f>
        <v>0</v>
      </c>
      <c r="F94" s="138">
        <f>IFERROR(VLOOKUP($B94, Data!$A$2:$K$89, 8,),0)</f>
        <v>0</v>
      </c>
      <c r="G94" s="136">
        <f>IFERROR(VLOOKUP($B94,Price!$A$2:$B$120, 2,), 1)*IFERROR(VLOOKUP($B94, Data!$A$2:$K$89, 4,),0)</f>
        <v>0</v>
      </c>
      <c r="H94" s="138">
        <f>IFERROR(VLOOKUP($B94, Data!$A$2:$K$89, 9,),0)</f>
        <v>0</v>
      </c>
      <c r="I94" s="136">
        <f>IFERROR(VLOOKUP($B94,Price!$A$2:$B$120, 2,), 1)*IFERROR(VLOOKUP($B94, Data!$A$2:$K$89, 5,),0)</f>
        <v>0</v>
      </c>
      <c r="J94" s="138">
        <f>IFERROR(VLOOKUP($B94, Data!$A$2:$K$89, 10,),0)</f>
        <v>0</v>
      </c>
      <c r="K94" s="136">
        <f>IFERROR(VLOOKUP($B94,Price!$A$2:$B$120, 2,), 1)*IFERROR(VLOOKUP($B94, Data!$A$2:$K$89, 6,),0)</f>
        <v>0</v>
      </c>
      <c r="L94" s="138">
        <f>IFERROR(VLOOKUP($B94, Data!$A$2:$K$89, 11,),0)</f>
        <v>0</v>
      </c>
      <c r="M94" s="136">
        <f t="shared" si="1"/>
        <v>0</v>
      </c>
      <c r="N94" s="138">
        <f t="shared" si="2"/>
        <v>0</v>
      </c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5"/>
      <c r="AA94" s="135"/>
      <c r="AB94" s="134"/>
    </row>
    <row r="95" ht="14.25" hidden="1" customHeight="1" outlineLevel="1">
      <c r="A95" s="134"/>
      <c r="B95" s="135" t="str">
        <f>Data!A94</f>
        <v/>
      </c>
      <c r="C95" s="136">
        <f>IFERROR(VLOOKUP($B95,Price!$A$2:$B$120, 2,), 1)*IFERROR(VLOOKUP($B95, Data!$A$2:$K$89, 2,),0)</f>
        <v>0</v>
      </c>
      <c r="D95" s="138">
        <f>IFERROR(VLOOKUP($B95, Data!$A$2:$K$89, 7,),0)</f>
        <v>0</v>
      </c>
      <c r="E95" s="136">
        <f>IFERROR(VLOOKUP($B95,Price!$A$2:$B$120, 2,), 1)*IFERROR(VLOOKUP($B95, Data!$A$2:$K$89, 3,),0)</f>
        <v>0</v>
      </c>
      <c r="F95" s="138">
        <f>IFERROR(VLOOKUP($B95, Data!$A$2:$K$89, 8,),0)</f>
        <v>0</v>
      </c>
      <c r="G95" s="136">
        <f>IFERROR(VLOOKUP($B95,Price!$A$2:$B$120, 2,), 1)*IFERROR(VLOOKUP($B95, Data!$A$2:$K$89, 4,),0)</f>
        <v>0</v>
      </c>
      <c r="H95" s="138">
        <f>IFERROR(VLOOKUP($B95, Data!$A$2:$K$89, 9,),0)</f>
        <v>0</v>
      </c>
      <c r="I95" s="136">
        <f>IFERROR(VLOOKUP($B95,Price!$A$2:$B$120, 2,), 1)*IFERROR(VLOOKUP($B95, Data!$A$2:$K$89, 5,),0)</f>
        <v>0</v>
      </c>
      <c r="J95" s="138">
        <f>IFERROR(VLOOKUP($B95, Data!$A$2:$K$89, 10,),0)</f>
        <v>0</v>
      </c>
      <c r="K95" s="136">
        <f>IFERROR(VLOOKUP($B95,Price!$A$2:$B$120, 2,), 1)*IFERROR(VLOOKUP($B95, Data!$A$2:$K$89, 6,),0)</f>
        <v>0</v>
      </c>
      <c r="L95" s="138">
        <f>IFERROR(VLOOKUP($B95, Data!$A$2:$K$89, 11,),0)</f>
        <v>0</v>
      </c>
      <c r="M95" s="136">
        <f t="shared" si="1"/>
        <v>0</v>
      </c>
      <c r="N95" s="138">
        <f t="shared" si="2"/>
        <v>0</v>
      </c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5"/>
      <c r="AA95" s="135"/>
      <c r="AB95" s="134"/>
    </row>
    <row r="96" ht="14.25" hidden="1" customHeight="1" outlineLevel="1">
      <c r="A96" s="134"/>
      <c r="B96" s="135" t="str">
        <f>Data!A95</f>
        <v/>
      </c>
      <c r="C96" s="136">
        <f>IFERROR(VLOOKUP($B96,Price!$A$2:$B$120, 2,), 1)*IFERROR(VLOOKUP($B96, Data!$A$2:$K$89, 2,),0)</f>
        <v>0</v>
      </c>
      <c r="D96" s="138">
        <f>IFERROR(VLOOKUP($B96, Data!$A$2:$K$89, 7,),0)</f>
        <v>0</v>
      </c>
      <c r="E96" s="136">
        <f>IFERROR(VLOOKUP($B96,Price!$A$2:$B$120, 2,), 1)*IFERROR(VLOOKUP($B96, Data!$A$2:$K$89, 3,),0)</f>
        <v>0</v>
      </c>
      <c r="F96" s="138">
        <f>IFERROR(VLOOKUP($B96, Data!$A$2:$K$89, 8,),0)</f>
        <v>0</v>
      </c>
      <c r="G96" s="136">
        <f>IFERROR(VLOOKUP($B96,Price!$A$2:$B$120, 2,), 1)*IFERROR(VLOOKUP($B96, Data!$A$2:$K$89, 4,),0)</f>
        <v>0</v>
      </c>
      <c r="H96" s="138">
        <f>IFERROR(VLOOKUP($B96, Data!$A$2:$K$89, 9,),0)</f>
        <v>0</v>
      </c>
      <c r="I96" s="136">
        <f>IFERROR(VLOOKUP($B96,Price!$A$2:$B$120, 2,), 1)*IFERROR(VLOOKUP($B96, Data!$A$2:$K$89, 5,),0)</f>
        <v>0</v>
      </c>
      <c r="J96" s="138">
        <f>IFERROR(VLOOKUP($B96, Data!$A$2:$K$89, 10,),0)</f>
        <v>0</v>
      </c>
      <c r="K96" s="136">
        <f>IFERROR(VLOOKUP($B96,Price!$A$2:$B$120, 2,), 1)*IFERROR(VLOOKUP($B96, Data!$A$2:$K$89, 6,),0)</f>
        <v>0</v>
      </c>
      <c r="L96" s="138">
        <f>IFERROR(VLOOKUP($B96, Data!$A$2:$K$89, 11,),0)</f>
        <v>0</v>
      </c>
      <c r="M96" s="136">
        <f t="shared" si="1"/>
        <v>0</v>
      </c>
      <c r="N96" s="138">
        <f t="shared" si="2"/>
        <v>0</v>
      </c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5"/>
      <c r="AA96" s="135"/>
      <c r="AB96" s="134"/>
    </row>
    <row r="97" ht="14.25" hidden="1" customHeight="1" outlineLevel="1">
      <c r="A97" s="134"/>
      <c r="B97" s="135" t="str">
        <f>Data!A96</f>
        <v/>
      </c>
      <c r="C97" s="136">
        <f>IFERROR(VLOOKUP($B97,Price!$A$2:$B$120, 2,), 1)*IFERROR(VLOOKUP($B97, Data!$A$2:$K$89, 2,),0)</f>
        <v>0</v>
      </c>
      <c r="D97" s="138">
        <f>IFERROR(VLOOKUP($B97, Data!$A$2:$K$89, 7,),0)</f>
        <v>0</v>
      </c>
      <c r="E97" s="136">
        <f>IFERROR(VLOOKUP($B97,Price!$A$2:$B$120, 2,), 1)*IFERROR(VLOOKUP($B97, Data!$A$2:$K$89, 3,),0)</f>
        <v>0</v>
      </c>
      <c r="F97" s="138">
        <f>IFERROR(VLOOKUP($B97, Data!$A$2:$K$89, 8,),0)</f>
        <v>0</v>
      </c>
      <c r="G97" s="136">
        <f>IFERROR(VLOOKUP($B97,Price!$A$2:$B$120, 2,), 1)*IFERROR(VLOOKUP($B97, Data!$A$2:$K$89, 4,),0)</f>
        <v>0</v>
      </c>
      <c r="H97" s="138">
        <f>IFERROR(VLOOKUP($B97, Data!$A$2:$K$89, 9,),0)</f>
        <v>0</v>
      </c>
      <c r="I97" s="136">
        <f>IFERROR(VLOOKUP($B97,Price!$A$2:$B$120, 2,), 1)*IFERROR(VLOOKUP($B97, Data!$A$2:$K$89, 5,),0)</f>
        <v>0</v>
      </c>
      <c r="J97" s="138">
        <f>IFERROR(VLOOKUP($B97, Data!$A$2:$K$89, 10,),0)</f>
        <v>0</v>
      </c>
      <c r="K97" s="136">
        <f>IFERROR(VLOOKUP($B97,Price!$A$2:$B$120, 2,), 1)*IFERROR(VLOOKUP($B97, Data!$A$2:$K$89, 6,),0)</f>
        <v>0</v>
      </c>
      <c r="L97" s="138">
        <f>IFERROR(VLOOKUP($B97, Data!$A$2:$K$89, 11,),0)</f>
        <v>0</v>
      </c>
      <c r="M97" s="136">
        <f t="shared" si="1"/>
        <v>0</v>
      </c>
      <c r="N97" s="138">
        <f t="shared" si="2"/>
        <v>0</v>
      </c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5"/>
      <c r="AA97" s="135"/>
      <c r="AB97" s="134"/>
    </row>
    <row r="98" ht="14.25" hidden="1" customHeight="1" outlineLevel="1">
      <c r="A98" s="134"/>
      <c r="B98" s="135" t="str">
        <f>Data!A97</f>
        <v/>
      </c>
      <c r="C98" s="136">
        <f>IFERROR(VLOOKUP($B98,Price!$A$2:$B$120, 2,), 1)*IFERROR(VLOOKUP($B98, Data!$A$2:$K$89, 2,),0)</f>
        <v>0</v>
      </c>
      <c r="D98" s="138">
        <f>IFERROR(VLOOKUP($B98, Data!$A$2:$K$89, 7,),0)</f>
        <v>0</v>
      </c>
      <c r="E98" s="136">
        <f>IFERROR(VLOOKUP($B98,Price!$A$2:$B$120, 2,), 1)*IFERROR(VLOOKUP($B98, Data!$A$2:$K$89, 3,),0)</f>
        <v>0</v>
      </c>
      <c r="F98" s="138">
        <f>IFERROR(VLOOKUP($B98, Data!$A$2:$K$89, 8,),0)</f>
        <v>0</v>
      </c>
      <c r="G98" s="136">
        <f>IFERROR(VLOOKUP($B98,Price!$A$2:$B$120, 2,), 1)*IFERROR(VLOOKUP($B98, Data!$A$2:$K$89, 4,),0)</f>
        <v>0</v>
      </c>
      <c r="H98" s="138">
        <f>IFERROR(VLOOKUP($B98, Data!$A$2:$K$89, 9,),0)</f>
        <v>0</v>
      </c>
      <c r="I98" s="136">
        <f>IFERROR(VLOOKUP($B98,Price!$A$2:$B$120, 2,), 1)*IFERROR(VLOOKUP($B98, Data!$A$2:$K$89, 5,),0)</f>
        <v>0</v>
      </c>
      <c r="J98" s="138">
        <f>IFERROR(VLOOKUP($B98, Data!$A$2:$K$89, 10,),0)</f>
        <v>0</v>
      </c>
      <c r="K98" s="136">
        <f>IFERROR(VLOOKUP($B98,Price!$A$2:$B$120, 2,), 1)*IFERROR(VLOOKUP($B98, Data!$A$2:$K$89, 6,),0)</f>
        <v>0</v>
      </c>
      <c r="L98" s="138">
        <f>IFERROR(VLOOKUP($B98, Data!$A$2:$K$89, 11,),0)</f>
        <v>0</v>
      </c>
      <c r="M98" s="136">
        <f t="shared" si="1"/>
        <v>0</v>
      </c>
      <c r="N98" s="138">
        <f t="shared" si="2"/>
        <v>0</v>
      </c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5"/>
      <c r="AA98" s="135"/>
      <c r="AB98" s="134"/>
    </row>
    <row r="99" ht="14.25" hidden="1" customHeight="1" outlineLevel="1">
      <c r="A99" s="134"/>
      <c r="B99" s="135" t="str">
        <f>Data!A98</f>
        <v/>
      </c>
      <c r="C99" s="136">
        <f>IFERROR(VLOOKUP($B99,Price!$A$2:$B$120, 2,), 1)*IFERROR(VLOOKUP($B99, Data!$A$2:$K$89, 2,),0)</f>
        <v>0</v>
      </c>
      <c r="D99" s="138">
        <f>IFERROR(VLOOKUP($B99, Data!$A$2:$K$89, 7,),0)</f>
        <v>0</v>
      </c>
      <c r="E99" s="136">
        <f>IFERROR(VLOOKUP($B99,Price!$A$2:$B$120, 2,), 1)*IFERROR(VLOOKUP($B99, Data!$A$2:$K$89, 3,),0)</f>
        <v>0</v>
      </c>
      <c r="F99" s="138">
        <f>IFERROR(VLOOKUP($B99, Data!$A$2:$K$89, 8,),0)</f>
        <v>0</v>
      </c>
      <c r="G99" s="136">
        <f>IFERROR(VLOOKUP($B99,Price!$A$2:$B$120, 2,), 1)*IFERROR(VLOOKUP($B99, Data!$A$2:$K$89, 4,),0)</f>
        <v>0</v>
      </c>
      <c r="H99" s="138">
        <f>IFERROR(VLOOKUP($B99, Data!$A$2:$K$89, 9,),0)</f>
        <v>0</v>
      </c>
      <c r="I99" s="136">
        <f>IFERROR(VLOOKUP($B99,Price!$A$2:$B$120, 2,), 1)*IFERROR(VLOOKUP($B99, Data!$A$2:$K$89, 5,),0)</f>
        <v>0</v>
      </c>
      <c r="J99" s="138">
        <f>IFERROR(VLOOKUP($B99, Data!$A$2:$K$89, 10,),0)</f>
        <v>0</v>
      </c>
      <c r="K99" s="136">
        <f>IFERROR(VLOOKUP($B99,Price!$A$2:$B$120, 2,), 1)*IFERROR(VLOOKUP($B99, Data!$A$2:$K$89, 6,),0)</f>
        <v>0</v>
      </c>
      <c r="L99" s="138">
        <f>IFERROR(VLOOKUP($B99, Data!$A$2:$K$89, 11,),0)</f>
        <v>0</v>
      </c>
      <c r="M99" s="136">
        <f t="shared" si="1"/>
        <v>0</v>
      </c>
      <c r="N99" s="138">
        <f t="shared" si="2"/>
        <v>0</v>
      </c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5"/>
      <c r="AA99" s="135"/>
      <c r="AB99" s="134"/>
    </row>
    <row r="100" ht="14.25" hidden="1" customHeight="1" outlineLevel="1">
      <c r="A100" s="134"/>
      <c r="B100" s="135" t="str">
        <f>Data!A99</f>
        <v/>
      </c>
      <c r="C100" s="136">
        <f>IFERROR(VLOOKUP($B100,Price!$A$2:$B$120, 2,), 1)*IFERROR(VLOOKUP($B100, Data!$A$2:$K$89, 2,),0)</f>
        <v>0</v>
      </c>
      <c r="D100" s="138">
        <f>IFERROR(VLOOKUP($B100, Data!$A$2:$K$89, 7,),0)</f>
        <v>0</v>
      </c>
      <c r="E100" s="136">
        <f>IFERROR(VLOOKUP($B100,Price!$A$2:$B$120, 2,), 1)*IFERROR(VLOOKUP($B100, Data!$A$2:$K$89, 3,),0)</f>
        <v>0</v>
      </c>
      <c r="F100" s="138">
        <f>IFERROR(VLOOKUP($B100, Data!$A$2:$K$89, 8,),0)</f>
        <v>0</v>
      </c>
      <c r="G100" s="136">
        <f>IFERROR(VLOOKUP($B100,Price!$A$2:$B$120, 2,), 1)*IFERROR(VLOOKUP($B100, Data!$A$2:$K$89, 4,),0)</f>
        <v>0</v>
      </c>
      <c r="H100" s="138">
        <f>IFERROR(VLOOKUP($B100, Data!$A$2:$K$89, 9,),0)</f>
        <v>0</v>
      </c>
      <c r="I100" s="136">
        <f>IFERROR(VLOOKUP($B100,Price!$A$2:$B$120, 2,), 1)*IFERROR(VLOOKUP($B100, Data!$A$2:$K$89, 5,),0)</f>
        <v>0</v>
      </c>
      <c r="J100" s="138">
        <f>IFERROR(VLOOKUP($B100, Data!$A$2:$K$89, 10,),0)</f>
        <v>0</v>
      </c>
      <c r="K100" s="136">
        <f>IFERROR(VLOOKUP($B100,Price!$A$2:$B$120, 2,), 1)*IFERROR(VLOOKUP($B100, Data!$A$2:$K$89, 6,),0)</f>
        <v>0</v>
      </c>
      <c r="L100" s="138">
        <f>IFERROR(VLOOKUP($B100, Data!$A$2:$K$89, 11,),0)</f>
        <v>0</v>
      </c>
      <c r="M100" s="136">
        <f t="shared" si="1"/>
        <v>0</v>
      </c>
      <c r="N100" s="138">
        <f t="shared" si="2"/>
        <v>0</v>
      </c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5"/>
      <c r="AA100" s="135"/>
      <c r="AB100" s="134"/>
    </row>
    <row r="101" ht="14.25" hidden="1" customHeight="1" outlineLevel="1">
      <c r="A101" s="134"/>
      <c r="B101" s="135" t="str">
        <f>Data!A100</f>
        <v/>
      </c>
      <c r="C101" s="136">
        <f>IFERROR(VLOOKUP($B101,Price!$A$2:$B$120, 2,), 1)*IFERROR(VLOOKUP($B101, Data!$A$2:$K$89, 2,),0)</f>
        <v>0</v>
      </c>
      <c r="D101" s="138">
        <f>IFERROR(VLOOKUP($B101, Data!$A$2:$K$89, 7,),0)</f>
        <v>0</v>
      </c>
      <c r="E101" s="136">
        <f>IFERROR(VLOOKUP($B101,Price!$A$2:$B$120, 2,), 1)*IFERROR(VLOOKUP($B101, Data!$A$2:$K$89, 3,),0)</f>
        <v>0</v>
      </c>
      <c r="F101" s="138">
        <f>IFERROR(VLOOKUP($B101, Data!$A$2:$K$89, 8,),0)</f>
        <v>0</v>
      </c>
      <c r="G101" s="136">
        <f>IFERROR(VLOOKUP($B101,Price!$A$2:$B$120, 2,), 1)*IFERROR(VLOOKUP($B101, Data!$A$2:$K$89, 4,),0)</f>
        <v>0</v>
      </c>
      <c r="H101" s="138">
        <f>IFERROR(VLOOKUP($B101, Data!$A$2:$K$89, 9,),0)</f>
        <v>0</v>
      </c>
      <c r="I101" s="136">
        <f>IFERROR(VLOOKUP($B101,Price!$A$2:$B$120, 2,), 1)*IFERROR(VLOOKUP($B101, Data!$A$2:$K$89, 5,),0)</f>
        <v>0</v>
      </c>
      <c r="J101" s="138">
        <f>IFERROR(VLOOKUP($B101, Data!$A$2:$K$89, 10,),0)</f>
        <v>0</v>
      </c>
      <c r="K101" s="136">
        <f>IFERROR(VLOOKUP($B101,Price!$A$2:$B$120, 2,), 1)*IFERROR(VLOOKUP($B101, Data!$A$2:$K$89, 6,),0)</f>
        <v>0</v>
      </c>
      <c r="L101" s="138">
        <f>IFERROR(VLOOKUP($B101, Data!$A$2:$K$89, 11,),0)</f>
        <v>0</v>
      </c>
      <c r="M101" s="136">
        <f t="shared" si="1"/>
        <v>0</v>
      </c>
      <c r="N101" s="138">
        <f t="shared" si="2"/>
        <v>0</v>
      </c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5"/>
      <c r="AA101" s="135"/>
      <c r="AB101" s="134"/>
    </row>
    <row r="102" ht="14.25" customHeight="1" collapsed="1">
      <c r="A102" s="134"/>
      <c r="B102" s="135"/>
      <c r="C102" s="136"/>
      <c r="D102" s="138"/>
      <c r="E102" s="136"/>
      <c r="F102" s="138"/>
      <c r="G102" s="136"/>
      <c r="H102" s="138"/>
      <c r="I102" s="136"/>
      <c r="J102" s="138"/>
      <c r="K102" s="136"/>
      <c r="L102" s="138"/>
      <c r="M102" s="136"/>
      <c r="N102" s="138"/>
      <c r="O102" s="139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5"/>
      <c r="AA102" s="135"/>
      <c r="AB102" s="134"/>
    </row>
    <row r="103" ht="14.25" customHeight="1">
      <c r="A103" s="134"/>
      <c r="B103" s="135" t="s">
        <v>316</v>
      </c>
      <c r="C103" s="136">
        <f>SUM(C3:C101)</f>
        <v>4201129006</v>
      </c>
      <c r="D103" s="136">
        <f>SUMPRODUCT(C3:C101, D3:D101)</f>
        <v>0</v>
      </c>
      <c r="E103" s="136">
        <f>SUM(E3:E101)</f>
        <v>4282307660</v>
      </c>
      <c r="F103" s="136">
        <f>SUMPRODUCT(E3:E101, F3:F101)</f>
        <v>100825802.5</v>
      </c>
      <c r="G103" s="136">
        <f>SUM(G3:G101)</f>
        <v>53142128.41</v>
      </c>
      <c r="H103" s="136">
        <f>SUMPRODUCT(G3:G101, H3:H101)</f>
        <v>0</v>
      </c>
      <c r="I103" s="136">
        <f>SUM(I3:I101)</f>
        <v>4723486778</v>
      </c>
      <c r="J103" s="136">
        <f>SUMPRODUCT(I3:I101, J3:J101)</f>
        <v>185937323.3</v>
      </c>
      <c r="K103" s="136">
        <f>SUM(K3:K101)</f>
        <v>6279416762</v>
      </c>
      <c r="L103" s="136">
        <f>SUMPRODUCT(K3:K101, L3:L101)</f>
        <v>185526377.7</v>
      </c>
      <c r="M103" s="136">
        <f>SUM(M3:M101)</f>
        <v>19539482334</v>
      </c>
      <c r="N103" s="136">
        <f>SUMPRODUCT(M3:M101, N3:N101)</f>
        <v>472289503.6</v>
      </c>
      <c r="O103" s="139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5"/>
      <c r="AA103" s="135"/>
      <c r="AB103" s="134"/>
    </row>
    <row r="104" ht="14.25" customHeight="1">
      <c r="A104" s="134"/>
      <c r="B104" s="134"/>
      <c r="C104" s="140"/>
      <c r="D104" s="134"/>
      <c r="E104" s="140"/>
      <c r="F104" s="134"/>
      <c r="G104" s="140"/>
      <c r="H104" s="134"/>
      <c r="I104" s="140"/>
      <c r="J104" s="134"/>
      <c r="K104" s="140"/>
      <c r="L104" s="134"/>
      <c r="M104" s="140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5"/>
      <c r="AA104" s="135"/>
      <c r="AB104" s="134"/>
    </row>
    <row r="105" ht="14.25" customHeight="1">
      <c r="A105" s="134"/>
      <c r="B105" s="134"/>
      <c r="C105" s="140"/>
      <c r="D105" s="134"/>
      <c r="E105" s="140"/>
      <c r="F105" s="134"/>
      <c r="G105" s="140"/>
      <c r="H105" s="134"/>
      <c r="I105" s="140"/>
      <c r="J105" s="134"/>
      <c r="K105" s="140"/>
      <c r="L105" s="134"/>
      <c r="M105" s="140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5"/>
      <c r="AA105" s="135"/>
      <c r="AB105" s="134"/>
    </row>
    <row r="106" ht="14.25" customHeight="1">
      <c r="A106" s="134"/>
      <c r="B106" s="134"/>
      <c r="C106" s="140"/>
      <c r="D106" s="134"/>
      <c r="E106" s="140"/>
      <c r="F106" s="134"/>
      <c r="G106" s="140"/>
      <c r="H106" s="134"/>
      <c r="I106" s="140"/>
      <c r="J106" s="134"/>
      <c r="K106" s="140"/>
      <c r="L106" s="134"/>
      <c r="M106" s="140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5"/>
      <c r="AA106" s="135"/>
      <c r="AB106" s="134"/>
    </row>
    <row r="107" ht="14.25" customHeight="1">
      <c r="A107" s="134"/>
      <c r="B107" s="141" t="s">
        <v>317</v>
      </c>
      <c r="C107" s="142" t="s">
        <v>318</v>
      </c>
      <c r="D107" s="142" t="s">
        <v>2</v>
      </c>
      <c r="E107" s="142" t="s">
        <v>319</v>
      </c>
      <c r="F107" s="142" t="s">
        <v>320</v>
      </c>
      <c r="G107" s="140"/>
      <c r="H107" s="134"/>
      <c r="I107" s="140"/>
      <c r="J107" s="134"/>
      <c r="K107" s="140"/>
      <c r="L107" s="134"/>
      <c r="M107" s="140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5"/>
      <c r="AA107" s="135"/>
      <c r="AB107" s="134"/>
    </row>
    <row r="108" ht="14.25" customHeight="1">
      <c r="A108" s="134"/>
      <c r="B108" s="143">
        <v>1.0</v>
      </c>
      <c r="C108" s="141">
        <f>C103</f>
        <v>4201129006</v>
      </c>
      <c r="D108" s="144">
        <f t="shared" ref="D108:D112" si="3">C108/$C$113</f>
        <v>0.2150071806</v>
      </c>
      <c r="E108" s="144">
        <f>SUM(D108)</f>
        <v>0.2150071806</v>
      </c>
      <c r="F108" s="144">
        <f>D103/C103</f>
        <v>0</v>
      </c>
      <c r="G108" s="140"/>
      <c r="H108" s="134"/>
      <c r="I108" s="140"/>
      <c r="J108" s="134"/>
      <c r="K108" s="140"/>
      <c r="L108" s="134"/>
      <c r="M108" s="140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5"/>
      <c r="AA108" s="135"/>
      <c r="AB108" s="134"/>
    </row>
    <row r="109" ht="14.25" customHeight="1">
      <c r="A109" s="134"/>
      <c r="B109" s="143">
        <v>2.0</v>
      </c>
      <c r="C109" s="141">
        <f>E103</f>
        <v>4282307660</v>
      </c>
      <c r="D109" s="144">
        <f t="shared" si="3"/>
        <v>0.2191617765</v>
      </c>
      <c r="E109" s="144">
        <f>SUM(D108:D109)</f>
        <v>0.434168957</v>
      </c>
      <c r="F109" s="144">
        <f>F103/E103</f>
        <v>0.02354473581</v>
      </c>
      <c r="G109" s="140"/>
      <c r="H109" s="134"/>
      <c r="I109" s="140"/>
      <c r="J109" s="134"/>
      <c r="K109" s="140"/>
      <c r="L109" s="134"/>
      <c r="M109" s="140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5"/>
      <c r="AA109" s="135"/>
      <c r="AB109" s="134"/>
    </row>
    <row r="110" ht="14.25" customHeight="1">
      <c r="A110" s="134"/>
      <c r="B110" s="143">
        <v>3.0</v>
      </c>
      <c r="C110" s="141">
        <f>G103</f>
        <v>53142128.41</v>
      </c>
      <c r="D110" s="144">
        <f t="shared" si="3"/>
        <v>0.002719730621</v>
      </c>
      <c r="E110" s="144">
        <f>SUM(D108:D110)</f>
        <v>0.4368886877</v>
      </c>
      <c r="F110" s="144">
        <f>H103/G103</f>
        <v>0</v>
      </c>
      <c r="G110" s="140"/>
      <c r="H110" s="134"/>
      <c r="I110" s="140"/>
      <c r="J110" s="134"/>
      <c r="K110" s="140"/>
      <c r="L110" s="134"/>
      <c r="M110" s="140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5"/>
      <c r="AA110" s="135"/>
      <c r="AB110" s="134"/>
    </row>
    <row r="111" ht="14.25" customHeight="1">
      <c r="A111" s="134"/>
      <c r="B111" s="143">
        <v>4.0</v>
      </c>
      <c r="C111" s="141">
        <f>I103</f>
        <v>4723486778</v>
      </c>
      <c r="D111" s="144">
        <f t="shared" si="3"/>
        <v>0.2417406304</v>
      </c>
      <c r="E111" s="144">
        <f>SUM(D108:D111)</f>
        <v>0.6786293181</v>
      </c>
      <c r="F111" s="144">
        <f>J103/I103</f>
        <v>0.03936442126</v>
      </c>
      <c r="G111" s="140"/>
      <c r="H111" s="134"/>
      <c r="I111" s="140"/>
      <c r="J111" s="134"/>
      <c r="K111" s="140"/>
      <c r="L111" s="134"/>
      <c r="M111" s="140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5"/>
      <c r="AA111" s="135"/>
      <c r="AB111" s="134"/>
    </row>
    <row r="112" ht="14.25" customHeight="1">
      <c r="A112" s="134"/>
      <c r="B112" s="143">
        <v>5.0</v>
      </c>
      <c r="C112" s="141">
        <f>K103</f>
        <v>6279416762</v>
      </c>
      <c r="D112" s="144">
        <f t="shared" si="3"/>
        <v>0.3213706819</v>
      </c>
      <c r="E112" s="144">
        <f>SUM(D108:D112)</f>
        <v>1</v>
      </c>
      <c r="F112" s="144">
        <f>L103/K103</f>
        <v>0.02954516077</v>
      </c>
      <c r="G112" s="140"/>
      <c r="H112" s="134"/>
      <c r="I112" s="140"/>
      <c r="J112" s="134"/>
      <c r="K112" s="140"/>
      <c r="L112" s="134"/>
      <c r="M112" s="140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5"/>
      <c r="AA112" s="135"/>
      <c r="AB112" s="134"/>
    </row>
    <row r="113" ht="14.25" customHeight="1">
      <c r="A113" s="134"/>
      <c r="B113" s="145" t="s">
        <v>321</v>
      </c>
      <c r="C113" s="146">
        <f>SUM(C108:C112)</f>
        <v>19539482334</v>
      </c>
      <c r="D113" s="147"/>
      <c r="E113" s="148"/>
      <c r="F113" s="149">
        <f>N103/M103</f>
        <v>0.0241710346</v>
      </c>
      <c r="G113" s="140"/>
      <c r="H113" s="134"/>
      <c r="I113" s="140"/>
      <c r="J113" s="134"/>
      <c r="K113" s="140"/>
      <c r="L113" s="134"/>
      <c r="M113" s="140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5"/>
      <c r="AA113" s="135"/>
      <c r="AB113" s="134"/>
    </row>
    <row r="114" ht="14.25" customHeight="1">
      <c r="A114" s="134"/>
      <c r="B114" s="134"/>
      <c r="C114" s="140"/>
      <c r="D114" s="134"/>
      <c r="E114" s="140"/>
      <c r="F114" s="134"/>
      <c r="G114" s="140"/>
      <c r="H114" s="134"/>
      <c r="I114" s="140"/>
      <c r="J114" s="134"/>
      <c r="K114" s="140"/>
      <c r="L114" s="134"/>
      <c r="M114" s="140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5"/>
      <c r="AA114" s="135"/>
      <c r="AB114" s="134"/>
    </row>
    <row r="115" ht="14.25" customHeight="1">
      <c r="A115" s="134"/>
      <c r="B115" s="134"/>
      <c r="C115" s="140"/>
      <c r="D115" s="134"/>
      <c r="E115" s="140"/>
      <c r="F115" s="134"/>
      <c r="G115" s="140"/>
      <c r="H115" s="134"/>
      <c r="I115" s="140"/>
      <c r="J115" s="134"/>
      <c r="K115" s="140"/>
      <c r="L115" s="134"/>
      <c r="M115" s="140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5"/>
      <c r="AA115" s="135"/>
      <c r="AB115" s="134"/>
    </row>
    <row r="116" ht="14.25" customHeight="1">
      <c r="A116" s="134"/>
      <c r="B116" s="134"/>
      <c r="C116" s="140"/>
      <c r="D116" s="134"/>
      <c r="E116" s="140"/>
      <c r="F116" s="134"/>
      <c r="G116" s="140"/>
      <c r="H116" s="134"/>
      <c r="I116" s="140"/>
      <c r="J116" s="134"/>
      <c r="K116" s="140"/>
      <c r="L116" s="134"/>
      <c r="M116" s="140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5"/>
      <c r="AA116" s="135"/>
      <c r="AB116" s="134"/>
    </row>
    <row r="117" ht="14.25" customHeight="1">
      <c r="A117" s="134"/>
      <c r="B117" s="134"/>
      <c r="C117" s="140"/>
      <c r="D117" s="134"/>
      <c r="E117" s="140"/>
      <c r="F117" s="134"/>
      <c r="G117" s="140"/>
      <c r="H117" s="134"/>
      <c r="I117" s="140"/>
      <c r="J117" s="134"/>
      <c r="K117" s="140"/>
      <c r="L117" s="134"/>
      <c r="M117" s="140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5"/>
      <c r="AA117" s="135"/>
      <c r="AB117" s="134"/>
    </row>
    <row r="118" ht="14.25" customHeight="1">
      <c r="A118" s="134"/>
      <c r="B118" s="150" t="s">
        <v>322</v>
      </c>
      <c r="C118" s="140"/>
      <c r="D118" s="134"/>
      <c r="E118" s="140"/>
      <c r="F118" s="134"/>
      <c r="G118" s="140"/>
      <c r="H118" s="134"/>
      <c r="I118" s="140"/>
      <c r="J118" s="134"/>
      <c r="K118" s="140"/>
      <c r="L118" s="134"/>
      <c r="M118" s="140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5"/>
      <c r="AA118" s="135"/>
      <c r="AB118" s="134"/>
    </row>
    <row r="119" ht="14.25" customHeight="1">
      <c r="A119" s="134"/>
      <c r="B119" s="134"/>
      <c r="C119" s="140"/>
      <c r="D119" s="134"/>
      <c r="E119" s="140"/>
      <c r="F119" s="134"/>
      <c r="G119" s="140"/>
      <c r="H119" s="134"/>
      <c r="I119" s="140"/>
      <c r="J119" s="134"/>
      <c r="K119" s="140"/>
      <c r="L119" s="134"/>
      <c r="M119" s="140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5"/>
      <c r="AA119" s="135"/>
      <c r="AB119" s="134"/>
    </row>
    <row r="120" ht="14.25" customHeight="1">
      <c r="A120" s="134"/>
      <c r="B120" s="134"/>
      <c r="C120" s="151" t="s">
        <v>124</v>
      </c>
      <c r="D120" s="152"/>
      <c r="E120" s="152"/>
      <c r="F120" s="152"/>
      <c r="G120" s="152"/>
      <c r="H120" s="153"/>
      <c r="I120" s="151" t="s">
        <v>323</v>
      </c>
      <c r="J120" s="152"/>
      <c r="K120" s="152"/>
      <c r="L120" s="152"/>
      <c r="M120" s="152"/>
      <c r="N120" s="153"/>
      <c r="O120" s="151" t="s">
        <v>125</v>
      </c>
      <c r="P120" s="152"/>
      <c r="Q120" s="152"/>
      <c r="R120" s="152"/>
      <c r="S120" s="152"/>
      <c r="T120" s="153"/>
      <c r="U120" s="134"/>
      <c r="V120" s="134"/>
      <c r="W120" s="134"/>
      <c r="X120" s="134"/>
      <c r="Y120" s="134"/>
      <c r="Z120" s="135"/>
      <c r="AA120" s="135"/>
      <c r="AB120" s="134"/>
    </row>
    <row r="121" ht="14.25" customHeight="1">
      <c r="A121" s="134"/>
      <c r="B121" s="134"/>
      <c r="C121" s="135" t="s">
        <v>139</v>
      </c>
      <c r="D121" s="135" t="s">
        <v>143</v>
      </c>
      <c r="E121" s="135" t="s">
        <v>176</v>
      </c>
      <c r="F121" s="135" t="s">
        <v>138</v>
      </c>
      <c r="G121" s="135" t="s">
        <v>136</v>
      </c>
      <c r="H121" s="135" t="s">
        <v>324</v>
      </c>
      <c r="I121" s="135" t="s">
        <v>139</v>
      </c>
      <c r="J121" s="135" t="s">
        <v>143</v>
      </c>
      <c r="K121" s="135" t="s">
        <v>176</v>
      </c>
      <c r="L121" s="135" t="s">
        <v>138</v>
      </c>
      <c r="M121" s="135" t="s">
        <v>136</v>
      </c>
      <c r="N121" s="135" t="s">
        <v>324</v>
      </c>
      <c r="O121" s="135" t="s">
        <v>139</v>
      </c>
      <c r="P121" s="135" t="s">
        <v>143</v>
      </c>
      <c r="Q121" s="135" t="s">
        <v>176</v>
      </c>
      <c r="R121" s="135" t="s">
        <v>138</v>
      </c>
      <c r="S121" s="135" t="s">
        <v>136</v>
      </c>
      <c r="T121" s="135" t="s">
        <v>324</v>
      </c>
      <c r="U121" s="135"/>
      <c r="V121" s="134"/>
      <c r="W121" s="135" t="s">
        <v>323</v>
      </c>
      <c r="X121" s="135" t="s">
        <v>125</v>
      </c>
      <c r="Y121" s="135" t="s">
        <v>124</v>
      </c>
      <c r="Z121" s="135" t="s">
        <v>325</v>
      </c>
      <c r="AA121" s="135" t="s">
        <v>326</v>
      </c>
      <c r="AB121" s="134"/>
    </row>
    <row r="122" ht="14.25" customHeight="1">
      <c r="A122" s="134"/>
      <c r="B122" s="135" t="s">
        <v>53</v>
      </c>
      <c r="C122" s="154" t="str">
        <f t="array" ref="C122">MMULT(  TRANSPOSE(($B122=Coin)*(C$121=Tier)),   ($B122=Coin)*(C$121=Tier)*USD*APY / SUM(($B122=Coin)*(C$121=Tier)*(USD))  )</f>
        <v>#VALUE!</v>
      </c>
      <c r="D122" s="155" t="str">
        <f t="array" ref="D122">MMULT(  TRANSPOSE(($B122=Coin)*(D$121=Tier)),   ($B122=Coin)*(D$121=Tier)*USD*APY / SUM(($B122=Coin)*(D$121=Tier)*(USD))  )</f>
        <v>#VALUE!</v>
      </c>
      <c r="E122" s="155" t="str">
        <f t="array" ref="E122">MMULT(  TRANSPOSE(($B122=Coin)*(E$121=Tier)),   ($B122=Coin)*(E$121=Tier)*USD*APY / SUM(($B122=Coin)*(E$121=Tier)*(USD))  )</f>
        <v>#DIV/0!</v>
      </c>
      <c r="F122" s="155" t="str">
        <f t="array" ref="F122">MMULT(  TRANSPOSE(($B122=Coin)*(F$121=Tier)),   ($B122=Coin)*(F$121=Tier)*USD*APY / SUM(($B122=Coin)*(F$121=Tier)*(USD))  )</f>
        <v>#VALUE!</v>
      </c>
      <c r="G122" s="155" t="str">
        <f t="array" ref="G122">MMULT(  TRANSPOSE(($B122=Coin)*(G$121=Tier)),   ($B122=Coin)*(G$121=Tier)*USD*APY / SUM(($B122=Coin)*(G$121=Tier)*(USD))  )</f>
        <v>#VALUE!</v>
      </c>
      <c r="H122" s="156" t="str">
        <f t="array" ref="H122">MMULT(  TRANSPOSE(1*($B122=Coin)),   ($B122=Coin)*USD*APY / SUM(($B122=Coin)*(USD))  )</f>
        <v>#VALUE!</v>
      </c>
      <c r="I122" s="157">
        <f t="array" ref="I122">MMULT(  TRANSPOSE(($B122=Coin)*(I$121=Tier)),   ($B122=Coin)*(I$121=Tier)*USD  )</f>
        <v>1016625633</v>
      </c>
      <c r="J122" s="158">
        <f t="array" ref="J122">MMULT(  TRANSPOSE(($B122=Coin)*(J$121=Tier)),   ($B122=Coin)*(J$121=Tier)*USD  )</f>
        <v>669210049.6</v>
      </c>
      <c r="K122" s="158">
        <f t="array" ref="K122">MMULT(  TRANSPOSE(($B122=Coin)*(K$121=Tier)),   ($B122=Coin)*(K$121=Tier)*USD  )</f>
        <v>0</v>
      </c>
      <c r="L122" s="158">
        <f t="array" ref="L122">MMULT(  TRANSPOSE(($B122=Coin)*(L$121=Tier)),   ($B122=Coin)*(L$121=Tier)*USD  )</f>
        <v>1449936144</v>
      </c>
      <c r="M122" s="158">
        <f t="array" ref="M122">MMULT(  TRANSPOSE(($B122=Coin)*(M$121=Tier)),   ($B122=Coin)*(M$121=Tier)*USD  )</f>
        <v>2398438999</v>
      </c>
      <c r="N122" s="159">
        <f t="array" ref="N122">MMULT(  TRANSPOSE(1*($B122=Coin)),   ($B122=Coin)*USD  )</f>
        <v>5534210826</v>
      </c>
      <c r="O122" s="154" t="str">
        <f t="array" ref="O122">MMULT(  TRANSPOSE(($B122=Coin)*(O$121=Tier)),   ($B122=Coin)*(O$121=Tier)*USD*COFA / SUM(($B122=Coin)*(O$121=Tier)*(USD))  )</f>
        <v>#VALUE!</v>
      </c>
      <c r="P122" s="155" t="str">
        <f t="array" ref="P122">MMULT(  TRANSPOSE(($B122=Coin)*(P$121=Tier)),   ($B122=Coin)*(P$121=Tier)*USD*COFA / SUM(($B122=Coin)*(P$121=Tier)*(USD))  )</f>
        <v>#VALUE!</v>
      </c>
      <c r="Q122" s="155" t="str">
        <f t="array" ref="Q122">MMULT(  TRANSPOSE(($B122=Coin)*(Q$121=Tier)),   ($B122=Coin)*(Q$121=Tier)*USD*COFA / SUM(($B122=Coin)*(Q$121=Tier)*(USD))  )</f>
        <v>#DIV/0!</v>
      </c>
      <c r="R122" s="155" t="str">
        <f t="array" ref="R122">MMULT(  TRANSPOSE(($B122=Coin)*(R$121=Tier)),   ($B122=Coin)*(R$121=Tier)*USD*COFA / SUM(($B122=Coin)*(R$121=Tier)*(USD))  )</f>
        <v>#VALUE!</v>
      </c>
      <c r="S122" s="155" t="str">
        <f t="array" ref="S122">MMULT(  TRANSPOSE(($B122=Coin)*(S$121=Tier)),   ($B122=Coin)*(S$121=Tier)*USD*COFA / SUM(($B122=Coin)*(S$121=Tier)*(USD))  )</f>
        <v>#VALUE!</v>
      </c>
      <c r="T122" s="156" t="str">
        <f t="array" ref="T122">MMULT(  TRANSPOSE(1*($B122=Coin)),   ($B122=Coin)*USD*COFA / SUM(($B122=Coin)*(USD))  )</f>
        <v>#VALUE!</v>
      </c>
      <c r="U122" s="134"/>
      <c r="V122" s="135" t="s">
        <v>9</v>
      </c>
      <c r="W122" s="136">
        <f t="array" ref="W122">MMULT(  TRANSPOSE(1*($V122=Cat)),   ($V122=Cat)*USD  )</f>
        <v>2461589015</v>
      </c>
      <c r="X122" s="138" t="str">
        <f t="array" ref="X122">MMULT(  TRANSPOSE(1*($V122=Cat)),   ($V122=Cat)*USD*COFA / SUM(($V122=Cat)*(USD))  )</f>
        <v>#VALUE!</v>
      </c>
      <c r="Y122" s="138" t="str">
        <f t="array" ref="Y122">MMULT(  TRANSPOSE(1*($V122=Cat)),   ($V122=Cat)*USD*APY / SUM(($V122=Cat)*(USD))  )</f>
        <v>#VALUE!</v>
      </c>
      <c r="Z122" s="138" t="str">
        <f t="shared" ref="Z122:Z124" si="4">Y122-X122</f>
        <v>#VALUE!</v>
      </c>
      <c r="AA122" s="138">
        <f t="shared" ref="AA122:AA124" si="5">W122/$W$136</f>
        <v>0.1530682695</v>
      </c>
      <c r="AB122" s="134"/>
    </row>
    <row r="123" ht="14.25" customHeight="1">
      <c r="A123" s="134"/>
      <c r="B123" s="135" t="s">
        <v>54</v>
      </c>
      <c r="C123" s="160" t="str">
        <f t="array" ref="C123">MMULT(  TRANSPOSE(($B123=Coin)*(C$121=Tier)),   ($B123=Coin)*(C$121=Tier)*USD*APY / SUM(($B123=Coin)*(C$121=Tier)*(USD))  )</f>
        <v>#VALUE!</v>
      </c>
      <c r="D123" s="138" t="str">
        <f t="array" ref="D123">MMULT(  TRANSPOSE(($B123=Coin)*(D$121=Tier)),   ($B123=Coin)*(D$121=Tier)*USD*APY / SUM(($B123=Coin)*(D$121=Tier)*(USD))  )</f>
        <v>#VALUE!</v>
      </c>
      <c r="E123" s="138" t="str">
        <f t="array" ref="E123">MMULT(  TRANSPOSE(($B123=Coin)*(E$121=Tier)),   ($B123=Coin)*(E$121=Tier)*USD*APY / SUM(($B123=Coin)*(E$121=Tier)*(USD))  )</f>
        <v>#VALUE!</v>
      </c>
      <c r="F123" s="138" t="str">
        <f t="array" ref="F123">MMULT(  TRANSPOSE(($B123=Coin)*(F$121=Tier)),   ($B123=Coin)*(F$121=Tier)*USD*APY / SUM(($B123=Coin)*(F$121=Tier)*(USD))  )</f>
        <v>#VALUE!</v>
      </c>
      <c r="G123" s="138" t="str">
        <f t="array" ref="G123">MMULT(  TRANSPOSE(($B123=Coin)*(G$121=Tier)),   ($B123=Coin)*(G$121=Tier)*USD*APY / SUM(($B123=Coin)*(G$121=Tier)*(USD))  )</f>
        <v>#VALUE!</v>
      </c>
      <c r="H123" s="161" t="str">
        <f t="array" ref="H123">MMULT(  TRANSPOSE(1*($B123=Coin)),   ($B123=Coin)*USD*APY / SUM(($B123=Coin)*(USD))  )</f>
        <v>#VALUE!</v>
      </c>
      <c r="I123" s="162">
        <f t="array" ref="I123">MMULT(  TRANSPOSE(($B123=Coin)*(I$121=Tier)),   ($B123=Coin)*(I$121=Tier)*USD  )</f>
        <v>425508204.7</v>
      </c>
      <c r="J123" s="136">
        <f t="array" ref="J123">MMULT(  TRANSPOSE(($B123=Coin)*(J$121=Tier)),   ($B123=Coin)*(J$121=Tier)*USD  )</f>
        <v>2884272579</v>
      </c>
      <c r="K123" s="136">
        <f t="array" ref="K123">MMULT(  TRANSPOSE(($B123=Coin)*(K$121=Tier)),   ($B123=Coin)*(K$121=Tier)*USD  )</f>
        <v>18049.93439</v>
      </c>
      <c r="L123" s="136">
        <f t="array" ref="L123">MMULT(  TRANSPOSE(($B123=Coin)*(L$121=Tier)),   ($B123=Coin)*(L$121=Tier)*USD  )</f>
        <v>1229530339</v>
      </c>
      <c r="M123" s="136">
        <f t="array" ref="M123">MMULT(  TRANSPOSE(($B123=Coin)*(M$121=Tier)),   ($B123=Coin)*(M$121=Tier)*USD  )</f>
        <v>1632489086</v>
      </c>
      <c r="N123" s="163">
        <f t="array" ref="N123">MMULT(  TRANSPOSE(1*($B123=Coin)),   ($B123=Coin)*USD  )</f>
        <v>6219608035</v>
      </c>
      <c r="O123" s="160" t="str">
        <f t="array" ref="O123">MMULT(  TRANSPOSE(($B123=Coin)*(O$121=Tier)),   ($B123=Coin)*(O$121=Tier)*USD*COFA / SUM(($B123=Coin)*(O$121=Tier)*(USD))  )</f>
        <v>#VALUE!</v>
      </c>
      <c r="P123" s="138" t="str">
        <f t="array" ref="P123">MMULT(  TRANSPOSE(($B123=Coin)*(P$121=Tier)),   ($B123=Coin)*(P$121=Tier)*USD*COFA / SUM(($B123=Coin)*(P$121=Tier)*(USD))  )</f>
        <v>#VALUE!</v>
      </c>
      <c r="Q123" s="138" t="str">
        <f t="array" ref="Q123">MMULT(  TRANSPOSE(($B123=Coin)*(Q$121=Tier)),   ($B123=Coin)*(Q$121=Tier)*USD*COFA / SUM(($B123=Coin)*(Q$121=Tier)*(USD))  )</f>
        <v>#VALUE!</v>
      </c>
      <c r="R123" s="138" t="str">
        <f t="array" ref="R123">MMULT(  TRANSPOSE(($B123=Coin)*(R$121=Tier)),   ($B123=Coin)*(R$121=Tier)*USD*COFA / SUM(($B123=Coin)*(R$121=Tier)*(USD))  )</f>
        <v>#VALUE!</v>
      </c>
      <c r="S123" s="138" t="str">
        <f t="array" ref="S123">MMULT(  TRANSPOSE(($B123=Coin)*(S$121=Tier)),   ($B123=Coin)*(S$121=Tier)*USD*COFA / SUM(($B123=Coin)*(S$121=Tier)*(USD))  )</f>
        <v>#VALUE!</v>
      </c>
      <c r="T123" s="161" t="str">
        <f t="array" ref="T123">MMULT(  TRANSPOSE(1*($B123=Coin)),   ($B123=Coin)*USD*COFA / SUM(($B123=Coin)*(USD))  )</f>
        <v>#VALUE!</v>
      </c>
      <c r="U123" s="134"/>
      <c r="V123" s="135" t="s">
        <v>11</v>
      </c>
      <c r="W123" s="136">
        <f t="array" ref="W123">MMULT(  TRANSPOSE(1*($V123=Cat)),   ($V123=Cat)*USD  )</f>
        <v>2267746693</v>
      </c>
      <c r="X123" s="138" t="str">
        <f t="array" ref="X123">MMULT(  TRANSPOSE(1*($V123=Cat)),   ($V123=Cat)*USD*COFA / SUM(($V123=Cat)*(USD))  )</f>
        <v>#VALUE!</v>
      </c>
      <c r="Y123" s="138" t="str">
        <f t="array" ref="Y123">MMULT(  TRANSPOSE(1*($V123=Cat)),   ($V123=Cat)*USD*APY / SUM(($V123=Cat)*(USD))  )</f>
        <v>#VALUE!</v>
      </c>
      <c r="Z123" s="138" t="str">
        <f t="shared" si="4"/>
        <v>#VALUE!</v>
      </c>
      <c r="AA123" s="138">
        <f t="shared" si="5"/>
        <v>0.1410146291</v>
      </c>
      <c r="AB123" s="134"/>
    </row>
    <row r="124" ht="14.25" customHeight="1">
      <c r="A124" s="134"/>
      <c r="B124" s="135" t="s">
        <v>56</v>
      </c>
      <c r="C124" s="160" t="str">
        <f t="array" ref="C124">MMULT(  TRANSPOSE(($B124=Coin)*(C$121=Tier)),   ($B124=Coin)*(C$121=Tier)*USD*APY / SUM(($B124=Coin)*(C$121=Tier)*(USD))  )</f>
        <v>#VALUE!</v>
      </c>
      <c r="D124" s="138" t="str">
        <f t="array" ref="D124">MMULT(  TRANSPOSE(($B124=Coin)*(D$121=Tier)),   ($B124=Coin)*(D$121=Tier)*USD*APY / SUM(($B124=Coin)*(D$121=Tier)*(USD))  )</f>
        <v>#VALUE!</v>
      </c>
      <c r="E124" s="138" t="str">
        <f t="array" ref="E124">MMULT(  TRANSPOSE(($B124=Coin)*(E$121=Tier)),   ($B124=Coin)*(E$121=Tier)*USD*APY / SUM(($B124=Coin)*(E$121=Tier)*(USD))  )</f>
        <v>#DIV/0!</v>
      </c>
      <c r="F124" s="138" t="str">
        <f t="array" ref="F124">MMULT(  TRANSPOSE(($B124=Coin)*(F$121=Tier)),   ($B124=Coin)*(F$121=Tier)*USD*APY / SUM(($B124=Coin)*(F$121=Tier)*(USD))  )</f>
        <v>#VALUE!</v>
      </c>
      <c r="G124" s="138" t="str">
        <f t="array" ref="G124">MMULT(  TRANSPOSE(($B124=Coin)*(G$121=Tier)),   ($B124=Coin)*(G$121=Tier)*USD*APY / SUM(($B124=Coin)*(G$121=Tier)*(USD))  )</f>
        <v>#VALUE!</v>
      </c>
      <c r="H124" s="161" t="str">
        <f t="array" ref="H124">MMULT(  TRANSPOSE(1*($B124=Coin)),   ($B124=Coin)*USD*APY / SUM(($B124=Coin)*(USD))  )</f>
        <v>#VALUE!</v>
      </c>
      <c r="I124" s="162">
        <f t="array" ref="I124">MMULT(  TRANSPOSE(($B124=Coin)*(I$121=Tier)),   ($B124=Coin)*(I$121=Tier)*USD  )</f>
        <v>2365445394</v>
      </c>
      <c r="J124" s="136">
        <f t="array" ref="J124">MMULT(  TRANSPOSE(($B124=Coin)*(J$121=Tier)),   ($B124=Coin)*(J$121=Tier)*USD  )</f>
        <v>22635466.54</v>
      </c>
      <c r="K124" s="136">
        <f t="array" ref="K124">MMULT(  TRANSPOSE(($B124=Coin)*(K$121=Tier)),   ($B124=Coin)*(K$121=Tier)*USD  )</f>
        <v>0</v>
      </c>
      <c r="L124" s="136">
        <f t="array" ref="L124">MMULT(  TRANSPOSE(($B124=Coin)*(L$121=Tier)),   ($B124=Coin)*(L$121=Tier)*USD  )</f>
        <v>185519443.7</v>
      </c>
      <c r="M124" s="136">
        <f t="array" ref="M124">MMULT(  TRANSPOSE(($B124=Coin)*(M$121=Tier)),   ($B124=Coin)*(M$121=Tier)*USD  )</f>
        <v>772134.9576</v>
      </c>
      <c r="N124" s="163">
        <f t="array" ref="N124">MMULT(  TRANSPOSE(1*($B124=Coin)),   ($B124=Coin)*USD  )</f>
        <v>2574372439</v>
      </c>
      <c r="O124" s="160" t="str">
        <f t="array" ref="O124">MMULT(  TRANSPOSE(($B124=Coin)*(O$121=Tier)),   ($B124=Coin)*(O$121=Tier)*USD*COFA / SUM(($B124=Coin)*(O$121=Tier)*(USD))  )</f>
        <v>#VALUE!</v>
      </c>
      <c r="P124" s="138" t="str">
        <f t="array" ref="P124">MMULT(  TRANSPOSE(($B124=Coin)*(P$121=Tier)),   ($B124=Coin)*(P$121=Tier)*USD*COFA / SUM(($B124=Coin)*(P$121=Tier)*(USD))  )</f>
        <v>#VALUE!</v>
      </c>
      <c r="Q124" s="138" t="str">
        <f t="array" ref="Q124">MMULT(  TRANSPOSE(($B124=Coin)*(Q$121=Tier)),   ($B124=Coin)*(Q$121=Tier)*USD*COFA / SUM(($B124=Coin)*(Q$121=Tier)*(USD))  )</f>
        <v>#DIV/0!</v>
      </c>
      <c r="R124" s="138" t="str">
        <f t="array" ref="R124">MMULT(  TRANSPOSE(($B124=Coin)*(R$121=Tier)),   ($B124=Coin)*(R$121=Tier)*USD*COFA / SUM(($B124=Coin)*(R$121=Tier)*(USD))  )</f>
        <v>#VALUE!</v>
      </c>
      <c r="S124" s="138" t="str">
        <f t="array" ref="S124">MMULT(  TRANSPOSE(($B124=Coin)*(S$121=Tier)),   ($B124=Coin)*(S$121=Tier)*USD*COFA / SUM(($B124=Coin)*(S$121=Tier)*(USD))  )</f>
        <v>#VALUE!</v>
      </c>
      <c r="T124" s="161" t="str">
        <f t="array" ref="T124">MMULT(  TRANSPOSE(1*($B124=Coin)),   ($B124=Coin)*USD*COFA / SUM(($B124=Coin)*(USD))  )</f>
        <v>#VALUE!</v>
      </c>
      <c r="U124" s="134"/>
      <c r="V124" s="135" t="s">
        <v>19</v>
      </c>
      <c r="W124" s="136">
        <f t="array" ref="W124">MMULT(  TRANSPOSE(1*($V124=Cat)),   ($V124=Cat)*USD  )</f>
        <v>0</v>
      </c>
      <c r="X124" s="138" t="str">
        <f t="array" ref="X124">MMULT(  TRANSPOSE(1*($V124=Cat)),   ($V124=Cat)*USD*COFA / SUM(($V124=Cat)*(USD))  )</f>
        <v>#DIV/0!</v>
      </c>
      <c r="Y124" s="138" t="str">
        <f t="array" ref="Y124">MMULT(  TRANSPOSE(1*($V124=Cat)),   ($V124=Cat)*USD*APY / SUM(($V124=Cat)*(USD))  )</f>
        <v>#DIV/0!</v>
      </c>
      <c r="Z124" s="138" t="str">
        <f t="shared" si="4"/>
        <v>#DIV/0!</v>
      </c>
      <c r="AA124" s="138">
        <f t="shared" si="5"/>
        <v>0</v>
      </c>
      <c r="AB124" s="134"/>
    </row>
    <row r="125" ht="14.25" customHeight="1">
      <c r="A125" s="134"/>
      <c r="B125" s="135" t="s">
        <v>57</v>
      </c>
      <c r="C125" s="160" t="str">
        <f t="array" ref="C125">MMULT(  TRANSPOSE(($B125=Coin)*(C$121=Tier)),   ($B125=Coin)*(C$121=Tier)*USD*APY / SUM(($B125=Coin)*(C$121=Tier)*(USD))  )</f>
        <v>#VALUE!</v>
      </c>
      <c r="D125" s="138" t="str">
        <f t="array" ref="D125">MMULT(  TRANSPOSE(($B125=Coin)*(D$121=Tier)),   ($B125=Coin)*(D$121=Tier)*USD*APY / SUM(($B125=Coin)*(D$121=Tier)*(USD))  )</f>
        <v>#DIV/0!</v>
      </c>
      <c r="E125" s="138" t="str">
        <f t="array" ref="E125">MMULT(  TRANSPOSE(($B125=Coin)*(E$121=Tier)),   ($B125=Coin)*(E$121=Tier)*USD*APY / SUM(($B125=Coin)*(E$121=Tier)*(USD))  )</f>
        <v>#VALUE!</v>
      </c>
      <c r="F125" s="138" t="str">
        <f t="array" ref="F125">MMULT(  TRANSPOSE(($B125=Coin)*(F$121=Tier)),   ($B125=Coin)*(F$121=Tier)*USD*APY / SUM(($B125=Coin)*(F$121=Tier)*(USD))  )</f>
        <v>#VALUE!</v>
      </c>
      <c r="G125" s="138" t="str">
        <f t="array" ref="G125">MMULT(  TRANSPOSE(($B125=Coin)*(G$121=Tier)),   ($B125=Coin)*(G$121=Tier)*USD*APY / SUM(($B125=Coin)*(G$121=Tier)*(USD))  )</f>
        <v>#VALUE!</v>
      </c>
      <c r="H125" s="161" t="str">
        <f t="array" ref="H125">MMULT(  TRANSPOSE(1*($B125=Coin)),   ($B125=Coin)*USD*APY / SUM(($B125=Coin)*(USD))  )</f>
        <v>#VALUE!</v>
      </c>
      <c r="I125" s="162">
        <f t="array" ref="I125">MMULT(  TRANSPOSE(($B125=Coin)*(I$121=Tier)),   ($B125=Coin)*(I$121=Tier)*USD  )</f>
        <v>66173610.31</v>
      </c>
      <c r="J125" s="136">
        <f t="array" ref="J125">MMULT(  TRANSPOSE(($B125=Coin)*(J$121=Tier)),   ($B125=Coin)*(J$121=Tier)*USD  )</f>
        <v>0</v>
      </c>
      <c r="K125" s="136">
        <f t="array" ref="K125">MMULT(  TRANSPOSE(($B125=Coin)*(K$121=Tier)),   ($B125=Coin)*(K$121=Tier)*USD  )</f>
        <v>53124072.87</v>
      </c>
      <c r="L125" s="136">
        <f t="array" ref="L125">MMULT(  TRANSPOSE(($B125=Coin)*(L$121=Tier)),   ($B125=Coin)*(L$121=Tier)*USD  )</f>
        <v>31611305.55</v>
      </c>
      <c r="M125" s="136">
        <f t="array" ref="M125">MMULT(  TRANSPOSE(($B125=Coin)*(M$121=Tier)),   ($B125=Coin)*(M$121=Tier)*USD  )</f>
        <v>687855553.7</v>
      </c>
      <c r="N125" s="163">
        <f t="array" ref="N125">MMULT(  TRANSPOSE(1*($B125=Coin)),   ($B125=Coin)*USD  )</f>
        <v>1142407619</v>
      </c>
      <c r="O125" s="160" t="str">
        <f t="array" ref="O125">MMULT(  TRANSPOSE(($B125=Coin)*(O$121=Tier)),   ($B125=Coin)*(O$121=Tier)*USD*COFA / SUM(($B125=Coin)*(O$121=Tier)*(USD))  )</f>
        <v>#VALUE!</v>
      </c>
      <c r="P125" s="138" t="str">
        <f t="array" ref="P125">MMULT(  TRANSPOSE(($B125=Coin)*(P$121=Tier)),   ($B125=Coin)*(P$121=Tier)*USD*COFA / SUM(($B125=Coin)*(P$121=Tier)*(USD))  )</f>
        <v>#DIV/0!</v>
      </c>
      <c r="Q125" s="138" t="str">
        <f t="array" ref="Q125">MMULT(  TRANSPOSE(($B125=Coin)*(Q$121=Tier)),   ($B125=Coin)*(Q$121=Tier)*USD*COFA / SUM(($B125=Coin)*(Q$121=Tier)*(USD))  )</f>
        <v>#VALUE!</v>
      </c>
      <c r="R125" s="138" t="str">
        <f t="array" ref="R125">MMULT(  TRANSPOSE(($B125=Coin)*(R$121=Tier)),   ($B125=Coin)*(R$121=Tier)*USD*COFA / SUM(($B125=Coin)*(R$121=Tier)*(USD))  )</f>
        <v>#VALUE!</v>
      </c>
      <c r="S125" s="138" t="str">
        <f t="array" ref="S125">MMULT(  TRANSPOSE(($B125=Coin)*(S$121=Tier)),   ($B125=Coin)*(S$121=Tier)*USD*COFA / SUM(($B125=Coin)*(S$121=Tier)*(USD))  )</f>
        <v>#VALUE!</v>
      </c>
      <c r="T125" s="161" t="str">
        <f t="array" ref="T125">MMULT(  TRANSPOSE(1*($B125=Coin)),   ($B125=Coin)*USD*COFA / SUM(($B125=Coin)*(USD))  )</f>
        <v>#VALUE!</v>
      </c>
      <c r="U125" s="134"/>
      <c r="V125" s="135" t="s">
        <v>7</v>
      </c>
      <c r="W125" s="134"/>
      <c r="X125" s="134"/>
      <c r="Y125" s="134"/>
      <c r="Z125" s="134"/>
      <c r="AA125" s="134"/>
      <c r="AB125" s="134"/>
    </row>
    <row r="126" ht="14.25" customHeight="1">
      <c r="A126" s="134"/>
      <c r="B126" s="135" t="s">
        <v>59</v>
      </c>
      <c r="C126" s="160" t="str">
        <f t="array" ref="C126">MMULT(  TRANSPOSE(($B126=Coin)*(C$121=Tier)),   ($B126=Coin)*(C$121=Tier)*USD*APY / SUM(($B126=Coin)*(C$121=Tier)*(USD))  )</f>
        <v>#VALUE!</v>
      </c>
      <c r="D126" s="138" t="str">
        <f t="array" ref="D126">MMULT(  TRANSPOSE(($B126=Coin)*(D$121=Tier)),   ($B126=Coin)*(D$121=Tier)*USD*APY / SUM(($B126=Coin)*(D$121=Tier)*(USD))  )</f>
        <v>#VALUE!</v>
      </c>
      <c r="E126" s="138" t="str">
        <f t="array" ref="E126">MMULT(  TRANSPOSE(($B126=Coin)*(E$121=Tier)),   ($B126=Coin)*(E$121=Tier)*USD*APY / SUM(($B126=Coin)*(E$121=Tier)*(USD))  )</f>
        <v>#DIV/0!</v>
      </c>
      <c r="F126" s="138" t="str">
        <f t="array" ref="F126">MMULT(  TRANSPOSE(($B126=Coin)*(F$121=Tier)),   ($B126=Coin)*(F$121=Tier)*USD*APY / SUM(($B126=Coin)*(F$121=Tier)*(USD))  )</f>
        <v>#VALUE!</v>
      </c>
      <c r="G126" s="138" t="str">
        <f t="array" ref="G126">MMULT(  TRANSPOSE(($B126=Coin)*(G$121=Tier)),   ($B126=Coin)*(G$121=Tier)*USD*APY / SUM(($B126=Coin)*(G$121=Tier)*(USD))  )</f>
        <v>#VALUE!</v>
      </c>
      <c r="H126" s="161" t="str">
        <f t="array" ref="H126">MMULT(  TRANSPOSE(1*($B126=Coin)),   ($B126=Coin)*USD*APY / SUM(($B126=Coin)*(USD))  )</f>
        <v>#VALUE!</v>
      </c>
      <c r="I126" s="162">
        <f t="array" ref="I126">MMULT(  TRANSPOSE(($B126=Coin)*(I$121=Tier)),   ($B126=Coin)*(I$121=Tier)*USD  )</f>
        <v>97180548.38</v>
      </c>
      <c r="J126" s="136">
        <f t="array" ref="J126">MMULT(  TRANSPOSE(($B126=Coin)*(J$121=Tier)),   ($B126=Coin)*(J$121=Tier)*USD  )</f>
        <v>4939827.034</v>
      </c>
      <c r="K126" s="136">
        <f t="array" ref="K126">MMULT(  TRANSPOSE(($B126=Coin)*(K$121=Tier)),   ($B126=Coin)*(K$121=Tier)*USD  )</f>
        <v>0</v>
      </c>
      <c r="L126" s="136">
        <f t="array" ref="L126">MMULT(  TRANSPOSE(($B126=Coin)*(L$121=Tier)),   ($B126=Coin)*(L$121=Tier)*USD  )</f>
        <v>237644448.3</v>
      </c>
      <c r="M126" s="136">
        <f t="array" ref="M126">MMULT(  TRANSPOSE(($B126=Coin)*(M$121=Tier)),   ($B126=Coin)*(M$121=Tier)*USD  )</f>
        <v>322869433.8</v>
      </c>
      <c r="N126" s="163">
        <f t="array" ref="N126">MMULT(  TRANSPOSE(1*($B126=Coin)),   ($B126=Coin)*USD  )</f>
        <v>662634257.5</v>
      </c>
      <c r="O126" s="160" t="str">
        <f t="array" ref="O126">MMULT(  TRANSPOSE(($B126=Coin)*(O$121=Tier)),   ($B126=Coin)*(O$121=Tier)*USD*COFA / SUM(($B126=Coin)*(O$121=Tier)*(USD))  )</f>
        <v>#VALUE!</v>
      </c>
      <c r="P126" s="138" t="str">
        <f t="array" ref="P126">MMULT(  TRANSPOSE(($B126=Coin)*(P$121=Tier)),   ($B126=Coin)*(P$121=Tier)*USD*COFA / SUM(($B126=Coin)*(P$121=Tier)*(USD))  )</f>
        <v>#VALUE!</v>
      </c>
      <c r="Q126" s="138" t="str">
        <f t="array" ref="Q126">MMULT(  TRANSPOSE(($B126=Coin)*(Q$121=Tier)),   ($B126=Coin)*(Q$121=Tier)*USD*COFA / SUM(($B126=Coin)*(Q$121=Tier)*(USD))  )</f>
        <v>#DIV/0!</v>
      </c>
      <c r="R126" s="138" t="str">
        <f t="array" ref="R126">MMULT(  TRANSPOSE(($B126=Coin)*(R$121=Tier)),   ($B126=Coin)*(R$121=Tier)*USD*COFA / SUM(($B126=Coin)*(R$121=Tier)*(USD))  )</f>
        <v>#VALUE!</v>
      </c>
      <c r="S126" s="138" t="str">
        <f t="array" ref="S126">MMULT(  TRANSPOSE(($B126=Coin)*(S$121=Tier)),   ($B126=Coin)*(S$121=Tier)*USD*COFA / SUM(($B126=Coin)*(S$121=Tier)*(USD))  )</f>
        <v>#VALUE!</v>
      </c>
      <c r="T126" s="161" t="str">
        <f t="array" ref="T126">MMULT(  TRANSPOSE(1*($B126=Coin)),   ($B126=Coin)*USD*COFA / SUM(($B126=Coin)*(USD))  )</f>
        <v>#VALUE!</v>
      </c>
      <c r="U126" s="134"/>
      <c r="V126" s="135" t="s">
        <v>8</v>
      </c>
      <c r="W126" s="136">
        <f t="array" ref="W126">MMULT(  TRANSPOSE(1*($V126=Cat)),   ($V126=Cat)*USD  )</f>
        <v>3249912529</v>
      </c>
      <c r="X126" s="138" t="str">
        <f t="array" ref="X126">MMULT(  TRANSPOSE(1*($V126=Cat)),   ($V126=Cat)*USD*COFA / SUM(($V126=Cat)*(USD))  )</f>
        <v>#VALUE!</v>
      </c>
      <c r="Y126" s="138" t="str">
        <f t="array" ref="Y126">MMULT(  TRANSPOSE(1*($V126=Cat)),   ($V126=Cat)*USD*APY / SUM(($V126=Cat)*(USD))  )</f>
        <v>#VALUE!</v>
      </c>
      <c r="Z126" s="138" t="str">
        <f t="shared" ref="Z126:Z135" si="6">Y126-X126</f>
        <v>#VALUE!</v>
      </c>
      <c r="AA126" s="138">
        <f t="shared" ref="AA126:AA136" si="7">W126/$W$136</f>
        <v>0.2020883598</v>
      </c>
      <c r="AB126" s="134"/>
    </row>
    <row r="127" ht="14.25" customHeight="1">
      <c r="A127" s="134"/>
      <c r="B127" s="135" t="s">
        <v>61</v>
      </c>
      <c r="C127" s="160" t="str">
        <f t="array" ref="C127">MMULT(  TRANSPOSE(($B127=Coin)*(C$121=Tier)),   ($B127=Coin)*(C$121=Tier)*USD*APY / SUM(($B127=Coin)*(C$121=Tier)*(USD))  )</f>
        <v>#VALUE!</v>
      </c>
      <c r="D127" s="138" t="str">
        <f t="array" ref="D127">MMULT(  TRANSPOSE(($B127=Coin)*(D$121=Tier)),   ($B127=Coin)*(D$121=Tier)*USD*APY / SUM(($B127=Coin)*(D$121=Tier)*(USD))  )</f>
        <v>#VALUE!</v>
      </c>
      <c r="E127" s="138" t="str">
        <f t="array" ref="E127">MMULT(  TRANSPOSE(($B127=Coin)*(E$121=Tier)),   ($B127=Coin)*(E$121=Tier)*USD*APY / SUM(($B127=Coin)*(E$121=Tier)*(USD))  )</f>
        <v>#DIV/0!</v>
      </c>
      <c r="F127" s="138" t="str">
        <f t="array" ref="F127">MMULT(  TRANSPOSE(($B127=Coin)*(F$121=Tier)),   ($B127=Coin)*(F$121=Tier)*USD*APY / SUM(($B127=Coin)*(F$121=Tier)*(USD))  )</f>
        <v>#VALUE!</v>
      </c>
      <c r="G127" s="138" t="str">
        <f t="array" ref="G127">MMULT(  TRANSPOSE(($B127=Coin)*(G$121=Tier)),   ($B127=Coin)*(G$121=Tier)*USD*APY / SUM(($B127=Coin)*(G$121=Tier)*(USD))  )</f>
        <v>#VALUE!</v>
      </c>
      <c r="H127" s="161" t="str">
        <f t="array" ref="H127">MMULT(  TRANSPOSE(1*($B127=Coin)),   ($B127=Coin)*USD*APY / SUM(($B127=Coin)*(USD))  )</f>
        <v>#VALUE!</v>
      </c>
      <c r="I127" s="162">
        <f t="array" ref="I127">MMULT(  TRANSPOSE(($B127=Coin)*(I$121=Tier)),   ($B127=Coin)*(I$121=Tier)*USD  )</f>
        <v>17561085.28</v>
      </c>
      <c r="J127" s="136">
        <f t="array" ref="J127">MMULT(  TRANSPOSE(($B127=Coin)*(J$121=Tier)),   ($B127=Coin)*(J$121=Tier)*USD  )</f>
        <v>21072669.13</v>
      </c>
      <c r="K127" s="136">
        <f t="array" ref="K127">MMULT(  TRANSPOSE(($B127=Coin)*(K$121=Tier)),   ($B127=Coin)*(K$121=Tier)*USD  )</f>
        <v>0</v>
      </c>
      <c r="L127" s="136">
        <f t="array" ref="L127">MMULT(  TRANSPOSE(($B127=Coin)*(L$121=Tier)),   ($B127=Coin)*(L$121=Tier)*USD  )</f>
        <v>155989930</v>
      </c>
      <c r="M127" s="136">
        <f t="array" ref="M127">MMULT(  TRANSPOSE(($B127=Coin)*(M$121=Tier)),   ($B127=Coin)*(M$121=Tier)*USD  )</f>
        <v>44616461.3</v>
      </c>
      <c r="N127" s="163">
        <f t="array" ref="N127">MMULT(  TRANSPOSE(1*($B127=Coin)),   ($B127=Coin)*USD  )</f>
        <v>239240145.7</v>
      </c>
      <c r="O127" s="160" t="str">
        <f t="array" ref="O127">MMULT(  TRANSPOSE(($B127=Coin)*(O$121=Tier)),   ($B127=Coin)*(O$121=Tier)*USD*COFA / SUM(($B127=Coin)*(O$121=Tier)*(USD))  )</f>
        <v>#VALUE!</v>
      </c>
      <c r="P127" s="138" t="str">
        <f t="array" ref="P127">MMULT(  TRANSPOSE(($B127=Coin)*(P$121=Tier)),   ($B127=Coin)*(P$121=Tier)*USD*COFA / SUM(($B127=Coin)*(P$121=Tier)*(USD))  )</f>
        <v>#VALUE!</v>
      </c>
      <c r="Q127" s="138" t="str">
        <f t="array" ref="Q127">MMULT(  TRANSPOSE(($B127=Coin)*(Q$121=Tier)),   ($B127=Coin)*(Q$121=Tier)*USD*COFA / SUM(($B127=Coin)*(Q$121=Tier)*(USD))  )</f>
        <v>#DIV/0!</v>
      </c>
      <c r="R127" s="138" t="str">
        <f t="array" ref="R127">MMULT(  TRANSPOSE(($B127=Coin)*(R$121=Tier)),   ($B127=Coin)*(R$121=Tier)*USD*COFA / SUM(($B127=Coin)*(R$121=Tier)*(USD))  )</f>
        <v>#VALUE!</v>
      </c>
      <c r="S127" s="138" t="str">
        <f t="array" ref="S127">MMULT(  TRANSPOSE(($B127=Coin)*(S$121=Tier)),   ($B127=Coin)*(S$121=Tier)*USD*COFA / SUM(($B127=Coin)*(S$121=Tier)*(USD))  )</f>
        <v>#VALUE!</v>
      </c>
      <c r="T127" s="161" t="str">
        <f t="array" ref="T127">MMULT(  TRANSPOSE(1*($B127=Coin)),   ($B127=Coin)*USD*COFA / SUM(($B127=Coin)*(USD))  )</f>
        <v>#VALUE!</v>
      </c>
      <c r="U127" s="134"/>
      <c r="V127" s="135" t="s">
        <v>18</v>
      </c>
      <c r="W127" s="136">
        <f t="array" ref="W127">MMULT(  TRANSPOSE(1*($V127=Cat)),   ($V127=Cat)*USD  )</f>
        <v>439125760.4</v>
      </c>
      <c r="X127" s="138" t="str">
        <f t="array" ref="X127">MMULT(  TRANSPOSE(1*($V127=Cat)),   ($V127=Cat)*USD*COFA / SUM(($V127=Cat)*(USD))  )</f>
        <v>#VALUE!</v>
      </c>
      <c r="Y127" s="138" t="str">
        <f t="array" ref="Y127">MMULT(  TRANSPOSE(1*($V127=Cat)),   ($V127=Cat)*USD*APY / SUM(($V127=Cat)*(USD))  )</f>
        <v>#VALUE!</v>
      </c>
      <c r="Z127" s="138" t="str">
        <f t="shared" si="6"/>
        <v>#VALUE!</v>
      </c>
      <c r="AA127" s="138">
        <f t="shared" si="7"/>
        <v>0.02730602867</v>
      </c>
      <c r="AB127" s="134"/>
    </row>
    <row r="128" ht="14.25" customHeight="1">
      <c r="A128" s="134"/>
      <c r="B128" s="135" t="s">
        <v>60</v>
      </c>
      <c r="C128" s="160" t="str">
        <f t="array" ref="C128">MMULT(  TRANSPOSE(($B128=Coin)*(C$121=Tier)),   ($B128=Coin)*(C$121=Tier)*USD*APY / SUM(($B128=Coin)*(C$121=Tier)*(USD))  )</f>
        <v>#VALUE!</v>
      </c>
      <c r="D128" s="138" t="str">
        <f t="array" ref="D128">MMULT(  TRANSPOSE(($B128=Coin)*(D$121=Tier)),   ($B128=Coin)*(D$121=Tier)*USD*APY / SUM(($B128=Coin)*(D$121=Tier)*(USD))  )</f>
        <v>#DIV/0!</v>
      </c>
      <c r="E128" s="138" t="str">
        <f t="array" ref="E128">MMULT(  TRANSPOSE(($B128=Coin)*(E$121=Tier)),   ($B128=Coin)*(E$121=Tier)*USD*APY / SUM(($B128=Coin)*(E$121=Tier)*(USD))  )</f>
        <v>#DIV/0!</v>
      </c>
      <c r="F128" s="138" t="str">
        <f t="array" ref="F128">MMULT(  TRANSPOSE(($B128=Coin)*(F$121=Tier)),   ($B128=Coin)*(F$121=Tier)*USD*APY / SUM(($B128=Coin)*(F$121=Tier)*(USD))  )</f>
        <v>#VALUE!</v>
      </c>
      <c r="G128" s="138" t="str">
        <f t="array" ref="G128">MMULT(  TRANSPOSE(($B128=Coin)*(G$121=Tier)),   ($B128=Coin)*(G$121=Tier)*USD*APY / SUM(($B128=Coin)*(G$121=Tier)*(USD))  )</f>
        <v>#VALUE!</v>
      </c>
      <c r="H128" s="161" t="str">
        <f t="array" ref="H128">MMULT(  TRANSPOSE(1*($B128=Coin)),   ($B128=Coin)*USD*APY / SUM(($B128=Coin)*(USD))  )</f>
        <v>#VALUE!</v>
      </c>
      <c r="I128" s="162">
        <f t="array" ref="I128">MMULT(  TRANSPOSE(($B128=Coin)*(I$121=Tier)),   ($B128=Coin)*(I$121=Tier)*USD  )</f>
        <v>27734540.18</v>
      </c>
      <c r="J128" s="136">
        <f t="array" ref="J128">MMULT(  TRANSPOSE(($B128=Coin)*(J$121=Tier)),   ($B128=Coin)*(J$121=Tier)*USD  )</f>
        <v>0</v>
      </c>
      <c r="K128" s="136">
        <f t="array" ref="K128">MMULT(  TRANSPOSE(($B128=Coin)*(K$121=Tier)),   ($B128=Coin)*(K$121=Tier)*USD  )</f>
        <v>0</v>
      </c>
      <c r="L128" s="136">
        <f t="array" ref="L128">MMULT(  TRANSPOSE(($B128=Coin)*(L$121=Tier)),   ($B128=Coin)*(L$121=Tier)*USD  )</f>
        <v>77613287.36</v>
      </c>
      <c r="M128" s="136">
        <f t="array" ref="M128">MMULT(  TRANSPOSE(($B128=Coin)*(M$121=Tier)),   ($B128=Coin)*(M$121=Tier)*USD  )</f>
        <v>211899708.5</v>
      </c>
      <c r="N128" s="163">
        <f t="array" ref="N128">MMULT(  TRANSPOSE(1*($B128=Coin)),   ($B128=Coin)*USD  )</f>
        <v>317247536</v>
      </c>
      <c r="O128" s="160" t="str">
        <f t="array" ref="O128">MMULT(  TRANSPOSE(($B128=Coin)*(O$121=Tier)),   ($B128=Coin)*(O$121=Tier)*USD*COFA / SUM(($B128=Coin)*(O$121=Tier)*(USD))  )</f>
        <v>#VALUE!</v>
      </c>
      <c r="P128" s="138" t="str">
        <f t="array" ref="P128">MMULT(  TRANSPOSE(($B128=Coin)*(P$121=Tier)),   ($B128=Coin)*(P$121=Tier)*USD*COFA / SUM(($B128=Coin)*(P$121=Tier)*(USD))  )</f>
        <v>#DIV/0!</v>
      </c>
      <c r="Q128" s="138" t="str">
        <f t="array" ref="Q128">MMULT(  TRANSPOSE(($B128=Coin)*(Q$121=Tier)),   ($B128=Coin)*(Q$121=Tier)*USD*COFA / SUM(($B128=Coin)*(Q$121=Tier)*(USD))  )</f>
        <v>#DIV/0!</v>
      </c>
      <c r="R128" s="138" t="str">
        <f t="array" ref="R128">MMULT(  TRANSPOSE(($B128=Coin)*(R$121=Tier)),   ($B128=Coin)*(R$121=Tier)*USD*COFA / SUM(($B128=Coin)*(R$121=Tier)*(USD))  )</f>
        <v>#VALUE!</v>
      </c>
      <c r="S128" s="138" t="str">
        <f t="array" ref="S128">MMULT(  TRANSPOSE(($B128=Coin)*(S$121=Tier)),   ($B128=Coin)*(S$121=Tier)*USD*COFA / SUM(($B128=Coin)*(S$121=Tier)*(USD))  )</f>
        <v>#VALUE!</v>
      </c>
      <c r="T128" s="161" t="str">
        <f t="array" ref="T128">MMULT(  TRANSPOSE(1*($B128=Coin)),   ($B128=Coin)*USD*COFA / SUM(($B128=Coin)*(USD))  )</f>
        <v>#VALUE!</v>
      </c>
      <c r="U128" s="134"/>
      <c r="V128" s="135" t="s">
        <v>10</v>
      </c>
      <c r="W128" s="136">
        <f t="array" ref="W128">MMULT(  TRANSPOSE(1*($V128=Cat)),   ($V128=Cat)*USD  )</f>
        <v>1258579245</v>
      </c>
      <c r="X128" s="138" t="str">
        <f t="array" ref="X128">MMULT(  TRANSPOSE(1*($V128=Cat)),   ($V128=Cat)*USD*COFA / SUM(($V128=Cat)*(USD))  )</f>
        <v>#VALUE!</v>
      </c>
      <c r="Y128" s="138" t="str">
        <f t="array" ref="Y128">MMULT(  TRANSPOSE(1*($V128=Cat)),   ($V128=Cat)*USD*APY / SUM(($V128=Cat)*(USD))  )</f>
        <v>#VALUE!</v>
      </c>
      <c r="Z128" s="138" t="str">
        <f t="shared" si="6"/>
        <v>#VALUE!</v>
      </c>
      <c r="AA128" s="138">
        <f t="shared" si="7"/>
        <v>0.07826186494</v>
      </c>
      <c r="AB128" s="134"/>
    </row>
    <row r="129" ht="14.25" customHeight="1">
      <c r="A129" s="134"/>
      <c r="B129" s="135" t="s">
        <v>62</v>
      </c>
      <c r="C129" s="160" t="str">
        <f t="array" ref="C129">MMULT(  TRANSPOSE(($B129=Coin)*(C$121=Tier)),   ($B129=Coin)*(C$121=Tier)*USD*APY / SUM(($B129=Coin)*(C$121=Tier)*(USD))  )</f>
        <v>#VALUE!</v>
      </c>
      <c r="D129" s="138" t="str">
        <f t="array" ref="D129">MMULT(  TRANSPOSE(($B129=Coin)*(D$121=Tier)),   ($B129=Coin)*(D$121=Tier)*USD*APY / SUM(($B129=Coin)*(D$121=Tier)*(USD))  )</f>
        <v>#DIV/0!</v>
      </c>
      <c r="E129" s="138" t="str">
        <f t="array" ref="E129">MMULT(  TRANSPOSE(($B129=Coin)*(E$121=Tier)),   ($B129=Coin)*(E$121=Tier)*USD*APY / SUM(($B129=Coin)*(E$121=Tier)*(USD))  )</f>
        <v>#DIV/0!</v>
      </c>
      <c r="F129" s="138" t="str">
        <f t="array" ref="F129">MMULT(  TRANSPOSE(($B129=Coin)*(F$121=Tier)),   ($B129=Coin)*(F$121=Tier)*USD*APY / SUM(($B129=Coin)*(F$121=Tier)*(USD))  )</f>
        <v>#VALUE!</v>
      </c>
      <c r="G129" s="138" t="str">
        <f t="array" ref="G129">MMULT(  TRANSPOSE(($B129=Coin)*(G$121=Tier)),   ($B129=Coin)*(G$121=Tier)*USD*APY / SUM(($B129=Coin)*(G$121=Tier)*(USD))  )</f>
        <v>#VALUE!</v>
      </c>
      <c r="H129" s="161" t="str">
        <f t="array" ref="H129">MMULT(  TRANSPOSE(1*($B129=Coin)),   ($B129=Coin)*USD*APY / SUM(($B129=Coin)*(USD))  )</f>
        <v>#VALUE!</v>
      </c>
      <c r="I129" s="162">
        <f t="array" ref="I129">MMULT(  TRANSPOSE(($B129=Coin)*(I$121=Tier)),   ($B129=Coin)*(I$121=Tier)*USD  )</f>
        <v>27397207.08</v>
      </c>
      <c r="J129" s="136">
        <f t="array" ref="J129">MMULT(  TRANSPOSE(($B129=Coin)*(J$121=Tier)),   ($B129=Coin)*(J$121=Tier)*USD  )</f>
        <v>0</v>
      </c>
      <c r="K129" s="136">
        <f t="array" ref="K129">MMULT(  TRANSPOSE(($B129=Coin)*(K$121=Tier)),   ($B129=Coin)*(K$121=Tier)*USD  )</f>
        <v>0</v>
      </c>
      <c r="L129" s="136">
        <f t="array" ref="L129">MMULT(  TRANSPOSE(($B129=Coin)*(L$121=Tier)),   ($B129=Coin)*(L$121=Tier)*USD  )</f>
        <v>166902940.6</v>
      </c>
      <c r="M129" s="136">
        <f t="array" ref="M129">MMULT(  TRANSPOSE(($B129=Coin)*(M$121=Tier)),   ($B129=Coin)*(M$121=Tier)*USD  )</f>
        <v>8400778.249</v>
      </c>
      <c r="N129" s="163">
        <f t="array" ref="N129">MMULT(  TRANSPOSE(1*($B129=Coin)),   ($B129=Coin)*USD  )</f>
        <v>202700925.9</v>
      </c>
      <c r="O129" s="160" t="str">
        <f t="array" ref="O129">MMULT(  TRANSPOSE(($B129=Coin)*(O$121=Tier)),   ($B129=Coin)*(O$121=Tier)*USD*COFA / SUM(($B129=Coin)*(O$121=Tier)*(USD))  )</f>
        <v>#VALUE!</v>
      </c>
      <c r="P129" s="138" t="str">
        <f t="array" ref="P129">MMULT(  TRANSPOSE(($B129=Coin)*(P$121=Tier)),   ($B129=Coin)*(P$121=Tier)*USD*COFA / SUM(($B129=Coin)*(P$121=Tier)*(USD))  )</f>
        <v>#DIV/0!</v>
      </c>
      <c r="Q129" s="138" t="str">
        <f t="array" ref="Q129">MMULT(  TRANSPOSE(($B129=Coin)*(Q$121=Tier)),   ($B129=Coin)*(Q$121=Tier)*USD*COFA / SUM(($B129=Coin)*(Q$121=Tier)*(USD))  )</f>
        <v>#DIV/0!</v>
      </c>
      <c r="R129" s="138" t="str">
        <f t="array" ref="R129">MMULT(  TRANSPOSE(($B129=Coin)*(R$121=Tier)),   ($B129=Coin)*(R$121=Tier)*USD*COFA / SUM(($B129=Coin)*(R$121=Tier)*(USD))  )</f>
        <v>#VALUE!</v>
      </c>
      <c r="S129" s="138" t="str">
        <f t="array" ref="S129">MMULT(  TRANSPOSE(($B129=Coin)*(S$121=Tier)),   ($B129=Coin)*(S$121=Tier)*USD*COFA / SUM(($B129=Coin)*(S$121=Tier)*(USD))  )</f>
        <v>#VALUE!</v>
      </c>
      <c r="T129" s="161" t="str">
        <f t="array" ref="T129">MMULT(  TRANSPOSE(1*($B129=Coin)),   ($B129=Coin)*USD*COFA / SUM(($B129=Coin)*(USD))  )</f>
        <v>#VALUE!</v>
      </c>
      <c r="U129" s="134"/>
      <c r="V129" s="135" t="s">
        <v>22</v>
      </c>
      <c r="W129" s="136">
        <f t="array" ref="W129">MMULT(  TRANSPOSE(1*($V129=Cat)),   ($V129=Cat)*USD  )</f>
        <v>464212020.6</v>
      </c>
      <c r="X129" s="138" t="str">
        <f t="array" ref="X129">MMULT(  TRANSPOSE(1*($V129=Cat)),   ($V129=Cat)*USD*COFA / SUM(($V129=Cat)*(USD))  )</f>
        <v>#VALUE!</v>
      </c>
      <c r="Y129" s="138" t="str">
        <f t="array" ref="Y129">MMULT(  TRANSPOSE(1*($V129=Cat)),   ($V129=Cat)*USD*APY / SUM(($V129=Cat)*(USD))  )</f>
        <v>#VALUE!</v>
      </c>
      <c r="Z129" s="138" t="str">
        <f t="shared" si="6"/>
        <v>#VALUE!</v>
      </c>
      <c r="AA129" s="138">
        <f t="shared" si="7"/>
        <v>0.02886596025</v>
      </c>
      <c r="AB129" s="134"/>
    </row>
    <row r="130" ht="14.25" customHeight="1">
      <c r="A130" s="134"/>
      <c r="B130" s="135" t="s">
        <v>72</v>
      </c>
      <c r="C130" s="160" t="str">
        <f t="array" ref="C130">MMULT(  TRANSPOSE(($B130=Coin)*(C$121=Tier)),   ($B130=Coin)*(C$121=Tier)*USD*APY / SUM(($B130=Coin)*(C$121=Tier)*(USD))  )</f>
        <v>#VALUE!</v>
      </c>
      <c r="D130" s="138" t="str">
        <f t="array" ref="D130">MMULT(  TRANSPOSE(($B130=Coin)*(D$121=Tier)),   ($B130=Coin)*(D$121=Tier)*USD*APY / SUM(($B130=Coin)*(D$121=Tier)*(USD))  )</f>
        <v>#DIV/0!</v>
      </c>
      <c r="E130" s="138" t="str">
        <f t="array" ref="E130">MMULT(  TRANSPOSE(($B130=Coin)*(E$121=Tier)),   ($B130=Coin)*(E$121=Tier)*USD*APY / SUM(($B130=Coin)*(E$121=Tier)*(USD))  )</f>
        <v>#DIV/0!</v>
      </c>
      <c r="F130" s="138" t="str">
        <f t="array" ref="F130">MMULT(  TRANSPOSE(($B130=Coin)*(F$121=Tier)),   ($B130=Coin)*(F$121=Tier)*USD*APY / SUM(($B130=Coin)*(F$121=Tier)*(USD))  )</f>
        <v>#VALUE!</v>
      </c>
      <c r="G130" s="138" t="str">
        <f t="array" ref="G130">MMULT(  TRANSPOSE(($B130=Coin)*(G$121=Tier)),   ($B130=Coin)*(G$121=Tier)*USD*APY / SUM(($B130=Coin)*(G$121=Tier)*(USD))  )</f>
        <v>#VALUE!</v>
      </c>
      <c r="H130" s="161" t="str">
        <f t="array" ref="H130">MMULT(  TRANSPOSE(1*($B130=Coin)),   ($B130=Coin)*USD*APY / SUM(($B130=Coin)*(USD))  )</f>
        <v>#VALUE!</v>
      </c>
      <c r="I130" s="162">
        <f t="array" ref="I130">MMULT(  TRANSPOSE(($B130=Coin)*(I$121=Tier)),   ($B130=Coin)*(I$121=Tier)*USD  )</f>
        <v>4610310.56</v>
      </c>
      <c r="J130" s="136">
        <f t="array" ref="J130">MMULT(  TRANSPOSE(($B130=Coin)*(J$121=Tier)),   ($B130=Coin)*(J$121=Tier)*USD  )</f>
        <v>0</v>
      </c>
      <c r="K130" s="136">
        <f t="array" ref="K130">MMULT(  TRANSPOSE(($B130=Coin)*(K$121=Tier)),   ($B130=Coin)*(K$121=Tier)*USD  )</f>
        <v>0</v>
      </c>
      <c r="L130" s="136">
        <f t="array" ref="L130">MMULT(  TRANSPOSE(($B130=Coin)*(L$121=Tier)),   ($B130=Coin)*(L$121=Tier)*USD  )</f>
        <v>14000384.93</v>
      </c>
      <c r="M130" s="136">
        <f t="array" ref="M130">MMULT(  TRANSPOSE(($B130=Coin)*(M$121=Tier)),   ($B130=Coin)*(M$121=Tier)*USD  )</f>
        <v>53500750.89</v>
      </c>
      <c r="N130" s="163">
        <f t="array" ref="N130">MMULT(  TRANSPOSE(1*($B130=Coin)),   ($B130=Coin)*USD  )</f>
        <v>72111446.38</v>
      </c>
      <c r="O130" s="160" t="str">
        <f t="array" ref="O130">MMULT(  TRANSPOSE(($B130=Coin)*(O$121=Tier)),   ($B130=Coin)*(O$121=Tier)*USD*COFA / SUM(($B130=Coin)*(O$121=Tier)*(USD))  )</f>
        <v>#VALUE!</v>
      </c>
      <c r="P130" s="138" t="str">
        <f t="array" ref="P130">MMULT(  TRANSPOSE(($B130=Coin)*(P$121=Tier)),   ($B130=Coin)*(P$121=Tier)*USD*COFA / SUM(($B130=Coin)*(P$121=Tier)*(USD))  )</f>
        <v>#DIV/0!</v>
      </c>
      <c r="Q130" s="138" t="str">
        <f t="array" ref="Q130">MMULT(  TRANSPOSE(($B130=Coin)*(Q$121=Tier)),   ($B130=Coin)*(Q$121=Tier)*USD*COFA / SUM(($B130=Coin)*(Q$121=Tier)*(USD))  )</f>
        <v>#DIV/0!</v>
      </c>
      <c r="R130" s="138" t="str">
        <f t="array" ref="R130">MMULT(  TRANSPOSE(($B130=Coin)*(R$121=Tier)),   ($B130=Coin)*(R$121=Tier)*USD*COFA / SUM(($B130=Coin)*(R$121=Tier)*(USD))  )</f>
        <v>#VALUE!</v>
      </c>
      <c r="S130" s="138" t="str">
        <f t="array" ref="S130">MMULT(  TRANSPOSE(($B130=Coin)*(S$121=Tier)),   ($B130=Coin)*(S$121=Tier)*USD*COFA / SUM(($B130=Coin)*(S$121=Tier)*(USD))  )</f>
        <v>#VALUE!</v>
      </c>
      <c r="T130" s="161" t="str">
        <f t="array" ref="T130">MMULT(  TRANSPOSE(1*($B130=Coin)),   ($B130=Coin)*USD*COFA / SUM(($B130=Coin)*(USD))  )</f>
        <v>#VALUE!</v>
      </c>
      <c r="U130" s="134"/>
      <c r="V130" s="135" t="s">
        <v>132</v>
      </c>
      <c r="W130" s="136">
        <f t="array" ref="W130">MMULT(  TRANSPOSE(1*($V130=Cat)),   ($V130=Cat)*USD  )</f>
        <v>2521785616</v>
      </c>
      <c r="X130" s="138" t="str">
        <f t="array" ref="X130">MMULT(  TRANSPOSE(1*($V130=Cat)),   ($V130=Cat)*USD*COFA / SUM(($V130=Cat)*(USD))  )</f>
        <v>#VALUE!</v>
      </c>
      <c r="Y130" s="138" t="str">
        <f t="array" ref="Y130">MMULT(  TRANSPOSE(1*($V130=Cat)),   ($V130=Cat)*USD*APY / SUM(($V130=Cat)*(USD))  )</f>
        <v>#VALUE!</v>
      </c>
      <c r="Z130" s="138" t="str">
        <f t="shared" si="6"/>
        <v>#VALUE!</v>
      </c>
      <c r="AA130" s="138">
        <f t="shared" si="7"/>
        <v>0.1568114571</v>
      </c>
      <c r="AB130" s="134"/>
    </row>
    <row r="131" ht="14.25" customHeight="1">
      <c r="A131" s="134"/>
      <c r="B131" s="135" t="s">
        <v>66</v>
      </c>
      <c r="C131" s="160" t="str">
        <f t="array" ref="C131">MMULT(  TRANSPOSE(($B131=Coin)*(C$121=Tier)),   ($B131=Coin)*(C$121=Tier)*USD*APY / SUM(($B131=Coin)*(C$121=Tier)*(USD))  )</f>
        <v>#VALUE!</v>
      </c>
      <c r="D131" s="138" t="str">
        <f t="array" ref="D131">MMULT(  TRANSPOSE(($B131=Coin)*(D$121=Tier)),   ($B131=Coin)*(D$121=Tier)*USD*APY / SUM(($B131=Coin)*(D$121=Tier)*(USD))  )</f>
        <v>#DIV/0!</v>
      </c>
      <c r="E131" s="138" t="str">
        <f t="array" ref="E131">MMULT(  TRANSPOSE(($B131=Coin)*(E$121=Tier)),   ($B131=Coin)*(E$121=Tier)*USD*APY / SUM(($B131=Coin)*(E$121=Tier)*(USD))  )</f>
        <v>#DIV/0!</v>
      </c>
      <c r="F131" s="138" t="str">
        <f t="array" ref="F131">MMULT(  TRANSPOSE(($B131=Coin)*(F$121=Tier)),   ($B131=Coin)*(F$121=Tier)*USD*APY / SUM(($B131=Coin)*(F$121=Tier)*(USD))  )</f>
        <v>#VALUE!</v>
      </c>
      <c r="G131" s="138" t="str">
        <f t="array" ref="G131">MMULT(  TRANSPOSE(($B131=Coin)*(G$121=Tier)),   ($B131=Coin)*(G$121=Tier)*USD*APY / SUM(($B131=Coin)*(G$121=Tier)*(USD))  )</f>
        <v>#VALUE!</v>
      </c>
      <c r="H131" s="161" t="str">
        <f t="array" ref="H131">MMULT(  TRANSPOSE(1*($B131=Coin)),   ($B131=Coin)*USD*APY / SUM(($B131=Coin)*(USD))  )</f>
        <v>#VALUE!</v>
      </c>
      <c r="I131" s="162">
        <f t="array" ref="I131">MMULT(  TRANSPOSE(($B131=Coin)*(I$121=Tier)),   ($B131=Coin)*(I$121=Tier)*USD  )</f>
        <v>976671.7559</v>
      </c>
      <c r="J131" s="136">
        <f t="array" ref="J131">MMULT(  TRANSPOSE(($B131=Coin)*(J$121=Tier)),   ($B131=Coin)*(J$121=Tier)*USD  )</f>
        <v>0</v>
      </c>
      <c r="K131" s="136">
        <f t="array" ref="K131">MMULT(  TRANSPOSE(($B131=Coin)*(K$121=Tier)),   ($B131=Coin)*(K$121=Tier)*USD  )</f>
        <v>0</v>
      </c>
      <c r="L131" s="136">
        <f t="array" ref="L131">MMULT(  TRANSPOSE(($B131=Coin)*(L$121=Tier)),   ($B131=Coin)*(L$121=Tier)*USD  )</f>
        <v>30897523.51</v>
      </c>
      <c r="M131" s="136">
        <f t="array" ref="M131">MMULT(  TRANSPOSE(($B131=Coin)*(M$121=Tier)),   ($B131=Coin)*(M$121=Tier)*USD  )</f>
        <v>7317119.418</v>
      </c>
      <c r="N131" s="163">
        <f t="array" ref="N131">MMULT(  TRANSPOSE(1*($B131=Coin)),   ($B131=Coin)*USD  )</f>
        <v>39191314.69</v>
      </c>
      <c r="O131" s="160" t="str">
        <f t="array" ref="O131">MMULT(  TRANSPOSE(($B131=Coin)*(O$121=Tier)),   ($B131=Coin)*(O$121=Tier)*USD*COFA / SUM(($B131=Coin)*(O$121=Tier)*(USD))  )</f>
        <v>#VALUE!</v>
      </c>
      <c r="P131" s="138" t="str">
        <f t="array" ref="P131">MMULT(  TRANSPOSE(($B131=Coin)*(P$121=Tier)),   ($B131=Coin)*(P$121=Tier)*USD*COFA / SUM(($B131=Coin)*(P$121=Tier)*(USD))  )</f>
        <v>#DIV/0!</v>
      </c>
      <c r="Q131" s="138" t="str">
        <f t="array" ref="Q131">MMULT(  TRANSPOSE(($B131=Coin)*(Q$121=Tier)),   ($B131=Coin)*(Q$121=Tier)*USD*COFA / SUM(($B131=Coin)*(Q$121=Tier)*(USD))  )</f>
        <v>#DIV/0!</v>
      </c>
      <c r="R131" s="138" t="str">
        <f t="array" ref="R131">MMULT(  TRANSPOSE(($B131=Coin)*(R$121=Tier)),   ($B131=Coin)*(R$121=Tier)*USD*COFA / SUM(($B131=Coin)*(R$121=Tier)*(USD))  )</f>
        <v>#VALUE!</v>
      </c>
      <c r="S131" s="138" t="str">
        <f t="array" ref="S131">MMULT(  TRANSPOSE(($B131=Coin)*(S$121=Tier)),   ($B131=Coin)*(S$121=Tier)*USD*COFA / SUM(($B131=Coin)*(S$121=Tier)*(USD))  )</f>
        <v>#VALUE!</v>
      </c>
      <c r="T131" s="161" t="str">
        <f t="array" ref="T131">MMULT(  TRANSPOSE(1*($B131=Coin)),   ($B131=Coin)*USD*COFA / SUM(($B131=Coin)*(USD))  )</f>
        <v>#VALUE!</v>
      </c>
      <c r="U131" s="134"/>
      <c r="V131" s="135" t="s">
        <v>13</v>
      </c>
      <c r="W131" s="136">
        <f t="array" ref="W131">MMULT(  TRANSPOSE(1*($V131=Cat)),   ($V131=Cat)*USD  )</f>
        <v>305419424.9</v>
      </c>
      <c r="X131" s="138" t="str">
        <f t="array" ref="X131">MMULT(  TRANSPOSE(1*($V131=Cat)),   ($V131=Cat)*USD*COFA / SUM(($V131=Cat)*(USD))  )</f>
        <v>#VALUE!</v>
      </c>
      <c r="Y131" s="138" t="str">
        <f t="array" ref="Y131">MMULT(  TRANSPOSE(1*($V131=Cat)),   ($V131=Cat)*USD*APY / SUM(($V131=Cat)*(USD))  )</f>
        <v>#VALUE!</v>
      </c>
      <c r="Z131" s="138" t="str">
        <f t="shared" si="6"/>
        <v>#VALUE!</v>
      </c>
      <c r="AA131" s="138">
        <f t="shared" si="7"/>
        <v>0.01899180673</v>
      </c>
      <c r="AB131" s="134"/>
    </row>
    <row r="132" ht="14.25" customHeight="1">
      <c r="A132" s="134"/>
      <c r="B132" s="135" t="s">
        <v>55</v>
      </c>
      <c r="C132" s="164" t="str">
        <f t="array" ref="C132">MMULT(  TRANSPOSE(($B132=Coin)*(C$121=Tier)),   ($B132=Coin)*(C$121=Tier)*USD*APY / SUM(($B132=Coin)*(C$121=Tier)*(USD))  )</f>
        <v>#VALUE!</v>
      </c>
      <c r="D132" s="165" t="str">
        <f t="array" ref="D132">MMULT(  TRANSPOSE(($B132=Coin)*(D$121=Tier)),   ($B132=Coin)*(D$121=Tier)*USD*APY / SUM(($B132=Coin)*(D$121=Tier)*(USD))  )</f>
        <v>#VALUE!</v>
      </c>
      <c r="E132" s="165" t="str">
        <f t="array" ref="E132">MMULT(  TRANSPOSE(($B132=Coin)*(E$121=Tier)),   ($B132=Coin)*(E$121=Tier)*USD*APY / SUM(($B132=Coin)*(E$121=Tier)*(USD))  )</f>
        <v>#DIV/0!</v>
      </c>
      <c r="F132" s="165" t="str">
        <f t="array" ref="F132">MMULT(  TRANSPOSE(($B132=Coin)*(F$121=Tier)),   ($B132=Coin)*(F$121=Tier)*USD*APY / SUM(($B132=Coin)*(F$121=Tier)*(USD))  )</f>
        <v>#VALUE!</v>
      </c>
      <c r="G132" s="165" t="str">
        <f t="array" ref="G132">MMULT(  TRANSPOSE(($B132=Coin)*(G$121=Tier)),   ($B132=Coin)*(G$121=Tier)*USD*APY / SUM(($B132=Coin)*(G$121=Tier)*(USD))  )</f>
        <v>#VALUE!</v>
      </c>
      <c r="H132" s="166" t="str">
        <f t="array" ref="H132">MMULT(  TRANSPOSE(1*($B132=Coin)),   ($B132=Coin)*USD*APY / SUM(($B132=Coin)*(USD))  )</f>
        <v>#VALUE!</v>
      </c>
      <c r="I132" s="167">
        <f t="array" ref="I132">MMULT(  TRANSPOSE(($B132=Coin)*(I$121=Tier)),   ($B132=Coin)*(I$121=Tier)*USD  )</f>
        <v>304647320.9</v>
      </c>
      <c r="J132" s="168">
        <f t="array" ref="J132">MMULT(  TRANSPOSE(($B132=Coin)*(J$121=Tier)),   ($B132=Coin)*(J$121=Tier)*USD  )</f>
        <v>113393461.3</v>
      </c>
      <c r="K132" s="168">
        <f t="array" ref="K132">MMULT(  TRANSPOSE(($B132=Coin)*(K$121=Tier)),   ($B132=Coin)*(K$121=Tier)*USD  )</f>
        <v>0</v>
      </c>
      <c r="L132" s="168">
        <f t="array" ref="L132">MMULT(  TRANSPOSE(($B132=Coin)*(L$121=Tier)),   ($B132=Coin)*(L$121=Tier)*USD  )</f>
        <v>1096933583</v>
      </c>
      <c r="M132" s="168">
        <f t="array" ref="M132">MMULT(  TRANSPOSE(($B132=Coin)*(M$121=Tier)),   ($B132=Coin)*(M$121=Tier)*USD  )</f>
        <v>1519477954</v>
      </c>
      <c r="N132" s="169">
        <f t="array" ref="N132">MMULT(  TRANSPOSE(1*($B132=Coin)),   ($B132=Coin)*USD  )</f>
        <v>3034452319</v>
      </c>
      <c r="O132" s="164" t="str">
        <f t="array" ref="O132">MMULT(  TRANSPOSE(($B132=Coin)*(O$121=Tier)),   ($B132=Coin)*(O$121=Tier)*USD*COFA / SUM(($B132=Coin)*(O$121=Tier)*(USD))  )</f>
        <v>#VALUE!</v>
      </c>
      <c r="P132" s="165" t="str">
        <f t="array" ref="P132">MMULT(  TRANSPOSE(($B132=Coin)*(P$121=Tier)),   ($B132=Coin)*(P$121=Tier)*USD*COFA / SUM(($B132=Coin)*(P$121=Tier)*(USD))  )</f>
        <v>#VALUE!</v>
      </c>
      <c r="Q132" s="165" t="str">
        <f t="array" ref="Q132">MMULT(  TRANSPOSE(($B132=Coin)*(Q$121=Tier)),   ($B132=Coin)*(Q$121=Tier)*USD*COFA / SUM(($B132=Coin)*(Q$121=Tier)*(USD))  )</f>
        <v>#DIV/0!</v>
      </c>
      <c r="R132" s="165" t="str">
        <f t="array" ref="R132">MMULT(  TRANSPOSE(($B132=Coin)*(R$121=Tier)),   ($B132=Coin)*(R$121=Tier)*USD*COFA / SUM(($B132=Coin)*(R$121=Tier)*(USD))  )</f>
        <v>#VALUE!</v>
      </c>
      <c r="S132" s="165" t="str">
        <f t="array" ref="S132">MMULT(  TRANSPOSE(($B132=Coin)*(S$121=Tier)),   ($B132=Coin)*(S$121=Tier)*USD*COFA / SUM(($B132=Coin)*(S$121=Tier)*(USD))  )</f>
        <v>#VALUE!</v>
      </c>
      <c r="T132" s="166" t="str">
        <f t="array" ref="T132">MMULT(  TRANSPOSE(1*($B132=Coin)),   ($B132=Coin)*USD*COFA / SUM(($B132=Coin)*(USD))  )</f>
        <v>#VALUE!</v>
      </c>
      <c r="U132" s="134"/>
      <c r="V132" s="135" t="s">
        <v>12</v>
      </c>
      <c r="W132" s="136">
        <f t="array" ref="W132">MMULT(  TRANSPOSE(1*($V132=Cat)),   ($V132=Cat)*USD  )</f>
        <v>910874983.7</v>
      </c>
      <c r="X132" s="138" t="str">
        <f t="array" ref="X132">MMULT(  TRANSPOSE(1*($V132=Cat)),   ($V132=Cat)*USD*COFA / SUM(($V132=Cat)*(USD))  )</f>
        <v>#VALUE!</v>
      </c>
      <c r="Y132" s="138" t="str">
        <f t="array" ref="Y132">MMULT(  TRANSPOSE(1*($V132=Cat)),   ($V132=Cat)*USD*APY / SUM(($V132=Cat)*(USD))  )</f>
        <v>#VALUE!</v>
      </c>
      <c r="Z132" s="138" t="str">
        <f t="shared" si="6"/>
        <v>#VALUE!</v>
      </c>
      <c r="AA132" s="138">
        <f t="shared" si="7"/>
        <v>0.05664067259</v>
      </c>
      <c r="AB132" s="134"/>
    </row>
    <row r="133" ht="14.25" customHeight="1">
      <c r="A133" s="134"/>
      <c r="B133" s="134"/>
      <c r="C133" s="140"/>
      <c r="D133" s="134"/>
      <c r="E133" s="140"/>
      <c r="F133" s="134"/>
      <c r="G133" s="140"/>
      <c r="H133" s="134"/>
      <c r="I133" s="140"/>
      <c r="J133" s="134"/>
      <c r="K133" s="140"/>
      <c r="L133" s="134"/>
      <c r="M133" s="140"/>
      <c r="N133" s="134"/>
      <c r="O133" s="134"/>
      <c r="P133" s="134"/>
      <c r="Q133" s="134"/>
      <c r="R133" s="134"/>
      <c r="S133" s="134"/>
      <c r="T133" s="134"/>
      <c r="U133" s="134"/>
      <c r="V133" s="135" t="s">
        <v>16</v>
      </c>
      <c r="W133" s="136">
        <f t="array" ref="W133">MMULT(  TRANSPOSE(1*($V133=Cat)),   ($V133=Cat)*USD  )</f>
        <v>1111274122</v>
      </c>
      <c r="X133" s="138" t="str">
        <f t="array" ref="X133">MMULT(  TRANSPOSE(1*($V133=Cat)),   ($V133=Cat)*USD*COFA / SUM(($V133=Cat)*(USD))  )</f>
        <v>#VALUE!</v>
      </c>
      <c r="Y133" s="138" t="str">
        <f t="array" ref="Y133">MMULT(  TRANSPOSE(1*($V133=Cat)),   ($V133=Cat)*USD*APY / SUM(($V133=Cat)*(USD))  )</f>
        <v>#VALUE!</v>
      </c>
      <c r="Z133" s="138" t="str">
        <f t="shared" si="6"/>
        <v>#VALUE!</v>
      </c>
      <c r="AA133" s="138">
        <f t="shared" si="7"/>
        <v>0.06910203357</v>
      </c>
      <c r="AB133" s="134"/>
    </row>
    <row r="134" ht="14.25" customHeight="1">
      <c r="A134" s="134"/>
      <c r="B134" s="134"/>
      <c r="C134" s="140"/>
      <c r="D134" s="134"/>
      <c r="E134" s="140"/>
      <c r="F134" s="134"/>
      <c r="G134" s="140"/>
      <c r="H134" s="134"/>
      <c r="I134" s="140"/>
      <c r="J134" s="134"/>
      <c r="K134" s="140"/>
      <c r="L134" s="134"/>
      <c r="M134" s="140"/>
      <c r="N134" s="134"/>
      <c r="O134" s="134"/>
      <c r="P134" s="134"/>
      <c r="Q134" s="134"/>
      <c r="R134" s="134"/>
      <c r="S134" s="134"/>
      <c r="T134" s="134"/>
      <c r="U134" s="134"/>
      <c r="V134" s="135" t="s">
        <v>17</v>
      </c>
      <c r="W134" s="136">
        <f t="array" ref="W134">MMULT(  TRANSPOSE(1*($V134=Cat)),   ($V134=Cat)*USD  )</f>
        <v>1091121964</v>
      </c>
      <c r="X134" s="138" t="str">
        <f t="array" ref="X134">MMULT(  TRANSPOSE(1*($V134=Cat)),   ($V134=Cat)*USD*COFA / SUM(($V134=Cat)*(USD))  )</f>
        <v>#VALUE!</v>
      </c>
      <c r="Y134" s="138" t="str">
        <f t="array" ref="Y134">MMULT(  TRANSPOSE(1*($V134=Cat)),   ($V134=Cat)*USD*APY / SUM(($V134=Cat)*(USD))  )</f>
        <v>#VALUE!</v>
      </c>
      <c r="Z134" s="138" t="str">
        <f t="shared" si="6"/>
        <v>#VALUE!</v>
      </c>
      <c r="AA134" s="138">
        <f t="shared" si="7"/>
        <v>0.0678489178</v>
      </c>
      <c r="AB134" s="134"/>
    </row>
    <row r="135" ht="14.25" customHeight="1">
      <c r="A135" s="134"/>
      <c r="B135" s="134"/>
      <c r="C135" s="140"/>
      <c r="D135" s="134"/>
      <c r="E135" s="140"/>
      <c r="F135" s="134"/>
      <c r="G135" s="140"/>
      <c r="H135" s="134"/>
      <c r="I135" s="140"/>
      <c r="J135" s="134"/>
      <c r="K135" s="140"/>
      <c r="L135" s="134"/>
      <c r="M135" s="140"/>
      <c r="N135" s="134"/>
      <c r="O135" s="134"/>
      <c r="P135" s="134"/>
      <c r="Q135" s="134"/>
      <c r="R135" s="134"/>
      <c r="S135" s="134"/>
      <c r="T135" s="134"/>
      <c r="U135" s="134"/>
      <c r="V135" s="135" t="s">
        <v>327</v>
      </c>
      <c r="W135" s="168">
        <f t="array" ref="W135">MMULT(  TRANSPOSE(1*($V135=Cat)),   ($V135=Cat)*USD  )</f>
        <v>0</v>
      </c>
      <c r="X135" s="165" t="str">
        <f t="array" ref="X135">MMULT(  TRANSPOSE(1*($V135=Cat)),   ($V135=Cat)*USD*COFA / SUM(($V135=Cat)*(USD))  )</f>
        <v>#DIV/0!</v>
      </c>
      <c r="Y135" s="165" t="str">
        <f t="array" ref="Y135">MMULT(  TRANSPOSE(1*($V135=Cat)),   ($V135=Cat)*USD*APY / SUM(($V135=Cat)*(USD))  )</f>
        <v>#DIV/0!</v>
      </c>
      <c r="Z135" s="165" t="str">
        <f t="shared" si="6"/>
        <v>#DIV/0!</v>
      </c>
      <c r="AA135" s="165">
        <f t="shared" si="7"/>
        <v>0</v>
      </c>
      <c r="AB135" s="134"/>
    </row>
    <row r="136" ht="14.25" customHeight="1">
      <c r="A136" s="134"/>
      <c r="B136" s="134"/>
      <c r="C136" s="140"/>
      <c r="D136" s="134"/>
      <c r="E136" s="140"/>
      <c r="F136" s="134"/>
      <c r="G136" s="140"/>
      <c r="H136" s="134"/>
      <c r="I136" s="140"/>
      <c r="J136" s="134"/>
      <c r="K136" s="140"/>
      <c r="L136" s="134"/>
      <c r="M136" s="140"/>
      <c r="N136" s="134"/>
      <c r="O136" s="134"/>
      <c r="P136" s="134"/>
      <c r="Q136" s="134"/>
      <c r="R136" s="134"/>
      <c r="S136" s="134"/>
      <c r="T136" s="134"/>
      <c r="U136" s="134"/>
      <c r="V136" s="134"/>
      <c r="W136" s="140">
        <f>SUM(W122:W135)</f>
        <v>16081641373</v>
      </c>
      <c r="X136" s="138" t="str">
        <f t="shared" ref="X136:Z136" si="8">SUMPRODUCT(X122:X135,$W$122:$W$135)/$W136</f>
        <v>#VALUE!</v>
      </c>
      <c r="Y136" s="138" t="str">
        <f t="shared" si="8"/>
        <v>#VALUE!</v>
      </c>
      <c r="Z136" s="138" t="str">
        <f t="shared" si="8"/>
        <v>#VALUE!</v>
      </c>
      <c r="AA136" s="138">
        <f t="shared" si="7"/>
        <v>1</v>
      </c>
      <c r="AB136" s="134"/>
    </row>
    <row r="137" ht="14.25" customHeight="1">
      <c r="A137" s="134"/>
      <c r="B137" s="134"/>
      <c r="C137" s="140"/>
      <c r="D137" s="134"/>
      <c r="E137" s="140"/>
      <c r="F137" s="134"/>
      <c r="G137" s="140"/>
      <c r="H137" s="134"/>
      <c r="I137" s="140"/>
      <c r="J137" s="134"/>
      <c r="K137" s="140"/>
      <c r="L137" s="134"/>
      <c r="M137" s="140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5"/>
      <c r="AA137" s="135"/>
      <c r="AB137" s="134"/>
    </row>
    <row r="138" ht="14.25" customHeight="1">
      <c r="A138" s="134"/>
      <c r="B138" s="134"/>
      <c r="C138" s="140"/>
      <c r="D138" s="134"/>
      <c r="E138" s="140"/>
      <c r="F138" s="134"/>
      <c r="G138" s="140"/>
      <c r="H138" s="134"/>
      <c r="I138" s="140"/>
      <c r="J138" s="134"/>
      <c r="K138" s="140"/>
      <c r="L138" s="134"/>
      <c r="M138" s="140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5"/>
      <c r="AA138" s="135"/>
      <c r="AB138" s="134"/>
    </row>
    <row r="139" ht="14.25" customHeight="1">
      <c r="A139" s="134"/>
      <c r="B139" s="134"/>
      <c r="C139" s="140"/>
      <c r="D139" s="134"/>
      <c r="E139" s="140"/>
      <c r="F139" s="134"/>
      <c r="G139" s="140"/>
      <c r="H139" s="134"/>
      <c r="I139" s="140"/>
      <c r="J139" s="134"/>
      <c r="K139" s="140"/>
      <c r="L139" s="134"/>
      <c r="M139" s="140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5"/>
      <c r="AA139" s="135"/>
      <c r="AB139" s="134"/>
    </row>
    <row r="140" ht="14.25" customHeight="1">
      <c r="A140" s="134"/>
      <c r="B140" s="134"/>
      <c r="C140" s="140"/>
      <c r="D140" s="134"/>
      <c r="E140" s="140"/>
      <c r="F140" s="134"/>
      <c r="G140" s="140"/>
      <c r="H140" s="134"/>
      <c r="I140" s="140"/>
      <c r="J140" s="134"/>
      <c r="K140" s="140"/>
      <c r="L140" s="134"/>
      <c r="M140" s="140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5"/>
      <c r="AA140" s="135"/>
      <c r="AB140" s="134"/>
    </row>
    <row r="141" ht="14.25" customHeight="1">
      <c r="A141" s="134"/>
      <c r="B141" s="134"/>
      <c r="C141" s="140"/>
      <c r="D141" s="134"/>
      <c r="E141" s="140"/>
      <c r="F141" s="134"/>
      <c r="G141" s="140"/>
      <c r="H141" s="134"/>
      <c r="I141" s="140"/>
      <c r="J141" s="134"/>
      <c r="K141" s="140"/>
      <c r="L141" s="134"/>
      <c r="M141" s="140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5"/>
      <c r="AA141" s="135"/>
      <c r="AB141" s="134"/>
    </row>
    <row r="142" ht="14.25" customHeight="1">
      <c r="A142" s="134"/>
      <c r="B142" s="134"/>
      <c r="C142" s="140"/>
      <c r="D142" s="134"/>
      <c r="E142" s="140"/>
      <c r="F142" s="134"/>
      <c r="G142" s="140"/>
      <c r="H142" s="134"/>
      <c r="I142" s="140"/>
      <c r="J142" s="134"/>
      <c r="K142" s="140"/>
      <c r="L142" s="134"/>
      <c r="M142" s="140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5"/>
      <c r="AA142" s="135"/>
      <c r="AB142" s="134"/>
    </row>
    <row r="143" ht="14.25" customHeight="1">
      <c r="A143" s="134"/>
      <c r="B143" s="134"/>
      <c r="C143" s="140"/>
      <c r="D143" s="134"/>
      <c r="E143" s="140"/>
      <c r="F143" s="134"/>
      <c r="G143" s="140"/>
      <c r="H143" s="134"/>
      <c r="I143" s="140"/>
      <c r="J143" s="134"/>
      <c r="K143" s="140"/>
      <c r="L143" s="134"/>
      <c r="M143" s="140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5"/>
      <c r="AA143" s="135"/>
      <c r="AB143" s="134"/>
    </row>
    <row r="144" ht="14.25" customHeight="1">
      <c r="A144" s="134"/>
      <c r="B144" s="134"/>
      <c r="C144" s="140"/>
      <c r="D144" s="134"/>
      <c r="E144" s="140"/>
      <c r="F144" s="134"/>
      <c r="G144" s="140"/>
      <c r="H144" s="134"/>
      <c r="I144" s="140"/>
      <c r="J144" s="134"/>
      <c r="K144" s="140"/>
      <c r="L144" s="134"/>
      <c r="M144" s="140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5"/>
      <c r="AA144" s="135"/>
      <c r="AB144" s="134"/>
    </row>
    <row r="145" ht="14.25" customHeight="1">
      <c r="A145" s="134"/>
      <c r="B145" s="134"/>
      <c r="C145" s="140"/>
      <c r="D145" s="134"/>
      <c r="E145" s="140"/>
      <c r="F145" s="134"/>
      <c r="G145" s="140"/>
      <c r="H145" s="134"/>
      <c r="I145" s="140"/>
      <c r="J145" s="134"/>
      <c r="K145" s="140"/>
      <c r="L145" s="134"/>
      <c r="M145" s="140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5"/>
      <c r="AA145" s="135"/>
      <c r="AB145" s="134"/>
    </row>
    <row r="146" ht="14.25" customHeight="1">
      <c r="A146" s="134"/>
      <c r="B146" s="134"/>
      <c r="C146" s="140"/>
      <c r="D146" s="134"/>
      <c r="E146" s="140"/>
      <c r="F146" s="134"/>
      <c r="G146" s="140"/>
      <c r="H146" s="134"/>
      <c r="I146" s="140"/>
      <c r="J146" s="134"/>
      <c r="K146" s="140"/>
      <c r="L146" s="134"/>
      <c r="M146" s="140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5"/>
      <c r="AA146" s="135"/>
      <c r="AB146" s="134"/>
    </row>
    <row r="147" ht="14.25" customHeight="1">
      <c r="A147" s="134"/>
      <c r="B147" s="134"/>
      <c r="C147" s="140"/>
      <c r="D147" s="134"/>
      <c r="E147" s="140"/>
      <c r="F147" s="134"/>
      <c r="G147" s="140"/>
      <c r="H147" s="134"/>
      <c r="I147" s="140"/>
      <c r="J147" s="134"/>
      <c r="K147" s="140"/>
      <c r="L147" s="134"/>
      <c r="M147" s="140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5"/>
      <c r="AA147" s="135"/>
      <c r="AB147" s="134"/>
    </row>
    <row r="148" ht="14.25" customHeight="1">
      <c r="A148" s="134"/>
      <c r="B148" s="134"/>
      <c r="C148" s="140"/>
      <c r="D148" s="134"/>
      <c r="E148" s="140"/>
      <c r="F148" s="134"/>
      <c r="G148" s="140"/>
      <c r="H148" s="134"/>
      <c r="I148" s="140"/>
      <c r="J148" s="134"/>
      <c r="K148" s="140"/>
      <c r="L148" s="134"/>
      <c r="M148" s="140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5"/>
      <c r="AA148" s="135"/>
      <c r="AB148" s="134"/>
    </row>
    <row r="149" ht="14.25" customHeight="1">
      <c r="A149" s="134"/>
      <c r="B149" s="134"/>
      <c r="C149" s="140"/>
      <c r="D149" s="134"/>
      <c r="E149" s="140"/>
      <c r="F149" s="134"/>
      <c r="G149" s="140"/>
      <c r="H149" s="134"/>
      <c r="I149" s="140"/>
      <c r="J149" s="134"/>
      <c r="K149" s="140"/>
      <c r="L149" s="134"/>
      <c r="M149" s="140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5"/>
      <c r="AA149" s="135"/>
      <c r="AB149" s="134"/>
    </row>
    <row r="150" ht="14.25" customHeight="1">
      <c r="A150" s="134"/>
      <c r="B150" s="134"/>
      <c r="C150" s="140"/>
      <c r="D150" s="134"/>
      <c r="E150" s="140"/>
      <c r="F150" s="134"/>
      <c r="G150" s="140"/>
      <c r="H150" s="134"/>
      <c r="I150" s="140"/>
      <c r="J150" s="134"/>
      <c r="K150" s="140"/>
      <c r="L150" s="134"/>
      <c r="M150" s="140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5"/>
      <c r="AA150" s="135"/>
      <c r="AB150" s="134"/>
    </row>
    <row r="151" ht="14.25" customHeight="1">
      <c r="A151" s="134"/>
      <c r="B151" s="134"/>
      <c r="C151" s="140"/>
      <c r="D151" s="134"/>
      <c r="E151" s="140"/>
      <c r="F151" s="134"/>
      <c r="G151" s="140"/>
      <c r="H151" s="134"/>
      <c r="I151" s="140"/>
      <c r="J151" s="134"/>
      <c r="K151" s="140"/>
      <c r="L151" s="134"/>
      <c r="M151" s="140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5"/>
      <c r="AA151" s="135"/>
      <c r="AB151" s="134"/>
    </row>
    <row r="152" ht="14.25" customHeight="1">
      <c r="A152" s="134"/>
      <c r="B152" s="134"/>
      <c r="C152" s="140"/>
      <c r="D152" s="134"/>
      <c r="E152" s="140"/>
      <c r="F152" s="134"/>
      <c r="G152" s="140"/>
      <c r="H152" s="134"/>
      <c r="I152" s="140"/>
      <c r="J152" s="134"/>
      <c r="K152" s="140"/>
      <c r="L152" s="134"/>
      <c r="M152" s="140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5"/>
      <c r="AA152" s="135"/>
      <c r="AB152" s="134"/>
    </row>
    <row r="153" ht="14.25" customHeight="1">
      <c r="A153" s="134"/>
      <c r="B153" s="134"/>
      <c r="C153" s="140"/>
      <c r="D153" s="134"/>
      <c r="E153" s="140"/>
      <c r="F153" s="134"/>
      <c r="G153" s="140"/>
      <c r="H153" s="134"/>
      <c r="I153" s="140"/>
      <c r="J153" s="134"/>
      <c r="K153" s="140"/>
      <c r="L153" s="134"/>
      <c r="M153" s="140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5"/>
      <c r="AA153" s="135"/>
      <c r="AB153" s="134"/>
    </row>
    <row r="154" ht="14.25" customHeight="1">
      <c r="A154" s="134"/>
      <c r="B154" s="134"/>
      <c r="C154" s="140"/>
      <c r="D154" s="134"/>
      <c r="E154" s="140"/>
      <c r="F154" s="134"/>
      <c r="G154" s="140"/>
      <c r="H154" s="134"/>
      <c r="I154" s="140"/>
      <c r="J154" s="134"/>
      <c r="K154" s="140"/>
      <c r="L154" s="134"/>
      <c r="M154" s="140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5"/>
      <c r="AA154" s="135"/>
      <c r="AB154" s="134"/>
    </row>
    <row r="155" ht="14.25" customHeight="1">
      <c r="A155" s="134"/>
      <c r="B155" s="134"/>
      <c r="C155" s="140"/>
      <c r="D155" s="134"/>
      <c r="E155" s="140"/>
      <c r="F155" s="134"/>
      <c r="G155" s="140"/>
      <c r="H155" s="134"/>
      <c r="I155" s="140"/>
      <c r="J155" s="134"/>
      <c r="K155" s="140"/>
      <c r="L155" s="134"/>
      <c r="M155" s="140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5"/>
      <c r="AA155" s="135"/>
      <c r="AB155" s="134"/>
    </row>
    <row r="156" ht="14.25" customHeight="1">
      <c r="A156" s="134"/>
      <c r="B156" s="134"/>
      <c r="C156" s="140"/>
      <c r="D156" s="134"/>
      <c r="E156" s="140"/>
      <c r="F156" s="134"/>
      <c r="G156" s="140"/>
      <c r="H156" s="134"/>
      <c r="I156" s="140"/>
      <c r="J156" s="134"/>
      <c r="K156" s="140"/>
      <c r="L156" s="134"/>
      <c r="M156" s="140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5"/>
      <c r="AA156" s="135"/>
      <c r="AB156" s="134"/>
    </row>
    <row r="157" ht="14.25" customHeight="1">
      <c r="A157" s="134"/>
      <c r="B157" s="134"/>
      <c r="C157" s="140"/>
      <c r="D157" s="134"/>
      <c r="E157" s="140"/>
      <c r="F157" s="134"/>
      <c r="G157" s="140"/>
      <c r="H157" s="134"/>
      <c r="I157" s="140"/>
      <c r="J157" s="134"/>
      <c r="K157" s="140"/>
      <c r="L157" s="134"/>
      <c r="M157" s="140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5"/>
      <c r="AA157" s="135"/>
      <c r="AB157" s="134"/>
    </row>
    <row r="158" ht="14.25" customHeight="1">
      <c r="A158" s="134"/>
      <c r="B158" s="134"/>
      <c r="C158" s="140"/>
      <c r="D158" s="134"/>
      <c r="E158" s="140"/>
      <c r="F158" s="134"/>
      <c r="G158" s="140"/>
      <c r="H158" s="134"/>
      <c r="I158" s="140"/>
      <c r="J158" s="134"/>
      <c r="K158" s="140"/>
      <c r="L158" s="134"/>
      <c r="M158" s="140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5"/>
      <c r="AA158" s="135"/>
      <c r="AB158" s="134"/>
    </row>
    <row r="159" ht="14.25" customHeight="1">
      <c r="A159" s="134"/>
      <c r="B159" s="134"/>
      <c r="C159" s="140"/>
      <c r="D159" s="134"/>
      <c r="E159" s="140"/>
      <c r="F159" s="134"/>
      <c r="G159" s="140"/>
      <c r="H159" s="134"/>
      <c r="I159" s="140"/>
      <c r="J159" s="134"/>
      <c r="K159" s="140"/>
      <c r="L159" s="134"/>
      <c r="M159" s="140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5"/>
      <c r="AA159" s="135"/>
      <c r="AB159" s="134"/>
    </row>
    <row r="160" ht="14.25" customHeight="1">
      <c r="A160" s="134"/>
      <c r="B160" s="134"/>
      <c r="C160" s="140"/>
      <c r="D160" s="134"/>
      <c r="E160" s="140"/>
      <c r="F160" s="134"/>
      <c r="G160" s="140"/>
      <c r="H160" s="134"/>
      <c r="I160" s="140"/>
      <c r="J160" s="134"/>
      <c r="K160" s="140"/>
      <c r="L160" s="134"/>
      <c r="M160" s="140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5"/>
      <c r="AA160" s="135"/>
      <c r="AB160" s="134"/>
    </row>
    <row r="161" ht="14.25" customHeight="1">
      <c r="A161" s="134"/>
      <c r="B161" s="134"/>
      <c r="C161" s="140"/>
      <c r="D161" s="134"/>
      <c r="E161" s="140"/>
      <c r="F161" s="134"/>
      <c r="G161" s="140"/>
      <c r="H161" s="134"/>
      <c r="I161" s="140"/>
      <c r="J161" s="134"/>
      <c r="K161" s="140"/>
      <c r="L161" s="134"/>
      <c r="M161" s="140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5"/>
      <c r="AA161" s="135"/>
      <c r="AB161" s="134"/>
    </row>
    <row r="162" ht="14.25" customHeight="1">
      <c r="A162" s="134"/>
      <c r="B162" s="134"/>
      <c r="C162" s="140"/>
      <c r="D162" s="134"/>
      <c r="E162" s="140"/>
      <c r="F162" s="134"/>
      <c r="G162" s="140"/>
      <c r="H162" s="134"/>
      <c r="I162" s="140"/>
      <c r="J162" s="134"/>
      <c r="K162" s="140"/>
      <c r="L162" s="134"/>
      <c r="M162" s="140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5"/>
      <c r="AA162" s="135"/>
      <c r="AB162" s="134"/>
    </row>
    <row r="163" ht="14.25" customHeight="1">
      <c r="A163" s="134"/>
      <c r="B163" s="134"/>
      <c r="C163" s="140"/>
      <c r="D163" s="134"/>
      <c r="E163" s="140"/>
      <c r="F163" s="134"/>
      <c r="G163" s="140"/>
      <c r="H163" s="134"/>
      <c r="I163" s="140"/>
      <c r="J163" s="134"/>
      <c r="K163" s="140"/>
      <c r="L163" s="134"/>
      <c r="M163" s="140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5"/>
      <c r="AA163" s="135"/>
      <c r="AB163" s="134"/>
    </row>
    <row r="164" ht="14.25" customHeight="1">
      <c r="A164" s="134"/>
      <c r="B164" s="134"/>
      <c r="C164" s="140"/>
      <c r="D164" s="134"/>
      <c r="E164" s="140"/>
      <c r="F164" s="134"/>
      <c r="G164" s="140"/>
      <c r="H164" s="134"/>
      <c r="I164" s="140"/>
      <c r="J164" s="134"/>
      <c r="K164" s="140"/>
      <c r="L164" s="134"/>
      <c r="M164" s="140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5"/>
      <c r="AA164" s="135"/>
      <c r="AB164" s="134"/>
    </row>
    <row r="165" ht="14.25" customHeight="1">
      <c r="A165" s="134"/>
      <c r="B165" s="134"/>
      <c r="C165" s="140"/>
      <c r="D165" s="134"/>
      <c r="E165" s="140"/>
      <c r="F165" s="134"/>
      <c r="G165" s="140"/>
      <c r="H165" s="134"/>
      <c r="I165" s="140"/>
      <c r="J165" s="134"/>
      <c r="K165" s="140"/>
      <c r="L165" s="134"/>
      <c r="M165" s="140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5"/>
      <c r="AA165" s="135"/>
      <c r="AB165" s="134"/>
    </row>
    <row r="166" ht="14.25" customHeight="1">
      <c r="A166" s="134"/>
      <c r="B166" s="134"/>
      <c r="C166" s="140"/>
      <c r="D166" s="134"/>
      <c r="E166" s="140"/>
      <c r="F166" s="134"/>
      <c r="G166" s="140"/>
      <c r="H166" s="134"/>
      <c r="I166" s="140"/>
      <c r="J166" s="134"/>
      <c r="K166" s="140"/>
      <c r="L166" s="134"/>
      <c r="M166" s="140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5"/>
      <c r="AA166" s="135"/>
      <c r="AB166" s="134"/>
    </row>
    <row r="167" ht="14.25" customHeight="1">
      <c r="A167" s="134"/>
      <c r="B167" s="134"/>
      <c r="C167" s="140"/>
      <c r="D167" s="134"/>
      <c r="E167" s="140"/>
      <c r="F167" s="134"/>
      <c r="G167" s="140"/>
      <c r="H167" s="134"/>
      <c r="I167" s="140"/>
      <c r="J167" s="134"/>
      <c r="K167" s="140"/>
      <c r="L167" s="134"/>
      <c r="M167" s="140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5"/>
      <c r="AA167" s="135"/>
      <c r="AB167" s="134"/>
    </row>
    <row r="168" ht="14.25" customHeight="1">
      <c r="A168" s="134"/>
      <c r="B168" s="134"/>
      <c r="C168" s="140"/>
      <c r="D168" s="134"/>
      <c r="E168" s="140"/>
      <c r="F168" s="134"/>
      <c r="G168" s="140"/>
      <c r="H168" s="134"/>
      <c r="I168" s="140"/>
      <c r="J168" s="134"/>
      <c r="K168" s="140"/>
      <c r="L168" s="134"/>
      <c r="M168" s="140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5"/>
      <c r="AA168" s="135"/>
      <c r="AB168" s="134"/>
    </row>
    <row r="169" ht="14.25" customHeight="1">
      <c r="A169" s="134"/>
      <c r="B169" s="134"/>
      <c r="C169" s="140"/>
      <c r="D169" s="134"/>
      <c r="E169" s="140"/>
      <c r="F169" s="134"/>
      <c r="G169" s="140"/>
      <c r="H169" s="134"/>
      <c r="I169" s="140"/>
      <c r="J169" s="134"/>
      <c r="K169" s="140"/>
      <c r="L169" s="134"/>
      <c r="M169" s="140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5"/>
      <c r="AA169" s="135"/>
      <c r="AB169" s="134"/>
    </row>
    <row r="170" ht="14.25" customHeight="1">
      <c r="A170" s="134"/>
      <c r="B170" s="134"/>
      <c r="C170" s="140"/>
      <c r="D170" s="134"/>
      <c r="E170" s="140"/>
      <c r="F170" s="134"/>
      <c r="G170" s="140"/>
      <c r="H170" s="134"/>
      <c r="I170" s="140"/>
      <c r="J170" s="134"/>
      <c r="K170" s="140"/>
      <c r="L170" s="134"/>
      <c r="M170" s="140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5"/>
      <c r="AA170" s="135"/>
      <c r="AB170" s="134"/>
    </row>
    <row r="171" ht="14.25" customHeight="1">
      <c r="A171" s="134"/>
      <c r="B171" s="134"/>
      <c r="C171" s="140"/>
      <c r="D171" s="134"/>
      <c r="E171" s="140"/>
      <c r="F171" s="134"/>
      <c r="G171" s="140"/>
      <c r="H171" s="134"/>
      <c r="I171" s="140"/>
      <c r="J171" s="134"/>
      <c r="K171" s="140"/>
      <c r="L171" s="134"/>
      <c r="M171" s="140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5"/>
      <c r="AA171" s="135"/>
      <c r="AB171" s="134"/>
    </row>
    <row r="172" ht="14.25" customHeight="1">
      <c r="A172" s="134"/>
      <c r="B172" s="134"/>
      <c r="C172" s="140"/>
      <c r="D172" s="134"/>
      <c r="E172" s="140"/>
      <c r="F172" s="134"/>
      <c r="G172" s="140"/>
      <c r="H172" s="134"/>
      <c r="I172" s="140"/>
      <c r="J172" s="134"/>
      <c r="K172" s="140"/>
      <c r="L172" s="134"/>
      <c r="M172" s="140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5"/>
      <c r="AA172" s="135"/>
      <c r="AB172" s="134"/>
    </row>
    <row r="173" ht="14.25" customHeight="1">
      <c r="A173" s="134"/>
      <c r="B173" s="134"/>
      <c r="C173" s="140"/>
      <c r="D173" s="134"/>
      <c r="E173" s="140"/>
      <c r="F173" s="134"/>
      <c r="G173" s="140"/>
      <c r="H173" s="134"/>
      <c r="I173" s="140"/>
      <c r="J173" s="134"/>
      <c r="K173" s="140"/>
      <c r="L173" s="134"/>
      <c r="M173" s="140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5"/>
      <c r="AA173" s="135"/>
      <c r="AB173" s="134"/>
    </row>
    <row r="174" ht="14.25" customHeight="1">
      <c r="A174" s="134"/>
      <c r="B174" s="134"/>
      <c r="C174" s="140"/>
      <c r="D174" s="134"/>
      <c r="E174" s="140"/>
      <c r="F174" s="134"/>
      <c r="G174" s="140"/>
      <c r="H174" s="134"/>
      <c r="I174" s="140"/>
      <c r="J174" s="134"/>
      <c r="K174" s="140"/>
      <c r="L174" s="134"/>
      <c r="M174" s="140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5"/>
      <c r="AA174" s="135"/>
      <c r="AB174" s="134"/>
    </row>
    <row r="175" ht="14.25" customHeight="1">
      <c r="A175" s="134"/>
      <c r="B175" s="134"/>
      <c r="C175" s="140"/>
      <c r="D175" s="134"/>
      <c r="E175" s="140"/>
      <c r="F175" s="134"/>
      <c r="G175" s="140"/>
      <c r="H175" s="134"/>
      <c r="I175" s="140"/>
      <c r="J175" s="134"/>
      <c r="K175" s="140"/>
      <c r="L175" s="134"/>
      <c r="M175" s="140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5"/>
      <c r="AA175" s="135"/>
      <c r="AB175" s="134"/>
    </row>
    <row r="176" ht="14.25" customHeight="1">
      <c r="A176" s="134"/>
      <c r="B176" s="134"/>
      <c r="C176" s="140"/>
      <c r="D176" s="134"/>
      <c r="E176" s="140"/>
      <c r="F176" s="134"/>
      <c r="G176" s="140"/>
      <c r="H176" s="134"/>
      <c r="I176" s="140"/>
      <c r="J176" s="134"/>
      <c r="K176" s="140"/>
      <c r="L176" s="134"/>
      <c r="M176" s="140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5"/>
      <c r="AA176" s="135"/>
      <c r="AB176" s="134"/>
    </row>
    <row r="177" ht="14.25" customHeight="1">
      <c r="A177" s="134"/>
      <c r="B177" s="134"/>
      <c r="C177" s="140"/>
      <c r="D177" s="134"/>
      <c r="E177" s="140"/>
      <c r="F177" s="134"/>
      <c r="G177" s="140"/>
      <c r="H177" s="134"/>
      <c r="I177" s="140"/>
      <c r="J177" s="134"/>
      <c r="K177" s="140"/>
      <c r="L177" s="134"/>
      <c r="M177" s="140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5"/>
      <c r="AA177" s="135"/>
      <c r="AB177" s="134"/>
    </row>
    <row r="178" ht="14.25" customHeight="1">
      <c r="A178" s="134"/>
      <c r="B178" s="134"/>
      <c r="C178" s="140"/>
      <c r="D178" s="134"/>
      <c r="E178" s="140"/>
      <c r="F178" s="134"/>
      <c r="G178" s="140"/>
      <c r="H178" s="134"/>
      <c r="I178" s="140"/>
      <c r="J178" s="134"/>
      <c r="K178" s="140"/>
      <c r="L178" s="134"/>
      <c r="M178" s="140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5"/>
      <c r="AA178" s="135"/>
      <c r="AB178" s="134"/>
    </row>
    <row r="179" ht="14.25" customHeight="1">
      <c r="A179" s="134"/>
      <c r="B179" s="134"/>
      <c r="C179" s="140"/>
      <c r="D179" s="134"/>
      <c r="E179" s="140"/>
      <c r="F179" s="134"/>
      <c r="G179" s="140"/>
      <c r="H179" s="134"/>
      <c r="I179" s="140"/>
      <c r="J179" s="134"/>
      <c r="K179" s="140"/>
      <c r="L179" s="134"/>
      <c r="M179" s="140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5"/>
      <c r="AA179" s="135"/>
      <c r="AB179" s="134"/>
    </row>
    <row r="180" ht="14.25" customHeight="1">
      <c r="A180" s="134"/>
      <c r="B180" s="134"/>
      <c r="C180" s="140"/>
      <c r="D180" s="134"/>
      <c r="E180" s="140"/>
      <c r="F180" s="134"/>
      <c r="G180" s="140"/>
      <c r="H180" s="134"/>
      <c r="I180" s="140"/>
      <c r="J180" s="134"/>
      <c r="K180" s="140"/>
      <c r="L180" s="134"/>
      <c r="M180" s="140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5"/>
      <c r="AA180" s="135"/>
      <c r="AB180" s="134"/>
    </row>
    <row r="181" ht="14.25" customHeight="1">
      <c r="A181" s="134"/>
      <c r="B181" s="134"/>
      <c r="C181" s="140"/>
      <c r="D181" s="134"/>
      <c r="E181" s="140"/>
      <c r="F181" s="134"/>
      <c r="G181" s="140"/>
      <c r="H181" s="134"/>
      <c r="I181" s="140"/>
      <c r="J181" s="134"/>
      <c r="K181" s="140"/>
      <c r="L181" s="134"/>
      <c r="M181" s="140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5"/>
      <c r="AA181" s="135"/>
      <c r="AB181" s="134"/>
    </row>
    <row r="182" ht="14.25" customHeight="1">
      <c r="A182" s="134"/>
      <c r="B182" s="134"/>
      <c r="C182" s="140"/>
      <c r="D182" s="134"/>
      <c r="E182" s="140"/>
      <c r="F182" s="134"/>
      <c r="G182" s="140"/>
      <c r="H182" s="134"/>
      <c r="I182" s="140"/>
      <c r="J182" s="134"/>
      <c r="K182" s="140"/>
      <c r="L182" s="134"/>
      <c r="M182" s="140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5"/>
      <c r="AA182" s="135"/>
      <c r="AB182" s="134"/>
    </row>
    <row r="183" ht="14.25" customHeight="1">
      <c r="A183" s="134"/>
      <c r="B183" s="134"/>
      <c r="C183" s="140"/>
      <c r="D183" s="134"/>
      <c r="E183" s="140"/>
      <c r="F183" s="134"/>
      <c r="G183" s="140"/>
      <c r="H183" s="134"/>
      <c r="I183" s="140"/>
      <c r="J183" s="134"/>
      <c r="K183" s="140"/>
      <c r="L183" s="134"/>
      <c r="M183" s="140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5"/>
      <c r="AA183" s="135"/>
      <c r="AB183" s="134"/>
    </row>
    <row r="184" ht="14.25" customHeight="1">
      <c r="A184" s="134"/>
      <c r="B184" s="134"/>
      <c r="C184" s="140"/>
      <c r="D184" s="134"/>
      <c r="E184" s="140"/>
      <c r="F184" s="134"/>
      <c r="G184" s="140"/>
      <c r="H184" s="134"/>
      <c r="I184" s="140"/>
      <c r="J184" s="134"/>
      <c r="K184" s="140"/>
      <c r="L184" s="134"/>
      <c r="M184" s="140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5"/>
      <c r="AA184" s="135"/>
      <c r="AB184" s="134"/>
    </row>
    <row r="185" ht="14.25" customHeight="1">
      <c r="A185" s="134"/>
      <c r="B185" s="134"/>
      <c r="C185" s="140"/>
      <c r="D185" s="134"/>
      <c r="E185" s="140"/>
      <c r="F185" s="134"/>
      <c r="G185" s="140"/>
      <c r="H185" s="134"/>
      <c r="I185" s="140"/>
      <c r="J185" s="134"/>
      <c r="K185" s="140"/>
      <c r="L185" s="134"/>
      <c r="M185" s="140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5"/>
      <c r="AA185" s="135"/>
      <c r="AB185" s="134"/>
    </row>
    <row r="186" ht="14.25" customHeight="1">
      <c r="A186" s="134"/>
      <c r="B186" s="134"/>
      <c r="C186" s="140"/>
      <c r="D186" s="134"/>
      <c r="E186" s="140"/>
      <c r="F186" s="134"/>
      <c r="G186" s="140"/>
      <c r="H186" s="134"/>
      <c r="I186" s="140"/>
      <c r="J186" s="134"/>
      <c r="K186" s="140"/>
      <c r="L186" s="134"/>
      <c r="M186" s="140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5"/>
      <c r="AA186" s="135"/>
      <c r="AB186" s="134"/>
    </row>
    <row r="187" ht="14.25" customHeight="1">
      <c r="A187" s="134"/>
      <c r="B187" s="134"/>
      <c r="C187" s="140"/>
      <c r="D187" s="134"/>
      <c r="E187" s="140"/>
      <c r="F187" s="134"/>
      <c r="G187" s="140"/>
      <c r="H187" s="134"/>
      <c r="I187" s="140"/>
      <c r="J187" s="134"/>
      <c r="K187" s="140"/>
      <c r="L187" s="134"/>
      <c r="M187" s="140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5"/>
      <c r="AA187" s="135"/>
      <c r="AB187" s="134"/>
    </row>
    <row r="188" ht="14.25" customHeight="1">
      <c r="A188" s="134"/>
      <c r="B188" s="134"/>
      <c r="C188" s="140"/>
      <c r="D188" s="134"/>
      <c r="E188" s="140"/>
      <c r="F188" s="134"/>
      <c r="G188" s="140"/>
      <c r="H188" s="134"/>
      <c r="I188" s="140"/>
      <c r="J188" s="134"/>
      <c r="K188" s="140"/>
      <c r="L188" s="134"/>
      <c r="M188" s="140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5"/>
      <c r="AA188" s="135"/>
      <c r="AB188" s="134"/>
    </row>
    <row r="189" ht="14.25" customHeight="1">
      <c r="A189" s="134"/>
      <c r="B189" s="134"/>
      <c r="C189" s="140"/>
      <c r="D189" s="134"/>
      <c r="E189" s="140"/>
      <c r="F189" s="134"/>
      <c r="G189" s="140"/>
      <c r="H189" s="134"/>
      <c r="I189" s="140"/>
      <c r="J189" s="134"/>
      <c r="K189" s="140"/>
      <c r="L189" s="134"/>
      <c r="M189" s="140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5"/>
      <c r="AA189" s="135"/>
      <c r="AB189" s="134"/>
    </row>
    <row r="190" ht="14.25" customHeight="1">
      <c r="A190" s="134"/>
      <c r="B190" s="134"/>
      <c r="C190" s="140"/>
      <c r="D190" s="134"/>
      <c r="E190" s="140"/>
      <c r="F190" s="134"/>
      <c r="G190" s="140"/>
      <c r="H190" s="134"/>
      <c r="I190" s="140"/>
      <c r="J190" s="134"/>
      <c r="K190" s="140"/>
      <c r="L190" s="134"/>
      <c r="M190" s="140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5"/>
      <c r="AA190" s="135"/>
      <c r="AB190" s="134"/>
    </row>
    <row r="191" ht="14.25" customHeight="1">
      <c r="A191" s="134"/>
      <c r="B191" s="134"/>
      <c r="C191" s="140"/>
      <c r="D191" s="134"/>
      <c r="E191" s="140"/>
      <c r="F191" s="134"/>
      <c r="G191" s="140"/>
      <c r="H191" s="134"/>
      <c r="I191" s="140"/>
      <c r="J191" s="134"/>
      <c r="K191" s="140"/>
      <c r="L191" s="134"/>
      <c r="M191" s="140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5"/>
      <c r="AA191" s="135"/>
      <c r="AB191" s="134"/>
    </row>
    <row r="192" ht="14.25" customHeight="1">
      <c r="A192" s="134"/>
      <c r="B192" s="134"/>
      <c r="C192" s="140"/>
      <c r="D192" s="134"/>
      <c r="E192" s="140"/>
      <c r="F192" s="134"/>
      <c r="G192" s="140"/>
      <c r="H192" s="134"/>
      <c r="I192" s="140"/>
      <c r="J192" s="134"/>
      <c r="K192" s="140"/>
      <c r="L192" s="134"/>
      <c r="M192" s="140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5"/>
      <c r="AA192" s="135"/>
      <c r="AB192" s="134"/>
    </row>
    <row r="193" ht="14.25" customHeight="1">
      <c r="A193" s="134"/>
      <c r="B193" s="134"/>
      <c r="C193" s="140"/>
      <c r="D193" s="134"/>
      <c r="E193" s="140"/>
      <c r="F193" s="134"/>
      <c r="G193" s="140"/>
      <c r="H193" s="134"/>
      <c r="I193" s="140"/>
      <c r="J193" s="134"/>
      <c r="K193" s="140"/>
      <c r="L193" s="134"/>
      <c r="M193" s="140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5"/>
      <c r="AA193" s="135"/>
      <c r="AB193" s="134"/>
    </row>
    <row r="194" ht="14.25" customHeight="1">
      <c r="A194" s="134"/>
      <c r="B194" s="134"/>
      <c r="C194" s="140"/>
      <c r="D194" s="134"/>
      <c r="E194" s="140"/>
      <c r="F194" s="134"/>
      <c r="G194" s="140"/>
      <c r="H194" s="134"/>
      <c r="I194" s="140"/>
      <c r="J194" s="134"/>
      <c r="K194" s="140"/>
      <c r="L194" s="134"/>
      <c r="M194" s="140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5"/>
      <c r="AA194" s="135"/>
      <c r="AB194" s="134"/>
    </row>
    <row r="195" ht="14.25" customHeight="1">
      <c r="A195" s="134"/>
      <c r="B195" s="134"/>
      <c r="C195" s="140"/>
      <c r="D195" s="134"/>
      <c r="E195" s="140"/>
      <c r="F195" s="134"/>
      <c r="G195" s="140"/>
      <c r="H195" s="134"/>
      <c r="I195" s="140"/>
      <c r="J195" s="134"/>
      <c r="K195" s="140"/>
      <c r="L195" s="134"/>
      <c r="M195" s="140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5"/>
      <c r="AA195" s="135"/>
      <c r="AB195" s="134"/>
    </row>
    <row r="196" ht="14.25" customHeight="1">
      <c r="A196" s="134"/>
      <c r="B196" s="134"/>
      <c r="C196" s="140"/>
      <c r="D196" s="134"/>
      <c r="E196" s="140"/>
      <c r="F196" s="134"/>
      <c r="G196" s="140"/>
      <c r="H196" s="134"/>
      <c r="I196" s="140"/>
      <c r="J196" s="134"/>
      <c r="K196" s="140"/>
      <c r="L196" s="134"/>
      <c r="M196" s="140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5"/>
      <c r="AA196" s="135"/>
      <c r="AB196" s="134"/>
    </row>
    <row r="197" ht="14.25" customHeight="1">
      <c r="A197" s="134"/>
      <c r="B197" s="134"/>
      <c r="C197" s="140"/>
      <c r="D197" s="134"/>
      <c r="E197" s="140"/>
      <c r="F197" s="134"/>
      <c r="G197" s="140"/>
      <c r="H197" s="134"/>
      <c r="I197" s="140"/>
      <c r="J197" s="134"/>
      <c r="K197" s="140"/>
      <c r="L197" s="134"/>
      <c r="M197" s="140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5"/>
      <c r="AA197" s="135"/>
      <c r="AB197" s="134"/>
    </row>
    <row r="198" ht="14.25" customHeight="1">
      <c r="A198" s="134"/>
      <c r="B198" s="134"/>
      <c r="C198" s="140"/>
      <c r="D198" s="134"/>
      <c r="E198" s="140"/>
      <c r="F198" s="134"/>
      <c r="G198" s="140"/>
      <c r="H198" s="134"/>
      <c r="I198" s="140"/>
      <c r="J198" s="134"/>
      <c r="K198" s="140"/>
      <c r="L198" s="134"/>
      <c r="M198" s="140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5"/>
      <c r="AA198" s="135"/>
      <c r="AB198" s="134"/>
    </row>
    <row r="199" ht="14.25" customHeight="1">
      <c r="A199" s="134"/>
      <c r="B199" s="134"/>
      <c r="C199" s="140"/>
      <c r="D199" s="134"/>
      <c r="E199" s="140"/>
      <c r="F199" s="134"/>
      <c r="G199" s="140"/>
      <c r="H199" s="134"/>
      <c r="I199" s="140"/>
      <c r="J199" s="134"/>
      <c r="K199" s="140"/>
      <c r="L199" s="134"/>
      <c r="M199" s="140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5"/>
      <c r="AA199" s="135"/>
      <c r="AB199" s="134"/>
    </row>
    <row r="200" ht="14.25" customHeight="1">
      <c r="A200" s="134"/>
      <c r="B200" s="134"/>
      <c r="C200" s="140"/>
      <c r="D200" s="134"/>
      <c r="E200" s="140"/>
      <c r="F200" s="134"/>
      <c r="G200" s="140"/>
      <c r="H200" s="134"/>
      <c r="I200" s="140"/>
      <c r="J200" s="134"/>
      <c r="K200" s="140"/>
      <c r="L200" s="134"/>
      <c r="M200" s="140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5"/>
      <c r="AA200" s="135"/>
      <c r="AB200" s="134"/>
    </row>
    <row r="201" ht="14.25" customHeight="1">
      <c r="A201" s="134"/>
      <c r="B201" s="134"/>
      <c r="C201" s="140"/>
      <c r="D201" s="134"/>
      <c r="E201" s="140"/>
      <c r="F201" s="134"/>
      <c r="G201" s="140"/>
      <c r="H201" s="134"/>
      <c r="I201" s="140"/>
      <c r="J201" s="134"/>
      <c r="K201" s="140"/>
      <c r="L201" s="134"/>
      <c r="M201" s="140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5"/>
      <c r="AA201" s="135"/>
      <c r="AB201" s="134"/>
    </row>
    <row r="202" ht="14.25" customHeight="1">
      <c r="A202" s="134"/>
      <c r="B202" s="134"/>
      <c r="C202" s="140"/>
      <c r="D202" s="134"/>
      <c r="E202" s="140"/>
      <c r="F202" s="134"/>
      <c r="G202" s="140"/>
      <c r="H202" s="134"/>
      <c r="I202" s="140"/>
      <c r="J202" s="134"/>
      <c r="K202" s="140"/>
      <c r="L202" s="134"/>
      <c r="M202" s="140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5"/>
      <c r="AA202" s="135"/>
      <c r="AB202" s="134"/>
    </row>
    <row r="203" ht="14.25" customHeight="1">
      <c r="A203" s="134"/>
      <c r="B203" s="134"/>
      <c r="C203" s="140"/>
      <c r="D203" s="134"/>
      <c r="E203" s="140"/>
      <c r="F203" s="134"/>
      <c r="G203" s="140"/>
      <c r="H203" s="134"/>
      <c r="I203" s="140"/>
      <c r="J203" s="134"/>
      <c r="K203" s="140"/>
      <c r="L203" s="134"/>
      <c r="M203" s="140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5"/>
      <c r="AA203" s="135"/>
      <c r="AB203" s="134"/>
    </row>
    <row r="204" ht="14.25" customHeight="1">
      <c r="A204" s="134"/>
      <c r="B204" s="134"/>
      <c r="C204" s="140"/>
      <c r="D204" s="134"/>
      <c r="E204" s="140"/>
      <c r="F204" s="134"/>
      <c r="G204" s="140"/>
      <c r="H204" s="134"/>
      <c r="I204" s="140"/>
      <c r="J204" s="134"/>
      <c r="K204" s="140"/>
      <c r="L204" s="134"/>
      <c r="M204" s="140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5"/>
      <c r="AA204" s="135"/>
      <c r="AB204" s="134"/>
    </row>
    <row r="205" ht="14.25" customHeight="1">
      <c r="A205" s="134"/>
      <c r="B205" s="134"/>
      <c r="C205" s="140"/>
      <c r="D205" s="134"/>
      <c r="E205" s="140"/>
      <c r="F205" s="134"/>
      <c r="G205" s="140"/>
      <c r="H205" s="134"/>
      <c r="I205" s="140"/>
      <c r="J205" s="134"/>
      <c r="K205" s="140"/>
      <c r="L205" s="134"/>
      <c r="M205" s="140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5"/>
      <c r="AA205" s="135"/>
      <c r="AB205" s="134"/>
    </row>
    <row r="206" ht="14.25" customHeight="1">
      <c r="A206" s="134"/>
      <c r="B206" s="134"/>
      <c r="C206" s="140"/>
      <c r="D206" s="134"/>
      <c r="E206" s="140"/>
      <c r="F206" s="134"/>
      <c r="G206" s="140"/>
      <c r="H206" s="134"/>
      <c r="I206" s="140"/>
      <c r="J206" s="134"/>
      <c r="K206" s="140"/>
      <c r="L206" s="134"/>
      <c r="M206" s="140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5"/>
      <c r="AA206" s="135"/>
      <c r="AB206" s="134"/>
    </row>
    <row r="207" ht="14.25" customHeight="1">
      <c r="A207" s="134"/>
      <c r="B207" s="134"/>
      <c r="C207" s="140"/>
      <c r="D207" s="134"/>
      <c r="E207" s="140"/>
      <c r="F207" s="134"/>
      <c r="G207" s="140"/>
      <c r="H207" s="134"/>
      <c r="I207" s="140"/>
      <c r="J207" s="134"/>
      <c r="K207" s="140"/>
      <c r="L207" s="134"/>
      <c r="M207" s="140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5"/>
      <c r="AA207" s="135"/>
      <c r="AB207" s="134"/>
    </row>
    <row r="208" ht="14.25" customHeight="1">
      <c r="A208" s="134"/>
      <c r="B208" s="134"/>
      <c r="C208" s="140"/>
      <c r="D208" s="134"/>
      <c r="E208" s="140"/>
      <c r="F208" s="134"/>
      <c r="G208" s="140"/>
      <c r="H208" s="134"/>
      <c r="I208" s="140"/>
      <c r="J208" s="134"/>
      <c r="K208" s="140"/>
      <c r="L208" s="134"/>
      <c r="M208" s="140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5"/>
      <c r="AA208" s="135"/>
      <c r="AB208" s="134"/>
    </row>
    <row r="209" ht="14.25" customHeight="1">
      <c r="A209" s="134"/>
      <c r="B209" s="134"/>
      <c r="C209" s="140"/>
      <c r="D209" s="134"/>
      <c r="E209" s="140"/>
      <c r="F209" s="134"/>
      <c r="G209" s="140"/>
      <c r="H209" s="134"/>
      <c r="I209" s="140"/>
      <c r="J209" s="134"/>
      <c r="K209" s="140"/>
      <c r="L209" s="134"/>
      <c r="M209" s="140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5"/>
      <c r="AA209" s="135"/>
      <c r="AB209" s="134"/>
    </row>
    <row r="210" ht="14.25" customHeight="1">
      <c r="A210" s="134"/>
      <c r="B210" s="134"/>
      <c r="C210" s="140"/>
      <c r="D210" s="134"/>
      <c r="E210" s="140"/>
      <c r="F210" s="134"/>
      <c r="G210" s="140"/>
      <c r="H210" s="134"/>
      <c r="I210" s="140"/>
      <c r="J210" s="134"/>
      <c r="K210" s="140"/>
      <c r="L210" s="134"/>
      <c r="M210" s="140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5"/>
      <c r="AA210" s="135"/>
      <c r="AB210" s="134"/>
    </row>
    <row r="211" ht="14.25" customHeight="1">
      <c r="A211" s="134"/>
      <c r="B211" s="134"/>
      <c r="C211" s="140"/>
      <c r="D211" s="134"/>
      <c r="E211" s="140"/>
      <c r="F211" s="134"/>
      <c r="G211" s="140"/>
      <c r="H211" s="134"/>
      <c r="I211" s="140"/>
      <c r="J211" s="134"/>
      <c r="K211" s="140"/>
      <c r="L211" s="134"/>
      <c r="M211" s="140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5"/>
      <c r="AA211" s="135"/>
      <c r="AB211" s="134"/>
    </row>
    <row r="212" ht="14.25" customHeight="1">
      <c r="A212" s="134"/>
      <c r="B212" s="134"/>
      <c r="C212" s="140"/>
      <c r="D212" s="134"/>
      <c r="E212" s="140"/>
      <c r="F212" s="134"/>
      <c r="G212" s="140"/>
      <c r="H212" s="134"/>
      <c r="I212" s="140"/>
      <c r="J212" s="134"/>
      <c r="K212" s="140"/>
      <c r="L212" s="134"/>
      <c r="M212" s="140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5"/>
      <c r="AA212" s="135"/>
      <c r="AB212" s="134"/>
    </row>
    <row r="213" ht="14.25" customHeight="1">
      <c r="A213" s="134"/>
      <c r="B213" s="134"/>
      <c r="C213" s="140"/>
      <c r="D213" s="134"/>
      <c r="E213" s="140"/>
      <c r="F213" s="134"/>
      <c r="G213" s="140"/>
      <c r="H213" s="134"/>
      <c r="I213" s="140"/>
      <c r="J213" s="134"/>
      <c r="K213" s="140"/>
      <c r="L213" s="134"/>
      <c r="M213" s="140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5"/>
      <c r="AA213" s="135"/>
      <c r="AB213" s="134"/>
    </row>
    <row r="214" ht="14.25" customHeight="1">
      <c r="A214" s="134"/>
      <c r="B214" s="134"/>
      <c r="C214" s="140"/>
      <c r="D214" s="134"/>
      <c r="E214" s="140"/>
      <c r="F214" s="134"/>
      <c r="G214" s="140"/>
      <c r="H214" s="134"/>
      <c r="I214" s="140"/>
      <c r="J214" s="134"/>
      <c r="K214" s="140"/>
      <c r="L214" s="134"/>
      <c r="M214" s="140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5"/>
      <c r="AA214" s="135"/>
      <c r="AB214" s="134"/>
    </row>
    <row r="215" ht="14.25" customHeight="1">
      <c r="A215" s="134"/>
      <c r="B215" s="134"/>
      <c r="C215" s="140"/>
      <c r="D215" s="134"/>
      <c r="E215" s="140"/>
      <c r="F215" s="134"/>
      <c r="G215" s="140"/>
      <c r="H215" s="134"/>
      <c r="I215" s="140"/>
      <c r="J215" s="134"/>
      <c r="K215" s="140"/>
      <c r="L215" s="134"/>
      <c r="M215" s="140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5"/>
      <c r="AA215" s="135"/>
      <c r="AB215" s="134"/>
    </row>
    <row r="216" ht="14.25" customHeight="1">
      <c r="A216" s="134"/>
      <c r="B216" s="134"/>
      <c r="C216" s="140"/>
      <c r="D216" s="134"/>
      <c r="E216" s="140"/>
      <c r="F216" s="134"/>
      <c r="G216" s="140"/>
      <c r="H216" s="134"/>
      <c r="I216" s="140"/>
      <c r="J216" s="134"/>
      <c r="K216" s="140"/>
      <c r="L216" s="134"/>
      <c r="M216" s="140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5"/>
      <c r="AA216" s="135"/>
      <c r="AB216" s="134"/>
    </row>
    <row r="217" ht="14.25" customHeight="1">
      <c r="A217" s="134"/>
      <c r="B217" s="134"/>
      <c r="C217" s="140"/>
      <c r="D217" s="134"/>
      <c r="E217" s="140"/>
      <c r="F217" s="134"/>
      <c r="G217" s="140"/>
      <c r="H217" s="134"/>
      <c r="I217" s="140"/>
      <c r="J217" s="134"/>
      <c r="K217" s="140"/>
      <c r="L217" s="134"/>
      <c r="M217" s="140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5"/>
      <c r="AA217" s="135"/>
      <c r="AB217" s="134"/>
    </row>
    <row r="218" ht="14.25" customHeight="1">
      <c r="A218" s="134"/>
      <c r="B218" s="134"/>
      <c r="C218" s="140"/>
      <c r="D218" s="134"/>
      <c r="E218" s="140"/>
      <c r="F218" s="134"/>
      <c r="G218" s="140"/>
      <c r="H218" s="134"/>
      <c r="I218" s="140"/>
      <c r="J218" s="134"/>
      <c r="K218" s="140"/>
      <c r="L218" s="134"/>
      <c r="M218" s="140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5"/>
      <c r="AA218" s="135"/>
      <c r="AB218" s="134"/>
    </row>
    <row r="219" ht="14.25" customHeight="1">
      <c r="A219" s="134"/>
      <c r="B219" s="134"/>
      <c r="C219" s="140"/>
      <c r="D219" s="134"/>
      <c r="E219" s="140"/>
      <c r="F219" s="134"/>
      <c r="G219" s="140"/>
      <c r="H219" s="134"/>
      <c r="I219" s="140"/>
      <c r="J219" s="134"/>
      <c r="K219" s="140"/>
      <c r="L219" s="134"/>
      <c r="M219" s="140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5"/>
      <c r="AA219" s="135"/>
      <c r="AB219" s="134"/>
    </row>
    <row r="220" ht="14.25" customHeight="1">
      <c r="A220" s="134"/>
      <c r="B220" s="134"/>
      <c r="C220" s="140"/>
      <c r="D220" s="134"/>
      <c r="E220" s="140"/>
      <c r="F220" s="134"/>
      <c r="G220" s="140"/>
      <c r="H220" s="134"/>
      <c r="I220" s="140"/>
      <c r="J220" s="134"/>
      <c r="K220" s="140"/>
      <c r="L220" s="134"/>
      <c r="M220" s="140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5"/>
      <c r="AA220" s="135"/>
      <c r="AB220" s="134"/>
    </row>
    <row r="221" ht="14.25" customHeight="1">
      <c r="A221" s="134"/>
      <c r="B221" s="134"/>
      <c r="C221" s="140"/>
      <c r="D221" s="134"/>
      <c r="E221" s="140"/>
      <c r="F221" s="134"/>
      <c r="G221" s="140"/>
      <c r="H221" s="134"/>
      <c r="I221" s="140"/>
      <c r="J221" s="134"/>
      <c r="K221" s="140"/>
      <c r="L221" s="134"/>
      <c r="M221" s="140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5"/>
      <c r="AA221" s="135"/>
      <c r="AB221" s="134"/>
    </row>
    <row r="222" ht="14.25" customHeight="1">
      <c r="A222" s="134"/>
      <c r="B222" s="134"/>
      <c r="C222" s="140"/>
      <c r="D222" s="134"/>
      <c r="E222" s="140"/>
      <c r="F222" s="134"/>
      <c r="G222" s="140"/>
      <c r="H222" s="134"/>
      <c r="I222" s="140"/>
      <c r="J222" s="134"/>
      <c r="K222" s="140"/>
      <c r="L222" s="134"/>
      <c r="M222" s="140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5"/>
      <c r="AA222" s="135"/>
      <c r="AB222" s="134"/>
    </row>
    <row r="223" ht="14.25" customHeight="1">
      <c r="A223" s="134"/>
      <c r="B223" s="134"/>
      <c r="C223" s="140"/>
      <c r="D223" s="134"/>
      <c r="E223" s="140"/>
      <c r="F223" s="134"/>
      <c r="G223" s="140"/>
      <c r="H223" s="134"/>
      <c r="I223" s="140"/>
      <c r="J223" s="134"/>
      <c r="K223" s="140"/>
      <c r="L223" s="134"/>
      <c r="M223" s="140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5"/>
      <c r="AA223" s="135"/>
      <c r="AB223" s="134"/>
    </row>
    <row r="224" ht="14.25" customHeight="1">
      <c r="A224" s="134"/>
      <c r="B224" s="134"/>
      <c r="C224" s="140"/>
      <c r="D224" s="134"/>
      <c r="E224" s="140"/>
      <c r="F224" s="134"/>
      <c r="G224" s="140"/>
      <c r="H224" s="134"/>
      <c r="I224" s="140"/>
      <c r="J224" s="134"/>
      <c r="K224" s="140"/>
      <c r="L224" s="134"/>
      <c r="M224" s="140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5"/>
      <c r="AA224" s="135"/>
      <c r="AB224" s="134"/>
    </row>
    <row r="225" ht="14.25" customHeight="1">
      <c r="A225" s="134"/>
      <c r="B225" s="134"/>
      <c r="C225" s="140"/>
      <c r="D225" s="134"/>
      <c r="E225" s="140"/>
      <c r="F225" s="134"/>
      <c r="G225" s="140"/>
      <c r="H225" s="134"/>
      <c r="I225" s="140"/>
      <c r="J225" s="134"/>
      <c r="K225" s="140"/>
      <c r="L225" s="134"/>
      <c r="M225" s="140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5"/>
      <c r="AA225" s="135"/>
      <c r="AB225" s="134"/>
    </row>
    <row r="226" ht="14.25" customHeight="1">
      <c r="A226" s="134"/>
      <c r="B226" s="134"/>
      <c r="C226" s="140"/>
      <c r="D226" s="134"/>
      <c r="E226" s="140"/>
      <c r="F226" s="134"/>
      <c r="G226" s="140"/>
      <c r="H226" s="134"/>
      <c r="I226" s="140"/>
      <c r="J226" s="134"/>
      <c r="K226" s="140"/>
      <c r="L226" s="134"/>
      <c r="M226" s="140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5"/>
      <c r="AA226" s="135"/>
      <c r="AB226" s="134"/>
    </row>
    <row r="227" ht="14.25" customHeight="1">
      <c r="A227" s="134"/>
      <c r="B227" s="134"/>
      <c r="C227" s="140"/>
      <c r="D227" s="134"/>
      <c r="E227" s="140"/>
      <c r="F227" s="134"/>
      <c r="G227" s="140"/>
      <c r="H227" s="134"/>
      <c r="I227" s="140"/>
      <c r="J227" s="134"/>
      <c r="K227" s="140"/>
      <c r="L227" s="134"/>
      <c r="M227" s="140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5"/>
      <c r="AA227" s="135"/>
      <c r="AB227" s="134"/>
    </row>
    <row r="228" ht="14.25" customHeight="1">
      <c r="A228" s="134"/>
      <c r="B228" s="134"/>
      <c r="C228" s="140"/>
      <c r="D228" s="134"/>
      <c r="E228" s="140"/>
      <c r="F228" s="134"/>
      <c r="G228" s="140"/>
      <c r="H228" s="134"/>
      <c r="I228" s="140"/>
      <c r="J228" s="134"/>
      <c r="K228" s="140"/>
      <c r="L228" s="134"/>
      <c r="M228" s="140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5"/>
      <c r="AA228" s="135"/>
      <c r="AB228" s="134"/>
    </row>
    <row r="229" ht="14.25" customHeight="1">
      <c r="A229" s="134"/>
      <c r="B229" s="134"/>
      <c r="C229" s="140"/>
      <c r="D229" s="134"/>
      <c r="E229" s="140"/>
      <c r="F229" s="134"/>
      <c r="G229" s="140"/>
      <c r="H229" s="134"/>
      <c r="I229" s="140"/>
      <c r="J229" s="134"/>
      <c r="K229" s="140"/>
      <c r="L229" s="134"/>
      <c r="M229" s="140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5"/>
      <c r="AA229" s="135"/>
      <c r="AB229" s="134"/>
    </row>
    <row r="230" ht="14.25" customHeight="1">
      <c r="A230" s="134"/>
      <c r="B230" s="134"/>
      <c r="C230" s="140"/>
      <c r="D230" s="134"/>
      <c r="E230" s="140"/>
      <c r="F230" s="134"/>
      <c r="G230" s="140"/>
      <c r="H230" s="134"/>
      <c r="I230" s="140"/>
      <c r="J230" s="134"/>
      <c r="K230" s="140"/>
      <c r="L230" s="134"/>
      <c r="M230" s="140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5"/>
      <c r="AA230" s="135"/>
      <c r="AB230" s="134"/>
    </row>
    <row r="231" ht="14.25" customHeight="1">
      <c r="A231" s="134"/>
      <c r="B231" s="134"/>
      <c r="C231" s="140"/>
      <c r="D231" s="134"/>
      <c r="E231" s="140"/>
      <c r="F231" s="134"/>
      <c r="G231" s="140"/>
      <c r="H231" s="134"/>
      <c r="I231" s="140"/>
      <c r="J231" s="134"/>
      <c r="K231" s="140"/>
      <c r="L231" s="134"/>
      <c r="M231" s="140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5"/>
      <c r="AA231" s="135"/>
      <c r="AB231" s="134"/>
    </row>
    <row r="232" ht="14.25" customHeight="1">
      <c r="A232" s="134"/>
      <c r="B232" s="134"/>
      <c r="C232" s="140"/>
      <c r="D232" s="134"/>
      <c r="E232" s="140"/>
      <c r="F232" s="134"/>
      <c r="G232" s="140"/>
      <c r="H232" s="134"/>
      <c r="I232" s="140"/>
      <c r="J232" s="134"/>
      <c r="K232" s="140"/>
      <c r="L232" s="134"/>
      <c r="M232" s="140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5"/>
      <c r="AA232" s="135"/>
      <c r="AB232" s="134"/>
    </row>
    <row r="233" ht="14.25" customHeight="1">
      <c r="A233" s="134"/>
      <c r="B233" s="134"/>
      <c r="C233" s="140"/>
      <c r="D233" s="134"/>
      <c r="E233" s="140"/>
      <c r="F233" s="134"/>
      <c r="G233" s="140"/>
      <c r="H233" s="134"/>
      <c r="I233" s="140"/>
      <c r="J233" s="134"/>
      <c r="K233" s="140"/>
      <c r="L233" s="134"/>
      <c r="M233" s="140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5"/>
      <c r="AA233" s="135"/>
      <c r="AB233" s="134"/>
    </row>
    <row r="234" ht="14.25" customHeight="1">
      <c r="A234" s="134"/>
      <c r="B234" s="134"/>
      <c r="C234" s="140"/>
      <c r="D234" s="134"/>
      <c r="E234" s="140"/>
      <c r="F234" s="134"/>
      <c r="G234" s="140"/>
      <c r="H234" s="134"/>
      <c r="I234" s="140"/>
      <c r="J234" s="134"/>
      <c r="K234" s="140"/>
      <c r="L234" s="134"/>
      <c r="M234" s="140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5"/>
      <c r="AA234" s="135"/>
      <c r="AB234" s="134"/>
    </row>
    <row r="235" ht="14.25" customHeight="1">
      <c r="A235" s="134"/>
      <c r="B235" s="134"/>
      <c r="C235" s="140"/>
      <c r="D235" s="134"/>
      <c r="E235" s="140"/>
      <c r="F235" s="134"/>
      <c r="G235" s="140"/>
      <c r="H235" s="134"/>
      <c r="I235" s="140"/>
      <c r="J235" s="134"/>
      <c r="K235" s="140"/>
      <c r="L235" s="134"/>
      <c r="M235" s="140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5"/>
      <c r="AA235" s="135"/>
      <c r="AB235" s="134"/>
    </row>
    <row r="236" ht="14.25" customHeight="1">
      <c r="A236" s="134"/>
      <c r="B236" s="134"/>
      <c r="C236" s="140"/>
      <c r="D236" s="134"/>
      <c r="E236" s="140"/>
      <c r="F236" s="134"/>
      <c r="G236" s="140"/>
      <c r="H236" s="134"/>
      <c r="I236" s="140"/>
      <c r="J236" s="134"/>
      <c r="K236" s="140"/>
      <c r="L236" s="134"/>
      <c r="M236" s="140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5"/>
      <c r="AA236" s="135"/>
      <c r="AB236" s="134"/>
    </row>
    <row r="237" ht="14.25" customHeight="1">
      <c r="A237" s="134"/>
      <c r="B237" s="134"/>
      <c r="C237" s="140"/>
      <c r="D237" s="134"/>
      <c r="E237" s="140"/>
      <c r="F237" s="134"/>
      <c r="G237" s="140"/>
      <c r="H237" s="134"/>
      <c r="I237" s="140"/>
      <c r="J237" s="134"/>
      <c r="K237" s="140"/>
      <c r="L237" s="134"/>
      <c r="M237" s="140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5"/>
      <c r="AA237" s="135"/>
      <c r="AB237" s="134"/>
    </row>
    <row r="238" ht="14.25" customHeight="1">
      <c r="A238" s="134"/>
      <c r="B238" s="134"/>
      <c r="C238" s="140"/>
      <c r="D238" s="134"/>
      <c r="E238" s="140"/>
      <c r="F238" s="134"/>
      <c r="G238" s="140"/>
      <c r="H238" s="134"/>
      <c r="I238" s="140"/>
      <c r="J238" s="134"/>
      <c r="K238" s="140"/>
      <c r="L238" s="134"/>
      <c r="M238" s="140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5"/>
      <c r="AA238" s="135"/>
      <c r="AB238" s="134"/>
    </row>
    <row r="239" ht="14.25" customHeight="1">
      <c r="A239" s="134"/>
      <c r="B239" s="134"/>
      <c r="C239" s="140"/>
      <c r="D239" s="134"/>
      <c r="E239" s="140"/>
      <c r="F239" s="134"/>
      <c r="G239" s="140"/>
      <c r="H239" s="134"/>
      <c r="I239" s="140"/>
      <c r="J239" s="134"/>
      <c r="K239" s="140"/>
      <c r="L239" s="134"/>
      <c r="M239" s="140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5"/>
      <c r="AA239" s="135"/>
      <c r="AB239" s="134"/>
    </row>
    <row r="240" ht="14.25" customHeight="1">
      <c r="A240" s="134"/>
      <c r="B240" s="134"/>
      <c r="C240" s="140"/>
      <c r="D240" s="134"/>
      <c r="E240" s="140"/>
      <c r="F240" s="134"/>
      <c r="G240" s="140"/>
      <c r="H240" s="134"/>
      <c r="I240" s="140"/>
      <c r="J240" s="134"/>
      <c r="K240" s="140"/>
      <c r="L240" s="134"/>
      <c r="M240" s="140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5"/>
      <c r="AA240" s="135"/>
      <c r="AB240" s="134"/>
    </row>
    <row r="241" ht="14.25" customHeight="1">
      <c r="A241" s="134"/>
      <c r="B241" s="134"/>
      <c r="C241" s="140"/>
      <c r="D241" s="134"/>
      <c r="E241" s="140"/>
      <c r="F241" s="134"/>
      <c r="G241" s="140"/>
      <c r="H241" s="134"/>
      <c r="I241" s="140"/>
      <c r="J241" s="134"/>
      <c r="K241" s="140"/>
      <c r="L241" s="134"/>
      <c r="M241" s="140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5"/>
      <c r="AA241" s="135"/>
      <c r="AB241" s="134"/>
    </row>
    <row r="242" ht="14.25" customHeight="1">
      <c r="A242" s="134"/>
      <c r="B242" s="134"/>
      <c r="C242" s="140"/>
      <c r="D242" s="134"/>
      <c r="E242" s="140"/>
      <c r="F242" s="134"/>
      <c r="G242" s="140"/>
      <c r="H242" s="134"/>
      <c r="I242" s="140"/>
      <c r="J242" s="134"/>
      <c r="K242" s="140"/>
      <c r="L242" s="134"/>
      <c r="M242" s="140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5"/>
      <c r="AA242" s="135"/>
      <c r="AB242" s="134"/>
    </row>
    <row r="243" ht="14.25" customHeight="1">
      <c r="A243" s="134"/>
      <c r="B243" s="134"/>
      <c r="C243" s="140"/>
      <c r="D243" s="134"/>
      <c r="E243" s="140"/>
      <c r="F243" s="134"/>
      <c r="G243" s="140"/>
      <c r="H243" s="134"/>
      <c r="I243" s="140"/>
      <c r="J243" s="134"/>
      <c r="K243" s="140"/>
      <c r="L243" s="134"/>
      <c r="M243" s="140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5"/>
      <c r="AA243" s="135"/>
      <c r="AB243" s="134"/>
    </row>
    <row r="244" ht="14.25" customHeight="1">
      <c r="A244" s="134"/>
      <c r="B244" s="134"/>
      <c r="C244" s="140"/>
      <c r="D244" s="134"/>
      <c r="E244" s="140"/>
      <c r="F244" s="134"/>
      <c r="G244" s="140"/>
      <c r="H244" s="134"/>
      <c r="I244" s="140"/>
      <c r="J244" s="134"/>
      <c r="K244" s="140"/>
      <c r="L244" s="134"/>
      <c r="M244" s="140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5"/>
      <c r="AA244" s="135"/>
      <c r="AB244" s="134"/>
    </row>
    <row r="245" ht="14.25" customHeight="1">
      <c r="A245" s="134"/>
      <c r="B245" s="134"/>
      <c r="C245" s="140"/>
      <c r="D245" s="134"/>
      <c r="E245" s="140"/>
      <c r="F245" s="134"/>
      <c r="G245" s="140"/>
      <c r="H245" s="134"/>
      <c r="I245" s="140"/>
      <c r="J245" s="134"/>
      <c r="K245" s="140"/>
      <c r="L245" s="134"/>
      <c r="M245" s="140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5"/>
      <c r="AA245" s="135"/>
      <c r="AB245" s="134"/>
    </row>
    <row r="246" ht="14.25" customHeight="1">
      <c r="A246" s="134"/>
      <c r="B246" s="134"/>
      <c r="C246" s="140"/>
      <c r="D246" s="134"/>
      <c r="E246" s="140"/>
      <c r="F246" s="134"/>
      <c r="G246" s="140"/>
      <c r="H246" s="134"/>
      <c r="I246" s="140"/>
      <c r="J246" s="134"/>
      <c r="K246" s="140"/>
      <c r="L246" s="134"/>
      <c r="M246" s="140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5"/>
      <c r="AA246" s="135"/>
      <c r="AB246" s="134"/>
    </row>
    <row r="247" ht="14.25" customHeight="1">
      <c r="A247" s="134"/>
      <c r="B247" s="134"/>
      <c r="C247" s="140"/>
      <c r="D247" s="134"/>
      <c r="E247" s="140"/>
      <c r="F247" s="134"/>
      <c r="G247" s="140"/>
      <c r="H247" s="134"/>
      <c r="I247" s="140"/>
      <c r="J247" s="134"/>
      <c r="K247" s="140"/>
      <c r="L247" s="134"/>
      <c r="M247" s="140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5"/>
      <c r="AA247" s="135"/>
      <c r="AB247" s="134"/>
    </row>
    <row r="248" ht="14.25" customHeight="1">
      <c r="A248" s="134"/>
      <c r="B248" s="134"/>
      <c r="C248" s="140"/>
      <c r="D248" s="134"/>
      <c r="E248" s="140"/>
      <c r="F248" s="134"/>
      <c r="G248" s="140"/>
      <c r="H248" s="134"/>
      <c r="I248" s="140"/>
      <c r="J248" s="134"/>
      <c r="K248" s="140"/>
      <c r="L248" s="134"/>
      <c r="M248" s="140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5"/>
      <c r="AA248" s="135"/>
      <c r="AB248" s="134"/>
    </row>
    <row r="249" ht="14.25" customHeight="1">
      <c r="A249" s="134"/>
      <c r="B249" s="134"/>
      <c r="C249" s="140"/>
      <c r="D249" s="134"/>
      <c r="E249" s="140"/>
      <c r="F249" s="134"/>
      <c r="G249" s="140"/>
      <c r="H249" s="134"/>
      <c r="I249" s="140"/>
      <c r="J249" s="134"/>
      <c r="K249" s="140"/>
      <c r="L249" s="134"/>
      <c r="M249" s="140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5"/>
      <c r="AA249" s="135"/>
      <c r="AB249" s="134"/>
    </row>
    <row r="250" ht="14.25" customHeight="1">
      <c r="A250" s="134"/>
      <c r="B250" s="134"/>
      <c r="C250" s="140"/>
      <c r="D250" s="134"/>
      <c r="E250" s="140"/>
      <c r="F250" s="134"/>
      <c r="G250" s="140"/>
      <c r="H250" s="134"/>
      <c r="I250" s="140"/>
      <c r="J250" s="134"/>
      <c r="K250" s="140"/>
      <c r="L250" s="134"/>
      <c r="M250" s="140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5"/>
      <c r="AA250" s="135"/>
      <c r="AB250" s="134"/>
    </row>
    <row r="251" ht="14.25" customHeight="1">
      <c r="A251" s="134"/>
      <c r="B251" s="134"/>
      <c r="C251" s="140"/>
      <c r="D251" s="134"/>
      <c r="E251" s="140"/>
      <c r="F251" s="134"/>
      <c r="G251" s="140"/>
      <c r="H251" s="134"/>
      <c r="I251" s="140"/>
      <c r="J251" s="134"/>
      <c r="K251" s="140"/>
      <c r="L251" s="134"/>
      <c r="M251" s="140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5"/>
      <c r="AA251" s="135"/>
      <c r="AB251" s="134"/>
    </row>
    <row r="252" ht="14.25" customHeight="1">
      <c r="A252" s="134"/>
      <c r="B252" s="134"/>
      <c r="C252" s="140"/>
      <c r="D252" s="134"/>
      <c r="E252" s="140"/>
      <c r="F252" s="134"/>
      <c r="G252" s="140"/>
      <c r="H252" s="134"/>
      <c r="I252" s="140"/>
      <c r="J252" s="134"/>
      <c r="K252" s="140"/>
      <c r="L252" s="134"/>
      <c r="M252" s="140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5"/>
      <c r="AA252" s="135"/>
      <c r="AB252" s="134"/>
    </row>
    <row r="253" ht="14.25" customHeight="1">
      <c r="A253" s="134"/>
      <c r="B253" s="134"/>
      <c r="C253" s="140"/>
      <c r="D253" s="134"/>
      <c r="E253" s="140"/>
      <c r="F253" s="134"/>
      <c r="G253" s="140"/>
      <c r="H253" s="134"/>
      <c r="I253" s="140"/>
      <c r="J253" s="134"/>
      <c r="K253" s="140"/>
      <c r="L253" s="134"/>
      <c r="M253" s="140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5"/>
      <c r="AA253" s="135"/>
      <c r="AB253" s="134"/>
    </row>
    <row r="254" ht="14.25" customHeight="1">
      <c r="A254" s="134"/>
      <c r="B254" s="134"/>
      <c r="C254" s="140"/>
      <c r="D254" s="134"/>
      <c r="E254" s="140"/>
      <c r="F254" s="134"/>
      <c r="G254" s="140"/>
      <c r="H254" s="134"/>
      <c r="I254" s="140"/>
      <c r="J254" s="134"/>
      <c r="K254" s="140"/>
      <c r="L254" s="134"/>
      <c r="M254" s="140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5"/>
      <c r="AA254" s="135"/>
      <c r="AB254" s="134"/>
    </row>
    <row r="255" ht="14.25" customHeight="1">
      <c r="A255" s="134"/>
      <c r="B255" s="134"/>
      <c r="C255" s="140"/>
      <c r="D255" s="134"/>
      <c r="E255" s="140"/>
      <c r="F255" s="134"/>
      <c r="G255" s="140"/>
      <c r="H255" s="134"/>
      <c r="I255" s="140"/>
      <c r="J255" s="134"/>
      <c r="K255" s="140"/>
      <c r="L255" s="134"/>
      <c r="M255" s="140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5"/>
      <c r="AA255" s="135"/>
      <c r="AB255" s="134"/>
    </row>
    <row r="256" ht="14.25" customHeight="1">
      <c r="A256" s="134"/>
      <c r="B256" s="134"/>
      <c r="C256" s="140"/>
      <c r="D256" s="134"/>
      <c r="E256" s="140"/>
      <c r="F256" s="134"/>
      <c r="G256" s="140"/>
      <c r="H256" s="134"/>
      <c r="I256" s="140"/>
      <c r="J256" s="134"/>
      <c r="K256" s="140"/>
      <c r="L256" s="134"/>
      <c r="M256" s="140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5"/>
      <c r="AA256" s="135"/>
      <c r="AB256" s="134"/>
    </row>
    <row r="257" ht="14.25" customHeight="1">
      <c r="A257" s="134"/>
      <c r="B257" s="134"/>
      <c r="C257" s="140"/>
      <c r="D257" s="134"/>
      <c r="E257" s="140"/>
      <c r="F257" s="134"/>
      <c r="G257" s="140"/>
      <c r="H257" s="134"/>
      <c r="I257" s="140"/>
      <c r="J257" s="134"/>
      <c r="K257" s="140"/>
      <c r="L257" s="134"/>
      <c r="M257" s="140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5"/>
      <c r="AA257" s="135"/>
      <c r="AB257" s="134"/>
    </row>
    <row r="258" ht="14.25" customHeight="1">
      <c r="A258" s="134"/>
      <c r="B258" s="134"/>
      <c r="C258" s="140"/>
      <c r="D258" s="134"/>
      <c r="E258" s="140"/>
      <c r="F258" s="134"/>
      <c r="G258" s="140"/>
      <c r="H258" s="134"/>
      <c r="I258" s="140"/>
      <c r="J258" s="134"/>
      <c r="K258" s="140"/>
      <c r="L258" s="134"/>
      <c r="M258" s="140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5"/>
      <c r="AA258" s="135"/>
      <c r="AB258" s="134"/>
    </row>
    <row r="259" ht="14.25" customHeight="1">
      <c r="A259" s="134"/>
      <c r="B259" s="134"/>
      <c r="C259" s="140"/>
      <c r="D259" s="134"/>
      <c r="E259" s="140"/>
      <c r="F259" s="134"/>
      <c r="G259" s="140"/>
      <c r="H259" s="134"/>
      <c r="I259" s="140"/>
      <c r="J259" s="134"/>
      <c r="K259" s="140"/>
      <c r="L259" s="134"/>
      <c r="M259" s="140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5"/>
      <c r="AA259" s="135"/>
      <c r="AB259" s="134"/>
    </row>
    <row r="260" ht="14.25" customHeight="1">
      <c r="A260" s="134"/>
      <c r="B260" s="134"/>
      <c r="C260" s="140"/>
      <c r="D260" s="134"/>
      <c r="E260" s="140"/>
      <c r="F260" s="134"/>
      <c r="G260" s="140"/>
      <c r="H260" s="134"/>
      <c r="I260" s="140"/>
      <c r="J260" s="134"/>
      <c r="K260" s="140"/>
      <c r="L260" s="134"/>
      <c r="M260" s="140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5"/>
      <c r="AA260" s="135"/>
      <c r="AB260" s="134"/>
    </row>
    <row r="261" ht="14.25" customHeight="1">
      <c r="A261" s="134"/>
      <c r="B261" s="134"/>
      <c r="C261" s="140"/>
      <c r="D261" s="134"/>
      <c r="E261" s="140"/>
      <c r="F261" s="134"/>
      <c r="G261" s="140"/>
      <c r="H261" s="134"/>
      <c r="I261" s="140"/>
      <c r="J261" s="134"/>
      <c r="K261" s="140"/>
      <c r="L261" s="134"/>
      <c r="M261" s="140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5"/>
      <c r="AA261" s="135"/>
      <c r="AB261" s="134"/>
    </row>
    <row r="262" ht="14.25" customHeight="1">
      <c r="A262" s="134"/>
      <c r="B262" s="134"/>
      <c r="C262" s="140"/>
      <c r="D262" s="134"/>
      <c r="E262" s="140"/>
      <c r="F262" s="134"/>
      <c r="G262" s="140"/>
      <c r="H262" s="134"/>
      <c r="I262" s="140"/>
      <c r="J262" s="134"/>
      <c r="K262" s="140"/>
      <c r="L262" s="134"/>
      <c r="M262" s="140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5"/>
      <c r="AA262" s="135"/>
      <c r="AB262" s="134"/>
    </row>
    <row r="263" ht="14.25" customHeight="1">
      <c r="A263" s="134"/>
      <c r="B263" s="134"/>
      <c r="C263" s="140"/>
      <c r="D263" s="134"/>
      <c r="E263" s="140"/>
      <c r="F263" s="134"/>
      <c r="G263" s="140"/>
      <c r="H263" s="134"/>
      <c r="I263" s="140"/>
      <c r="J263" s="134"/>
      <c r="K263" s="140"/>
      <c r="L263" s="134"/>
      <c r="M263" s="140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5"/>
      <c r="AA263" s="135"/>
      <c r="AB263" s="134"/>
    </row>
    <row r="264" ht="14.25" customHeight="1">
      <c r="A264" s="134"/>
      <c r="B264" s="134"/>
      <c r="C264" s="140"/>
      <c r="D264" s="134"/>
      <c r="E264" s="140"/>
      <c r="F264" s="134"/>
      <c r="G264" s="140"/>
      <c r="H264" s="134"/>
      <c r="I264" s="140"/>
      <c r="J264" s="134"/>
      <c r="K264" s="140"/>
      <c r="L264" s="134"/>
      <c r="M264" s="140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5"/>
      <c r="AA264" s="135"/>
      <c r="AB264" s="134"/>
    </row>
    <row r="265" ht="14.25" customHeight="1">
      <c r="A265" s="134"/>
      <c r="B265" s="134"/>
      <c r="C265" s="140"/>
      <c r="D265" s="134"/>
      <c r="E265" s="140"/>
      <c r="F265" s="134"/>
      <c r="G265" s="140"/>
      <c r="H265" s="134"/>
      <c r="I265" s="140"/>
      <c r="J265" s="134"/>
      <c r="K265" s="140"/>
      <c r="L265" s="134"/>
      <c r="M265" s="140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5"/>
      <c r="AA265" s="135"/>
      <c r="AB265" s="134"/>
    </row>
    <row r="266" ht="14.25" customHeight="1">
      <c r="A266" s="134"/>
      <c r="B266" s="134"/>
      <c r="C266" s="140"/>
      <c r="D266" s="134"/>
      <c r="E266" s="140"/>
      <c r="F266" s="134"/>
      <c r="G266" s="140"/>
      <c r="H266" s="134"/>
      <c r="I266" s="140"/>
      <c r="J266" s="134"/>
      <c r="K266" s="140"/>
      <c r="L266" s="134"/>
      <c r="M266" s="140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5"/>
      <c r="AA266" s="135"/>
      <c r="AB266" s="134"/>
    </row>
    <row r="267" ht="14.25" customHeight="1">
      <c r="A267" s="134"/>
      <c r="B267" s="134"/>
      <c r="C267" s="140"/>
      <c r="D267" s="134"/>
      <c r="E267" s="140"/>
      <c r="F267" s="134"/>
      <c r="G267" s="140"/>
      <c r="H267" s="134"/>
      <c r="I267" s="140"/>
      <c r="J267" s="134"/>
      <c r="K267" s="140"/>
      <c r="L267" s="134"/>
      <c r="M267" s="140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5"/>
      <c r="AA267" s="135"/>
      <c r="AB267" s="134"/>
    </row>
    <row r="268" ht="14.25" customHeight="1">
      <c r="A268" s="134"/>
      <c r="B268" s="134"/>
      <c r="C268" s="140"/>
      <c r="D268" s="134"/>
      <c r="E268" s="140"/>
      <c r="F268" s="134"/>
      <c r="G268" s="140"/>
      <c r="H268" s="134"/>
      <c r="I268" s="140"/>
      <c r="J268" s="134"/>
      <c r="K268" s="140"/>
      <c r="L268" s="134"/>
      <c r="M268" s="140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5"/>
      <c r="AA268" s="135"/>
      <c r="AB268" s="134"/>
    </row>
    <row r="269" ht="14.25" customHeight="1">
      <c r="A269" s="134"/>
      <c r="B269" s="134"/>
      <c r="C269" s="140"/>
      <c r="D269" s="134"/>
      <c r="E269" s="140"/>
      <c r="F269" s="134"/>
      <c r="G269" s="140"/>
      <c r="H269" s="134"/>
      <c r="I269" s="140"/>
      <c r="J269" s="134"/>
      <c r="K269" s="140"/>
      <c r="L269" s="134"/>
      <c r="M269" s="140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5"/>
      <c r="AA269" s="135"/>
      <c r="AB269" s="134"/>
    </row>
    <row r="270" ht="14.25" customHeight="1">
      <c r="A270" s="134"/>
      <c r="B270" s="134"/>
      <c r="C270" s="140"/>
      <c r="D270" s="134"/>
      <c r="E270" s="140"/>
      <c r="F270" s="134"/>
      <c r="G270" s="140"/>
      <c r="H270" s="134"/>
      <c r="I270" s="140"/>
      <c r="J270" s="134"/>
      <c r="K270" s="140"/>
      <c r="L270" s="134"/>
      <c r="M270" s="140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5"/>
      <c r="AA270" s="135"/>
      <c r="AB270" s="134"/>
    </row>
    <row r="271" ht="14.25" customHeight="1">
      <c r="A271" s="134"/>
      <c r="B271" s="134"/>
      <c r="C271" s="140"/>
      <c r="D271" s="134"/>
      <c r="E271" s="140"/>
      <c r="F271" s="134"/>
      <c r="G271" s="140"/>
      <c r="H271" s="134"/>
      <c r="I271" s="140"/>
      <c r="J271" s="134"/>
      <c r="K271" s="140"/>
      <c r="L271" s="134"/>
      <c r="M271" s="140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5"/>
      <c r="AA271" s="135"/>
      <c r="AB271" s="134"/>
    </row>
    <row r="272" ht="14.25" customHeight="1">
      <c r="A272" s="134"/>
      <c r="B272" s="134"/>
      <c r="C272" s="140"/>
      <c r="D272" s="134"/>
      <c r="E272" s="140"/>
      <c r="F272" s="134"/>
      <c r="G272" s="140"/>
      <c r="H272" s="134"/>
      <c r="I272" s="140"/>
      <c r="J272" s="134"/>
      <c r="K272" s="140"/>
      <c r="L272" s="134"/>
      <c r="M272" s="140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5"/>
      <c r="AA272" s="135"/>
      <c r="AB272" s="134"/>
    </row>
    <row r="273" ht="14.25" customHeight="1">
      <c r="A273" s="134"/>
      <c r="B273" s="134"/>
      <c r="C273" s="140"/>
      <c r="D273" s="134"/>
      <c r="E273" s="140"/>
      <c r="F273" s="134"/>
      <c r="G273" s="140"/>
      <c r="H273" s="134"/>
      <c r="I273" s="140"/>
      <c r="J273" s="134"/>
      <c r="K273" s="140"/>
      <c r="L273" s="134"/>
      <c r="M273" s="140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5"/>
      <c r="AA273" s="135"/>
      <c r="AB273" s="134"/>
    </row>
    <row r="274" ht="14.25" customHeight="1">
      <c r="A274" s="134"/>
      <c r="B274" s="134"/>
      <c r="C274" s="140"/>
      <c r="D274" s="134"/>
      <c r="E274" s="140"/>
      <c r="F274" s="134"/>
      <c r="G274" s="140"/>
      <c r="H274" s="134"/>
      <c r="I274" s="140"/>
      <c r="J274" s="134"/>
      <c r="K274" s="140"/>
      <c r="L274" s="134"/>
      <c r="M274" s="140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5"/>
      <c r="AA274" s="135"/>
      <c r="AB274" s="134"/>
    </row>
    <row r="275" ht="14.25" customHeight="1">
      <c r="A275" s="134"/>
      <c r="B275" s="134"/>
      <c r="C275" s="140"/>
      <c r="D275" s="134"/>
      <c r="E275" s="140"/>
      <c r="F275" s="134"/>
      <c r="G275" s="140"/>
      <c r="H275" s="134"/>
      <c r="I275" s="140"/>
      <c r="J275" s="134"/>
      <c r="K275" s="140"/>
      <c r="L275" s="134"/>
      <c r="M275" s="140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5"/>
      <c r="AA275" s="135"/>
      <c r="AB275" s="134"/>
    </row>
    <row r="276" ht="14.25" customHeight="1">
      <c r="A276" s="134"/>
      <c r="B276" s="134"/>
      <c r="C276" s="140"/>
      <c r="D276" s="134"/>
      <c r="E276" s="140"/>
      <c r="F276" s="134"/>
      <c r="G276" s="140"/>
      <c r="H276" s="134"/>
      <c r="I276" s="140"/>
      <c r="J276" s="134"/>
      <c r="K276" s="140"/>
      <c r="L276" s="134"/>
      <c r="M276" s="140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5"/>
      <c r="AA276" s="135"/>
      <c r="AB276" s="134"/>
    </row>
    <row r="277" ht="14.25" customHeight="1">
      <c r="A277" s="134"/>
      <c r="B277" s="134"/>
      <c r="C277" s="140"/>
      <c r="D277" s="134"/>
      <c r="E277" s="140"/>
      <c r="F277" s="134"/>
      <c r="G277" s="140"/>
      <c r="H277" s="134"/>
      <c r="I277" s="140"/>
      <c r="J277" s="134"/>
      <c r="K277" s="140"/>
      <c r="L277" s="134"/>
      <c r="M277" s="140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5"/>
      <c r="AA277" s="135"/>
      <c r="AB277" s="134"/>
    </row>
    <row r="278" ht="14.25" customHeight="1">
      <c r="A278" s="134"/>
      <c r="B278" s="134"/>
      <c r="C278" s="140"/>
      <c r="D278" s="134"/>
      <c r="E278" s="140"/>
      <c r="F278" s="134"/>
      <c r="G278" s="140"/>
      <c r="H278" s="134"/>
      <c r="I278" s="140"/>
      <c r="J278" s="134"/>
      <c r="K278" s="140"/>
      <c r="L278" s="134"/>
      <c r="M278" s="140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5"/>
      <c r="AA278" s="135"/>
      <c r="AB278" s="134"/>
    </row>
    <row r="279" ht="14.25" customHeight="1">
      <c r="A279" s="134"/>
      <c r="B279" s="134"/>
      <c r="C279" s="140"/>
      <c r="D279" s="134"/>
      <c r="E279" s="140"/>
      <c r="F279" s="134"/>
      <c r="G279" s="140"/>
      <c r="H279" s="134"/>
      <c r="I279" s="140"/>
      <c r="J279" s="134"/>
      <c r="K279" s="140"/>
      <c r="L279" s="134"/>
      <c r="M279" s="140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5"/>
      <c r="AA279" s="135"/>
      <c r="AB279" s="134"/>
    </row>
    <row r="280" ht="14.25" customHeight="1">
      <c r="A280" s="134"/>
      <c r="B280" s="134"/>
      <c r="C280" s="140"/>
      <c r="D280" s="134"/>
      <c r="E280" s="140"/>
      <c r="F280" s="134"/>
      <c r="G280" s="140"/>
      <c r="H280" s="134"/>
      <c r="I280" s="140"/>
      <c r="J280" s="134"/>
      <c r="K280" s="140"/>
      <c r="L280" s="134"/>
      <c r="M280" s="140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5"/>
      <c r="AA280" s="135"/>
      <c r="AB280" s="134"/>
    </row>
    <row r="281" ht="14.25" customHeight="1">
      <c r="A281" s="134"/>
      <c r="B281" s="134"/>
      <c r="C281" s="140"/>
      <c r="D281" s="134"/>
      <c r="E281" s="140"/>
      <c r="F281" s="134"/>
      <c r="G281" s="140"/>
      <c r="H281" s="134"/>
      <c r="I281" s="140"/>
      <c r="J281" s="134"/>
      <c r="K281" s="140"/>
      <c r="L281" s="134"/>
      <c r="M281" s="140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5"/>
      <c r="AA281" s="135"/>
      <c r="AB281" s="134"/>
    </row>
    <row r="282" ht="14.25" customHeight="1">
      <c r="A282" s="134"/>
      <c r="B282" s="134"/>
      <c r="C282" s="140"/>
      <c r="D282" s="134"/>
      <c r="E282" s="140"/>
      <c r="F282" s="134"/>
      <c r="G282" s="140"/>
      <c r="H282" s="134"/>
      <c r="I282" s="140"/>
      <c r="J282" s="134"/>
      <c r="K282" s="140"/>
      <c r="L282" s="134"/>
      <c r="M282" s="140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5"/>
      <c r="AA282" s="135"/>
      <c r="AB282" s="134"/>
    </row>
    <row r="283" ht="14.25" customHeight="1">
      <c r="A283" s="134"/>
      <c r="B283" s="134"/>
      <c r="C283" s="140"/>
      <c r="D283" s="134"/>
      <c r="E283" s="140"/>
      <c r="F283" s="134"/>
      <c r="G283" s="140"/>
      <c r="H283" s="134"/>
      <c r="I283" s="140"/>
      <c r="J283" s="134"/>
      <c r="K283" s="140"/>
      <c r="L283" s="134"/>
      <c r="M283" s="140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5"/>
      <c r="AA283" s="135"/>
      <c r="AB283" s="134"/>
    </row>
    <row r="284" ht="14.25" customHeight="1">
      <c r="A284" s="134"/>
      <c r="B284" s="134"/>
      <c r="C284" s="140"/>
      <c r="D284" s="134"/>
      <c r="E284" s="140"/>
      <c r="F284" s="134"/>
      <c r="G284" s="140"/>
      <c r="H284" s="134"/>
      <c r="I284" s="140"/>
      <c r="J284" s="134"/>
      <c r="K284" s="140"/>
      <c r="L284" s="134"/>
      <c r="M284" s="140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5"/>
      <c r="AA284" s="135"/>
      <c r="AB284" s="134"/>
    </row>
    <row r="285" ht="14.25" customHeight="1">
      <c r="A285" s="134"/>
      <c r="B285" s="134"/>
      <c r="C285" s="140"/>
      <c r="D285" s="134"/>
      <c r="E285" s="140"/>
      <c r="F285" s="134"/>
      <c r="G285" s="140"/>
      <c r="H285" s="134"/>
      <c r="I285" s="140"/>
      <c r="J285" s="134"/>
      <c r="K285" s="140"/>
      <c r="L285" s="134"/>
      <c r="M285" s="140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5"/>
      <c r="AA285" s="135"/>
      <c r="AB285" s="134"/>
    </row>
    <row r="286" ht="14.25" customHeight="1">
      <c r="A286" s="134"/>
      <c r="B286" s="134"/>
      <c r="C286" s="140"/>
      <c r="D286" s="134"/>
      <c r="E286" s="140"/>
      <c r="F286" s="134"/>
      <c r="G286" s="140"/>
      <c r="H286" s="134"/>
      <c r="I286" s="140"/>
      <c r="J286" s="134"/>
      <c r="K286" s="140"/>
      <c r="L286" s="134"/>
      <c r="M286" s="140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5"/>
      <c r="AA286" s="135"/>
      <c r="AB286" s="134"/>
    </row>
    <row r="287" ht="14.25" customHeight="1">
      <c r="A287" s="134"/>
      <c r="B287" s="134"/>
      <c r="C287" s="140"/>
      <c r="D287" s="134"/>
      <c r="E287" s="140"/>
      <c r="F287" s="134"/>
      <c r="G287" s="140"/>
      <c r="H287" s="134"/>
      <c r="I287" s="140"/>
      <c r="J287" s="134"/>
      <c r="K287" s="140"/>
      <c r="L287" s="134"/>
      <c r="M287" s="140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5"/>
      <c r="AA287" s="135"/>
      <c r="AB287" s="134"/>
    </row>
    <row r="288" ht="14.25" customHeight="1">
      <c r="A288" s="134"/>
      <c r="B288" s="134"/>
      <c r="C288" s="140"/>
      <c r="D288" s="134"/>
      <c r="E288" s="140"/>
      <c r="F288" s="134"/>
      <c r="G288" s="140"/>
      <c r="H288" s="134"/>
      <c r="I288" s="140"/>
      <c r="J288" s="134"/>
      <c r="K288" s="140"/>
      <c r="L288" s="134"/>
      <c r="M288" s="140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5"/>
      <c r="AA288" s="135"/>
      <c r="AB288" s="134"/>
    </row>
    <row r="289" ht="14.25" customHeight="1">
      <c r="A289" s="134"/>
      <c r="B289" s="134"/>
      <c r="C289" s="140"/>
      <c r="D289" s="134"/>
      <c r="E289" s="140"/>
      <c r="F289" s="134"/>
      <c r="G289" s="140"/>
      <c r="H289" s="134"/>
      <c r="I289" s="140"/>
      <c r="J289" s="134"/>
      <c r="K289" s="140"/>
      <c r="L289" s="134"/>
      <c r="M289" s="140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5"/>
      <c r="AA289" s="135"/>
      <c r="AB289" s="134"/>
    </row>
    <row r="290" ht="14.25" customHeight="1">
      <c r="A290" s="134"/>
      <c r="B290" s="134"/>
      <c r="C290" s="140"/>
      <c r="D290" s="134"/>
      <c r="E290" s="140"/>
      <c r="F290" s="134"/>
      <c r="G290" s="140"/>
      <c r="H290" s="134"/>
      <c r="I290" s="140"/>
      <c r="J290" s="134"/>
      <c r="K290" s="140"/>
      <c r="L290" s="134"/>
      <c r="M290" s="140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5"/>
      <c r="AA290" s="135"/>
      <c r="AB290" s="134"/>
    </row>
    <row r="291" ht="14.25" customHeight="1">
      <c r="A291" s="134"/>
      <c r="B291" s="134"/>
      <c r="C291" s="140"/>
      <c r="D291" s="134"/>
      <c r="E291" s="140"/>
      <c r="F291" s="134"/>
      <c r="G291" s="140"/>
      <c r="H291" s="134"/>
      <c r="I291" s="140"/>
      <c r="J291" s="134"/>
      <c r="K291" s="140"/>
      <c r="L291" s="134"/>
      <c r="M291" s="140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5"/>
      <c r="AA291" s="135"/>
      <c r="AB291" s="134"/>
    </row>
    <row r="292" ht="14.25" customHeight="1">
      <c r="A292" s="134"/>
      <c r="B292" s="134"/>
      <c r="C292" s="140"/>
      <c r="D292" s="134"/>
      <c r="E292" s="140"/>
      <c r="F292" s="134"/>
      <c r="G292" s="140"/>
      <c r="H292" s="134"/>
      <c r="I292" s="140"/>
      <c r="J292" s="134"/>
      <c r="K292" s="140"/>
      <c r="L292" s="134"/>
      <c r="M292" s="140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5"/>
      <c r="AA292" s="135"/>
      <c r="AB292" s="134"/>
    </row>
    <row r="293" ht="14.25" customHeight="1">
      <c r="A293" s="134"/>
      <c r="B293" s="134"/>
      <c r="C293" s="140"/>
      <c r="D293" s="134"/>
      <c r="E293" s="140"/>
      <c r="F293" s="134"/>
      <c r="G293" s="140"/>
      <c r="H293" s="134"/>
      <c r="I293" s="140"/>
      <c r="J293" s="134"/>
      <c r="K293" s="140"/>
      <c r="L293" s="134"/>
      <c r="M293" s="140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5"/>
      <c r="AA293" s="135"/>
      <c r="AB293" s="134"/>
    </row>
    <row r="294" ht="14.25" customHeight="1">
      <c r="A294" s="134"/>
      <c r="B294" s="134"/>
      <c r="C294" s="140"/>
      <c r="D294" s="134"/>
      <c r="E294" s="140"/>
      <c r="F294" s="134"/>
      <c r="G294" s="140"/>
      <c r="H294" s="134"/>
      <c r="I294" s="140"/>
      <c r="J294" s="134"/>
      <c r="K294" s="140"/>
      <c r="L294" s="134"/>
      <c r="M294" s="140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5"/>
      <c r="AA294" s="135"/>
      <c r="AB294" s="134"/>
    </row>
    <row r="295" ht="14.25" customHeight="1">
      <c r="A295" s="134"/>
      <c r="B295" s="134"/>
      <c r="C295" s="140"/>
      <c r="D295" s="134"/>
      <c r="E295" s="140"/>
      <c r="F295" s="134"/>
      <c r="G295" s="140"/>
      <c r="H295" s="134"/>
      <c r="I295" s="140"/>
      <c r="J295" s="134"/>
      <c r="K295" s="140"/>
      <c r="L295" s="134"/>
      <c r="M295" s="140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5"/>
      <c r="AA295" s="135"/>
      <c r="AB295" s="134"/>
    </row>
    <row r="296" ht="14.25" customHeight="1">
      <c r="A296" s="134"/>
      <c r="B296" s="134"/>
      <c r="C296" s="140"/>
      <c r="D296" s="134"/>
      <c r="E296" s="140"/>
      <c r="F296" s="134"/>
      <c r="G296" s="140"/>
      <c r="H296" s="134"/>
      <c r="I296" s="140"/>
      <c r="J296" s="134"/>
      <c r="K296" s="140"/>
      <c r="L296" s="134"/>
      <c r="M296" s="140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5"/>
      <c r="AA296" s="135"/>
      <c r="AB296" s="134"/>
    </row>
    <row r="297" ht="14.25" customHeight="1">
      <c r="A297" s="134"/>
      <c r="B297" s="134"/>
      <c r="C297" s="140"/>
      <c r="D297" s="134"/>
      <c r="E297" s="140"/>
      <c r="F297" s="134"/>
      <c r="G297" s="140"/>
      <c r="H297" s="134"/>
      <c r="I297" s="140"/>
      <c r="J297" s="134"/>
      <c r="K297" s="140"/>
      <c r="L297" s="134"/>
      <c r="M297" s="140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5"/>
      <c r="AA297" s="135"/>
      <c r="AB297" s="134"/>
    </row>
    <row r="298" ht="14.25" customHeight="1">
      <c r="A298" s="134"/>
      <c r="B298" s="134"/>
      <c r="C298" s="140"/>
      <c r="D298" s="134"/>
      <c r="E298" s="140"/>
      <c r="F298" s="134"/>
      <c r="G298" s="140"/>
      <c r="H298" s="134"/>
      <c r="I298" s="140"/>
      <c r="J298" s="134"/>
      <c r="K298" s="140"/>
      <c r="L298" s="134"/>
      <c r="M298" s="140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5"/>
      <c r="AA298" s="135"/>
      <c r="AB298" s="134"/>
    </row>
    <row r="299" ht="14.25" customHeight="1">
      <c r="A299" s="134"/>
      <c r="B299" s="134"/>
      <c r="C299" s="140"/>
      <c r="D299" s="134"/>
      <c r="E299" s="140"/>
      <c r="F299" s="134"/>
      <c r="G299" s="140"/>
      <c r="H299" s="134"/>
      <c r="I299" s="140"/>
      <c r="J299" s="134"/>
      <c r="K299" s="140"/>
      <c r="L299" s="134"/>
      <c r="M299" s="140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5"/>
      <c r="AA299" s="135"/>
      <c r="AB299" s="134"/>
    </row>
    <row r="300" ht="14.25" customHeight="1">
      <c r="A300" s="134"/>
      <c r="B300" s="134"/>
      <c r="C300" s="140"/>
      <c r="D300" s="134"/>
      <c r="E300" s="140"/>
      <c r="F300" s="134"/>
      <c r="G300" s="140"/>
      <c r="H300" s="134"/>
      <c r="I300" s="140"/>
      <c r="J300" s="134"/>
      <c r="K300" s="140"/>
      <c r="L300" s="134"/>
      <c r="M300" s="140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5"/>
      <c r="AA300" s="135"/>
      <c r="AB300" s="134"/>
    </row>
    <row r="301" ht="14.25" customHeight="1">
      <c r="A301" s="134"/>
      <c r="B301" s="134"/>
      <c r="C301" s="140"/>
      <c r="D301" s="134"/>
      <c r="E301" s="140"/>
      <c r="F301" s="134"/>
      <c r="G301" s="140"/>
      <c r="H301" s="134"/>
      <c r="I301" s="140"/>
      <c r="J301" s="134"/>
      <c r="K301" s="140"/>
      <c r="L301" s="134"/>
      <c r="M301" s="140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5"/>
      <c r="AA301" s="135"/>
      <c r="AB301" s="134"/>
    </row>
    <row r="302" ht="14.25" customHeight="1">
      <c r="A302" s="134"/>
      <c r="B302" s="134"/>
      <c r="C302" s="140"/>
      <c r="D302" s="134"/>
      <c r="E302" s="140"/>
      <c r="F302" s="134"/>
      <c r="G302" s="140"/>
      <c r="H302" s="134"/>
      <c r="I302" s="140"/>
      <c r="J302" s="134"/>
      <c r="K302" s="140"/>
      <c r="L302" s="134"/>
      <c r="M302" s="140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5"/>
      <c r="AA302" s="135"/>
      <c r="AB302" s="134"/>
    </row>
    <row r="303" ht="14.25" customHeight="1">
      <c r="A303" s="134"/>
      <c r="B303" s="134"/>
      <c r="C303" s="140"/>
      <c r="D303" s="134"/>
      <c r="E303" s="140"/>
      <c r="F303" s="134"/>
      <c r="G303" s="140"/>
      <c r="H303" s="134"/>
      <c r="I303" s="140"/>
      <c r="J303" s="134"/>
      <c r="K303" s="140"/>
      <c r="L303" s="134"/>
      <c r="M303" s="140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5"/>
      <c r="AA303" s="135"/>
      <c r="AB303" s="134"/>
    </row>
    <row r="304" ht="14.25" customHeight="1">
      <c r="A304" s="134"/>
      <c r="B304" s="134"/>
      <c r="C304" s="140"/>
      <c r="D304" s="134"/>
      <c r="E304" s="140"/>
      <c r="F304" s="134"/>
      <c r="G304" s="140"/>
      <c r="H304" s="134"/>
      <c r="I304" s="140"/>
      <c r="J304" s="134"/>
      <c r="K304" s="140"/>
      <c r="L304" s="134"/>
      <c r="M304" s="140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5"/>
      <c r="AA304" s="135"/>
      <c r="AB304" s="134"/>
    </row>
    <row r="305" ht="14.25" customHeight="1">
      <c r="A305" s="134"/>
      <c r="B305" s="134"/>
      <c r="C305" s="140"/>
      <c r="D305" s="134"/>
      <c r="E305" s="140"/>
      <c r="F305" s="134"/>
      <c r="G305" s="140"/>
      <c r="H305" s="134"/>
      <c r="I305" s="140"/>
      <c r="J305" s="134"/>
      <c r="K305" s="140"/>
      <c r="L305" s="134"/>
      <c r="M305" s="140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5"/>
      <c r="AA305" s="135"/>
      <c r="AB305" s="134"/>
    </row>
    <row r="306" ht="14.25" customHeight="1">
      <c r="A306" s="134"/>
      <c r="B306" s="134"/>
      <c r="C306" s="140"/>
      <c r="D306" s="134"/>
      <c r="E306" s="140"/>
      <c r="F306" s="134"/>
      <c r="G306" s="140"/>
      <c r="H306" s="134"/>
      <c r="I306" s="140"/>
      <c r="J306" s="134"/>
      <c r="K306" s="140"/>
      <c r="L306" s="134"/>
      <c r="M306" s="140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5"/>
      <c r="AA306" s="135"/>
      <c r="AB306" s="134"/>
    </row>
    <row r="307" ht="14.25" customHeight="1">
      <c r="A307" s="134"/>
      <c r="B307" s="134"/>
      <c r="C307" s="140"/>
      <c r="D307" s="134"/>
      <c r="E307" s="140"/>
      <c r="F307" s="134"/>
      <c r="G307" s="140"/>
      <c r="H307" s="134"/>
      <c r="I307" s="140"/>
      <c r="J307" s="134"/>
      <c r="K307" s="140"/>
      <c r="L307" s="134"/>
      <c r="M307" s="140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5"/>
      <c r="AA307" s="135"/>
      <c r="AB307" s="134"/>
    </row>
    <row r="308" ht="14.25" customHeight="1">
      <c r="A308" s="134"/>
      <c r="B308" s="134"/>
      <c r="C308" s="140"/>
      <c r="D308" s="134"/>
      <c r="E308" s="140"/>
      <c r="F308" s="134"/>
      <c r="G308" s="140"/>
      <c r="H308" s="134"/>
      <c r="I308" s="140"/>
      <c r="J308" s="134"/>
      <c r="K308" s="140"/>
      <c r="L308" s="134"/>
      <c r="M308" s="140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5"/>
      <c r="AA308" s="135"/>
      <c r="AB308" s="134"/>
    </row>
    <row r="309" ht="14.25" customHeight="1">
      <c r="A309" s="134"/>
      <c r="B309" s="134"/>
      <c r="C309" s="140"/>
      <c r="D309" s="134"/>
      <c r="E309" s="140"/>
      <c r="F309" s="134"/>
      <c r="G309" s="140"/>
      <c r="H309" s="134"/>
      <c r="I309" s="140"/>
      <c r="J309" s="134"/>
      <c r="K309" s="140"/>
      <c r="L309" s="134"/>
      <c r="M309" s="140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5"/>
      <c r="AA309" s="135"/>
      <c r="AB309" s="134"/>
    </row>
    <row r="310" ht="14.25" customHeight="1">
      <c r="A310" s="134"/>
      <c r="B310" s="134"/>
      <c r="C310" s="140"/>
      <c r="D310" s="134"/>
      <c r="E310" s="140"/>
      <c r="F310" s="134"/>
      <c r="G310" s="140"/>
      <c r="H310" s="134"/>
      <c r="I310" s="140"/>
      <c r="J310" s="134"/>
      <c r="K310" s="140"/>
      <c r="L310" s="134"/>
      <c r="M310" s="140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5"/>
      <c r="AA310" s="135"/>
      <c r="AB310" s="134"/>
    </row>
    <row r="311" ht="14.25" customHeight="1">
      <c r="A311" s="134"/>
      <c r="B311" s="134"/>
      <c r="C311" s="140"/>
      <c r="D311" s="134"/>
      <c r="E311" s="140"/>
      <c r="F311" s="134"/>
      <c r="G311" s="140"/>
      <c r="H311" s="134"/>
      <c r="I311" s="140"/>
      <c r="J311" s="134"/>
      <c r="K311" s="140"/>
      <c r="L311" s="134"/>
      <c r="M311" s="140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5"/>
      <c r="AA311" s="135"/>
      <c r="AB311" s="134"/>
    </row>
    <row r="312" ht="14.25" customHeight="1">
      <c r="A312" s="134"/>
      <c r="B312" s="134"/>
      <c r="C312" s="140"/>
      <c r="D312" s="134"/>
      <c r="E312" s="140"/>
      <c r="F312" s="134"/>
      <c r="G312" s="140"/>
      <c r="H312" s="134"/>
      <c r="I312" s="140"/>
      <c r="J312" s="134"/>
      <c r="K312" s="140"/>
      <c r="L312" s="134"/>
      <c r="M312" s="140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5"/>
      <c r="AA312" s="135"/>
      <c r="AB312" s="134"/>
    </row>
    <row r="313" ht="14.25" customHeight="1">
      <c r="A313" s="134"/>
      <c r="B313" s="134"/>
      <c r="C313" s="140"/>
      <c r="D313" s="134"/>
      <c r="E313" s="140"/>
      <c r="F313" s="134"/>
      <c r="G313" s="140"/>
      <c r="H313" s="134"/>
      <c r="I313" s="140"/>
      <c r="J313" s="134"/>
      <c r="K313" s="140"/>
      <c r="L313" s="134"/>
      <c r="M313" s="140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5"/>
      <c r="AA313" s="135"/>
      <c r="AB313" s="134"/>
    </row>
    <row r="314" ht="14.25" customHeight="1">
      <c r="A314" s="134"/>
      <c r="B314" s="134"/>
      <c r="C314" s="140"/>
      <c r="D314" s="134"/>
      <c r="E314" s="140"/>
      <c r="F314" s="134"/>
      <c r="G314" s="140"/>
      <c r="H314" s="134"/>
      <c r="I314" s="140"/>
      <c r="J314" s="134"/>
      <c r="K314" s="140"/>
      <c r="L314" s="134"/>
      <c r="M314" s="140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5"/>
      <c r="AA314" s="135"/>
      <c r="AB314" s="134"/>
    </row>
    <row r="315" ht="15.75" customHeight="1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5"/>
      <c r="AA315" s="135"/>
      <c r="AB315" s="134"/>
    </row>
    <row r="316" ht="15.75" customHeight="1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5"/>
      <c r="AA316" s="135"/>
      <c r="AB316" s="134"/>
    </row>
    <row r="317" ht="15.75" customHeight="1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5"/>
      <c r="AA317" s="135"/>
      <c r="AB317" s="134"/>
    </row>
    <row r="318" ht="15.75" customHeight="1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5"/>
      <c r="AA318" s="135"/>
      <c r="AB318" s="134"/>
    </row>
    <row r="319" ht="15.75" customHeight="1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5"/>
      <c r="AA319" s="135"/>
      <c r="AB319" s="134"/>
    </row>
    <row r="320" ht="15.75" customHeight="1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5"/>
      <c r="AA320" s="135"/>
      <c r="AB320" s="134"/>
    </row>
    <row r="321" ht="15.75" customHeight="1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5"/>
      <c r="AA321" s="135"/>
      <c r="AB321" s="134"/>
    </row>
    <row r="322" ht="15.75" customHeight="1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5"/>
      <c r="AA322" s="135"/>
      <c r="AB322" s="134"/>
    </row>
    <row r="323" ht="15.75" customHeight="1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5"/>
      <c r="AA323" s="135"/>
      <c r="AB323" s="134"/>
    </row>
    <row r="324" ht="15.75" customHeight="1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5"/>
      <c r="AA324" s="135"/>
      <c r="AB324" s="134"/>
    </row>
    <row r="325" ht="15.75" customHeight="1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5"/>
      <c r="AA325" s="135"/>
      <c r="AB325" s="134"/>
    </row>
    <row r="326" ht="15.75" customHeight="1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5"/>
      <c r="AA326" s="135"/>
      <c r="AB326" s="134"/>
    </row>
    <row r="327" ht="15.75" customHeight="1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5"/>
      <c r="AA327" s="135"/>
      <c r="AB327" s="134"/>
    </row>
    <row r="328" ht="15.75" customHeight="1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5"/>
      <c r="AA328" s="135"/>
      <c r="AB328" s="134"/>
    </row>
    <row r="329" ht="15.75" customHeight="1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5"/>
      <c r="AA329" s="135"/>
      <c r="AB329" s="134"/>
    </row>
    <row r="330" ht="15.75" customHeight="1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5"/>
      <c r="AA330" s="135"/>
      <c r="AB330" s="134"/>
    </row>
    <row r="331" ht="15.75" customHeight="1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5"/>
      <c r="AA331" s="135"/>
      <c r="AB331" s="134"/>
    </row>
    <row r="332" ht="15.75" customHeight="1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5"/>
      <c r="AA332" s="135"/>
      <c r="AB332" s="134"/>
    </row>
    <row r="333" ht="15.75" customHeight="1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5"/>
      <c r="AA333" s="135"/>
      <c r="AB333" s="134"/>
    </row>
    <row r="334" ht="15.75" customHeight="1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5"/>
      <c r="AA334" s="135"/>
      <c r="AB334" s="134"/>
    </row>
    <row r="335" ht="15.75" customHeight="1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5"/>
      <c r="AA335" s="135"/>
      <c r="AB335" s="134"/>
    </row>
    <row r="336" ht="15.75" customHeight="1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5"/>
      <c r="AA336" s="135"/>
      <c r="AB336" s="134"/>
    </row>
    <row r="337" ht="15.75" customHeight="1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</row>
    <row r="338" ht="15.75" customHeight="1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</row>
    <row r="339" ht="15.75" customHeight="1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</row>
    <row r="340" ht="15.75" customHeight="1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</row>
    <row r="341" ht="15.75" customHeight="1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</row>
    <row r="342" ht="15.75" customHeight="1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</row>
    <row r="343" ht="15.75" customHeight="1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</row>
    <row r="344" ht="15.75" customHeight="1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</row>
    <row r="345" ht="15.75" customHeight="1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</row>
    <row r="346" ht="15.75" customHeight="1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</row>
    <row r="347" ht="15.75" customHeight="1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</row>
    <row r="348" ht="15.75" customHeight="1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</row>
    <row r="349" ht="15.75" customHeight="1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</row>
    <row r="350" ht="15.75" customHeight="1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</row>
    <row r="351" ht="15.75" customHeight="1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</row>
    <row r="352" ht="15.75" customHeight="1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</row>
    <row r="353" ht="15.75" customHeight="1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</row>
    <row r="354" ht="15.75" customHeight="1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</row>
    <row r="355" ht="15.75" customHeight="1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</row>
    <row r="356" ht="15.75" customHeight="1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</row>
    <row r="357" ht="15.75" customHeight="1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</row>
    <row r="358" ht="15.75" customHeight="1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</row>
    <row r="359" ht="15.75" customHeight="1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</row>
    <row r="360" ht="15.75" customHeight="1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</row>
    <row r="361" ht="15.75" customHeight="1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</row>
    <row r="362" ht="15.75" customHeight="1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</row>
    <row r="363" ht="15.75" customHeight="1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</row>
    <row r="364" ht="15.75" customHeight="1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</row>
    <row r="365" ht="15.75" customHeight="1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</row>
    <row r="366" ht="15.75" customHeight="1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</row>
    <row r="367" ht="15.75" customHeight="1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</row>
    <row r="368" ht="15.75" customHeight="1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</row>
    <row r="369" ht="15.75" customHeight="1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</row>
    <row r="370" ht="15.75" customHeight="1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</row>
    <row r="371" ht="15.75" customHeight="1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</row>
    <row r="372" ht="15.75" customHeight="1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</row>
    <row r="373" ht="15.75" customHeight="1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</row>
    <row r="374" ht="15.75" customHeight="1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</row>
    <row r="375" ht="15.75" customHeight="1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</row>
    <row r="376" ht="15.75" customHeight="1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</row>
    <row r="377" ht="15.75" customHeight="1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</row>
    <row r="378" ht="15.75" customHeight="1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</row>
    <row r="379" ht="15.75" customHeight="1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</row>
    <row r="380" ht="15.75" customHeight="1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</row>
    <row r="381" ht="15.75" customHeight="1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</row>
    <row r="382" ht="15.75" customHeight="1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</row>
    <row r="383" ht="15.75" customHeight="1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</row>
    <row r="384" ht="15.75" customHeight="1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</row>
    <row r="385" ht="15.75" customHeight="1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</row>
    <row r="386" ht="15.75" customHeight="1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</row>
    <row r="387" ht="15.75" customHeight="1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</row>
    <row r="388" ht="15.75" customHeight="1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</row>
    <row r="389" ht="15.75" customHeight="1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</row>
    <row r="390" ht="15.75" customHeight="1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</row>
    <row r="391" ht="15.75" customHeight="1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</row>
    <row r="392" ht="15.75" customHeight="1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</row>
    <row r="393" ht="15.75" customHeight="1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</row>
    <row r="394" ht="15.75" customHeight="1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</row>
    <row r="395" ht="15.75" customHeight="1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</row>
    <row r="396" ht="15.75" customHeight="1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</row>
    <row r="397" ht="15.75" customHeight="1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</row>
    <row r="398" ht="15.75" customHeight="1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</row>
    <row r="399" ht="15.75" customHeight="1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</row>
    <row r="400" ht="15.75" customHeight="1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</row>
    <row r="401" ht="15.75" customHeight="1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</row>
    <row r="402" ht="15.75" customHeight="1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</row>
    <row r="403" ht="15.75" customHeight="1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</row>
    <row r="404" ht="15.75" customHeight="1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</row>
    <row r="405" ht="15.75" customHeight="1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</row>
    <row r="406" ht="15.75" customHeight="1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</row>
    <row r="407" ht="15.75" customHeight="1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</row>
    <row r="408" ht="15.75" customHeight="1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</row>
    <row r="409" ht="15.75" customHeight="1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</row>
    <row r="410" ht="15.75" customHeight="1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</row>
    <row r="411" ht="15.75" customHeight="1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</row>
    <row r="412" ht="15.75" customHeight="1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</row>
    <row r="413" ht="15.75" customHeight="1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</row>
    <row r="414" ht="15.75" customHeight="1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</row>
    <row r="415" ht="15.75" customHeight="1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</row>
    <row r="416" ht="15.75" customHeight="1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</row>
    <row r="417" ht="15.75" customHeight="1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</row>
    <row r="418" ht="15.75" customHeight="1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</row>
    <row r="419" ht="15.75" customHeight="1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</row>
    <row r="420" ht="15.75" customHeight="1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</row>
    <row r="421" ht="15.75" customHeight="1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</row>
    <row r="422" ht="15.75" customHeight="1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</row>
    <row r="423" ht="15.75" customHeight="1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</row>
    <row r="424" ht="15.75" customHeight="1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</row>
    <row r="425" ht="15.75" customHeight="1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</row>
    <row r="426" ht="15.75" customHeight="1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</row>
    <row r="427" ht="15.75" customHeight="1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</row>
    <row r="428" ht="15.75" customHeight="1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</row>
    <row r="429" ht="15.75" customHeight="1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</row>
    <row r="430" ht="15.75" customHeight="1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</row>
    <row r="431" ht="15.75" customHeight="1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</row>
    <row r="432" ht="15.75" customHeight="1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</row>
    <row r="433" ht="15.75" customHeight="1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</row>
    <row r="434" ht="15.75" customHeight="1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</row>
    <row r="435" ht="15.75" customHeight="1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</row>
    <row r="436" ht="15.75" customHeight="1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</row>
    <row r="437" ht="15.75" customHeight="1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</row>
    <row r="438" ht="15.75" customHeight="1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</row>
    <row r="439" ht="15.75" customHeight="1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</row>
    <row r="440" ht="15.75" customHeight="1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</row>
    <row r="441" ht="15.75" customHeight="1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</row>
    <row r="442" ht="15.75" customHeight="1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</row>
    <row r="443" ht="15.75" customHeight="1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</row>
    <row r="444" ht="15.75" customHeight="1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</row>
    <row r="445" ht="15.75" customHeight="1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</row>
    <row r="446" ht="15.75" customHeight="1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</row>
    <row r="447" ht="15.75" customHeight="1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</row>
    <row r="448" ht="15.75" customHeight="1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</row>
    <row r="449" ht="15.75" customHeight="1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</row>
    <row r="450" ht="15.75" customHeight="1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</row>
    <row r="451" ht="15.75" customHeight="1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</row>
    <row r="452" ht="15.75" customHeight="1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</row>
    <row r="453" ht="15.75" customHeight="1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</row>
    <row r="454" ht="15.75" customHeight="1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</row>
    <row r="455" ht="15.75" customHeight="1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</row>
    <row r="456" ht="15.75" customHeight="1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</row>
    <row r="457" ht="15.75" customHeight="1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</row>
    <row r="458" ht="15.75" customHeight="1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</row>
    <row r="459" ht="15.75" customHeight="1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</row>
    <row r="460" ht="15.75" customHeight="1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</row>
    <row r="461" ht="15.75" customHeight="1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</row>
    <row r="462" ht="15.75" customHeight="1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</row>
    <row r="463" ht="15.75" customHeight="1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</row>
    <row r="464" ht="15.75" customHeight="1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</row>
    <row r="465" ht="15.75" customHeight="1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</row>
    <row r="466" ht="15.75" customHeight="1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</row>
    <row r="467" ht="15.75" customHeight="1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</row>
    <row r="468" ht="15.75" customHeight="1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</row>
    <row r="469" ht="15.75" customHeight="1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</row>
    <row r="470" ht="15.75" customHeight="1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</row>
    <row r="471" ht="15.75" customHeight="1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</row>
    <row r="472" ht="15.75" customHeight="1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</row>
    <row r="473" ht="15.75" customHeight="1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</row>
    <row r="474" ht="15.75" customHeight="1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</row>
    <row r="475" ht="15.75" customHeight="1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</row>
    <row r="476" ht="15.75" customHeight="1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</row>
    <row r="477" ht="15.75" customHeight="1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</row>
    <row r="478" ht="15.75" customHeight="1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</row>
    <row r="479" ht="15.75" customHeight="1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</row>
    <row r="480" ht="15.75" customHeight="1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</row>
    <row r="481" ht="15.75" customHeight="1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</row>
    <row r="482" ht="15.75" customHeight="1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</row>
    <row r="483" ht="15.75" customHeight="1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</row>
    <row r="484" ht="15.75" customHeight="1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</row>
    <row r="485" ht="15.75" customHeight="1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</row>
    <row r="486" ht="15.75" customHeight="1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</row>
    <row r="487" ht="15.75" customHeight="1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</row>
    <row r="488" ht="15.75" customHeight="1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</row>
    <row r="489" ht="15.75" customHeight="1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</row>
    <row r="490" ht="15.75" customHeight="1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</row>
    <row r="491" ht="15.75" customHeight="1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</row>
    <row r="492" ht="15.75" customHeight="1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</row>
    <row r="493" ht="15.75" customHeight="1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</row>
    <row r="494" ht="15.75" customHeight="1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</row>
    <row r="495" ht="15.75" customHeight="1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</row>
    <row r="496" ht="15.75" customHeight="1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</row>
    <row r="497" ht="15.75" customHeight="1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</row>
    <row r="498" ht="15.75" customHeight="1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</row>
    <row r="499" ht="15.75" customHeight="1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</row>
    <row r="500" ht="15.75" customHeight="1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</row>
    <row r="501" ht="15.75" customHeight="1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</row>
    <row r="502" ht="15.75" customHeight="1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</row>
    <row r="503" ht="15.75" customHeight="1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</row>
    <row r="504" ht="15.75" customHeight="1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</row>
    <row r="505" ht="15.75" customHeight="1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</row>
    <row r="506" ht="15.75" customHeight="1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</row>
    <row r="507" ht="15.75" customHeight="1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</row>
    <row r="508" ht="15.75" customHeight="1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</row>
    <row r="509" ht="15.75" customHeight="1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</row>
    <row r="510" ht="15.75" customHeight="1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</row>
    <row r="511" ht="15.75" customHeight="1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</row>
    <row r="512" ht="15.75" customHeight="1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</row>
    <row r="513" ht="15.75" customHeight="1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</row>
    <row r="514" ht="15.75" customHeight="1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</row>
    <row r="515" ht="15.75" customHeight="1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</row>
    <row r="516" ht="15.75" customHeight="1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</row>
    <row r="517" ht="15.75" customHeight="1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</row>
    <row r="518" ht="15.75" customHeight="1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</row>
    <row r="519" ht="15.75" customHeight="1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</row>
    <row r="520" ht="15.75" customHeight="1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</row>
    <row r="521" ht="15.75" customHeight="1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</row>
    <row r="522" ht="15.75" customHeight="1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</row>
    <row r="523" ht="15.75" customHeight="1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</row>
    <row r="524" ht="15.75" customHeight="1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</row>
    <row r="525" ht="15.75" customHeight="1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</row>
    <row r="526" ht="15.75" customHeight="1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</row>
    <row r="527" ht="15.75" customHeight="1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</row>
    <row r="528" ht="15.75" customHeight="1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</row>
    <row r="529" ht="15.75" customHeight="1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</row>
    <row r="530" ht="15.75" customHeight="1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</row>
    <row r="531" ht="15.75" customHeight="1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</row>
    <row r="532" ht="15.75" customHeight="1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</row>
    <row r="533" ht="15.75" customHeight="1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</row>
    <row r="534" ht="15.75" customHeight="1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</row>
    <row r="535" ht="15.75" customHeight="1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</row>
    <row r="536" ht="15.75" customHeight="1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</row>
    <row r="537" ht="15.75" customHeight="1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</row>
    <row r="538" ht="15.75" customHeight="1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</row>
    <row r="539" ht="15.75" customHeight="1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</row>
    <row r="540" ht="15.75" customHeight="1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</row>
    <row r="541" ht="15.75" customHeight="1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</row>
    <row r="542" ht="15.75" customHeight="1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</row>
    <row r="543" ht="15.75" customHeight="1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</row>
    <row r="544" ht="15.75" customHeight="1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</row>
    <row r="545" ht="15.75" customHeight="1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</row>
    <row r="546" ht="15.75" customHeight="1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</row>
    <row r="547" ht="15.75" customHeight="1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</row>
    <row r="548" ht="15.75" customHeight="1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</row>
    <row r="549" ht="15.75" customHeight="1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</row>
    <row r="550" ht="15.75" customHeight="1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</row>
    <row r="551" ht="15.75" customHeight="1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</row>
    <row r="552" ht="15.75" customHeight="1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</row>
    <row r="553" ht="15.75" customHeight="1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</row>
    <row r="554" ht="15.75" customHeight="1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</row>
    <row r="555" ht="15.75" customHeight="1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</row>
    <row r="556" ht="15.75" customHeight="1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</row>
    <row r="557" ht="15.75" customHeight="1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</row>
    <row r="558" ht="15.75" customHeight="1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</row>
    <row r="559" ht="15.75" customHeight="1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</row>
    <row r="560" ht="15.75" customHeight="1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</row>
    <row r="561" ht="15.75" customHeight="1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</row>
    <row r="562" ht="15.75" customHeight="1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</row>
    <row r="563" ht="15.75" customHeight="1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</row>
    <row r="564" ht="15.75" customHeight="1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</row>
    <row r="565" ht="15.75" customHeight="1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</row>
    <row r="566" ht="15.75" customHeight="1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</row>
    <row r="567" ht="15.75" customHeight="1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</row>
    <row r="568" ht="15.75" customHeight="1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</row>
    <row r="569" ht="15.75" customHeight="1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</row>
    <row r="570" ht="15.75" customHeight="1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</row>
    <row r="571" ht="15.75" customHeight="1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</row>
    <row r="572" ht="15.75" customHeight="1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</row>
    <row r="573" ht="15.75" customHeight="1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</row>
    <row r="574" ht="15.75" customHeight="1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</row>
    <row r="575" ht="15.75" customHeight="1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</row>
    <row r="576" ht="15.75" customHeight="1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</row>
    <row r="577" ht="15.75" customHeight="1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</row>
    <row r="578" ht="15.75" customHeight="1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</row>
    <row r="579" ht="15.75" customHeight="1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</row>
    <row r="580" ht="15.75" customHeight="1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</row>
    <row r="581" ht="15.75" customHeight="1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</row>
    <row r="582" ht="15.75" customHeight="1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</row>
    <row r="583" ht="15.75" customHeight="1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</row>
    <row r="584" ht="15.75" customHeight="1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</row>
    <row r="585" ht="15.75" customHeight="1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</row>
    <row r="586" ht="15.75" customHeight="1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</row>
    <row r="587" ht="15.75" customHeight="1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</row>
    <row r="588" ht="15.75" customHeight="1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</row>
    <row r="589" ht="15.75" customHeight="1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</row>
    <row r="590" ht="15.75" customHeight="1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</row>
    <row r="591" ht="15.75" customHeight="1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</row>
    <row r="592" ht="15.75" customHeight="1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</row>
    <row r="593" ht="15.75" customHeight="1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</row>
    <row r="594" ht="15.75" customHeight="1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</row>
    <row r="595" ht="15.75" customHeight="1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</row>
    <row r="596" ht="15.75" customHeight="1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</row>
    <row r="597" ht="15.75" customHeight="1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</row>
    <row r="598" ht="15.75" customHeight="1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</row>
    <row r="599" ht="15.75" customHeight="1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</row>
    <row r="600" ht="15.75" customHeight="1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</row>
    <row r="601" ht="15.75" customHeight="1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</row>
    <row r="602" ht="15.75" customHeight="1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</row>
    <row r="603" ht="15.75" customHeight="1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</row>
    <row r="604" ht="15.75" customHeight="1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</row>
    <row r="605" ht="15.75" customHeight="1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</row>
    <row r="606" ht="15.75" customHeight="1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</row>
    <row r="607" ht="15.75" customHeight="1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</row>
    <row r="608" ht="15.75" customHeight="1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</row>
    <row r="609" ht="15.75" customHeight="1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</row>
    <row r="610" ht="15.75" customHeight="1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</row>
    <row r="611" ht="15.75" customHeight="1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</row>
    <row r="612" ht="15.75" customHeight="1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</row>
    <row r="613" ht="15.75" customHeight="1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</row>
    <row r="614" ht="15.75" customHeight="1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</row>
    <row r="615" ht="15.75" customHeight="1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</row>
    <row r="616" ht="15.75" customHeight="1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</row>
    <row r="617" ht="15.75" customHeight="1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</row>
    <row r="618" ht="15.75" customHeight="1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</row>
    <row r="619" ht="15.75" customHeight="1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</row>
    <row r="620" ht="15.75" customHeight="1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</row>
    <row r="621" ht="15.75" customHeight="1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</row>
    <row r="622" ht="15.75" customHeight="1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</row>
    <row r="623" ht="15.75" customHeight="1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</row>
    <row r="624" ht="15.75" customHeight="1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</row>
    <row r="625" ht="15.75" customHeight="1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</row>
    <row r="626" ht="15.75" customHeight="1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</row>
    <row r="627" ht="15.75" customHeight="1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</row>
    <row r="628" ht="15.75" customHeight="1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</row>
    <row r="629" ht="15.75" customHeight="1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</row>
    <row r="630" ht="15.75" customHeight="1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</row>
    <row r="631" ht="15.75" customHeight="1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</row>
    <row r="632" ht="15.75" customHeight="1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</row>
    <row r="633" ht="15.75" customHeight="1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</row>
    <row r="634" ht="15.75" customHeight="1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</row>
    <row r="635" ht="15.75" customHeight="1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</row>
    <row r="636" ht="15.75" customHeight="1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</row>
    <row r="637" ht="15.75" customHeight="1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</row>
    <row r="638" ht="15.75" customHeight="1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</row>
    <row r="639" ht="15.75" customHeight="1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</row>
    <row r="640" ht="15.75" customHeight="1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</row>
    <row r="641" ht="15.75" customHeight="1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</row>
    <row r="642" ht="15.75" customHeight="1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</row>
    <row r="643" ht="15.75" customHeight="1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</row>
    <row r="644" ht="15.75" customHeight="1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</row>
    <row r="645" ht="15.75" customHeight="1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</row>
    <row r="646" ht="15.75" customHeight="1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</row>
    <row r="647" ht="15.75" customHeight="1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</row>
    <row r="648" ht="15.75" customHeight="1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</row>
    <row r="649" ht="15.75" customHeight="1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</row>
    <row r="650" ht="15.75" customHeight="1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</row>
    <row r="651" ht="15.75" customHeight="1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</row>
    <row r="652" ht="15.75" customHeight="1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</row>
    <row r="653" ht="15.75" customHeight="1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</row>
    <row r="654" ht="15.75" customHeight="1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</row>
    <row r="655" ht="15.75" customHeight="1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</row>
    <row r="656" ht="15.75" customHeight="1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</row>
    <row r="657" ht="15.75" customHeight="1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</row>
    <row r="658" ht="15.75" customHeight="1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</row>
    <row r="659" ht="15.75" customHeight="1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</row>
    <row r="660" ht="15.75" customHeight="1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</row>
    <row r="661" ht="15.75" customHeight="1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</row>
    <row r="662" ht="15.75" customHeight="1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</row>
    <row r="663" ht="15.75" customHeight="1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</row>
    <row r="664" ht="15.75" customHeight="1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</row>
    <row r="665" ht="15.75" customHeight="1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</row>
    <row r="666" ht="15.75" customHeight="1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</row>
    <row r="667" ht="15.75" customHeight="1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</row>
    <row r="668" ht="15.75" customHeight="1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</row>
    <row r="669" ht="15.75" customHeight="1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</row>
    <row r="670" ht="15.75" customHeight="1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</row>
    <row r="671" ht="15.75" customHeight="1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</row>
    <row r="672" ht="15.75" customHeight="1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</row>
    <row r="673" ht="15.75" customHeight="1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</row>
    <row r="674" ht="15.75" customHeight="1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</row>
    <row r="675" ht="15.75" customHeight="1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</row>
    <row r="676" ht="15.75" customHeight="1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</row>
    <row r="677" ht="15.75" customHeight="1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</row>
    <row r="678" ht="15.75" customHeight="1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</row>
    <row r="679" ht="15.75" customHeight="1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</row>
    <row r="680" ht="15.75" customHeight="1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</row>
    <row r="681" ht="15.75" customHeight="1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</row>
    <row r="682" ht="15.75" customHeight="1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</row>
    <row r="683" ht="15.75" customHeight="1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</row>
    <row r="684" ht="15.75" customHeight="1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</row>
    <row r="685" ht="15.75" customHeight="1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</row>
    <row r="686" ht="15.75" customHeight="1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</row>
    <row r="687" ht="15.75" customHeight="1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</row>
    <row r="688" ht="15.75" customHeight="1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</row>
    <row r="689" ht="15.75" customHeight="1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</row>
    <row r="690" ht="15.75" customHeight="1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</row>
    <row r="691" ht="15.75" customHeight="1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</row>
    <row r="692" ht="15.75" customHeight="1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</row>
    <row r="693" ht="15.75" customHeight="1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</row>
    <row r="694" ht="15.75" customHeight="1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</row>
    <row r="695" ht="15.75" customHeight="1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</row>
    <row r="696" ht="15.75" customHeight="1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</row>
    <row r="697" ht="15.75" customHeight="1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</row>
    <row r="698" ht="15.75" customHeight="1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</row>
    <row r="699" ht="15.75" customHeight="1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</row>
    <row r="700" ht="15.75" customHeight="1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</row>
    <row r="701" ht="15.75" customHeight="1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</row>
    <row r="702" ht="15.75" customHeight="1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</row>
    <row r="703" ht="15.75" customHeight="1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</row>
    <row r="704" ht="15.75" customHeight="1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</row>
    <row r="705" ht="15.75" customHeight="1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</row>
    <row r="706" ht="15.75" customHeight="1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</row>
    <row r="707" ht="15.75" customHeight="1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</row>
    <row r="708" ht="15.75" customHeight="1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</row>
    <row r="709" ht="15.75" customHeight="1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</row>
    <row r="710" ht="15.75" customHeight="1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</row>
    <row r="711" ht="15.75" customHeight="1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</row>
    <row r="712" ht="15.75" customHeight="1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</row>
    <row r="713" ht="15.75" customHeight="1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</row>
    <row r="714" ht="15.75" customHeight="1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</row>
    <row r="715" ht="15.75" customHeight="1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</row>
    <row r="716" ht="15.75" customHeight="1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</row>
    <row r="717" ht="15.75" customHeight="1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</row>
    <row r="718" ht="15.75" customHeight="1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</row>
    <row r="719" ht="15.75" customHeight="1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</row>
    <row r="720" ht="15.75" customHeight="1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</row>
    <row r="721" ht="15.75" customHeight="1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</row>
    <row r="722" ht="15.75" customHeight="1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</row>
    <row r="723" ht="15.75" customHeight="1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</row>
    <row r="724" ht="15.75" customHeight="1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</row>
    <row r="725" ht="15.75" customHeight="1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</row>
    <row r="726" ht="15.75" customHeight="1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</row>
    <row r="727" ht="15.75" customHeight="1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</row>
    <row r="728" ht="15.75" customHeight="1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</row>
    <row r="729" ht="15.75" customHeight="1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</row>
    <row r="730" ht="15.75" customHeight="1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</row>
    <row r="731" ht="15.75" customHeight="1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</row>
    <row r="732" ht="15.75" customHeight="1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</row>
    <row r="733" ht="15.75" customHeight="1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</row>
    <row r="734" ht="15.75" customHeight="1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</row>
    <row r="735" ht="15.75" customHeight="1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</row>
    <row r="736" ht="15.75" customHeight="1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</row>
    <row r="737" ht="15.75" customHeight="1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</row>
    <row r="738" ht="15.75" customHeight="1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</row>
    <row r="739" ht="15.75" customHeight="1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</row>
    <row r="740" ht="15.75" customHeight="1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</row>
    <row r="741" ht="15.75" customHeight="1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</row>
    <row r="742" ht="15.75" customHeight="1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</row>
    <row r="743" ht="15.75" customHeight="1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</row>
    <row r="744" ht="15.75" customHeight="1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</row>
    <row r="745" ht="15.75" customHeight="1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</row>
    <row r="746" ht="15.75" customHeight="1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</row>
    <row r="747" ht="15.75" customHeight="1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</row>
    <row r="748" ht="15.75" customHeight="1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</row>
    <row r="749" ht="15.75" customHeight="1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</row>
    <row r="750" ht="15.75" customHeight="1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</row>
    <row r="751" ht="15.75" customHeight="1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</row>
    <row r="752" ht="15.75" customHeight="1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</row>
    <row r="753" ht="15.75" customHeight="1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</row>
    <row r="754" ht="15.75" customHeight="1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</row>
    <row r="755" ht="15.75" customHeight="1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</row>
    <row r="756" ht="15.75" customHeight="1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</row>
    <row r="757" ht="15.75" customHeight="1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</row>
    <row r="758" ht="15.75" customHeight="1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</row>
    <row r="759" ht="15.75" customHeight="1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</row>
    <row r="760" ht="15.75" customHeight="1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</row>
    <row r="761" ht="15.75" customHeight="1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</row>
    <row r="762" ht="15.75" customHeight="1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</row>
    <row r="763" ht="15.75" customHeight="1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</row>
    <row r="764" ht="15.75" customHeight="1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</row>
    <row r="765" ht="15.75" customHeight="1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</row>
    <row r="766" ht="15.75" customHeight="1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</row>
    <row r="767" ht="15.75" customHeight="1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</row>
    <row r="768" ht="15.75" customHeight="1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</row>
    <row r="769" ht="15.75" customHeight="1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</row>
    <row r="770" ht="15.75" customHeight="1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</row>
    <row r="771" ht="15.75" customHeight="1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</row>
    <row r="772" ht="15.75" customHeight="1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</row>
    <row r="773" ht="15.75" customHeight="1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</row>
    <row r="774" ht="15.75" customHeight="1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</row>
    <row r="775" ht="15.75" customHeight="1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</row>
    <row r="776" ht="15.75" customHeight="1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</row>
    <row r="777" ht="15.75" customHeight="1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</row>
    <row r="778" ht="15.75" customHeight="1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</row>
    <row r="779" ht="15.75" customHeight="1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</row>
    <row r="780" ht="15.75" customHeight="1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</row>
    <row r="781" ht="15.75" customHeight="1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</row>
    <row r="782" ht="15.75" customHeight="1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</row>
    <row r="783" ht="15.75" customHeight="1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</row>
    <row r="784" ht="15.75" customHeight="1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</row>
    <row r="785" ht="15.75" customHeight="1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</row>
    <row r="786" ht="15.75" customHeight="1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</row>
    <row r="787" ht="15.75" customHeight="1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</row>
    <row r="788" ht="15.75" customHeight="1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</row>
    <row r="789" ht="15.75" customHeight="1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</row>
    <row r="790" ht="15.75" customHeight="1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</row>
    <row r="791" ht="15.75" customHeight="1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</row>
    <row r="792" ht="15.75" customHeight="1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</row>
    <row r="793" ht="15.75" customHeight="1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</row>
    <row r="794" ht="15.75" customHeight="1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</row>
    <row r="795" ht="15.75" customHeight="1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</row>
    <row r="796" ht="15.75" customHeight="1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</row>
    <row r="797" ht="15.75" customHeight="1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</row>
    <row r="798" ht="15.75" customHeight="1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</row>
    <row r="799" ht="15.75" customHeight="1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</row>
    <row r="800" ht="15.75" customHeight="1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</row>
    <row r="801" ht="15.75" customHeight="1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</row>
    <row r="802" ht="15.75" customHeight="1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</row>
    <row r="803" ht="15.75" customHeight="1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</row>
    <row r="804" ht="15.75" customHeight="1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</row>
    <row r="805" ht="15.75" customHeight="1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</row>
    <row r="806" ht="15.75" customHeight="1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</row>
    <row r="807" ht="15.75" customHeight="1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</row>
    <row r="808" ht="15.75" customHeight="1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</row>
    <row r="809" ht="15.75" customHeight="1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</row>
    <row r="810" ht="15.75" customHeight="1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</row>
    <row r="811" ht="15.75" customHeight="1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</row>
    <row r="812" ht="15.75" customHeight="1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</row>
    <row r="813" ht="15.75" customHeight="1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</row>
    <row r="814" ht="15.75" customHeight="1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</row>
    <row r="815" ht="15.75" customHeight="1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</row>
    <row r="816" ht="15.75" customHeight="1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</row>
    <row r="817" ht="15.75" customHeight="1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</row>
    <row r="818" ht="15.75" customHeight="1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</row>
    <row r="819" ht="15.75" customHeight="1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</row>
    <row r="820" ht="15.75" customHeight="1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</row>
    <row r="821" ht="15.75" customHeight="1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</row>
    <row r="822" ht="15.75" customHeight="1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</row>
    <row r="823" ht="15.75" customHeight="1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</row>
    <row r="824" ht="15.75" customHeight="1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</row>
    <row r="825" ht="15.75" customHeight="1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</row>
    <row r="826" ht="15.75" customHeight="1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</row>
    <row r="827" ht="15.75" customHeight="1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</row>
    <row r="828" ht="15.75" customHeight="1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</row>
    <row r="829" ht="15.75" customHeight="1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</row>
    <row r="830" ht="15.75" customHeight="1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</row>
    <row r="831" ht="15.75" customHeight="1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</row>
    <row r="832" ht="15.75" customHeight="1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</row>
    <row r="833" ht="15.75" customHeight="1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</row>
    <row r="834" ht="15.75" customHeight="1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</row>
    <row r="835" ht="15.75" customHeight="1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</row>
    <row r="836" ht="15.75" customHeight="1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</row>
    <row r="837" ht="15.75" customHeight="1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</row>
    <row r="838" ht="15.75" customHeight="1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</row>
    <row r="839" ht="15.75" customHeight="1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</row>
    <row r="840" ht="15.75" customHeight="1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</row>
    <row r="841" ht="15.75" customHeight="1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</row>
    <row r="842" ht="15.75" customHeight="1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</row>
    <row r="843" ht="15.75" customHeight="1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</row>
    <row r="844" ht="15.75" customHeight="1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</row>
    <row r="845" ht="15.75" customHeight="1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</row>
    <row r="846" ht="15.75" customHeight="1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</row>
    <row r="847" ht="15.75" customHeight="1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</row>
    <row r="848" ht="15.75" customHeight="1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</row>
    <row r="849" ht="15.75" customHeight="1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</row>
    <row r="850" ht="15.75" customHeight="1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</row>
    <row r="851" ht="15.75" customHeight="1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</row>
    <row r="852" ht="15.75" customHeight="1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</row>
    <row r="853" ht="15.75" customHeight="1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</row>
    <row r="854" ht="15.75" customHeight="1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</row>
    <row r="855" ht="15.75" customHeight="1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</row>
    <row r="856" ht="15.75" customHeight="1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</row>
    <row r="857" ht="15.75" customHeight="1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</row>
    <row r="858" ht="15.75" customHeight="1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</row>
    <row r="859" ht="15.75" customHeight="1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</row>
    <row r="860" ht="15.75" customHeight="1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</row>
    <row r="861" ht="15.75" customHeight="1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</row>
    <row r="862" ht="15.75" customHeight="1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</row>
    <row r="863" ht="15.75" customHeight="1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</row>
    <row r="864" ht="15.75" customHeight="1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</row>
    <row r="865" ht="15.75" customHeight="1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</row>
    <row r="866" ht="15.75" customHeight="1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</row>
    <row r="867" ht="15.75" customHeight="1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</row>
    <row r="868" ht="15.75" customHeight="1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</row>
    <row r="869" ht="15.75" customHeight="1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</row>
    <row r="870" ht="15.75" customHeight="1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</row>
    <row r="871" ht="15.75" customHeight="1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</row>
    <row r="872" ht="15.75" customHeight="1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</row>
    <row r="873" ht="15.75" customHeight="1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</row>
    <row r="874" ht="15.75" customHeight="1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</row>
    <row r="875" ht="15.75" customHeight="1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</row>
    <row r="876" ht="15.75" customHeight="1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</row>
    <row r="877" ht="15.75" customHeight="1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</row>
    <row r="878" ht="15.75" customHeight="1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</row>
    <row r="879" ht="15.75" customHeight="1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</row>
    <row r="880" ht="15.75" customHeight="1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</row>
    <row r="881" ht="15.75" customHeight="1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</row>
    <row r="882" ht="15.75" customHeight="1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</row>
    <row r="883" ht="15.75" customHeight="1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</row>
    <row r="884" ht="15.75" customHeight="1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</row>
    <row r="885" ht="15.75" customHeight="1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</row>
    <row r="886" ht="15.75" customHeight="1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</row>
    <row r="887" ht="15.75" customHeight="1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</row>
    <row r="888" ht="15.75" customHeight="1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</row>
    <row r="889" ht="15.75" customHeight="1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</row>
    <row r="890" ht="15.75" customHeight="1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</row>
    <row r="891" ht="15.75" customHeight="1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</row>
    <row r="892" ht="15.75" customHeight="1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</row>
    <row r="893" ht="15.75" customHeight="1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</row>
    <row r="894" ht="15.75" customHeight="1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</row>
    <row r="895" ht="15.75" customHeight="1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</row>
    <row r="896" ht="15.75" customHeight="1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</row>
    <row r="897" ht="15.75" customHeight="1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</row>
    <row r="898" ht="15.75" customHeight="1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</row>
    <row r="899" ht="15.75" customHeight="1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</row>
    <row r="900" ht="15.75" customHeight="1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</row>
    <row r="901" ht="15.75" customHeight="1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</row>
    <row r="902" ht="15.75" customHeight="1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</row>
    <row r="903" ht="15.75" customHeight="1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</row>
    <row r="904" ht="15.75" customHeight="1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</row>
    <row r="905" ht="15.75" customHeight="1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</row>
    <row r="906" ht="15.75" customHeight="1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</row>
    <row r="907" ht="15.75" customHeight="1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</row>
    <row r="908" ht="15.75" customHeight="1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</row>
    <row r="909" ht="15.75" customHeight="1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</row>
    <row r="910" ht="15.75" customHeight="1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</row>
    <row r="911" ht="15.75" customHeight="1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</row>
    <row r="912" ht="15.75" customHeight="1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</row>
    <row r="913" ht="15.75" customHeight="1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</row>
    <row r="914" ht="15.75" customHeight="1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</row>
    <row r="915" ht="15.75" customHeight="1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</row>
    <row r="916" ht="15.75" customHeight="1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</row>
    <row r="917" ht="15.75" customHeight="1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</row>
    <row r="918" ht="15.75" customHeight="1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</row>
    <row r="919" ht="15.75" customHeight="1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</row>
    <row r="920" ht="15.75" customHeight="1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</row>
    <row r="921" ht="15.75" customHeight="1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</row>
    <row r="922" ht="15.75" customHeight="1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</row>
    <row r="923" ht="15.75" customHeight="1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</row>
    <row r="924" ht="15.75" customHeight="1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</row>
    <row r="925" ht="15.75" customHeight="1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</row>
    <row r="926" ht="15.75" customHeight="1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</row>
    <row r="927" ht="15.75" customHeight="1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</row>
    <row r="928" ht="15.75" customHeight="1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</row>
    <row r="929" ht="15.75" customHeight="1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</row>
    <row r="930" ht="15.75" customHeight="1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</row>
    <row r="931" ht="15.75" customHeight="1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</row>
    <row r="932" ht="15.75" customHeight="1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</row>
    <row r="933" ht="15.75" customHeight="1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</row>
    <row r="934" ht="15.75" customHeight="1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</row>
    <row r="935" ht="15.75" customHeight="1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</row>
    <row r="936" ht="15.75" customHeight="1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</row>
    <row r="937" ht="15.75" customHeight="1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</row>
    <row r="938" ht="15.75" customHeight="1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</row>
    <row r="939" ht="15.75" customHeight="1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</row>
    <row r="940" ht="15.75" customHeight="1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</row>
    <row r="941" ht="15.75" customHeight="1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</row>
    <row r="942" ht="15.75" customHeight="1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</row>
    <row r="943" ht="15.75" customHeight="1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</row>
    <row r="944" ht="15.75" customHeight="1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</row>
    <row r="945" ht="15.75" customHeight="1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</row>
    <row r="946" ht="15.75" customHeight="1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</row>
    <row r="947" ht="15.75" customHeight="1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</row>
    <row r="948" ht="15.75" customHeight="1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</row>
    <row r="949" ht="15.75" customHeight="1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</row>
    <row r="950" ht="15.75" customHeight="1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</row>
    <row r="951" ht="15.75" customHeight="1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</row>
    <row r="952" ht="15.75" customHeight="1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</row>
    <row r="953" ht="15.75" customHeight="1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</row>
    <row r="954" ht="15.75" customHeight="1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</row>
    <row r="955" ht="15.75" customHeight="1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</row>
    <row r="956" ht="15.75" customHeight="1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</row>
    <row r="957" ht="15.75" customHeight="1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</row>
    <row r="958" ht="15.75" customHeight="1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</row>
    <row r="959" ht="15.75" customHeight="1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</row>
    <row r="960" ht="15.75" customHeight="1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</row>
    <row r="961" ht="15.75" customHeight="1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</row>
    <row r="962" ht="15.75" customHeight="1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</row>
    <row r="963" ht="15.75" customHeight="1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</row>
    <row r="964" ht="15.75" customHeight="1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</row>
    <row r="965" ht="15.75" customHeight="1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</row>
    <row r="966" ht="15.75" customHeight="1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</row>
    <row r="967" ht="15.75" customHeight="1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</row>
    <row r="968" ht="15.75" customHeight="1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</row>
    <row r="969" ht="15.75" customHeight="1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</row>
    <row r="970" ht="15.75" customHeight="1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</row>
    <row r="971" ht="15.75" customHeight="1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</row>
    <row r="972" ht="15.75" customHeight="1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</row>
    <row r="973" ht="15.75" customHeight="1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</row>
    <row r="974" ht="15.75" customHeight="1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</row>
    <row r="975" ht="15.75" customHeight="1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</row>
    <row r="976" ht="15.75" customHeight="1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</row>
    <row r="977" ht="15.75" customHeight="1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</row>
    <row r="978" ht="15.75" customHeight="1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</row>
    <row r="979" ht="15.75" customHeight="1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</row>
    <row r="980" ht="15.75" customHeight="1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</row>
    <row r="981" ht="15.75" customHeight="1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</row>
    <row r="982" ht="15.75" customHeight="1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</row>
    <row r="983" ht="15.75" customHeight="1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</row>
    <row r="984" ht="15.75" customHeight="1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</row>
    <row r="985" ht="15.75" customHeight="1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</row>
    <row r="986" ht="15.75" customHeight="1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</row>
    <row r="987" ht="15.75" customHeight="1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</row>
    <row r="988" ht="15.75" customHeight="1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</row>
    <row r="989" ht="15.75" customHeight="1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</row>
    <row r="990" ht="15.75" customHeight="1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</row>
    <row r="991" ht="15.75" customHeight="1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</row>
    <row r="992" ht="15.75" customHeight="1">
      <c r="A992" s="134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</row>
    <row r="993" ht="15.75" customHeight="1">
      <c r="A993" s="134"/>
      <c r="B993" s="134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</row>
    <row r="994" ht="15.75" customHeight="1">
      <c r="A994" s="134"/>
      <c r="B994" s="134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</row>
    <row r="995" ht="15.75" customHeight="1">
      <c r="A995" s="134"/>
      <c r="B995" s="134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</row>
    <row r="996" ht="15.75" customHeight="1">
      <c r="A996" s="134"/>
      <c r="B996" s="134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</row>
    <row r="997" ht="15.75" customHeight="1">
      <c r="A997" s="134"/>
      <c r="B997" s="134"/>
      <c r="C997" s="134"/>
      <c r="D997" s="134"/>
      <c r="E997" s="134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</row>
    <row r="998" ht="15.75" customHeight="1">
      <c r="A998" s="134"/>
      <c r="B998" s="134"/>
      <c r="C998" s="134"/>
      <c r="D998" s="134"/>
      <c r="E998" s="134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</row>
    <row r="999" ht="15.75" customHeight="1">
      <c r="A999" s="134"/>
      <c r="B999" s="134"/>
      <c r="C999" s="134"/>
      <c r="D999" s="134"/>
      <c r="E999" s="134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</row>
    <row r="1000" ht="15.75" customHeight="1">
      <c r="A1000" s="134"/>
      <c r="B1000" s="134"/>
      <c r="C1000" s="134"/>
      <c r="D1000" s="134"/>
      <c r="E1000" s="134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</row>
  </sheetData>
  <mergeCells count="3">
    <mergeCell ref="C120:H120"/>
    <mergeCell ref="I120:N120"/>
    <mergeCell ref="O120:T120"/>
  </mergeCells>
  <printOptions/>
  <pageMargins bottom="0.75" footer="0.0" header="0.0" left="0.7" right="0.7" top="0.75"/>
  <pageSetup orientation="portrait"/>
  <drawing r:id="rId1"/>
</worksheet>
</file>