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Y" sheetId="1" r:id="rId4"/>
    <sheet state="visible" name="Liqudity tiers" sheetId="2" r:id="rId5"/>
    <sheet state="visible" name="tier mapping" sheetId="3" r:id="rId6"/>
    <sheet state="visible" name="COFA" sheetId="4" r:id="rId7"/>
    <sheet state="visible" name="COFA - live" sheetId="5" r:id="rId8"/>
    <sheet state="visible" name="Inst Lending numbers" sheetId="6" r:id="rId9"/>
    <sheet state="hidden" name="Weekly Rates" sheetId="7" r:id="rId10"/>
    <sheet state="visible" name="Import from defimon" sheetId="8" r:id="rId11"/>
    <sheet state="visible" name="Import_from_CeFi_dashboard" sheetId="9" r:id="rId12"/>
    <sheet state="visible" name="EAM" sheetId="10" r:id="rId13"/>
    <sheet state="visible" name="New Tiers" sheetId="11" r:id="rId14"/>
    <sheet state="visible" name="Blank APYs" sheetId="12" r:id="rId15"/>
  </sheets>
  <definedNames>
    <definedName hidden="1" localSheetId="0" name="Z_4558648A_AC5D_4C7F_81B1_6EC982C5090B_.wvu.FilterData">APY!$A$3:$CT$101</definedName>
    <definedName hidden="1" localSheetId="1" name="Z_4558648A_AC5D_4C7F_81B1_6EC982C5090B_.wvu.FilterData">'Liqudity tiers'!$A$3:$CY$85</definedName>
    <definedName hidden="1" localSheetId="11" name="Z_4558648A_AC5D_4C7F_81B1_6EC982C5090B_.wvu.FilterData">'Blank APYs'!$H$1:$I$1000</definedName>
  </definedNames>
  <calcPr/>
  <customWorkbookViews>
    <customWorkbookView activeSheetId="0" maximized="1" windowHeight="0" windowWidth="0" guid="{4558648A-AC5D-4C7F-81B1-6EC982C5090B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F43">
      <text>
        <t xml:space="preserve">@jason.oneill@celsius.network @gerrit.van-wingerden@celsius.network 3.76% of stETH seems too low. isn't it?
	-Ron Sabo
Yes, the current curve yield is 6%  (2.99% LDO &amp; 2.91 base pool APY).  I will check with Ethan and Muhammad to get this discrepancy fixed.
	-Jason O'Neill</t>
      </text>
    </comment>
    <comment authorId="0" ref="S1">
      <text>
        <t xml:space="preserve">@connor.nolan@celsius.network Do you know who "owns" this account?
	-Ron Sabo</t>
      </text>
    </comment>
    <comment authorId="0" ref="BC29">
      <text>
        <t xml:space="preserve">@ron.sabo@celsius.network should'nt it take the BTC APY value?
	-Gabriel Choukroun
fixed
	-Ron Sabo</t>
      </text>
    </comment>
    <comment authorId="0" ref="A1">
      <text>
        <t xml:space="preserve">@ron.sabo@celsius.network ????
	-Gabriel Choukroun
should be deleted
	-Ron Sabo
Hi Ron.  Maybe I'm misunderstanding something but I added the 15% here. Should I leave tricrypto2 APYs blank?
	-Gerrit van Wingerden
you should put a number that best represnt the expected return. This is used as a input for the Waterfall so it must be a single number.
	-Ron Sabo
I'm seeing base 2.17, CVX 9.16, CRV (1.67x boost) 5.5, CVX 9.16 = total of 16.83 but it's volatile so I put it at 15% to be conservative.  Will update to 16.83%
	-Gerrit van Wingerden
----
@tony.yi@celsius.network no yield here as well
_Assigned to Tony Yi_
	-Ron Sabo
----
@tony.yi@celsius.network seem like this wallet has no yield assosited with it. can you check?
_Assigned to Tony Yi_
	-Ron Sabo</t>
      </text>
    </comment>
    <comment authorId="0" ref="AY79">
      <text>
        <t xml:space="preserve">SNX Balance @connor.nolan@celsius.network
_Assigned to Connor Nolan_
	-Dean Tappen</t>
      </text>
    </comment>
    <comment authorId="0" ref="AZ44">
      <text>
        <t xml:space="preserve">@connor.nolan@celsius.network 39.8308 FARM
_Assigned to Connor Nolan_
	-Dean Tappen</t>
      </text>
    </comment>
    <comment authorId="0" ref="AY103">
      <text>
        <t xml:space="preserve">@connor.nolan@celsius.network 0.4258424739 YFI
_Assigned to Connor Nolan_
	-Dean Tappen</t>
      </text>
    </comment>
    <comment authorId="0" ref="AY8">
      <text>
        <t xml:space="preserve">@connor.nolan@celsius.network 227 AAVE here
_Assigned to Connor Nolan_
	-Dean Tappen</t>
      </text>
    </comment>
    <comment authorId="0" ref="AY29">
      <text>
        <t xml:space="preserve">2.88 BTC @connor.nolan@celsius.network
_Assigned to Connor Nolan_
	-Dean Tappen</t>
      </text>
    </comment>
    <comment authorId="0" ref="AY12">
      <text>
        <t xml:space="preserve">189539.3637 ALPHA here @connor.nolan@celsius.network
_Assigned to Connor Nolan_
	-Dean Tappen</t>
      </text>
    </comment>
    <comment authorId="0" ref="AY43">
      <text>
        <t xml:space="preserve">95 ETH deployed here @connor.nolan@celsius.network
_Assigned to Connor Nolan_
	-Dean Tappen</t>
      </text>
    </comment>
    <comment authorId="0" ref="AY93">
      <text>
        <t xml:space="preserve">@connor.nolan@celsius.network 45514.65 UNI deployed here with no APY
_Assigned to Connor Nolan_
	-Dean Tappen</t>
      </text>
    </comment>
    <comment authorId="0" ref="AJ37">
      <text>
        <t xml:space="preserve">@connor.nolan@celsius.network @ron.sabo@celsius.network I have no idea who the owner is or what current APY's are here - are we even currently still staking?
_Assigned to Ron Sabo_
	-Dean Tappen
we are staking only a portion of our DASH holdings (stack with creating new mated nodes). Current API is 2% and would go up to 5%+ once we solve this.
	-Ron Sabo</t>
      </text>
    </comment>
  </commentList>
</comments>
</file>

<file path=xl/sharedStrings.xml><?xml version="1.0" encoding="utf-8"?>
<sst xmlns="http://schemas.openxmlformats.org/spreadsheetml/2006/main" count="1657" uniqueCount="315">
  <si>
    <t>Coin</t>
  </si>
  <si>
    <t>Bank - Balances</t>
  </si>
  <si>
    <t>Celsius Network</t>
  </si>
  <si>
    <t>Celsius Network System</t>
  </si>
  <si>
    <t>Celsius Network Finance</t>
  </si>
  <si>
    <t>Celsius OTC</t>
  </si>
  <si>
    <t>CEL Treasury</t>
  </si>
  <si>
    <t>CEL Users</t>
  </si>
  <si>
    <t>Loans Out</t>
  </si>
  <si>
    <t>Posted Collateral</t>
  </si>
  <si>
    <t>Celsius Borrows Account</t>
  </si>
  <si>
    <t>Maker Borrows Vault</t>
  </si>
  <si>
    <t>PrimeTrust</t>
  </si>
  <si>
    <t>Loans</t>
  </si>
  <si>
    <t>Grayscale</t>
  </si>
  <si>
    <t>Osprey</t>
  </si>
  <si>
    <t>FTX - CnC</t>
  </si>
  <si>
    <t>FTX - Borrow</t>
  </si>
  <si>
    <t>Synthetix + Hedge</t>
  </si>
  <si>
    <t>Impermanent_loss_hedge__RonSabo</t>
  </si>
  <si>
    <t>FTX - Management</t>
  </si>
  <si>
    <t>Hedge_Options</t>
  </si>
  <si>
    <t>FTX - Kairon</t>
  </si>
  <si>
    <t>FTX - Main Account</t>
  </si>
  <si>
    <t>FTX - CEL</t>
  </si>
  <si>
    <t>FTX - DeFi</t>
  </si>
  <si>
    <t>FTX - Brad</t>
  </si>
  <si>
    <t>FTX - cel_staking</t>
  </si>
  <si>
    <t>FTX - Grayscale</t>
  </si>
  <si>
    <t>FTX - Jacob</t>
  </si>
  <si>
    <t>FTX - Directional Trading 2</t>
  </si>
  <si>
    <t>FTX - Johannes</t>
  </si>
  <si>
    <t>FTX - TEAM Directional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</si>
  <si>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</si>
  <si>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</si>
  <si>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</si>
  <si>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</si>
  <si>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</si>
  <si>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</si>
  <si>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</si>
  <si>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</si>
  <si>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 - API</t>
  </si>
  <si>
    <t>DERIBIT</t>
  </si>
  <si>
    <t>LIQUID</t>
  </si>
  <si>
    <t>OKEX</t>
  </si>
  <si>
    <t>YD - Curve - BUSDv2</t>
  </si>
  <si>
    <t>AAVE Deployment / Staking</t>
  </si>
  <si>
    <t>Bufords</t>
  </si>
  <si>
    <t>Deployment Team - Misc</t>
  </si>
  <si>
    <t>Network Deposits</t>
  </si>
  <si>
    <t>OmniMan1</t>
  </si>
  <si>
    <t>OmniMan2</t>
  </si>
  <si>
    <t>YD - AlphaHv2</t>
  </si>
  <si>
    <t>Deployment - Alpha</t>
  </si>
  <si>
    <t>YieldDesk_Main</t>
  </si>
  <si>
    <t>YD - BADGER - byvWBTC</t>
  </si>
  <si>
    <t>Yield Desk - Badger</t>
  </si>
  <si>
    <t>YD - Badger - bBTC</t>
  </si>
  <si>
    <t>Yield Desk - Bancor</t>
  </si>
  <si>
    <t>YD - Badger - OBTC</t>
  </si>
  <si>
    <t>YD - Curve - oBTC</t>
  </si>
  <si>
    <t>YD - Curve - BBTC</t>
  </si>
  <si>
    <t>YD - Convex/Badger - hBTC</t>
  </si>
  <si>
    <t>YD - Harvest - HBTC</t>
  </si>
  <si>
    <t>Deployment - Curve</t>
  </si>
  <si>
    <t>YD - Badger - SBTC</t>
  </si>
  <si>
    <t>YD - Curve - renBTC</t>
  </si>
  <si>
    <t>YFL</t>
  </si>
  <si>
    <t>Deployment - TrueFi</t>
  </si>
  <si>
    <t>Deployment - Vesper</t>
  </si>
  <si>
    <t>YD - Vesper - vWBTC</t>
  </si>
  <si>
    <t>YD - Yearn - crvPBTC</t>
  </si>
  <si>
    <t>YD - Badger - renBTC</t>
  </si>
  <si>
    <t>YD - Harvest - oBTC</t>
  </si>
  <si>
    <t>YD - Badger - PBTC</t>
  </si>
  <si>
    <t>YD - Harvest - renBTC</t>
  </si>
  <si>
    <t>DD - Convex - tBTC</t>
  </si>
  <si>
    <t>Yield Desk - Compound</t>
  </si>
  <si>
    <t>DD - Curve - rETH</t>
  </si>
  <si>
    <t>YD - Convex - LUSD</t>
  </si>
  <si>
    <t>YD - Curve/Convex - AnkrETH</t>
  </si>
  <si>
    <t>YD - Curve - SLINK</t>
  </si>
  <si>
    <t>YD - Curve - sETH</t>
  </si>
  <si>
    <t>YD - Curve - stETH</t>
  </si>
  <si>
    <t>BlockDemon ETH Staking</t>
  </si>
  <si>
    <t>DD - Liquity - LUSD</t>
  </si>
  <si>
    <t>DD - MATIC-HEZ Arb</t>
  </si>
  <si>
    <t>DD - Vesper - vUNI</t>
  </si>
  <si>
    <t>Deployment - Stable Coin Swaps</t>
  </si>
  <si>
    <t>Deployment Team - COMP supply</t>
  </si>
  <si>
    <t>Deployment- 1INCH Staking</t>
  </si>
  <si>
    <t>KNC Migration</t>
  </si>
  <si>
    <t>MATIC Test Account</t>
  </si>
  <si>
    <t>TEST-SYNTHETIX</t>
  </si>
  <si>
    <t>YD - Keeper - ETH</t>
  </si>
  <si>
    <t>YD - Vesper - vETH</t>
  </si>
  <si>
    <t>YD - Vesper - vLINK</t>
  </si>
  <si>
    <t>Convex: cvxBUSD3CRV-f</t>
  </si>
  <si>
    <t>FTX - LONG1</t>
  </si>
  <si>
    <t>Maple Finance</t>
  </si>
  <si>
    <t>Truefi Borrows Account</t>
  </si>
  <si>
    <t>DD - Badger - tBTC</t>
  </si>
  <si>
    <t>YD - Convex - tricrypto2</t>
  </si>
  <si>
    <t>YD - Curve - pBTC</t>
  </si>
  <si>
    <t>YD - Curve - SBTC</t>
  </si>
  <si>
    <t>YD - Keeper - renBTC</t>
  </si>
  <si>
    <t>Governance Sales</t>
  </si>
  <si>
    <t>MATIC Staking 7</t>
  </si>
  <si>
    <t>YD - Convex - renBTC</t>
  </si>
  <si>
    <t>Benqi - LINK</t>
  </si>
  <si>
    <t>DD-ABRA-FTT</t>
  </si>
  <si>
    <t>Reward Desk</t>
  </si>
  <si>
    <t>AAVE Avalanche</t>
  </si>
  <si>
    <t>Sushi Staking</t>
  </si>
  <si>
    <t>Deployment - 1INCH Staking (testing)</t>
  </si>
  <si>
    <t>FTX - Kairon2</t>
  </si>
  <si>
    <t>DD-CONVEX-ALETH</t>
  </si>
  <si>
    <t>DD-SHIBASWAP-WBTC</t>
  </si>
  <si>
    <t>DD-NOTIONAL-WBTC</t>
  </si>
  <si>
    <t>DD-NOTIONAL-ETH</t>
  </si>
  <si>
    <t>DD-Elrond-EGLD</t>
  </si>
  <si>
    <t>DD-Yearn-LINK</t>
  </si>
  <si>
    <t>DD-Yearn-WBTC</t>
  </si>
  <si>
    <t>Deployment - 1INCH</t>
  </si>
  <si>
    <t>DD - Convex - tricrypto2 II</t>
  </si>
  <si>
    <t>TEST-MATIC</t>
  </si>
  <si>
    <t>TEST-ARBITRUM</t>
  </si>
  <si>
    <t>TEST-FANTOM</t>
  </si>
  <si>
    <t>TEST-AVALANCHE</t>
  </si>
  <si>
    <t>TEST AVALANCHE 2</t>
  </si>
  <si>
    <t>DD - FRAX - Convex</t>
  </si>
  <si>
    <t>DD-CONVEX-ALUSD</t>
  </si>
  <si>
    <t>DD-DEFROST-H2O3CRV</t>
  </si>
  <si>
    <t>Overcollaterized - Compound</t>
  </si>
  <si>
    <t>Overcollaterized - Aave V2</t>
  </si>
  <si>
    <t>Category</t>
  </si>
  <si>
    <t>undeployed</t>
  </si>
  <si>
    <t>Institutional Loans</t>
  </si>
  <si>
    <t>Retail Loans</t>
  </si>
  <si>
    <t>Trust</t>
  </si>
  <si>
    <t>Exchange</t>
  </si>
  <si>
    <t>staking</t>
  </si>
  <si>
    <t>Underdeployed</t>
  </si>
  <si>
    <t>Staking</t>
  </si>
  <si>
    <t xml:space="preserve">EAM  </t>
  </si>
  <si>
    <t xml:space="preserve">Other  </t>
  </si>
  <si>
    <t>Defi</t>
  </si>
  <si>
    <t>defi</t>
  </si>
  <si>
    <t>Undeployed</t>
  </si>
  <si>
    <t>Operational</t>
  </si>
  <si>
    <t xml:space="preserve">defi </t>
  </si>
  <si>
    <t>Tier</t>
  </si>
  <si>
    <t>1.0</t>
  </si>
  <si>
    <t>4.0</t>
  </si>
  <si>
    <t>5.0</t>
  </si>
  <si>
    <t>2.0</t>
  </si>
  <si>
    <t>Default</t>
  </si>
  <si>
    <t>wBTC (Y/N)</t>
  </si>
  <si>
    <t>N</t>
  </si>
  <si>
    <t>Y</t>
  </si>
  <si>
    <t xml:space="preserve">Y  </t>
  </si>
  <si>
    <t>n</t>
  </si>
  <si>
    <t>1INCH</t>
  </si>
  <si>
    <t>3CRV</t>
  </si>
  <si>
    <t>AAVE</t>
  </si>
  <si>
    <t>ADA</t>
  </si>
  <si>
    <t>ALCX</t>
  </si>
  <si>
    <t>ALICE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</si>
  <si>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</si>
  <si>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</si>
  <si>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</si>
  <si>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</si>
  <si>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</si>
  <si>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</si>
  <si>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</si>
  <si>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</si>
  <si>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</si>
  <si>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</si>
  <si>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</si>
  <si>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</si>
  <si>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</si>
  <si>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</si>
  <si>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</si>
  <si>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</si>
  <si>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</si>
  <si>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WBTC</t>
  </si>
  <si>
    <t>BTG</t>
  </si>
  <si>
    <t>BUSD</t>
  </si>
  <si>
    <t>CEL</t>
  </si>
  <si>
    <t>COMP</t>
  </si>
  <si>
    <t>CREAM</t>
  </si>
  <si>
    <t>CRV</t>
  </si>
  <si>
    <t>CVX</t>
  </si>
  <si>
    <t xml:space="preserve"> </t>
  </si>
  <si>
    <t>DASH</t>
  </si>
  <si>
    <t>DIGG</t>
  </si>
  <si>
    <t>DOT</t>
  </si>
  <si>
    <t>EGLD</t>
  </si>
  <si>
    <t>EOS</t>
  </si>
  <si>
    <t>ETC</t>
  </si>
  <si>
    <t>ETH</t>
  </si>
  <si>
    <t>FARM</t>
  </si>
  <si>
    <t>FIS</t>
  </si>
  <si>
    <t>FTM</t>
  </si>
  <si>
    <t>FTT</t>
  </si>
  <si>
    <t>FRAX</t>
  </si>
  <si>
    <t>GUSD</t>
  </si>
  <si>
    <t>KNC</t>
  </si>
  <si>
    <t>LDO</t>
  </si>
  <si>
    <t>LINK</t>
  </si>
  <si>
    <t>LPT</t>
  </si>
  <si>
    <t>LQTY</t>
  </si>
  <si>
    <t>LRC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</si>
  <si>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</si>
  <si>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</si>
  <si>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</si>
  <si>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</si>
  <si>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</si>
  <si>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</si>
  <si>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</si>
  <si>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</si>
  <si>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</si>
  <si>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</si>
  <si>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</si>
  <si>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</si>
  <si>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</si>
  <si>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</si>
  <si>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POLIS</t>
  </si>
  <si>
    <t>QI</t>
  </si>
  <si>
    <t>RAY</t>
  </si>
  <si>
    <t>REN</t>
  </si>
  <si>
    <t>RENBTC</t>
  </si>
  <si>
    <t>ROOK</t>
  </si>
  <si>
    <t>SBTC</t>
  </si>
  <si>
    <t>SGA</t>
  </si>
  <si>
    <t>SGR</t>
  </si>
  <si>
    <t>SNX</t>
  </si>
  <si>
    <t>SOL</t>
  </si>
  <si>
    <t>SPARK</t>
  </si>
  <si>
    <t>SRM</t>
  </si>
  <si>
    <t>SRM_LOCKED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</si>
  <si>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</si>
  <si>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</si>
  <si>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</si>
  <si>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</si>
  <si>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</si>
  <si>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</si>
  <si>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</si>
  <si>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</si>
  <si>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</si>
  <si>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</si>
  <si>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</si>
  <si>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</si>
  <si>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</si>
  <si>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</si>
  <si>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</si>
  <si>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</si>
  <si>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</si>
  <si>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</si>
  <si>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XTZ</t>
  </si>
  <si>
    <t>YFI</t>
  </si>
  <si>
    <t>ZEC</t>
  </si>
  <si>
    <t>ZRX</t>
  </si>
  <si>
    <t>ZUSD</t>
  </si>
  <si>
    <t>check</t>
  </si>
  <si>
    <t>iferror(sumif('Weekly Rates'!D:D,A6,'Weekly Rates'!F:F)/countif('Weekly Rates'!D:D,A6),0)</t>
  </si>
  <si>
    <t>Deployment- 1INCH Staking (TESTING)</t>
  </si>
  <si>
    <t xml:space="preserve">FTX </t>
  </si>
  <si>
    <t>FTX Summery</t>
  </si>
  <si>
    <t>Binance - CnC</t>
  </si>
  <si>
    <t>Binance - Main</t>
  </si>
  <si>
    <t>Binance - Earn</t>
  </si>
  <si>
    <t>Binance - DeFi</t>
  </si>
  <si>
    <t>Binance - RS</t>
  </si>
  <si>
    <t>Binance Staking</t>
  </si>
  <si>
    <t xml:space="preserve">YD-Badger-bBTC
</t>
  </si>
  <si>
    <t>YD - CONVEX - OBTC</t>
  </si>
  <si>
    <t>YD - Curve - hBTC</t>
  </si>
  <si>
    <t>YD-Badger-sBTC</t>
  </si>
  <si>
    <t>DD - Polygon - Testing</t>
  </si>
  <si>
    <t>YD - CONVEX - PBTC</t>
  </si>
  <si>
    <t>YD - Curve - AnkrETH</t>
  </si>
  <si>
    <t>YD - Curve - tricrypto2</t>
  </si>
  <si>
    <t>Defi Banker Joe</t>
  </si>
  <si>
    <t>Defi Benqi Deployment</t>
  </si>
  <si>
    <t>Banker Joe LINK</t>
  </si>
  <si>
    <t>Yield Desk</t>
  </si>
  <si>
    <t>MATIC Staking 8</t>
  </si>
  <si>
    <t xml:space="preserve">default </t>
  </si>
  <si>
    <t>tier name</t>
  </si>
  <si>
    <t>comment</t>
  </si>
  <si>
    <t>Check</t>
  </si>
  <si>
    <t>7-30 days</t>
  </si>
  <si>
    <t>more then 30 days</t>
  </si>
  <si>
    <t>half-2,half-3</t>
  </si>
  <si>
    <t>bla</t>
  </si>
  <si>
    <t>Collateral</t>
  </si>
  <si>
    <t>stable (USD)</t>
  </si>
  <si>
    <t>stables</t>
  </si>
  <si>
    <t>USDT</t>
  </si>
  <si>
    <t>Total Coin Amount</t>
  </si>
  <si>
    <t>Total Earnings</t>
  </si>
  <si>
    <t>APY</t>
  </si>
  <si>
    <t>HBAR</t>
  </si>
  <si>
    <t>Bitfinex</t>
  </si>
  <si>
    <t>FTX -24 Hours perior to the report (Download CSV)</t>
  </si>
  <si>
    <t>17/12/21</t>
  </si>
  <si>
    <t>Token</t>
  </si>
  <si>
    <t>Annualized</t>
  </si>
  <si>
    <t>coin</t>
  </si>
  <si>
    <t>rate</t>
  </si>
  <si>
    <t>ALGO</t>
  </si>
  <si>
    <t>BCHN</t>
  </si>
  <si>
    <t>Test Avalanche 2</t>
  </si>
  <si>
    <t>Stable Coins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</si>
</sst>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mm/dd/yyyy"/>
    <numFmt numFmtId="166" formatCode="0.000%"/>
    <numFmt numFmtId="167" formatCode="&quot;$&quot;#,##0"/>
    <numFmt numFmtId="168" formatCode="&quot;$&quot;#,##0.00"/>
  </numFmts>
  <fonts count="21">
    <font>
      <sz val="11.0"/>
      <color theme="1"/>
      <name val="Arial"/>
    </font>
    <font>
      <b/>
      <sz val="11.0"/>
      <color theme="1"/>
      <name val="Calibri"/>
    </font>
    <font>
      <sz val="11.0"/>
      <color rgb="FF222222"/>
      <name val="Roboto"/>
    </font>
    <font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Inconsolata"/>
    </font>
    <font>
      <color theme="1"/>
      <name val="Arial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b/>
      <color theme="1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b/>
      <sz val="14.0"/>
      <color theme="1"/>
      <name val="Arial"/>
    </font>
    <font>
      <b/>
      <u/>
      <color theme="1"/>
      <name val="Calibri"/>
    </font>
    <font>
      <b/>
      <u/>
      <color theme="1"/>
      <name val="Calibri"/>
    </font>
    <font>
      <b/>
      <u/>
      <color theme="1"/>
      <name val="Calibri"/>
    </font>
    <font>
      <b/>
      <sz val="11.0"/>
      <color rgb="FF000000"/>
      <name val="Inter"/>
    </font>
    <font>
      <sz val="12.0"/>
      <color rgb="FF000000"/>
      <name val="Inte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horizontal="center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Font="1"/>
    <xf borderId="0" fillId="0" fontId="3" numFmtId="164" xfId="0" applyAlignment="1" applyFont="1" applyNumberFormat="1">
      <alignment horizontal="left" readingOrder="0"/>
    </xf>
    <xf borderId="0" fillId="0" fontId="3" numFmtId="10" xfId="0" applyAlignment="1" applyFont="1" applyNumberFormat="1">
      <alignment readingOrder="0"/>
    </xf>
    <xf borderId="0" fillId="2" fontId="6" numFmtId="10" xfId="0" applyFont="1" applyNumberFormat="1"/>
    <xf borderId="0" fillId="0" fontId="7" numFmtId="10" xfId="0" applyAlignment="1" applyFont="1" applyNumberFormat="1">
      <alignment horizontal="right" readingOrder="0" vertical="bottom"/>
    </xf>
    <xf borderId="0" fillId="2" fontId="6" numFmtId="10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8" numFmtId="11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1" fillId="4" fontId="1" numFmtId="0" xfId="0" applyAlignment="1" applyBorder="1" applyFill="1" applyFont="1">
      <alignment horizontal="center" shrinkToFit="0" vertical="top" wrapText="0"/>
    </xf>
    <xf borderId="1" fillId="5" fontId="1" numFmtId="0" xfId="0" applyAlignment="1" applyBorder="1" applyFill="1" applyFont="1">
      <alignment horizontal="center" shrinkToFit="0" vertical="top" wrapText="0"/>
    </xf>
    <xf borderId="1" fillId="6" fontId="1" numFmtId="0" xfId="0" applyAlignment="1" applyBorder="1" applyFill="1" applyFont="1">
      <alignment horizontal="center" shrinkToFit="0" vertical="top" wrapText="0"/>
    </xf>
    <xf borderId="1" fillId="7" fontId="1" numFmtId="0" xfId="0" applyAlignment="1" applyBorder="1" applyFill="1" applyFont="1">
      <alignment horizontal="center" shrinkToFit="0" vertical="top" wrapText="0"/>
    </xf>
    <xf borderId="0" fillId="7" fontId="1" numFmtId="0" xfId="0" applyAlignment="1" applyFont="1">
      <alignment horizontal="center" readingOrder="0" shrinkToFit="0" vertical="top" wrapText="0"/>
    </xf>
    <xf borderId="0" fillId="7" fontId="1" numFmtId="0" xfId="0" applyAlignment="1" applyFont="1">
      <alignment horizontal="center" shrinkToFit="0" vertical="top" wrapText="0"/>
    </xf>
    <xf borderId="0" fillId="2" fontId="9" numFmtId="0" xfId="0" applyAlignment="1" applyFont="1">
      <alignment readingOrder="0"/>
    </xf>
    <xf borderId="0" fillId="0" fontId="3" numFmtId="164" xfId="0" applyAlignment="1" applyFont="1" applyNumberFormat="1">
      <alignment horizontal="left"/>
    </xf>
    <xf borderId="0" fillId="0" fontId="3" numFmtId="4" xfId="0" applyAlignment="1" applyFont="1" applyNumberFormat="1">
      <alignment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3" numFmtId="0" xfId="0" applyFont="1"/>
    <xf borderId="0" fillId="8" fontId="3" numFmtId="0" xfId="0" applyAlignment="1" applyFill="1" applyFont="1">
      <alignment readingOrder="0"/>
    </xf>
    <xf borderId="0" fillId="8" fontId="3" numFmtId="10" xfId="0" applyAlignment="1" applyFont="1" applyNumberFormat="1">
      <alignment readingOrder="0"/>
    </xf>
    <xf borderId="0" fillId="0" fontId="3" numFmtId="10" xfId="0" applyFont="1" applyNumberFormat="1"/>
    <xf borderId="0" fillId="0" fontId="12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2" numFmtId="11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10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10" xfId="0" applyAlignment="1" applyFont="1" applyNumberForma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9" fontId="11" numFmtId="0" xfId="0" applyAlignment="1" applyFill="1" applyFont="1">
      <alignment horizontal="center" readingOrder="0"/>
    </xf>
    <xf borderId="0" fillId="4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9" fontId="13" numFmtId="0" xfId="0" applyAlignment="1" applyFont="1">
      <alignment readingOrder="0" shrinkToFit="0" vertical="bottom" wrapText="0"/>
    </xf>
    <xf borderId="0" fillId="10" fontId="14" numFmtId="0" xfId="0" applyAlignment="1" applyFill="1" applyFont="1">
      <alignment horizontal="center" readingOrder="0" shrinkToFit="0" wrapText="1"/>
    </xf>
    <xf borderId="0" fillId="9" fontId="14" numFmtId="166" xfId="0" applyAlignment="1" applyFont="1" applyNumberFormat="1">
      <alignment horizontal="center" readingOrder="0" shrinkToFit="0" wrapText="1"/>
    </xf>
    <xf borderId="0" fillId="0" fontId="14" numFmtId="0" xfId="0" applyAlignment="1" applyFont="1">
      <alignment horizontal="center" shrinkToFit="0" wrapText="1"/>
    </xf>
    <xf borderId="0" fillId="9" fontId="8" numFmtId="0" xfId="0" applyAlignment="1" applyFont="1">
      <alignment readingOrder="0" shrinkToFit="0" vertical="bottom" wrapText="0"/>
    </xf>
    <xf borderId="0" fillId="9" fontId="8" numFmtId="11" xfId="0" applyAlignment="1" applyFont="1" applyNumberFormat="1">
      <alignment horizontal="right" readingOrder="0" shrinkToFit="0" vertical="bottom" wrapText="0"/>
    </xf>
    <xf borderId="0" fillId="2" fontId="15" numFmtId="10" xfId="0" applyAlignment="1" applyFont="1" applyNumberFormat="1">
      <alignment horizontal="center" vertical="bottom"/>
    </xf>
    <xf borderId="0" fillId="9" fontId="8" numFmtId="0" xfId="0" applyAlignment="1" applyFont="1">
      <alignment horizontal="right" readingOrder="0" shrinkToFit="0" vertical="bottom" wrapText="0"/>
    </xf>
    <xf borderId="0" fillId="11" fontId="14" numFmtId="0" xfId="0" applyAlignment="1" applyFill="1" applyFont="1">
      <alignment horizontal="center" readingOrder="0" shrinkToFit="0" wrapText="1"/>
    </xf>
    <xf borderId="0" fillId="9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3" numFmtId="167" xfId="0" applyFont="1" applyNumberFormat="1"/>
    <xf borderId="0" fillId="0" fontId="3" numFmtId="9" xfId="0" applyFont="1" applyNumberFormat="1"/>
    <xf borderId="0" fillId="12" fontId="3" numFmtId="0" xfId="0" applyFill="1" applyFont="1"/>
    <xf borderId="0" fillId="0" fontId="3" numFmtId="14" xfId="0" applyFont="1" applyNumberFormat="1"/>
    <xf borderId="0" fillId="12" fontId="6" numFmtId="0" xfId="0" applyFont="1"/>
    <xf borderId="0" fillId="0" fontId="3" numFmtId="168" xfId="0" applyFont="1" applyNumberFormat="1"/>
    <xf borderId="0" fillId="2" fontId="6" numFmtId="0" xfId="0" applyFont="1"/>
    <xf borderId="0" fillId="0" fontId="16" numFmtId="0" xfId="0" applyAlignment="1" applyFont="1">
      <alignment readingOrder="0"/>
    </xf>
    <xf borderId="0" fillId="0" fontId="17" numFmtId="3" xfId="0" applyAlignment="1" applyFont="1" applyNumberFormat="1">
      <alignment readingOrder="0"/>
    </xf>
    <xf borderId="0" fillId="0" fontId="18" numFmtId="0" xfId="0" applyFont="1"/>
    <xf borderId="0" fillId="2" fontId="19" numFmtId="3" xfId="0" applyAlignment="1" applyFont="1" applyNumberFormat="1">
      <alignment horizontal="left" readingOrder="0"/>
    </xf>
    <xf borderId="0" fillId="2" fontId="20" numFmtId="0" xfId="0" applyAlignment="1" applyFont="1">
      <alignment horizontal="center" readingOrder="0"/>
    </xf>
    <xf borderId="0" fillId="2" fontId="19" numFmtId="0" xfId="0" applyAlignment="1" applyFont="1">
      <alignment horizontal="left" readingOrder="0"/>
    </xf>
    <xf borderId="0" fillId="2" fontId="19" numFmtId="4" xfId="0" applyAlignment="1" applyFont="1" applyNumberFormat="1">
      <alignment horizontal="left" readingOrder="0"/>
    </xf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5" width="19.5"/>
    <col customWidth="1" min="6" max="6" width="9.75"/>
    <col customWidth="1" min="7" max="7" width="10.63"/>
    <col customWidth="1" min="8" max="8" width="8.25"/>
    <col customWidth="1" min="9" max="9" width="8.63"/>
    <col customWidth="1" min="10" max="10" width="13.88"/>
    <col customWidth="1" min="11" max="11" width="19.63"/>
    <col customWidth="1" min="12" max="12" width="17.0"/>
    <col customWidth="1" min="13" max="13" width="9.25"/>
    <col customWidth="1" min="14" max="14" width="9.13"/>
    <col customWidth="1" min="15" max="15" width="8.25"/>
    <col customWidth="1" min="16" max="16" width="6.38"/>
    <col customWidth="1" min="17" max="17" width="17.88"/>
    <col customWidth="1" min="18" max="19" width="14.75"/>
    <col customWidth="1" min="20" max="20" width="7.75"/>
    <col customWidth="1" min="21" max="21" width="15.38"/>
    <col customWidth="1" min="22" max="22" width="7.75"/>
    <col customWidth="1" min="23" max="23" width="12.63"/>
    <col customWidth="1" min="24" max="24" width="15.75"/>
    <col customWidth="1" min="25" max="25" width="9.88"/>
    <col customWidth="1" min="26" max="26" width="8.5"/>
    <col customWidth="1" min="27" max="27" width="8.63"/>
    <col customWidth="1" min="28" max="28" width="13.63"/>
    <col customWidth="1" min="29" max="29" width="12.38"/>
    <col customWidth="1" min="30" max="30" width="9.38"/>
    <col customWidth="1" min="31" max="31" width="20.88"/>
    <col customWidth="1" min="32" max="32" width="12.25"/>
    <col customWidth="1" min="33" max="33" width="18.38"/>
    <col customWidth="1" min="34" max="34" width="10.0"/>
    <col customWidth="1" min="35" max="35" width="12.25"/>
    <col customWidth="1" min="36" max="36" width="11.5"/>
    <col customWidth="1" min="37" max="37" width="6.38"/>
    <col customWidth="1" min="38" max="38" width="12.63"/>
    <col customWidth="1" min="39" max="39" width="11.63"/>
    <col customWidth="1" min="40" max="40" width="7.88"/>
    <col customWidth="1" min="41" max="41" width="12.0"/>
    <col customWidth="1" min="42" max="42" width="11.0"/>
    <col customWidth="1" min="43" max="43" width="8.0"/>
    <col customWidth="1" min="44" max="44" width="6.38"/>
    <col customWidth="1" min="45" max="45" width="5.5"/>
    <col customWidth="1" min="46" max="46" width="16.38"/>
    <col customWidth="1" min="47" max="47" width="22.13"/>
    <col customWidth="1" min="48" max="48" width="6.88"/>
    <col customWidth="1" min="49" max="49" width="19.75"/>
    <col customWidth="1" min="50" max="50" width="14.63"/>
    <col customWidth="1" min="51" max="52" width="9.63"/>
    <col customWidth="1" min="53" max="53" width="11.88"/>
    <col customWidth="1" min="54" max="54" width="16.25"/>
    <col customWidth="1" min="55" max="55" width="13.25"/>
    <col customWidth="1" min="56" max="56" width="19.5"/>
    <col customWidth="1" min="57" max="57" width="15.5"/>
    <col customWidth="1" min="58" max="58" width="15.25"/>
    <col customWidth="1" min="59" max="59" width="15.5"/>
    <col customWidth="1" min="60" max="60" width="16.38"/>
    <col customWidth="1" min="61" max="62" width="14.13"/>
    <col customWidth="1" min="63" max="63" width="21.5"/>
    <col customWidth="1" min="64" max="64" width="15.75"/>
    <col customWidth="1" min="65" max="65" width="16.13"/>
    <col customWidth="1" min="66" max="66" width="14.0"/>
    <col customWidth="1" min="67" max="67" width="15.63"/>
    <col customWidth="1" min="68" max="68" width="17.5"/>
    <col customWidth="1" min="69" max="69" width="16.38"/>
    <col customWidth="1" min="70" max="70" width="17.0"/>
    <col customWidth="1" min="71" max="71" width="16.5"/>
    <col customWidth="1" min="72" max="72" width="16.25"/>
    <col customWidth="1" min="73" max="73" width="16.63"/>
    <col customWidth="1" min="74" max="74" width="15.5"/>
    <col customWidth="1" min="75" max="75" width="16.13"/>
    <col customWidth="1" min="76" max="76" width="17.13"/>
    <col customWidth="1" min="77" max="77" width="15.0"/>
    <col customWidth="1" min="78" max="78" width="18.63"/>
    <col customWidth="1" min="79" max="79" width="14.13"/>
    <col customWidth="1" min="80" max="80" width="15.38"/>
    <col customWidth="1" min="81" max="81" width="23.13"/>
    <col customWidth="1" min="82" max="82" width="14.63"/>
    <col customWidth="1" min="83" max="83" width="14.0"/>
    <col customWidth="1" min="84" max="84" width="14.63"/>
    <col customWidth="1" min="85" max="85" width="20.0"/>
    <col customWidth="1" min="86" max="86" width="15.13"/>
    <col customWidth="1" min="87" max="87" width="16.25"/>
    <col customWidth="1" min="88" max="88" width="15.0"/>
    <col customWidth="1" min="89" max="89" width="25.5"/>
    <col customWidth="1" min="90" max="90" width="26.38"/>
    <col customWidth="1" min="91" max="91" width="22.0"/>
    <col customWidth="1" min="92" max="92" width="12.0"/>
    <col customWidth="1" min="93" max="93" width="16.0"/>
    <col customWidth="1" min="94" max="94" width="10.0"/>
    <col customWidth="1" min="95" max="95" width="14.25"/>
    <col customWidth="1" min="96" max="96" width="14.88"/>
    <col customWidth="1" min="97" max="97" width="15.38"/>
    <col customWidth="1" min="98" max="114" width="19.13"/>
    <col customWidth="1" min="115" max="115" width="29.25"/>
    <col customWidth="1" min="116" max="124" width="19.13"/>
    <col customWidth="1" min="125" max="125" width="20.5"/>
    <col customWidth="1" min="126" max="129" width="19.13"/>
    <col customWidth="1" min="130" max="134" width="23.13"/>
    <col customWidth="1" min="135" max="13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6" t="s">
        <v>108</v>
      </c>
      <c r="DF1" s="6" t="s">
        <v>109</v>
      </c>
      <c r="DG1" s="6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</row>
    <row r="2">
      <c r="A2" s="7" t="s">
        <v>135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136</v>
      </c>
      <c r="G2" s="7" t="s">
        <v>6</v>
      </c>
      <c r="H2" s="7" t="s">
        <v>7</v>
      </c>
      <c r="I2" s="7" t="s">
        <v>137</v>
      </c>
      <c r="J2" s="7" t="s">
        <v>9</v>
      </c>
      <c r="K2" s="8" t="s">
        <v>9</v>
      </c>
      <c r="L2" s="8" t="s">
        <v>9</v>
      </c>
      <c r="M2" s="7" t="s">
        <v>136</v>
      </c>
      <c r="N2" s="7" t="s">
        <v>138</v>
      </c>
      <c r="O2" s="7" t="s">
        <v>139</v>
      </c>
      <c r="P2" s="7" t="s">
        <v>139</v>
      </c>
      <c r="Q2" s="7" t="s">
        <v>140</v>
      </c>
      <c r="R2" s="7" t="s">
        <v>9</v>
      </c>
      <c r="S2" s="7" t="s">
        <v>140</v>
      </c>
      <c r="T2" s="7" t="s">
        <v>140</v>
      </c>
      <c r="U2" s="7" t="s">
        <v>136</v>
      </c>
      <c r="V2" s="7" t="s">
        <v>140</v>
      </c>
      <c r="W2" s="7" t="s">
        <v>136</v>
      </c>
      <c r="X2" s="7" t="s">
        <v>136</v>
      </c>
      <c r="Y2" s="7" t="s">
        <v>136</v>
      </c>
      <c r="Z2" s="7" t="s">
        <v>136</v>
      </c>
      <c r="AA2" s="7" t="s">
        <v>140</v>
      </c>
      <c r="AB2" s="7" t="s">
        <v>141</v>
      </c>
      <c r="AC2" s="7" t="s">
        <v>136</v>
      </c>
      <c r="AD2" s="9" t="s">
        <v>142</v>
      </c>
      <c r="AE2" s="7" t="s">
        <v>140</v>
      </c>
      <c r="AF2" s="7" t="s">
        <v>140</v>
      </c>
      <c r="AG2" s="7" t="s">
        <v>140</v>
      </c>
      <c r="AH2" s="7" t="s">
        <v>143</v>
      </c>
      <c r="AI2" s="7" t="s">
        <v>143</v>
      </c>
      <c r="AJ2" s="7" t="s">
        <v>143</v>
      </c>
      <c r="AK2" s="7" t="s">
        <v>36</v>
      </c>
      <c r="AL2" s="7" t="s">
        <v>144</v>
      </c>
      <c r="AM2" s="7" t="s">
        <v>145</v>
      </c>
      <c r="AN2" s="7" t="s">
        <v>140</v>
      </c>
      <c r="AO2" s="7" t="s">
        <v>140</v>
      </c>
      <c r="AP2" s="7" t="s">
        <v>140</v>
      </c>
      <c r="AQ2" s="7" t="s">
        <v>140</v>
      </c>
      <c r="AR2" s="7" t="s">
        <v>140</v>
      </c>
      <c r="AS2" s="7" t="s">
        <v>140</v>
      </c>
      <c r="AT2" s="7" t="s">
        <v>146</v>
      </c>
      <c r="AU2" s="7" t="s">
        <v>147</v>
      </c>
      <c r="AV2" s="7" t="s">
        <v>146</v>
      </c>
      <c r="AW2" s="7" t="s">
        <v>146</v>
      </c>
      <c r="AX2" s="7" t="s">
        <v>148</v>
      </c>
      <c r="AY2" s="7" t="s">
        <v>146</v>
      </c>
      <c r="AZ2" s="7" t="s">
        <v>146</v>
      </c>
      <c r="BA2" s="7" t="s">
        <v>146</v>
      </c>
      <c r="BB2" s="7" t="s">
        <v>146</v>
      </c>
      <c r="BC2" s="7" t="s">
        <v>146</v>
      </c>
      <c r="BD2" s="7" t="s">
        <v>146</v>
      </c>
      <c r="BE2" s="7" t="s">
        <v>146</v>
      </c>
      <c r="BF2" s="7" t="s">
        <v>146</v>
      </c>
      <c r="BG2" s="7" t="s">
        <v>146</v>
      </c>
      <c r="BH2" s="7" t="s">
        <v>146</v>
      </c>
      <c r="BI2" s="7" t="s">
        <v>146</v>
      </c>
      <c r="BJ2" s="7" t="s">
        <v>146</v>
      </c>
      <c r="BK2" s="7" t="s">
        <v>146</v>
      </c>
      <c r="BL2" s="7" t="s">
        <v>146</v>
      </c>
      <c r="BM2" s="7" t="s">
        <v>146</v>
      </c>
      <c r="BN2" s="7" t="s">
        <v>146</v>
      </c>
      <c r="BO2" s="7" t="s">
        <v>146</v>
      </c>
      <c r="BP2" s="7" t="s">
        <v>146</v>
      </c>
      <c r="BQ2" s="7" t="s">
        <v>146</v>
      </c>
      <c r="BR2" s="7" t="s">
        <v>146</v>
      </c>
      <c r="BS2" s="7" t="s">
        <v>146</v>
      </c>
      <c r="BT2" s="7" t="s">
        <v>146</v>
      </c>
      <c r="BU2" s="7" t="s">
        <v>146</v>
      </c>
      <c r="BV2" s="7" t="s">
        <v>146</v>
      </c>
      <c r="BW2" s="7" t="s">
        <v>146</v>
      </c>
      <c r="BX2" s="7" t="s">
        <v>146</v>
      </c>
      <c r="BY2" s="7" t="s">
        <v>146</v>
      </c>
      <c r="BZ2" s="7" t="s">
        <v>146</v>
      </c>
      <c r="CA2" s="7" t="s">
        <v>146</v>
      </c>
      <c r="CB2" s="7" t="s">
        <v>146</v>
      </c>
      <c r="CC2" s="7" t="s">
        <v>146</v>
      </c>
      <c r="CD2" s="7" t="s">
        <v>146</v>
      </c>
      <c r="CE2" s="7" t="s">
        <v>146</v>
      </c>
      <c r="CF2" s="7" t="s">
        <v>146</v>
      </c>
      <c r="CG2" s="7" t="s">
        <v>143</v>
      </c>
      <c r="CH2" s="7" t="s">
        <v>146</v>
      </c>
      <c r="CI2" s="7" t="s">
        <v>146</v>
      </c>
      <c r="CJ2" s="7" t="s">
        <v>146</v>
      </c>
      <c r="CK2" s="7" t="s">
        <v>146</v>
      </c>
      <c r="CL2" s="7" t="s">
        <v>146</v>
      </c>
      <c r="CM2" s="7" t="s">
        <v>146</v>
      </c>
      <c r="CN2" s="7" t="s">
        <v>146</v>
      </c>
      <c r="CO2" s="7" t="s">
        <v>146</v>
      </c>
      <c r="CP2" s="7" t="s">
        <v>146</v>
      </c>
      <c r="CQ2" s="7" t="s">
        <v>146</v>
      </c>
      <c r="CR2" s="7" t="s">
        <v>146</v>
      </c>
      <c r="CS2" s="7" t="s">
        <v>146</v>
      </c>
      <c r="CT2" s="7" t="s">
        <v>146</v>
      </c>
      <c r="CU2" s="7" t="s">
        <v>140</v>
      </c>
      <c r="CV2" s="7" t="s">
        <v>146</v>
      </c>
      <c r="CW2" s="7" t="s">
        <v>146</v>
      </c>
      <c r="CX2" s="7" t="s">
        <v>146</v>
      </c>
      <c r="CY2" s="7" t="s">
        <v>146</v>
      </c>
      <c r="CZ2" s="7" t="s">
        <v>146</v>
      </c>
      <c r="DA2" s="7" t="s">
        <v>146</v>
      </c>
      <c r="DB2" s="7" t="s">
        <v>146</v>
      </c>
      <c r="DC2" s="7" t="s">
        <v>146</v>
      </c>
      <c r="DD2" s="7" t="s">
        <v>143</v>
      </c>
      <c r="DE2" s="7" t="s">
        <v>146</v>
      </c>
      <c r="DF2" s="7" t="s">
        <v>146</v>
      </c>
      <c r="DG2" s="7" t="s">
        <v>146</v>
      </c>
      <c r="DH2" s="7" t="s">
        <v>146</v>
      </c>
      <c r="DI2" s="7" t="s">
        <v>146</v>
      </c>
      <c r="DJ2" s="7" t="s">
        <v>147</v>
      </c>
      <c r="DK2" s="7" t="s">
        <v>147</v>
      </c>
      <c r="DL2" s="7" t="s">
        <v>149</v>
      </c>
      <c r="DM2" s="7" t="s">
        <v>147</v>
      </c>
      <c r="DN2" s="7" t="s">
        <v>147</v>
      </c>
      <c r="DO2" s="7" t="s">
        <v>147</v>
      </c>
      <c r="DP2" s="7" t="s">
        <v>147</v>
      </c>
      <c r="DQ2" s="7" t="s">
        <v>147</v>
      </c>
      <c r="DR2" s="7" t="s">
        <v>147</v>
      </c>
      <c r="DS2" s="7" t="s">
        <v>147</v>
      </c>
      <c r="DT2" s="7" t="s">
        <v>147</v>
      </c>
      <c r="DU2" s="7" t="s">
        <v>147</v>
      </c>
      <c r="DV2" s="7" t="s">
        <v>150</v>
      </c>
      <c r="DW2" s="7" t="s">
        <v>150</v>
      </c>
      <c r="DX2" s="7" t="s">
        <v>147</v>
      </c>
      <c r="DY2" s="7" t="s">
        <v>147</v>
      </c>
      <c r="DZ2" s="10" t="s">
        <v>147</v>
      </c>
      <c r="EA2" s="10" t="s">
        <v>147</v>
      </c>
      <c r="EB2" s="10" t="s">
        <v>147</v>
      </c>
      <c r="EC2" s="10" t="s">
        <v>147</v>
      </c>
      <c r="ED2" s="10" t="s">
        <v>142</v>
      </c>
      <c r="EE2" s="10" t="s">
        <v>142</v>
      </c>
    </row>
    <row r="3">
      <c r="A3" s="11" t="s">
        <v>151</v>
      </c>
      <c r="B3" s="11" t="s">
        <v>152</v>
      </c>
      <c r="C3" s="11" t="s">
        <v>152</v>
      </c>
      <c r="D3" s="11" t="s">
        <v>152</v>
      </c>
      <c r="E3" s="11" t="s">
        <v>152</v>
      </c>
      <c r="F3" s="11" t="s">
        <v>152</v>
      </c>
      <c r="G3" s="11" t="s">
        <v>152</v>
      </c>
      <c r="H3" s="11" t="s">
        <v>152</v>
      </c>
      <c r="I3" s="11" t="s">
        <v>153</v>
      </c>
      <c r="J3" s="11" t="s">
        <v>154</v>
      </c>
      <c r="K3" s="11" t="s">
        <v>154</v>
      </c>
      <c r="L3" s="11" t="s">
        <v>153</v>
      </c>
      <c r="M3" s="11" t="s">
        <v>154</v>
      </c>
      <c r="N3" s="11" t="s">
        <v>154</v>
      </c>
      <c r="O3" s="11" t="s">
        <v>154</v>
      </c>
      <c r="P3" s="11" t="s">
        <v>154</v>
      </c>
      <c r="Q3" s="11" t="s">
        <v>153</v>
      </c>
      <c r="R3" s="11" t="s">
        <v>153</v>
      </c>
      <c r="S3" s="11" t="s">
        <v>153</v>
      </c>
      <c r="T3" s="11" t="s">
        <v>153</v>
      </c>
      <c r="U3" s="11" t="s">
        <v>153</v>
      </c>
      <c r="V3" s="11" t="s">
        <v>153</v>
      </c>
      <c r="W3" s="11" t="s">
        <v>153</v>
      </c>
      <c r="X3" s="7">
        <v>2.0</v>
      </c>
      <c r="Y3" s="7">
        <v>2.0</v>
      </c>
      <c r="Z3" s="11" t="s">
        <v>153</v>
      </c>
      <c r="AA3" s="11" t="s">
        <v>153</v>
      </c>
      <c r="AB3" s="7">
        <v>5.0</v>
      </c>
      <c r="AC3" s="7">
        <v>2.0</v>
      </c>
      <c r="AD3" s="7">
        <v>2.0</v>
      </c>
      <c r="AE3" s="7">
        <v>4.0</v>
      </c>
      <c r="AF3" s="11" t="s">
        <v>153</v>
      </c>
      <c r="AG3" s="11" t="s">
        <v>153</v>
      </c>
      <c r="AH3" s="11" t="s">
        <v>154</v>
      </c>
      <c r="AI3" s="7">
        <v>2.0</v>
      </c>
      <c r="AJ3" s="11" t="s">
        <v>154</v>
      </c>
      <c r="AK3" s="11" t="s">
        <v>154</v>
      </c>
      <c r="AL3" s="11" t="s">
        <v>153</v>
      </c>
      <c r="AM3" s="11" t="s">
        <v>154</v>
      </c>
      <c r="AN3" s="7">
        <v>4.0</v>
      </c>
      <c r="AO3" s="11" t="s">
        <v>154</v>
      </c>
      <c r="AP3" s="11" t="s">
        <v>154</v>
      </c>
      <c r="AQ3" s="11" t="s">
        <v>154</v>
      </c>
      <c r="AR3" s="11" t="s">
        <v>153</v>
      </c>
      <c r="AS3" s="11" t="s">
        <v>154</v>
      </c>
      <c r="AT3" s="11" t="s">
        <v>155</v>
      </c>
      <c r="AU3" s="11" t="s">
        <v>154</v>
      </c>
      <c r="AV3" s="11" t="s">
        <v>155</v>
      </c>
      <c r="AW3" s="11" t="s">
        <v>155</v>
      </c>
      <c r="AX3" s="11" t="s">
        <v>152</v>
      </c>
      <c r="AY3" s="11" t="s">
        <v>154</v>
      </c>
      <c r="AZ3" s="11" t="s">
        <v>154</v>
      </c>
      <c r="BA3" s="11" t="s">
        <v>155</v>
      </c>
      <c r="BB3" s="11" t="s">
        <v>155</v>
      </c>
      <c r="BC3" s="11" t="s">
        <v>154</v>
      </c>
      <c r="BD3" s="11" t="s">
        <v>155</v>
      </c>
      <c r="BE3" s="11" t="s">
        <v>155</v>
      </c>
      <c r="BF3" s="11" t="s">
        <v>155</v>
      </c>
      <c r="BG3" s="11" t="s">
        <v>155</v>
      </c>
      <c r="BH3" s="11" t="s">
        <v>155</v>
      </c>
      <c r="BI3" s="11" t="s">
        <v>155</v>
      </c>
      <c r="BJ3" s="11" t="s">
        <v>155</v>
      </c>
      <c r="BK3" s="11" t="s">
        <v>155</v>
      </c>
      <c r="BL3" s="11" t="s">
        <v>155</v>
      </c>
      <c r="BM3" s="11" t="s">
        <v>155</v>
      </c>
      <c r="BN3" s="12">
        <v>5.0</v>
      </c>
      <c r="BO3" s="11" t="s">
        <v>155</v>
      </c>
      <c r="BP3" s="12">
        <v>3.0</v>
      </c>
      <c r="BQ3" s="11" t="s">
        <v>155</v>
      </c>
      <c r="BR3" s="11" t="s">
        <v>155</v>
      </c>
      <c r="BS3" s="11" t="s">
        <v>155</v>
      </c>
      <c r="BT3" s="11" t="s">
        <v>155</v>
      </c>
      <c r="BU3" s="7">
        <v>4.0</v>
      </c>
      <c r="BV3" s="11" t="s">
        <v>155</v>
      </c>
      <c r="BW3" s="11" t="s">
        <v>155</v>
      </c>
      <c r="BX3" s="11" t="s">
        <v>155</v>
      </c>
      <c r="BY3" s="11" t="s">
        <v>155</v>
      </c>
      <c r="BZ3" s="11" t="s">
        <v>155</v>
      </c>
      <c r="CA3" s="11" t="s">
        <v>155</v>
      </c>
      <c r="CB3" s="11" t="s">
        <v>155</v>
      </c>
      <c r="CC3" s="7">
        <v>4.0</v>
      </c>
      <c r="CD3" s="11" t="s">
        <v>155</v>
      </c>
      <c r="CE3" s="11" t="s">
        <v>155</v>
      </c>
      <c r="CF3" s="11" t="s">
        <v>155</v>
      </c>
      <c r="CG3" s="11" t="s">
        <v>154</v>
      </c>
      <c r="CH3" s="11" t="s">
        <v>155</v>
      </c>
      <c r="CI3" s="11" t="s">
        <v>155</v>
      </c>
      <c r="CJ3" s="11" t="s">
        <v>155</v>
      </c>
      <c r="CK3" s="11" t="s">
        <v>155</v>
      </c>
      <c r="CL3" s="11" t="s">
        <v>155</v>
      </c>
      <c r="CM3" s="11" t="s">
        <v>155</v>
      </c>
      <c r="CN3" s="11" t="s">
        <v>155</v>
      </c>
      <c r="CO3" s="7">
        <v>3.0</v>
      </c>
      <c r="CP3" s="11" t="s">
        <v>154</v>
      </c>
      <c r="CQ3" s="11" t="s">
        <v>155</v>
      </c>
      <c r="CR3" s="11" t="s">
        <v>155</v>
      </c>
      <c r="CS3" s="11" t="s">
        <v>155</v>
      </c>
      <c r="CT3" s="11" t="s">
        <v>155</v>
      </c>
      <c r="CU3" s="7">
        <v>5.0</v>
      </c>
      <c r="CV3" s="7">
        <v>2.0</v>
      </c>
      <c r="CW3" s="7">
        <v>2.0</v>
      </c>
      <c r="CX3" s="7">
        <v>2.0</v>
      </c>
      <c r="CY3" s="7">
        <v>2.0</v>
      </c>
      <c r="CZ3" s="7">
        <v>2.0</v>
      </c>
      <c r="DA3" s="7">
        <v>2.0</v>
      </c>
      <c r="DB3" s="7">
        <v>2.0</v>
      </c>
      <c r="DC3" s="7">
        <v>2.0</v>
      </c>
      <c r="DD3" s="7">
        <v>3.0</v>
      </c>
      <c r="DE3" s="7">
        <v>2.0</v>
      </c>
      <c r="DF3" s="7">
        <v>5.0</v>
      </c>
      <c r="DG3" s="7">
        <v>5.0</v>
      </c>
      <c r="DH3" s="7">
        <v>5.0</v>
      </c>
      <c r="DI3" s="7">
        <v>4.0</v>
      </c>
      <c r="DJ3" s="7">
        <v>2.0</v>
      </c>
      <c r="DK3" s="7">
        <v>2.0</v>
      </c>
      <c r="DL3" s="7">
        <v>4.0</v>
      </c>
      <c r="DM3" s="7">
        <v>2.0</v>
      </c>
      <c r="DN3" s="7">
        <v>2.0</v>
      </c>
      <c r="DO3" s="7">
        <v>2.0</v>
      </c>
      <c r="DP3" s="7">
        <v>2.0</v>
      </c>
      <c r="DQ3" s="7">
        <v>1.0</v>
      </c>
      <c r="DR3" s="7">
        <v>2.0</v>
      </c>
      <c r="DS3" s="7">
        <v>2.0</v>
      </c>
      <c r="DT3" s="7">
        <v>2.0</v>
      </c>
      <c r="DU3" s="7">
        <v>2.0</v>
      </c>
      <c r="DV3" s="7">
        <v>2.0</v>
      </c>
      <c r="DW3" s="7">
        <v>2.0</v>
      </c>
      <c r="DX3" s="7">
        <v>2.0</v>
      </c>
      <c r="DY3" s="7">
        <v>2.0</v>
      </c>
      <c r="DZ3" s="7">
        <v>2.0</v>
      </c>
      <c r="EA3" s="7">
        <v>2.0</v>
      </c>
      <c r="EB3" s="7">
        <v>2.0</v>
      </c>
      <c r="EC3" s="7">
        <v>2.0</v>
      </c>
      <c r="ED3" s="7">
        <v>2.0</v>
      </c>
      <c r="EE3" s="7">
        <v>2.0</v>
      </c>
    </row>
    <row r="4">
      <c r="A4" s="13" t="s">
        <v>156</v>
      </c>
      <c r="B4" s="13">
        <v>0.0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  <c r="H4" s="13">
        <v>0.0</v>
      </c>
      <c r="I4" s="13"/>
      <c r="J4" s="13">
        <v>0.0</v>
      </c>
      <c r="K4" s="13"/>
      <c r="L4" s="13"/>
      <c r="M4" s="13">
        <v>0.0</v>
      </c>
      <c r="N4" s="13">
        <v>0.034</v>
      </c>
      <c r="O4" s="13">
        <v>0.0</v>
      </c>
      <c r="P4" s="13">
        <v>0.0</v>
      </c>
      <c r="Q4" s="13">
        <f>IFERROR(__xludf.DUMMYFUNCTION("QUERY(Import_from_CeFi_dashboard!E3)"),0.043528573948564415)</f>
        <v>0.04352857395</v>
      </c>
      <c r="R4" s="13">
        <v>0.0</v>
      </c>
      <c r="S4" s="13"/>
      <c r="T4" s="13"/>
      <c r="U4" s="13">
        <v>0.0</v>
      </c>
      <c r="V4" s="13">
        <v>0.0</v>
      </c>
      <c r="W4" s="14"/>
      <c r="X4" s="13">
        <v>0.0</v>
      </c>
      <c r="Y4" s="13">
        <v>0.0</v>
      </c>
      <c r="Z4" s="13">
        <v>0.0</v>
      </c>
      <c r="AA4" s="13">
        <f>IFERROR(__xludf.DUMMYFUNCTION("QUERY(Import_from_CeFi_dashboard!E6)"),-0.029892915595812603)</f>
        <v>-0.0298929156</v>
      </c>
      <c r="AB4" s="13"/>
      <c r="AC4" s="13">
        <v>0.0</v>
      </c>
      <c r="AD4" s="13"/>
      <c r="AE4" s="13">
        <f>Import_from_CeFi_dashboard!E5</f>
        <v>0.00002753076519</v>
      </c>
      <c r="AF4" s="13"/>
      <c r="AG4" s="14"/>
      <c r="AH4" s="13"/>
      <c r="AI4" s="13"/>
      <c r="AJ4" s="13"/>
      <c r="AK4" s="13"/>
      <c r="AL4" s="13"/>
      <c r="AM4" s="13">
        <v>0.0</v>
      </c>
      <c r="AN4" s="13"/>
      <c r="AO4" s="13">
        <v>0.0</v>
      </c>
      <c r="AP4" s="13">
        <v>0.0</v>
      </c>
      <c r="AQ4" s="13">
        <v>0.0</v>
      </c>
      <c r="AR4" s="13">
        <v>0.0</v>
      </c>
      <c r="AS4" s="13">
        <v>0.0</v>
      </c>
      <c r="AT4" s="13">
        <v>0.0</v>
      </c>
      <c r="AU4" s="13">
        <v>0.0</v>
      </c>
      <c r="AV4" s="13">
        <v>0.0</v>
      </c>
      <c r="AW4" s="13">
        <v>0.0</v>
      </c>
      <c r="AX4" s="13">
        <v>0.0</v>
      </c>
      <c r="AY4" s="13">
        <v>0.0</v>
      </c>
      <c r="AZ4" s="13">
        <v>0.0</v>
      </c>
      <c r="BA4" s="13">
        <v>0.0</v>
      </c>
      <c r="BB4" s="13">
        <v>0.0</v>
      </c>
      <c r="BC4" s="13">
        <v>0.0</v>
      </c>
      <c r="BD4" s="13">
        <v>0.0</v>
      </c>
      <c r="BE4" s="13">
        <v>0.0</v>
      </c>
      <c r="BF4" s="13">
        <v>0.0</v>
      </c>
      <c r="BG4" s="13">
        <v>0.0</v>
      </c>
      <c r="BH4" s="13">
        <v>0.0</v>
      </c>
      <c r="BI4" s="13">
        <v>0.0</v>
      </c>
      <c r="BJ4" s="13">
        <v>0.0</v>
      </c>
      <c r="BK4" s="13">
        <v>0.0</v>
      </c>
      <c r="BL4" s="13">
        <v>0.0</v>
      </c>
      <c r="BM4" s="13">
        <v>0.0</v>
      </c>
      <c r="BN4" s="13">
        <v>0.0</v>
      </c>
      <c r="BO4" s="13">
        <v>0.0</v>
      </c>
      <c r="BP4" s="13">
        <v>0.0</v>
      </c>
      <c r="BQ4" s="13">
        <v>0.0</v>
      </c>
      <c r="BR4" s="13">
        <v>0.0</v>
      </c>
      <c r="BS4" s="13">
        <v>0.0</v>
      </c>
      <c r="BT4" s="13">
        <v>0.0</v>
      </c>
      <c r="BU4" s="13">
        <v>0.0</v>
      </c>
      <c r="BV4" s="13">
        <v>0.0</v>
      </c>
      <c r="BW4" s="13">
        <v>0.0</v>
      </c>
      <c r="BX4" s="13">
        <v>0.0</v>
      </c>
      <c r="BY4" s="13">
        <v>0.0</v>
      </c>
      <c r="BZ4" s="13">
        <v>0.0</v>
      </c>
      <c r="CA4" s="13">
        <v>0.0</v>
      </c>
      <c r="CB4" s="13">
        <v>0.0</v>
      </c>
      <c r="CC4" s="13">
        <v>0.0</v>
      </c>
      <c r="CD4" s="13">
        <v>0.0</v>
      </c>
      <c r="CE4" s="13">
        <v>0.0</v>
      </c>
      <c r="CF4" s="13">
        <v>0.0</v>
      </c>
      <c r="CG4" s="13">
        <v>0.0</v>
      </c>
      <c r="CH4" s="13">
        <v>0.0</v>
      </c>
      <c r="CI4" s="13">
        <v>0.0</v>
      </c>
      <c r="CJ4" s="13">
        <v>0.0</v>
      </c>
      <c r="CK4" s="13">
        <v>0.0</v>
      </c>
      <c r="CL4" s="13">
        <v>0.0</v>
      </c>
      <c r="CM4" s="13">
        <v>0.0</v>
      </c>
      <c r="CN4" s="13">
        <v>0.0</v>
      </c>
      <c r="CO4" s="13">
        <v>0.0</v>
      </c>
      <c r="CP4" s="13">
        <v>0.0</v>
      </c>
      <c r="CQ4" s="13">
        <v>0.0</v>
      </c>
      <c r="CR4" s="13">
        <v>0.0</v>
      </c>
      <c r="CS4" s="13">
        <v>0.0</v>
      </c>
      <c r="CT4" s="13">
        <v>0.0</v>
      </c>
      <c r="CU4" s="13">
        <v>0.0</v>
      </c>
      <c r="CV4" s="13">
        <v>0.0</v>
      </c>
      <c r="CW4" s="13">
        <v>0.0</v>
      </c>
      <c r="CX4" s="13">
        <v>0.0</v>
      </c>
      <c r="CY4" s="13">
        <v>0.0</v>
      </c>
      <c r="CZ4" s="13">
        <v>0.0</v>
      </c>
      <c r="DA4" s="13">
        <v>0.0</v>
      </c>
      <c r="DB4" s="13">
        <v>0.0</v>
      </c>
      <c r="DC4" s="13">
        <v>0.0</v>
      </c>
      <c r="DD4" s="13">
        <v>0.0</v>
      </c>
      <c r="DE4" s="13">
        <v>0.0</v>
      </c>
      <c r="DF4" s="13">
        <v>0.0</v>
      </c>
      <c r="DG4" s="13">
        <v>0.0</v>
      </c>
      <c r="DH4" s="13">
        <v>0.0</v>
      </c>
      <c r="DI4" s="13">
        <v>0.0</v>
      </c>
      <c r="DJ4" s="13">
        <v>0.0</v>
      </c>
      <c r="DK4" s="13">
        <v>0.0</v>
      </c>
      <c r="DL4" s="13">
        <v>0.0</v>
      </c>
      <c r="DM4" s="13">
        <v>0.0</v>
      </c>
      <c r="DN4" s="13">
        <v>0.0</v>
      </c>
      <c r="DO4" s="13">
        <v>0.0</v>
      </c>
      <c r="DP4" s="13">
        <v>0.0</v>
      </c>
      <c r="DQ4" s="13">
        <v>0.0</v>
      </c>
      <c r="DR4" s="13">
        <v>0.0</v>
      </c>
      <c r="DS4" s="13">
        <v>0.0</v>
      </c>
      <c r="DT4" s="13">
        <v>0.0</v>
      </c>
      <c r="DU4" s="13">
        <v>0.0</v>
      </c>
      <c r="DV4" s="13">
        <v>0.0</v>
      </c>
      <c r="DW4" s="13">
        <v>0.0</v>
      </c>
      <c r="DX4" s="13">
        <v>0.0</v>
      </c>
      <c r="DY4" s="13">
        <v>0.0</v>
      </c>
      <c r="DZ4" s="13">
        <v>0.0</v>
      </c>
      <c r="EA4" s="13">
        <v>0.0</v>
      </c>
      <c r="EB4" s="13">
        <v>0.0</v>
      </c>
      <c r="EC4" s="13">
        <v>0.0</v>
      </c>
      <c r="ED4" s="13">
        <v>0.003</v>
      </c>
      <c r="EE4" s="13">
        <v>0.003</v>
      </c>
    </row>
    <row r="5">
      <c r="A5" s="7" t="s">
        <v>157</v>
      </c>
      <c r="B5" s="7" t="s">
        <v>158</v>
      </c>
      <c r="C5" s="7" t="s">
        <v>158</v>
      </c>
      <c r="D5" s="7" t="s">
        <v>158</v>
      </c>
      <c r="E5" s="7" t="s">
        <v>158</v>
      </c>
      <c r="F5" s="7" t="s">
        <v>158</v>
      </c>
      <c r="G5" s="7" t="s">
        <v>158</v>
      </c>
      <c r="H5" s="7" t="s">
        <v>158</v>
      </c>
      <c r="I5" s="7" t="s">
        <v>158</v>
      </c>
      <c r="J5" s="7" t="s">
        <v>158</v>
      </c>
      <c r="K5" s="7" t="s">
        <v>159</v>
      </c>
      <c r="L5" s="7" t="s">
        <v>159</v>
      </c>
      <c r="M5" s="7" t="s">
        <v>158</v>
      </c>
      <c r="N5" s="7" t="s">
        <v>158</v>
      </c>
      <c r="O5" s="7" t="s">
        <v>158</v>
      </c>
      <c r="P5" s="7" t="s">
        <v>158</v>
      </c>
      <c r="Q5" s="7" t="s">
        <v>158</v>
      </c>
      <c r="R5" s="7" t="s">
        <v>158</v>
      </c>
      <c r="S5" s="7" t="s">
        <v>158</v>
      </c>
      <c r="T5" s="7" t="s">
        <v>158</v>
      </c>
      <c r="U5" s="7" t="s">
        <v>158</v>
      </c>
      <c r="V5" s="7" t="s">
        <v>158</v>
      </c>
      <c r="W5" s="7" t="s">
        <v>158</v>
      </c>
      <c r="X5" s="7" t="s">
        <v>158</v>
      </c>
      <c r="Y5" s="7" t="s">
        <v>158</v>
      </c>
      <c r="Z5" s="7" t="s">
        <v>158</v>
      </c>
      <c r="AA5" s="7" t="s">
        <v>158</v>
      </c>
      <c r="AB5" s="7" t="s">
        <v>158</v>
      </c>
      <c r="AC5" s="7" t="s">
        <v>158</v>
      </c>
      <c r="AD5" s="7" t="s">
        <v>158</v>
      </c>
      <c r="AE5" s="7" t="s">
        <v>158</v>
      </c>
      <c r="AF5" s="7" t="s">
        <v>158</v>
      </c>
      <c r="AG5" s="7" t="s">
        <v>158</v>
      </c>
      <c r="AH5" s="7" t="s">
        <v>158</v>
      </c>
      <c r="AI5" s="7" t="s">
        <v>158</v>
      </c>
      <c r="AJ5" s="7" t="s">
        <v>158</v>
      </c>
      <c r="AK5" s="7" t="s">
        <v>158</v>
      </c>
      <c r="AL5" s="7" t="s">
        <v>159</v>
      </c>
      <c r="AM5" s="7" t="s">
        <v>158</v>
      </c>
      <c r="AN5" s="7" t="s">
        <v>158</v>
      </c>
      <c r="AO5" s="7" t="s">
        <v>158</v>
      </c>
      <c r="AP5" s="7" t="s">
        <v>158</v>
      </c>
      <c r="AQ5" s="7" t="s">
        <v>158</v>
      </c>
      <c r="AR5" s="7" t="s">
        <v>158</v>
      </c>
      <c r="AS5" s="7" t="s">
        <v>158</v>
      </c>
      <c r="AT5" s="7" t="s">
        <v>160</v>
      </c>
      <c r="AU5" s="7" t="s">
        <v>159</v>
      </c>
      <c r="AV5" s="7" t="s">
        <v>159</v>
      </c>
      <c r="AW5" s="7" t="s">
        <v>159</v>
      </c>
      <c r="AX5" s="7" t="s">
        <v>159</v>
      </c>
      <c r="AY5" s="7" t="s">
        <v>159</v>
      </c>
      <c r="AZ5" s="7" t="s">
        <v>159</v>
      </c>
      <c r="BA5" s="7" t="s">
        <v>159</v>
      </c>
      <c r="BB5" s="7" t="s">
        <v>159</v>
      </c>
      <c r="BC5" s="7" t="s">
        <v>159</v>
      </c>
      <c r="BD5" s="7" t="s">
        <v>159</v>
      </c>
      <c r="BE5" s="7" t="s">
        <v>159</v>
      </c>
      <c r="BF5" s="7" t="s">
        <v>159</v>
      </c>
      <c r="BG5" s="7" t="s">
        <v>159</v>
      </c>
      <c r="BH5" s="7" t="s">
        <v>159</v>
      </c>
      <c r="BI5" s="7" t="s">
        <v>159</v>
      </c>
      <c r="BJ5" s="7" t="s">
        <v>159</v>
      </c>
      <c r="BK5" s="7" t="s">
        <v>159</v>
      </c>
      <c r="BL5" s="7" t="s">
        <v>159</v>
      </c>
      <c r="BM5" s="7" t="s">
        <v>159</v>
      </c>
      <c r="BN5" s="7" t="s">
        <v>159</v>
      </c>
      <c r="BO5" s="7" t="s">
        <v>159</v>
      </c>
      <c r="BP5" s="7" t="s">
        <v>159</v>
      </c>
      <c r="BQ5" s="7" t="s">
        <v>159</v>
      </c>
      <c r="BR5" s="7" t="s">
        <v>159</v>
      </c>
      <c r="BS5" s="7" t="s">
        <v>159</v>
      </c>
      <c r="BT5" s="7" t="s">
        <v>159</v>
      </c>
      <c r="BU5" s="7" t="s">
        <v>159</v>
      </c>
      <c r="BV5" s="7" t="s">
        <v>159</v>
      </c>
      <c r="BW5" s="7" t="s">
        <v>159</v>
      </c>
      <c r="BX5" s="7" t="s">
        <v>159</v>
      </c>
      <c r="BY5" s="7" t="s">
        <v>159</v>
      </c>
      <c r="BZ5" s="7" t="s">
        <v>159</v>
      </c>
      <c r="CA5" s="7" t="s">
        <v>159</v>
      </c>
      <c r="CB5" s="7" t="s">
        <v>159</v>
      </c>
      <c r="CC5" s="7" t="s">
        <v>159</v>
      </c>
      <c r="CD5" s="7" t="s">
        <v>159</v>
      </c>
      <c r="CE5" s="7" t="s">
        <v>159</v>
      </c>
      <c r="CF5" s="7" t="s">
        <v>159</v>
      </c>
      <c r="CG5" s="7" t="s">
        <v>159</v>
      </c>
      <c r="CH5" s="7" t="s">
        <v>159</v>
      </c>
      <c r="CI5" s="7" t="s">
        <v>159</v>
      </c>
      <c r="CJ5" s="7" t="s">
        <v>159</v>
      </c>
      <c r="CK5" s="7" t="s">
        <v>159</v>
      </c>
      <c r="CL5" s="7" t="s">
        <v>159</v>
      </c>
      <c r="CM5" s="7" t="s">
        <v>159</v>
      </c>
      <c r="CN5" s="7" t="s">
        <v>159</v>
      </c>
      <c r="CO5" s="7" t="s">
        <v>159</v>
      </c>
      <c r="CP5" s="7" t="s">
        <v>159</v>
      </c>
      <c r="CQ5" s="7" t="s">
        <v>159</v>
      </c>
      <c r="CR5" s="7" t="s">
        <v>159</v>
      </c>
      <c r="CS5" s="7" t="s">
        <v>159</v>
      </c>
      <c r="CT5" s="7" t="s">
        <v>159</v>
      </c>
      <c r="CU5" s="7" t="s">
        <v>158</v>
      </c>
      <c r="CV5" s="7" t="s">
        <v>159</v>
      </c>
      <c r="CW5" s="7" t="s">
        <v>159</v>
      </c>
      <c r="CX5" s="7" t="s">
        <v>159</v>
      </c>
      <c r="CY5" s="7" t="s">
        <v>159</v>
      </c>
      <c r="CZ5" s="7" t="s">
        <v>159</v>
      </c>
      <c r="DA5" s="7" t="s">
        <v>159</v>
      </c>
      <c r="DB5" s="7" t="s">
        <v>159</v>
      </c>
      <c r="DC5" s="7" t="s">
        <v>159</v>
      </c>
      <c r="DD5" s="7" t="s">
        <v>158</v>
      </c>
      <c r="DE5" s="7" t="s">
        <v>159</v>
      </c>
      <c r="DF5" s="7" t="s">
        <v>159</v>
      </c>
      <c r="DG5" s="7" t="s">
        <v>159</v>
      </c>
      <c r="DH5" s="7" t="s">
        <v>159</v>
      </c>
      <c r="DI5" s="7" t="s">
        <v>158</v>
      </c>
      <c r="DJ5" s="7" t="s">
        <v>159</v>
      </c>
      <c r="DK5" s="7" t="s">
        <v>159</v>
      </c>
      <c r="DL5" s="7" t="s">
        <v>161</v>
      </c>
      <c r="DM5" s="7" t="s">
        <v>158</v>
      </c>
      <c r="DN5" s="7" t="s">
        <v>159</v>
      </c>
      <c r="DO5" s="7" t="s">
        <v>159</v>
      </c>
      <c r="DP5" s="7" t="s">
        <v>158</v>
      </c>
      <c r="DQ5" s="7" t="s">
        <v>158</v>
      </c>
      <c r="DR5" s="7" t="s">
        <v>158</v>
      </c>
      <c r="DS5" s="7" t="s">
        <v>159</v>
      </c>
      <c r="DT5" s="7" t="s">
        <v>159</v>
      </c>
      <c r="DU5" s="7" t="s">
        <v>159</v>
      </c>
      <c r="DV5" s="7" t="s">
        <v>158</v>
      </c>
      <c r="DW5" s="7" t="s">
        <v>158</v>
      </c>
      <c r="DX5" s="7" t="s">
        <v>158</v>
      </c>
      <c r="DY5" s="7" t="s">
        <v>158</v>
      </c>
      <c r="DZ5" s="7" t="s">
        <v>158</v>
      </c>
      <c r="EA5" s="7" t="s">
        <v>158</v>
      </c>
      <c r="EB5" s="7" t="s">
        <v>158</v>
      </c>
      <c r="EC5" s="7" t="s">
        <v>158</v>
      </c>
      <c r="ED5" s="7" t="s">
        <v>158</v>
      </c>
      <c r="EE5" s="7" t="s">
        <v>158</v>
      </c>
    </row>
    <row r="6">
      <c r="A6" s="7" t="s">
        <v>162</v>
      </c>
      <c r="B6" s="13"/>
      <c r="C6" s="13"/>
      <c r="D6" s="13"/>
      <c r="E6" s="13"/>
      <c r="F6" s="13"/>
      <c r="G6" s="13"/>
      <c r="H6" s="13"/>
      <c r="I6" s="15" t="str">
        <f>iferror(vlookup(A6,'Inst Lending numbers'!A:D,4,false)," ")</f>
        <v> </v>
      </c>
      <c r="J6" s="13"/>
      <c r="K6" s="13">
        <v>0.0</v>
      </c>
      <c r="L6" s="13">
        <v>0.0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 t="str">
        <f>iferror(sumif('Weekly Rates'!D:D,A6,'Weekly Rates'!F:F)/countif('Weekly Rates'!D:D,A6))</f>
        <v/>
      </c>
      <c r="AE6" s="13"/>
      <c r="AF6" s="13"/>
      <c r="AG6" s="13"/>
      <c r="AH6" s="13"/>
      <c r="AI6" s="13"/>
      <c r="AJ6" s="13"/>
      <c r="AK6" s="13"/>
      <c r="AL6" s="13" t="str">
        <f>iferror(VLOOKUP($A6,EAM!A$2:E$14,2,FALSE))</f>
        <v/>
      </c>
      <c r="AM6" s="13"/>
      <c r="AN6" s="13">
        <f>sumif('Weekly Rates'!A:A,A6,'Weekly Rates'!B:B)</f>
        <v>0</v>
      </c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>
        <v>0.1011</v>
      </c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>
        <v>0.1008</v>
      </c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</row>
    <row r="7">
      <c r="A7" s="11" t="s">
        <v>163</v>
      </c>
      <c r="B7" s="13"/>
      <c r="C7" s="13"/>
      <c r="D7" s="13"/>
      <c r="E7" s="13"/>
      <c r="F7" s="13"/>
      <c r="G7" s="13"/>
      <c r="H7" s="13"/>
      <c r="I7" s="15" t="str">
        <f>iferror(vlookup(A7,'Inst Lending numbers'!A:D,4,false)," ")</f>
        <v> </v>
      </c>
      <c r="J7" s="13"/>
      <c r="K7" s="13">
        <v>0.0</v>
      </c>
      <c r="L7" s="13">
        <v>0.0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 t="str">
        <f>iferror(sumif('Weekly Rates'!D:D,A7,'Weekly Rates'!F:F)/countif('Weekly Rates'!D:D,A7))</f>
        <v/>
      </c>
      <c r="AE7" s="13"/>
      <c r="AF7" s="13"/>
      <c r="AG7" s="13"/>
      <c r="AH7" s="13"/>
      <c r="AI7" s="13"/>
      <c r="AJ7" s="13"/>
      <c r="AK7" s="13"/>
      <c r="AL7" s="13" t="str">
        <f>iferror(VLOOKUP($A7,EAM!A$2:E$14,2,FALSE))</f>
        <v/>
      </c>
      <c r="AM7" s="13"/>
      <c r="AN7" s="13">
        <f>sumif('Weekly Rates'!A:A,A7,'Weekly Rates'!B:B)</f>
        <v>0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</row>
    <row r="8">
      <c r="A8" s="11" t="s">
        <v>164</v>
      </c>
      <c r="B8" s="13"/>
      <c r="C8" s="13"/>
      <c r="D8" s="13"/>
      <c r="E8" s="13"/>
      <c r="F8" s="13"/>
      <c r="G8" s="13"/>
      <c r="H8" s="13"/>
      <c r="I8" s="15">
        <f>iferror(vlookup(A8,'Inst Lending numbers'!A:D,4,false)," ")</f>
        <v>0.0659</v>
      </c>
      <c r="J8" s="13"/>
      <c r="K8" s="13">
        <v>0.001</v>
      </c>
      <c r="L8" s="13">
        <v>0.0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 t="str">
        <f>iferror(sumif('Weekly Rates'!D:D,A8,'Weekly Rates'!F:F)/countif('Weekly Rates'!D:D,A8))</f>
        <v/>
      </c>
      <c r="AE8" s="13"/>
      <c r="AF8" s="13"/>
      <c r="AG8" s="13"/>
      <c r="AH8" s="13"/>
      <c r="AI8" s="13"/>
      <c r="AJ8" s="13"/>
      <c r="AK8" s="13"/>
      <c r="AL8" s="13" t="str">
        <f>iferror(VLOOKUP($A8,EAM!A$2:E$14,2,FALSE))</f>
        <v/>
      </c>
      <c r="AM8" s="13"/>
      <c r="AN8" s="13">
        <f>sumif('Weekly Rates'!A:A,A8,'Weekly Rates'!B:B)</f>
        <v>0</v>
      </c>
      <c r="AO8" s="13"/>
      <c r="AP8" s="13"/>
      <c r="AQ8" s="13"/>
      <c r="AR8" s="13"/>
      <c r="AS8" s="13"/>
      <c r="AT8" s="13"/>
      <c r="AU8" s="13">
        <v>0.0643</v>
      </c>
      <c r="AV8" s="13"/>
      <c r="AW8" s="13">
        <v>0.0115</v>
      </c>
      <c r="AX8" s="13"/>
      <c r="AY8" s="13"/>
      <c r="AZ8" s="13">
        <f>IFERROR(__xludf.DUMMYFUNCTION("importrange(""https://docs.google.com/spreadsheets/d/1sEJbnmLMGxlqg2Slrotvc3YAgqP9DQwYm8VpUh_GslY/edit#gid=0"",""Sheet1!C78"")"),0.0676)</f>
        <v>0.0676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>
        <v>0.0094</v>
      </c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</row>
    <row r="9">
      <c r="A9" s="11" t="s">
        <v>165</v>
      </c>
      <c r="B9" s="13"/>
      <c r="C9" s="13"/>
      <c r="D9" s="13"/>
      <c r="E9" s="13"/>
      <c r="F9" s="13"/>
      <c r="G9" s="13"/>
      <c r="H9" s="13"/>
      <c r="I9" s="15">
        <f>iferror(vlookup(A9,'Inst Lending numbers'!A:D,4,false)," ")</f>
        <v>0.0747</v>
      </c>
      <c r="K9" s="13">
        <v>0.0</v>
      </c>
      <c r="L9" s="13">
        <v>0.0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 t="str">
        <f>iferror(sumif('Weekly Rates'!D:D,A9,'Weekly Rates'!F:F)/countif('Weekly Rates'!D:D,A9))</f>
        <v/>
      </c>
      <c r="AE9" s="13"/>
      <c r="AF9" s="13"/>
      <c r="AG9" s="13"/>
      <c r="AH9" s="13"/>
      <c r="AI9" s="13"/>
      <c r="AJ9" s="13">
        <v>0.045</v>
      </c>
      <c r="AK9" s="13"/>
      <c r="AL9" s="13" t="str">
        <f>iferror(VLOOKUP($A9,EAM!A$2:E$14,2,FALSE))</f>
        <v/>
      </c>
      <c r="AM9" s="13"/>
      <c r="AN9" s="13">
        <f>sumif('Weekly Rates'!A:A,A9,'Weekly Rates'!B:B)</f>
        <v>0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</row>
    <row r="10">
      <c r="A10" s="11" t="s">
        <v>166</v>
      </c>
      <c r="B10" s="13"/>
      <c r="C10" s="13"/>
      <c r="D10" s="13"/>
      <c r="E10" s="13"/>
      <c r="F10" s="13"/>
      <c r="G10" s="13"/>
      <c r="H10" s="13"/>
      <c r="I10" s="15" t="str">
        <f>iferror(vlookup(A10,'Inst Lending numbers'!A:D,4,false)," ")</f>
        <v> </v>
      </c>
      <c r="J10" s="13"/>
      <c r="K10" s="13">
        <v>0.0</v>
      </c>
      <c r="L10" s="13">
        <v>0.0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 t="str">
        <f>iferror(sumif('Weekly Rates'!D:D,A10,'Weekly Rates'!F:F)/countif('Weekly Rates'!D:D,A10))</f>
        <v/>
      </c>
      <c r="AE10" s="13"/>
      <c r="AF10" s="13"/>
      <c r="AG10" s="13"/>
      <c r="AH10" s="13"/>
      <c r="AI10" s="13"/>
      <c r="AJ10" s="13"/>
      <c r="AK10" s="13"/>
      <c r="AL10" s="13" t="str">
        <f>iferror(VLOOKUP($A10,EAM!A$2:E$14,2,FALSE))</f>
        <v/>
      </c>
      <c r="AM10" s="13"/>
      <c r="AN10" s="13">
        <f>sumif('Weekly Rates'!A:A,A10,'Weekly Rates'!B:B)</f>
        <v>0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</row>
    <row r="11">
      <c r="A11" s="7" t="s">
        <v>167</v>
      </c>
      <c r="K11" s="13"/>
      <c r="L11" s="13"/>
      <c r="S11" s="13"/>
      <c r="AD11" s="13" t="str">
        <f>iferror(sumif('Weekly Rates'!D:D,A11,'Weekly Rates'!F:F)/countif('Weekly Rates'!D:D,A11))</f>
        <v/>
      </c>
      <c r="AL11" s="13"/>
      <c r="AN11" s="13">
        <f>sumif('Weekly Rates'!A:A,A11,'Weekly Rates'!B:B)</f>
        <v>0</v>
      </c>
      <c r="AP11" s="13"/>
      <c r="AQ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</row>
    <row r="12">
      <c r="A12" s="11" t="s">
        <v>168</v>
      </c>
      <c r="B12" s="13"/>
      <c r="C12" s="13"/>
      <c r="D12" s="13"/>
      <c r="E12" s="13"/>
      <c r="F12" s="13"/>
      <c r="G12" s="13"/>
      <c r="H12" s="13"/>
      <c r="I12" s="15" t="str">
        <f>iferror(vlookup(A12,'Inst Lending numbers'!A:D,4,false)," ")</f>
        <v> </v>
      </c>
      <c r="J12" s="13"/>
      <c r="K12" s="13">
        <v>0.0</v>
      </c>
      <c r="L12" s="13">
        <v>0.0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 t="str">
        <f>iferror(sumif('Weekly Rates'!D:D,A12,'Weekly Rates'!F:F)/countif('Weekly Rates'!D:D,A12))</f>
        <v/>
      </c>
      <c r="AE12" s="13"/>
      <c r="AF12" s="13"/>
      <c r="AG12" s="13"/>
      <c r="AH12" s="13"/>
      <c r="AI12" s="13"/>
      <c r="AJ12" s="13"/>
      <c r="AK12" s="13"/>
      <c r="AL12" s="13" t="str">
        <f>iferror(VLOOKUP($A12,EAM!A$2:E$14,2,FALSE))</f>
        <v/>
      </c>
      <c r="AM12" s="13"/>
      <c r="AN12" s="13">
        <f>sumif('Weekly Rates'!A:A,A12,'Weekly Rates'!B:B)</f>
        <v>0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>
        <f>IFERROR(__xludf.DUMMYFUNCTION("importrange(""https://docs.google.com/spreadsheets/d/1sEJbnmLMGxlqg2Slrotvc3YAgqP9DQwYm8VpUh_GslY/edit#gid=0"",""Sheet1!C9"")"),0.4706)</f>
        <v>0.4706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</row>
    <row r="13">
      <c r="A13" s="11" t="s">
        <v>169</v>
      </c>
      <c r="B13" s="13"/>
      <c r="C13" s="13"/>
      <c r="D13" s="13"/>
      <c r="E13" s="13"/>
      <c r="F13" s="13"/>
      <c r="G13" s="13"/>
      <c r="H13" s="13"/>
      <c r="I13" s="15" t="str">
        <f>iferror(vlookup(A13,'Inst Lending numbers'!A:D,4,false)," ")</f>
        <v> </v>
      </c>
      <c r="J13" s="13"/>
      <c r="K13" s="13">
        <v>0.0</v>
      </c>
      <c r="L13" s="13">
        <v>0.0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 t="str">
        <f>iferror(sumif('Weekly Rates'!D:D,A13,'Weekly Rates'!F:F)/countif('Weekly Rates'!D:D,A13))</f>
        <v/>
      </c>
      <c r="AE13" s="13"/>
      <c r="AF13" s="13"/>
      <c r="AG13" s="13"/>
      <c r="AH13" s="13"/>
      <c r="AI13" s="13"/>
      <c r="AJ13" s="13"/>
      <c r="AK13" s="13"/>
      <c r="AL13" s="13" t="str">
        <f>iferror(VLOOKUP($A13,EAM!A$2:E$14,2,FALSE))</f>
        <v/>
      </c>
      <c r="AM13" s="13"/>
      <c r="AN13" s="13">
        <f>sumif('Weekly Rates'!A:A,A13,'Weekly Rates'!B:B)</f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</row>
    <row r="14">
      <c r="A14" s="11" t="s">
        <v>170</v>
      </c>
      <c r="B14" s="13"/>
      <c r="C14" s="13"/>
      <c r="D14" s="13"/>
      <c r="E14" s="13"/>
      <c r="F14" s="13"/>
      <c r="G14" s="13"/>
      <c r="H14" s="13"/>
      <c r="I14" s="15" t="str">
        <f>iferror(vlookup(A14,'Inst Lending numbers'!A:D,4,false)," ")</f>
        <v> </v>
      </c>
      <c r="J14" s="13"/>
      <c r="K14" s="13">
        <v>0.0</v>
      </c>
      <c r="L14" s="13">
        <v>0.0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 t="str">
        <f>iferror(sumif('Weekly Rates'!D:D,A14,'Weekly Rates'!F:F)/countif('Weekly Rates'!D:D,A14))</f>
        <v/>
      </c>
      <c r="AE14" s="13"/>
      <c r="AF14" s="13"/>
      <c r="AG14" s="13"/>
      <c r="AH14" s="13"/>
      <c r="AI14" s="13"/>
      <c r="AJ14" s="13"/>
      <c r="AK14" s="13"/>
      <c r="AL14" s="13" t="str">
        <f>iferror(VLOOKUP($A14,EAM!A$2:E$14,2,FALSE))</f>
        <v/>
      </c>
      <c r="AM14" s="13"/>
      <c r="AN14" s="13">
        <f>sumif('Weekly Rates'!A:A,A14,'Weekly Rates'!B:B)</f>
        <v>0</v>
      </c>
      <c r="AO14" s="13"/>
      <c r="AP14" s="13"/>
      <c r="AQ14" s="13"/>
      <c r="AR14" s="13"/>
      <c r="AS14" s="13"/>
      <c r="AT14" s="13"/>
      <c r="AU14" s="13"/>
      <c r="AV14" s="13"/>
      <c r="AW14" s="13">
        <v>5.0E-4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</row>
    <row r="15">
      <c r="A15" s="11" t="s">
        <v>171</v>
      </c>
      <c r="B15" s="13"/>
      <c r="C15" s="13"/>
      <c r="D15" s="13"/>
      <c r="E15" s="13"/>
      <c r="F15" s="13"/>
      <c r="G15" s="13"/>
      <c r="H15" s="13"/>
      <c r="I15" s="15" t="str">
        <f>iferror(vlookup(A15,'Inst Lending numbers'!A:D,4,false)," ")</f>
        <v> </v>
      </c>
      <c r="J15" s="13"/>
      <c r="K15" s="13">
        <v>0.0</v>
      </c>
      <c r="L15" s="13">
        <v>0.0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 t="str">
        <f>iferror(sumif('Weekly Rates'!D:D,A15,'Weekly Rates'!F:F)/countif('Weekly Rates'!D:D,A15))</f>
        <v/>
      </c>
      <c r="AE15" s="13"/>
      <c r="AF15" s="13"/>
      <c r="AG15" s="13"/>
      <c r="AH15" s="13"/>
      <c r="AI15" s="13"/>
      <c r="AJ15" s="13"/>
      <c r="AK15" s="13"/>
      <c r="AL15" s="13" t="str">
        <f>iferror(VLOOKUP($A15,EAM!A$2:E$14,2,FALSE))</f>
        <v/>
      </c>
      <c r="AM15" s="13"/>
      <c r="AN15" s="13">
        <f>sumif('Weekly Rates'!A:A,A15,'Weekly Rates'!B:B)</f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>
      <c r="A16" s="7" t="s">
        <v>172</v>
      </c>
      <c r="B16" s="13"/>
      <c r="C16" s="13"/>
      <c r="D16" s="13"/>
      <c r="E16" s="13"/>
      <c r="F16" s="13"/>
      <c r="G16" s="13"/>
      <c r="H16" s="13"/>
      <c r="I16" s="15"/>
      <c r="J16" s="13"/>
      <c r="K16" s="13">
        <v>0.0</v>
      </c>
      <c r="L16" s="13">
        <v>0.0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 t="str">
        <f>iferror(sumif('Weekly Rates'!D:D,A16,'Weekly Rates'!F:F)/countif('Weekly Rates'!D:D,A16))</f>
        <v/>
      </c>
      <c r="AE16" s="13"/>
      <c r="AF16" s="13"/>
      <c r="AG16" s="13"/>
      <c r="AH16" s="13"/>
      <c r="AI16" s="13"/>
      <c r="AJ16" s="13"/>
      <c r="AK16" s="13"/>
      <c r="AL16" s="13" t="str">
        <f>iferror(VLOOKUP($A16,EAM!A$2:E$14,2,FALSE))</f>
        <v/>
      </c>
      <c r="AM16" s="13"/>
      <c r="AN16" s="13">
        <f>sumif('Weekly Rates'!A:A,A16,'Weekly Rates'!B:B)</f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</row>
    <row r="17">
      <c r="A17" s="7" t="s">
        <v>173</v>
      </c>
      <c r="B17" s="13"/>
      <c r="C17" s="13"/>
      <c r="D17" s="13"/>
      <c r="E17" s="13"/>
      <c r="F17" s="13"/>
      <c r="G17" s="13"/>
      <c r="H17" s="13"/>
      <c r="I17" s="15"/>
      <c r="J17" s="13"/>
      <c r="K17" s="13">
        <v>0.0</v>
      </c>
      <c r="L17" s="13">
        <v>0.0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 t="str">
        <f>iferror(sumif('Weekly Rates'!D:D,A17,'Weekly Rates'!F:F)/countif('Weekly Rates'!D:D,A17))</f>
        <v/>
      </c>
      <c r="AE17" s="13"/>
      <c r="AF17" s="13"/>
      <c r="AG17" s="13"/>
      <c r="AH17" s="13"/>
      <c r="AI17" s="13"/>
      <c r="AJ17" s="13"/>
      <c r="AK17" s="13"/>
      <c r="AL17" s="13" t="str">
        <f>iferror(VLOOKUP($A17,EAM!A$2:E$14,2,FALSE))</f>
        <v/>
      </c>
      <c r="AM17" s="13"/>
      <c r="AN17" s="13">
        <f>sumif('Weekly Rates'!A:A,A17,'Weekly Rates'!B:B)</f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</row>
    <row r="18">
      <c r="A18" s="11" t="s">
        <v>174</v>
      </c>
      <c r="B18" s="13"/>
      <c r="C18" s="13"/>
      <c r="D18" s="13"/>
      <c r="E18" s="13"/>
      <c r="F18" s="13"/>
      <c r="G18" s="13"/>
      <c r="H18" s="13"/>
      <c r="I18" s="15">
        <f>iferror(vlookup(A18,'Inst Lending numbers'!A:D,4,false)," ")</f>
        <v>0.55</v>
      </c>
      <c r="J18" s="13"/>
      <c r="K18" s="13">
        <v>0.0</v>
      </c>
      <c r="L18" s="13">
        <v>0.0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 t="str">
        <f>iferror(sumif('Weekly Rates'!D:D,A18,'Weekly Rates'!F:F)/countif('Weekly Rates'!D:D,A18))</f>
        <v/>
      </c>
      <c r="AE18" s="13"/>
      <c r="AF18" s="13"/>
      <c r="AG18" s="13"/>
      <c r="AH18" s="13"/>
      <c r="AI18" s="13"/>
      <c r="AJ18" s="13"/>
      <c r="AK18" s="13"/>
      <c r="AL18" s="13" t="str">
        <f>iferror(VLOOKUP($A18,EAM!A$2:E$14,2,FALSE))</f>
        <v/>
      </c>
      <c r="AM18" s="13"/>
      <c r="AN18" s="13">
        <f>sumif('Weekly Rates'!A:A,A18,'Weekly Rates'!B:B)</f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</row>
    <row r="19">
      <c r="A19" s="11" t="s">
        <v>175</v>
      </c>
      <c r="B19" s="13"/>
      <c r="C19" s="13"/>
      <c r="D19" s="13"/>
      <c r="E19" s="13"/>
      <c r="F19" s="13"/>
      <c r="G19" s="13"/>
      <c r="H19" s="13"/>
      <c r="I19" s="15">
        <f>iferror(vlookup(A19,'Inst Lending numbers'!A:D,4,false)," ")</f>
        <v>0.1624</v>
      </c>
      <c r="J19" s="13"/>
      <c r="K19" s="13">
        <v>0.0</v>
      </c>
      <c r="L19" s="13">
        <v>0.0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 t="str">
        <f>iferror(sumif('Weekly Rates'!D:D,A19,'Weekly Rates'!F:F)/countif('Weekly Rates'!D:D,A19))</f>
        <v/>
      </c>
      <c r="AE19" s="13"/>
      <c r="AF19" s="13"/>
      <c r="AG19" s="13"/>
      <c r="AH19" s="13"/>
      <c r="AI19" s="13"/>
      <c r="AJ19" s="13"/>
      <c r="AK19" s="13"/>
      <c r="AL19" s="13" t="str">
        <f>iferror(VLOOKUP($A19,EAM!A$2:E$14,2,FALSE))</f>
        <v/>
      </c>
      <c r="AM19" s="13"/>
      <c r="AN19" s="13">
        <f>sumif('Weekly Rates'!A:A,A19,'Weekly Rates'!B:B)</f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</row>
    <row r="20">
      <c r="A20" s="11" t="s">
        <v>176</v>
      </c>
      <c r="B20" s="13"/>
      <c r="C20" s="13"/>
      <c r="D20" s="13"/>
      <c r="E20" s="13"/>
      <c r="F20" s="13"/>
      <c r="G20" s="13"/>
      <c r="H20" s="13"/>
      <c r="I20" s="15">
        <f>iferror(vlookup(A20,'Inst Lending numbers'!A:D,4,false)," ")</f>
        <v>0.064</v>
      </c>
      <c r="J20" s="13"/>
      <c r="K20" s="13">
        <v>0.022</v>
      </c>
      <c r="L20" s="13">
        <v>0.0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 t="str">
        <f>iferror(sumif('Weekly Rates'!D:D,A20,'Weekly Rates'!F:F)/countif('Weekly Rates'!D:D,A20))</f>
        <v/>
      </c>
      <c r="AE20" s="13"/>
      <c r="AF20" s="13"/>
      <c r="AG20" s="13"/>
      <c r="AH20" s="13"/>
      <c r="AI20" s="13"/>
      <c r="AJ20" s="13"/>
      <c r="AK20" s="13"/>
      <c r="AL20" s="13" t="str">
        <f>iferror(VLOOKUP($A20,EAM!A$2:E$14,2,FALSE))</f>
        <v/>
      </c>
      <c r="AM20" s="13"/>
      <c r="AN20" s="13">
        <f>sumif('Weekly Rates'!A:A,A20,'Weekly Rates'!B:B)</f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>
        <f t="array" ref="BC20">iferror(INDEX('Import from defimon'!$1:$100,MATCH(BC$1,'Import from defimon'!$A:$A,0),MATCH($A20,'Import from defimon'!$1:$1,0)))</f>
        <v>0.0139</v>
      </c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</row>
    <row r="21">
      <c r="A21" s="11" t="s">
        <v>177</v>
      </c>
      <c r="B21" s="13"/>
      <c r="C21" s="13"/>
      <c r="D21" s="13"/>
      <c r="E21" s="13"/>
      <c r="F21" s="13"/>
      <c r="G21" s="13"/>
      <c r="H21" s="13"/>
      <c r="I21" s="15">
        <f>iferror(vlookup(A21,'Inst Lending numbers'!A:D,4,false)," ")</f>
        <v>0.041</v>
      </c>
      <c r="J21" s="13"/>
      <c r="K21" s="13">
        <v>0.0</v>
      </c>
      <c r="L21" s="13">
        <v>0.0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 t="str">
        <f>iferror(sumif('Weekly Rates'!D:D,A21,'Weekly Rates'!F:F)/countif('Weekly Rates'!D:D,A21))</f>
        <v/>
      </c>
      <c r="AE21" s="13"/>
      <c r="AF21" s="13"/>
      <c r="AG21" s="13"/>
      <c r="AH21" s="13"/>
      <c r="AI21" s="13"/>
      <c r="AJ21" s="13"/>
      <c r="AK21" s="13"/>
      <c r="AL21" s="13" t="str">
        <f>iferror(VLOOKUP($A21,EAM!A$2:E$14,2,FALSE))</f>
        <v/>
      </c>
      <c r="AM21" s="13"/>
      <c r="AN21" s="13">
        <f>sumif('Weekly Rates'!A:A,A21,'Weekly Rates'!B:B)</f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</row>
    <row r="22">
      <c r="A22" s="11" t="s">
        <v>178</v>
      </c>
      <c r="B22" s="13"/>
      <c r="C22" s="13"/>
      <c r="D22" s="13"/>
      <c r="E22" s="13"/>
      <c r="F22" s="13"/>
      <c r="G22" s="13"/>
      <c r="H22" s="13"/>
      <c r="I22" s="15">
        <f>iferror(vlookup(A22,'Inst Lending numbers'!A:D,4,false)," ")</f>
        <v>0.0728</v>
      </c>
      <c r="J22" s="13"/>
      <c r="K22" s="13">
        <v>0.0</v>
      </c>
      <c r="L22" s="13">
        <v>0.0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tr">
        <f>iferror(sumif('Weekly Rates'!D:D,A22,'Weekly Rates'!F:F)/countif('Weekly Rates'!D:D,A22))</f>
        <v/>
      </c>
      <c r="AE22" s="13"/>
      <c r="AF22" s="13"/>
      <c r="AG22" s="13"/>
      <c r="AH22" s="13"/>
      <c r="AI22" s="13"/>
      <c r="AJ22" s="13">
        <v>0.12</v>
      </c>
      <c r="AK22" s="13"/>
      <c r="AL22" s="13" t="str">
        <f>iferror(VLOOKUP($A22,EAM!A$2:E$14,2,FALSE))</f>
        <v/>
      </c>
      <c r="AM22" s="13"/>
      <c r="AN22" s="13">
        <f>sumif('Weekly Rates'!A:A,A22,'Weekly Rates'!B:B)</f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</row>
    <row r="23">
      <c r="A23" s="11" t="s">
        <v>179</v>
      </c>
      <c r="B23" s="13"/>
      <c r="C23" s="13"/>
      <c r="D23" s="13"/>
      <c r="E23" s="13"/>
      <c r="F23" s="13"/>
      <c r="G23" s="13"/>
      <c r="H23" s="13"/>
      <c r="I23" s="15">
        <f>iferror(vlookup(A23,'Inst Lending numbers'!A:D,4,false)," ")</f>
        <v>0.0716</v>
      </c>
      <c r="J23" s="13"/>
      <c r="K23" s="13">
        <v>0.0</v>
      </c>
      <c r="L23" s="13">
        <v>0.0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f>iferror(sumif('Weekly Rates'!D:D,A23,'Weekly Rates'!F:F)/countif('Weekly Rates'!D:D,A23))</f>
        <v>0.24966</v>
      </c>
      <c r="AE23" s="13"/>
      <c r="AF23" s="13"/>
      <c r="AG23" s="13"/>
      <c r="AH23" s="13"/>
      <c r="AI23" s="13"/>
      <c r="AJ23" s="13"/>
      <c r="AK23" s="13"/>
      <c r="AL23" s="13" t="str">
        <f>iferror(VLOOKUP($A23,EAM!A$2:E$14,2,FALSE))</f>
        <v/>
      </c>
      <c r="AM23" s="13"/>
      <c r="AN23" s="13">
        <f>sumif('Weekly Rates'!A:A,A23,'Weekly Rates'!B:B)</f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>
        <v>0.4801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</row>
    <row r="24">
      <c r="A24" s="7" t="s">
        <v>180</v>
      </c>
      <c r="K24" s="13">
        <v>0.0</v>
      </c>
      <c r="L24" s="13">
        <v>0.0</v>
      </c>
      <c r="S24" s="13"/>
      <c r="X24" s="13"/>
      <c r="AD24" s="13" t="str">
        <f>iferror(sumif('Weekly Rates'!D:D,A24,'Weekly Rates'!F:F)/countif('Weekly Rates'!D:D,A24))</f>
        <v/>
      </c>
      <c r="AL24" s="13" t="str">
        <f>iferror(VLOOKUP($A24,EAM!H$2:I$14,2,FALSE))</f>
        <v/>
      </c>
      <c r="AN24" s="13">
        <f>sumif('Weekly Rates'!A:A,A24,'Weekly Rates'!B:B)</f>
        <v>0</v>
      </c>
      <c r="AP24" s="13"/>
      <c r="AQ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</row>
    <row r="25">
      <c r="A25" s="11" t="s">
        <v>181</v>
      </c>
      <c r="B25" s="13"/>
      <c r="C25" s="13"/>
      <c r="D25" s="13"/>
      <c r="E25" s="13"/>
      <c r="F25" s="13"/>
      <c r="G25" s="13"/>
      <c r="H25" s="13"/>
      <c r="I25" s="15" t="str">
        <f>iferror(vlookup(A25,'Inst Lending numbers'!A:D,4,false)," ")</f>
        <v> </v>
      </c>
      <c r="J25" s="13"/>
      <c r="K25" s="13">
        <v>0.0</v>
      </c>
      <c r="L25" s="13">
        <v>0.0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 t="str">
        <f>iferror(sumif('Weekly Rates'!D:D,A25,'Weekly Rates'!F:F)/countif('Weekly Rates'!D:D,A25))</f>
        <v/>
      </c>
      <c r="AE25" s="13"/>
      <c r="AF25" s="13"/>
      <c r="AG25" s="13"/>
      <c r="AH25" s="13"/>
      <c r="AI25" s="13"/>
      <c r="AJ25" s="13"/>
      <c r="AK25" s="13"/>
      <c r="AL25" s="13" t="str">
        <f>iferror(VLOOKUP($A25,EAM!A$2:E$14,2,FALSE))</f>
        <v/>
      </c>
      <c r="AM25" s="13"/>
      <c r="AN25" s="13">
        <f>sumif('Weekly Rates'!A:A,A25,'Weekly Rates'!B:B)</f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</row>
    <row r="26" ht="15.75" customHeight="1">
      <c r="A26" s="11" t="s">
        <v>182</v>
      </c>
      <c r="B26" s="13"/>
      <c r="C26" s="13"/>
      <c r="D26" s="13"/>
      <c r="E26" s="13"/>
      <c r="F26" s="13"/>
      <c r="G26" s="13"/>
      <c r="H26" s="13"/>
      <c r="I26" s="15" t="str">
        <f>iferror(vlookup(A26,'Inst Lending numbers'!A:D,4,false)," ")</f>
        <v> </v>
      </c>
      <c r="J26" s="13"/>
      <c r="K26" s="13">
        <v>0.0</v>
      </c>
      <c r="L26" s="13">
        <v>0.0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 t="str">
        <f>iferror(sumif('Weekly Rates'!D:D,A26,'Weekly Rates'!F:F)/countif('Weekly Rates'!D:D,A26))</f>
        <v/>
      </c>
      <c r="AE26" s="13"/>
      <c r="AF26" s="13"/>
      <c r="AG26" s="13"/>
      <c r="AH26" s="13"/>
      <c r="AI26" s="13"/>
      <c r="AJ26" s="13"/>
      <c r="AK26" s="13"/>
      <c r="AL26" s="13" t="str">
        <f>iferror(VLOOKUP($A26,EAM!A$2:E$14,2,FALSE))</f>
        <v/>
      </c>
      <c r="AM26" s="13"/>
      <c r="AN26" s="13">
        <f>sumif('Weekly Rates'!A:A,A26,'Weekly Rates'!B:B)</f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ht="15.75" customHeight="1">
      <c r="A27" s="11" t="s">
        <v>183</v>
      </c>
      <c r="B27" s="13"/>
      <c r="C27" s="13"/>
      <c r="D27" s="13"/>
      <c r="E27" s="13"/>
      <c r="F27" s="13"/>
      <c r="G27" s="13"/>
      <c r="H27" s="13"/>
      <c r="I27" s="15" t="str">
        <f>iferror(vlookup(A27,'Inst Lending numbers'!A:D,4,false)," ")</f>
        <v> </v>
      </c>
      <c r="J27" s="13"/>
      <c r="K27" s="13">
        <v>0.0</v>
      </c>
      <c r="L27" s="13">
        <v>0.0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str">
        <f>iferror(sumif('Weekly Rates'!D:D,A27,'Weekly Rates'!F:F)/countif('Weekly Rates'!D:D,A27))</f>
        <v/>
      </c>
      <c r="AE27" s="13"/>
      <c r="AF27" s="13"/>
      <c r="AG27" s="13"/>
      <c r="AH27" s="13"/>
      <c r="AI27" s="13"/>
      <c r="AJ27" s="13"/>
      <c r="AK27" s="13"/>
      <c r="AL27" s="13" t="str">
        <f>iferror(VLOOKUP($A27,EAM!A$2:E$14,2,FALSE))</f>
        <v/>
      </c>
      <c r="AM27" s="13"/>
      <c r="AN27" s="13">
        <f>sumif('Weekly Rates'!A:A,A27,'Weekly Rates'!B:B)</f>
        <v>0.0489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</row>
    <row r="28" ht="15.75" customHeight="1">
      <c r="A28" s="11" t="s">
        <v>184</v>
      </c>
      <c r="B28" s="13"/>
      <c r="C28" s="13"/>
      <c r="D28" s="13"/>
      <c r="E28" s="13"/>
      <c r="F28" s="13"/>
      <c r="G28" s="13"/>
      <c r="H28" s="13"/>
      <c r="I28" s="15">
        <f>iferror(vlookup(A28,'Inst Lending numbers'!A:D,4,false)," ")</f>
        <v>0.0295</v>
      </c>
      <c r="J28" s="13"/>
      <c r="K28" s="13">
        <v>0.0096</v>
      </c>
      <c r="L28" s="13">
        <v>0.0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>
        <f>iferror(sumif('Weekly Rates'!D:D,A28,'Weekly Rates'!F:F)/countif('Weekly Rates'!D:D,A28))</f>
        <v>0.00876</v>
      </c>
      <c r="AE28" s="13"/>
      <c r="AF28" s="13"/>
      <c r="AG28" s="13"/>
      <c r="AH28" s="13"/>
      <c r="AI28" s="13"/>
      <c r="AJ28" s="13"/>
      <c r="AK28" s="13">
        <v>0.3</v>
      </c>
      <c r="AL28" s="13" t="str">
        <f>iferror(VLOOKUP($A28,EAM!A$2:E$14,2,FALSE))</f>
        <v/>
      </c>
      <c r="AM28" s="13"/>
      <c r="AN28" s="13">
        <f>sumif('Weekly Rates'!A:A,A28,'Weekly Rates'!B:B)</f>
        <v>0</v>
      </c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>
        <v>0.0322</v>
      </c>
      <c r="BC28" s="13">
        <f t="array" ref="BC28">iferror(INDEX('Import from defimon'!$1:$100,MATCH(BC$1,'Import from defimon'!$A:$A,0),MATCH($A28,'Import from defimon'!$1:$1,0)))</f>
        <v>0.0801</v>
      </c>
      <c r="BD28" s="13"/>
      <c r="BE28" s="14">
        <f>IFERROR(__xludf.DUMMYFUNCTION("importrange(""https://docs.google.com/spreadsheets/d/1sEJbnmLMGxlqg2Slrotvc3YAgqP9DQwYm8VpUh_GslY/edit#gid=0"",""Sheet1!C37"")"),0.0074)</f>
        <v>0.0074</v>
      </c>
      <c r="BF28" s="13">
        <f>IFERROR(__xludf.DUMMYFUNCTION("importrange(""https://docs.google.com/spreadsheets/d/1sEJbnmLMGxlqg2Slrotvc3YAgqP9DQwYm8VpUh_GslY/edit#gid=0"",""Sheet1!C10"")"),0.0063)</f>
        <v>0.0063</v>
      </c>
      <c r="BG28" s="13">
        <v>0.0549</v>
      </c>
      <c r="BH28" s="13">
        <f>IFERROR(__xludf.DUMMYFUNCTION("importrange(""https://docs.google.com/spreadsheets/d/1sEJbnmLMGxlqg2Slrotvc3YAgqP9DQwYm8VpUh_GslY/edit#gid=0"",""Sheet1!C12"")"),0.1383)</f>
        <v>0.1383</v>
      </c>
      <c r="BI28" s="13">
        <f>IFERROR(__xludf.DUMMYFUNCTION("importrange(""https://docs.google.com/spreadsheets/d/1sEJbnmLMGxlqg2Slrotvc3YAgqP9DQwYm8VpUh_GslY/edit#gid=0"",""Sheet1!C19"")"),0.0022)</f>
        <v>0.0022</v>
      </c>
      <c r="BJ28" s="13">
        <f>IFERROR(__xludf.DUMMYFUNCTION("importrange(""https://docs.google.com/spreadsheets/d/1sEJbnmLMGxlqg2Slrotvc3YAgqP9DQwYm8VpUh_GslY/edit#gid=0"",""Sheet1!C16"")"),2.0E-4)</f>
        <v>0.0002</v>
      </c>
      <c r="BK28" s="13">
        <f>IFERROR(__xludf.DUMMYFUNCTION("importrange(""https://docs.google.com/spreadsheets/d/1sEJbnmLMGxlqg2Slrotvc3YAgqP9DQwYm8VpUh_GslY/edit#gid=0"",""Sheet1!C18"")"),0.0483)</f>
        <v>0.0483</v>
      </c>
      <c r="BL28" s="13">
        <f>IFERROR(__xludf.DUMMYFUNCTION("importrange(""https://docs.google.com/spreadsheets/d/1sEJbnmLMGxlqg2Slrotvc3YAgqP9DQwYm8VpUh_GslY/edit#gid=0"",""Sheet1!C27"")"),0.0376)</f>
        <v>0.0376</v>
      </c>
      <c r="BM28" s="13"/>
      <c r="BN28" s="14">
        <f>IFERROR(__xludf.DUMMYFUNCTION("importrange(""https://docs.google.com/spreadsheets/d/1sEJbnmLMGxlqg2Slrotvc3YAgqP9DQwYm8VpUh_GslY/edit#gid=0"",""Sheet1!C22"")"),0.0064)</f>
        <v>0.0064</v>
      </c>
      <c r="BO28" s="13"/>
      <c r="BP28" s="13"/>
      <c r="BQ28" s="13"/>
      <c r="BR28" s="13"/>
      <c r="BS28" s="13">
        <f>IFERROR(__xludf.DUMMYFUNCTION("importrange(""https://docs.google.com/spreadsheets/d/1sEJbnmLMGxlqg2Slrotvc3YAgqP9DQwYm8VpUh_GslY/edit#gid=0"",""Sheet1!C35"")"),0.0151)</f>
        <v>0.0151</v>
      </c>
      <c r="BT28" s="13">
        <f>IFERROR(__xludf.DUMMYFUNCTION("importrange(""https://docs.google.com/spreadsheets/d/1sEJbnmLMGxlqg2Slrotvc3YAgqP9DQwYm8VpUh_GslY/edit#gid=0"",""Sheet1!C36"")"),0.0357)</f>
        <v>0.0357</v>
      </c>
      <c r="BU28" s="13">
        <f>IFERROR(__xludf.DUMMYFUNCTION("importrange(""https://docs.google.com/spreadsheets/d/1sEJbnmLMGxlqg2Slrotvc3YAgqP9DQwYm8VpUh_GslY/edit#gid=0"",""Sheet1!C31"")"),0.0081)</f>
        <v>0.0081</v>
      </c>
      <c r="BV28" s="14">
        <f>IFERROR(__xludf.DUMMYFUNCTION("importrange(""https://docs.google.com/spreadsheets/d/1sEJbnmLMGxlqg2Slrotvc3YAgqP9DQwYm8VpUh_GslY/edit#gid=0"",""Sheet1!C29"")"),0.1248)</f>
        <v>0.1248</v>
      </c>
      <c r="BW28" s="13"/>
      <c r="BX28" s="13">
        <f>IFERROR(__xludf.DUMMYFUNCTION("importrange(""https://docs.google.com/spreadsheets/d/1sEJbnmLMGxlqg2Slrotvc3YAgqP9DQwYm8VpUh_GslY/edit#gid=0"",""Sheet1!C28"")"),0.0068)</f>
        <v>0.0068</v>
      </c>
      <c r="BY28" s="13">
        <f>IFERROR(__xludf.DUMMYFUNCTION("importrange(""https://docs.google.com/spreadsheets/d/1sEJbnmLMGxlqg2Slrotvc3YAgqP9DQwYm8VpUh_GslY/edit#gid=0"",""Sheet1!C26"")"),0.0197)</f>
        <v>0.0197</v>
      </c>
      <c r="BZ28" s="13"/>
      <c r="CA28" s="13"/>
      <c r="CB28" s="13"/>
      <c r="CC28" s="13"/>
      <c r="CD28" s="14">
        <f>IFERROR(__xludf.DUMMYFUNCTION("importrange(""https://docs.google.com/spreadsheets/d/1sEJbnmLMGxlqg2Slrotvc3YAgqP9DQwYm8VpUh_GslY/edit#gid=0"",""Sheet1!C24"")"),0.0063)</f>
        <v>0.0063</v>
      </c>
      <c r="CE28" s="14">
        <f>IFERROR(__xludf.DUMMYFUNCTION("importrange(""https://docs.google.com/spreadsheets/d/1sEJbnmLMGxlqg2Slrotvc3YAgqP9DQwYm8VpUh_GslY/edit#gid=0"",""Sheet1!C23"")"),0.0091)</f>
        <v>0.0091</v>
      </c>
      <c r="CF28" s="14">
        <f>IFERROR(__xludf.DUMMYFUNCTION("importrange(""https://docs.google.com/spreadsheets/d/1sEJbnmLMGxlqg2Slrotvc3YAgqP9DQwYm8VpUh_GslY/edit#gid=0"",""Sheet1!C25"")"),0.0673)</f>
        <v>0.0673</v>
      </c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4">
        <f>IFERROR(__xludf.DUMMYFUNCTION("importrange(""https://docs.google.com/spreadsheets/d/1sEJbnmLMGxlqg2Slrotvc3YAgqP9DQwYm8VpUh_GslY/edit#gid=0"",""Sheet1!C43"")"),0.029)</f>
        <v>0.029</v>
      </c>
      <c r="CY28" s="13">
        <v>0.1682</v>
      </c>
      <c r="CZ28" s="13">
        <f>IFERROR(__xludf.DUMMYFUNCTION("importrange(""https://docs.google.com/spreadsheets/d/1sEJbnmLMGxlqg2Slrotvc3YAgqP9DQwYm8VpUh_GslY/edit#gid=0"",""Sheet1!C20"")"),0.0335)</f>
        <v>0.0335</v>
      </c>
      <c r="DA28" s="13"/>
      <c r="DB28" s="13"/>
      <c r="DC28" s="13"/>
      <c r="DD28" s="13"/>
      <c r="DE28" s="13">
        <f>IFERROR(__xludf.DUMMYFUNCTION("importrange(""https://docs.google.com/spreadsheets/d/1sEJbnmLMGxlqg2Slrotvc3YAgqP9DQwYm8VpUh_GslY/edit#gid=0"",""Sheet1!C21"")"),0.0074)</f>
        <v>0.0074</v>
      </c>
      <c r="DF28" s="13"/>
      <c r="DG28" s="13"/>
      <c r="DH28" s="13"/>
      <c r="DI28" s="13">
        <v>0.0186</v>
      </c>
      <c r="DJ28" s="13"/>
      <c r="DK28" s="13"/>
      <c r="DL28" s="13"/>
      <c r="DM28" s="13"/>
      <c r="DN28" s="16">
        <f>IFERROR(__xludf.DUMMYFUNCTION("importrange(""https://docs.google.com/spreadsheets/d/1sEJbnmLMGxlqg2Slrotvc3YAgqP9DQwYm8VpUh_GslY/edit#gid=0"",""Sheet1!C47"")"),0.22)</f>
        <v>0.22</v>
      </c>
      <c r="DO28" s="14">
        <f>IFERROR(__xludf.DUMMYFUNCTION("importrange(""https://docs.google.com/spreadsheets/d/1sEJbnmLMGxlqg2Slrotvc3YAgqP9DQwYm8VpUh_GslY/edit#gid=0"",""Sheet1!C48"")"),0.00801)</f>
        <v>0.00801</v>
      </c>
      <c r="DP28" s="13"/>
      <c r="DQ28" s="13"/>
      <c r="DR28" s="13"/>
      <c r="DS28" s="13">
        <f>IFERROR(__xludf.DUMMYFUNCTION("importrange(""https://docs.google.com/spreadsheets/d/1sEJbnmLMGxlqg2Slrotvc3YAgqP9DQwYm8VpUh_GslY/edit#gid=0"",""Sheet1!C51"")"),0.0151)</f>
        <v>0.0151</v>
      </c>
      <c r="DT28" s="13"/>
      <c r="DU28" s="13">
        <v>0.1682</v>
      </c>
      <c r="DV28" s="13"/>
      <c r="DW28" s="13"/>
      <c r="DX28" s="13"/>
      <c r="DY28" s="13"/>
      <c r="DZ28" s="13"/>
      <c r="EA28" s="13"/>
      <c r="EB28" s="13"/>
      <c r="EC28" s="13"/>
      <c r="ED28" s="13"/>
      <c r="EE28" s="13"/>
    </row>
    <row r="29" ht="15.75" customHeight="1">
      <c r="A29" s="7" t="s">
        <v>185</v>
      </c>
      <c r="B29" s="13"/>
      <c r="C29" s="13"/>
      <c r="D29" s="13"/>
      <c r="E29" s="13"/>
      <c r="F29" s="13"/>
      <c r="G29" s="13"/>
      <c r="H29" s="13"/>
      <c r="I29" s="15">
        <f>iferror(vlookup(A29,'Inst Lending numbers'!A:D,4,false)," ")</f>
        <v>0.01</v>
      </c>
      <c r="J29" s="13"/>
      <c r="K29" s="13">
        <v>0.0096</v>
      </c>
      <c r="L29" s="13">
        <v>0.0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f>iferror(sumif('Weekly Rates'!D:D,A29,'Weekly Rates'!F:F)/countif('Weekly Rates'!D:D,A29))</f>
        <v>0.00876</v>
      </c>
      <c r="AE29" s="13"/>
      <c r="AF29" s="13"/>
      <c r="AG29" s="13"/>
      <c r="AH29" s="13"/>
      <c r="AI29" s="13"/>
      <c r="AJ29" s="13"/>
      <c r="AK29" s="13">
        <v>0.3</v>
      </c>
      <c r="AL29" s="13">
        <f>iferror(VLOOKUP($A29,EAM!A$2:E$14,2,FALSE))</f>
        <v>0.04793464323</v>
      </c>
      <c r="AM29" s="13"/>
      <c r="AN29" s="13">
        <f>sumif('Weekly Rates'!A:A,A29,'Weekly Rates'!B:B)</f>
        <v>0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0.0322</v>
      </c>
      <c r="BC29" s="13">
        <f>BC28</f>
        <v>0.0801</v>
      </c>
      <c r="BD29" s="13"/>
      <c r="BE29" s="14">
        <f>IFERROR(__xludf.DUMMYFUNCTION("importrange(""https://docs.google.com/spreadsheets/d/1sEJbnmLMGxlqg2Slrotvc3YAgqP9DQwYm8VpUh_GslY/edit#gid=0"",""Sheet1!C37"")"),0.0074)</f>
        <v>0.0074</v>
      </c>
      <c r="BF29" s="13">
        <f>IFERROR(__xludf.DUMMYFUNCTION("importrange(""https://docs.google.com/spreadsheets/d/1sEJbnmLMGxlqg2Slrotvc3YAgqP9DQwYm8VpUh_GslY/edit#gid=0"",""Sheet1!C10"")"),0.0063)</f>
        <v>0.0063</v>
      </c>
      <c r="BG29" s="13">
        <v>0.0549</v>
      </c>
      <c r="BH29" s="13">
        <f>IFERROR(__xludf.DUMMYFUNCTION("importrange(""https://docs.google.com/spreadsheets/d/1sEJbnmLMGxlqg2Slrotvc3YAgqP9DQwYm8VpUh_GslY/edit#gid=0"",""Sheet1!C12"")"),0.1383)</f>
        <v>0.1383</v>
      </c>
      <c r="BI29" s="13">
        <f>IFERROR(__xludf.DUMMYFUNCTION("importrange(""https://docs.google.com/spreadsheets/d/1sEJbnmLMGxlqg2Slrotvc3YAgqP9DQwYm8VpUh_GslY/edit#gid=0"",""Sheet1!C19"")"),0.0022)</f>
        <v>0.0022</v>
      </c>
      <c r="BJ29" s="13">
        <f>IFERROR(__xludf.DUMMYFUNCTION("importrange(""https://docs.google.com/spreadsheets/d/1sEJbnmLMGxlqg2Slrotvc3YAgqP9DQwYm8VpUh_GslY/edit#gid=0"",""Sheet1!C16"")"),2.0E-4)</f>
        <v>0.0002</v>
      </c>
      <c r="BK29" s="13">
        <f>IFERROR(__xludf.DUMMYFUNCTION("importrange(""https://docs.google.com/spreadsheets/d/1sEJbnmLMGxlqg2Slrotvc3YAgqP9DQwYm8VpUh_GslY/edit#gid=0"",""Sheet1!C18"")"),0.0483)</f>
        <v>0.0483</v>
      </c>
      <c r="BL29" s="13">
        <f>IFERROR(__xludf.DUMMYFUNCTION("importrange(""https://docs.google.com/spreadsheets/d/1sEJbnmLMGxlqg2Slrotvc3YAgqP9DQwYm8VpUh_GslY/edit#gid=0"",""Sheet1!C27"")"),0.0376)</f>
        <v>0.0376</v>
      </c>
      <c r="BM29" s="13"/>
      <c r="BN29" s="14">
        <f>IFERROR(__xludf.DUMMYFUNCTION("importrange(""https://docs.google.com/spreadsheets/d/1sEJbnmLMGxlqg2Slrotvc3YAgqP9DQwYm8VpUh_GslY/edit#gid=0"",""Sheet1!C22"")"),0.0064)</f>
        <v>0.0064</v>
      </c>
      <c r="BO29" s="13"/>
      <c r="BP29" s="13"/>
      <c r="BQ29" s="13"/>
      <c r="BR29" s="13"/>
      <c r="BS29" s="13">
        <f>IFERROR(__xludf.DUMMYFUNCTION("importrange(""https://docs.google.com/spreadsheets/d/1sEJbnmLMGxlqg2Slrotvc3YAgqP9DQwYm8VpUh_GslY/edit#gid=0"",""Sheet1!C35"")"),0.0151)</f>
        <v>0.0151</v>
      </c>
      <c r="BT29" s="13">
        <f>IFERROR(__xludf.DUMMYFUNCTION("importrange(""https://docs.google.com/spreadsheets/d/1sEJbnmLMGxlqg2Slrotvc3YAgqP9DQwYm8VpUh_GslY/edit#gid=0"",""Sheet1!C36"")"),0.0357)</f>
        <v>0.0357</v>
      </c>
      <c r="BU29" s="13">
        <f>IFERROR(__xludf.DUMMYFUNCTION("importrange(""https://docs.google.com/spreadsheets/d/1sEJbnmLMGxlqg2Slrotvc3YAgqP9DQwYm8VpUh_GslY/edit#gid=0"",""Sheet1!C31"")"),0.0081)</f>
        <v>0.0081</v>
      </c>
      <c r="BV29" s="14">
        <f>IFERROR(__xludf.DUMMYFUNCTION("importrange(""https://docs.google.com/spreadsheets/d/1sEJbnmLMGxlqg2Slrotvc3YAgqP9DQwYm8VpUh_GslY/edit#gid=0"",""Sheet1!C29"")"),0.1248)</f>
        <v>0.1248</v>
      </c>
      <c r="BW29" s="13"/>
      <c r="BX29" s="13">
        <f>IFERROR(__xludf.DUMMYFUNCTION("importrange(""https://docs.google.com/spreadsheets/d/1sEJbnmLMGxlqg2Slrotvc3YAgqP9DQwYm8VpUh_GslY/edit#gid=0"",""Sheet1!C28"")"),0.0068)</f>
        <v>0.0068</v>
      </c>
      <c r="BY29" s="13">
        <f>IFERROR(__xludf.DUMMYFUNCTION("importrange(""https://docs.google.com/spreadsheets/d/1sEJbnmLMGxlqg2Slrotvc3YAgqP9DQwYm8VpUh_GslY/edit#gid=0"",""Sheet1!C26"")"),0.0197)</f>
        <v>0.0197</v>
      </c>
      <c r="BZ29" s="13"/>
      <c r="CA29" s="13"/>
      <c r="CB29" s="13"/>
      <c r="CC29" s="13"/>
      <c r="CD29" s="14">
        <f>IFERROR(__xludf.DUMMYFUNCTION("importrange(""https://docs.google.com/spreadsheets/d/1sEJbnmLMGxlqg2Slrotvc3YAgqP9DQwYm8VpUh_GslY/edit#gid=0"",""Sheet1!C24"")"),0.0063)</f>
        <v>0.0063</v>
      </c>
      <c r="CE29" s="14">
        <f>IFERROR(__xludf.DUMMYFUNCTION("importrange(""https://docs.google.com/spreadsheets/d/1sEJbnmLMGxlqg2Slrotvc3YAgqP9DQwYm8VpUh_GslY/edit#gid=0"",""Sheet1!C23"")"),0.0091)</f>
        <v>0.0091</v>
      </c>
      <c r="CF29" s="14">
        <f>IFERROR(__xludf.DUMMYFUNCTION("importrange(""https://docs.google.com/spreadsheets/d/1sEJbnmLMGxlqg2Slrotvc3YAgqP9DQwYm8VpUh_GslY/edit#gid=0"",""Sheet1!C25"")"),0.0673)</f>
        <v>0.0673</v>
      </c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4">
        <f>IFERROR(__xludf.DUMMYFUNCTION("importrange(""https://docs.google.com/spreadsheets/d/1sEJbnmLMGxlqg2Slrotvc3YAgqP9DQwYm8VpUh_GslY/edit#gid=0"",""Sheet1!C43"")"),0.029)</f>
        <v>0.029</v>
      </c>
      <c r="CY29" s="13">
        <v>0.1682</v>
      </c>
      <c r="CZ29" s="13">
        <f>IFERROR(__xludf.DUMMYFUNCTION("importrange(""https://docs.google.com/spreadsheets/d/1sEJbnmLMGxlqg2Slrotvc3YAgqP9DQwYm8VpUh_GslY/edit#gid=0"",""Sheet1!C20"")"),0.0335)</f>
        <v>0.0335</v>
      </c>
      <c r="DA29" s="13"/>
      <c r="DB29" s="13"/>
      <c r="DC29" s="13"/>
      <c r="DD29" s="13"/>
      <c r="DE29" s="13">
        <f>IFERROR(__xludf.DUMMYFUNCTION("importrange(""https://docs.google.com/spreadsheets/d/1sEJbnmLMGxlqg2Slrotvc3YAgqP9DQwYm8VpUh_GslY/edit#gid=0"",""Sheet1!C21"")"),0.0074)</f>
        <v>0.0074</v>
      </c>
      <c r="DF29" s="13"/>
      <c r="DG29" s="13"/>
      <c r="DH29" s="13"/>
      <c r="DI29" s="13">
        <v>0.0186</v>
      </c>
      <c r="DJ29" s="13"/>
      <c r="DK29" s="13"/>
      <c r="DL29" s="13"/>
      <c r="DM29" s="13"/>
      <c r="DN29" s="16">
        <f>IFERROR(__xludf.DUMMYFUNCTION("importrange(""https://docs.google.com/spreadsheets/d/1sEJbnmLMGxlqg2Slrotvc3YAgqP9DQwYm8VpUh_GslY/edit#gid=0"",""Sheet1!C47"")"),0.22)</f>
        <v>0.22</v>
      </c>
      <c r="DO29" s="14">
        <f>IFERROR(__xludf.DUMMYFUNCTION("importrange(""https://docs.google.com/spreadsheets/d/1sEJbnmLMGxlqg2Slrotvc3YAgqP9DQwYm8VpUh_GslY/edit#gid=0"",""Sheet1!C48"")"),0.00801)</f>
        <v>0.00801</v>
      </c>
      <c r="DP29" s="13"/>
      <c r="DQ29" s="13"/>
      <c r="DR29" s="13"/>
      <c r="DS29" s="13">
        <f>IFERROR(__xludf.DUMMYFUNCTION("importrange(""https://docs.google.com/spreadsheets/d/1sEJbnmLMGxlqg2Slrotvc3YAgqP9DQwYm8VpUh_GslY/edit#gid=0"",""Sheet1!C51"")"),0.0151)</f>
        <v>0.0151</v>
      </c>
      <c r="DT29" s="13"/>
      <c r="DU29" s="13">
        <v>0.1682</v>
      </c>
      <c r="DV29" s="13"/>
      <c r="DW29" s="13"/>
      <c r="DX29" s="13"/>
      <c r="DY29" s="13"/>
      <c r="DZ29" s="13"/>
      <c r="EA29" s="13"/>
      <c r="EB29" s="13"/>
      <c r="EC29" s="13"/>
      <c r="ED29" s="13"/>
      <c r="EE29" s="13"/>
    </row>
    <row r="30" ht="15.75" customHeight="1">
      <c r="A30" s="11" t="s">
        <v>186</v>
      </c>
      <c r="B30" s="13"/>
      <c r="C30" s="13"/>
      <c r="D30" s="13"/>
      <c r="E30" s="13"/>
      <c r="F30" s="13"/>
      <c r="G30" s="13"/>
      <c r="H30" s="13"/>
      <c r="I30" s="15" t="str">
        <f>iferror(vlookup(A30,'Inst Lending numbers'!A:D,4,false)," ")</f>
        <v> </v>
      </c>
      <c r="J30" s="13"/>
      <c r="K30" s="13">
        <v>0.0</v>
      </c>
      <c r="L30" s="13">
        <v>0.0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 t="str">
        <f>iferror(sumif('Weekly Rates'!D:D,A30,'Weekly Rates'!F:F)/countif('Weekly Rates'!D:D,A30))</f>
        <v/>
      </c>
      <c r="AE30" s="13"/>
      <c r="AF30" s="13"/>
      <c r="AG30" s="13"/>
      <c r="AH30" s="13"/>
      <c r="AI30" s="13"/>
      <c r="AJ30" s="13"/>
      <c r="AK30" s="13"/>
      <c r="AL30" s="13" t="str">
        <f>iferror(VLOOKUP($A30,EAM!A$2:E$14,2,FALSE))</f>
        <v/>
      </c>
      <c r="AM30" s="13"/>
      <c r="AN30" s="13">
        <f>sumif('Weekly Rates'!A:A,A30,'Weekly Rates'!B:B)</f>
        <v>0.071</v>
      </c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</row>
    <row r="31" ht="15.75" customHeight="1">
      <c r="A31" s="11" t="s">
        <v>187</v>
      </c>
      <c r="B31" s="13"/>
      <c r="C31" s="13"/>
      <c r="D31" s="13"/>
      <c r="E31" s="13"/>
      <c r="F31" s="13"/>
      <c r="G31" s="13"/>
      <c r="H31" s="13"/>
      <c r="I31" s="15" t="str">
        <f>iferror(vlookup(A31,'Inst Lending numbers'!A:D,4,false)," ")</f>
        <v> </v>
      </c>
      <c r="J31" s="13"/>
      <c r="K31" s="13">
        <v>0.0</v>
      </c>
      <c r="L31" s="13">
        <v>0.0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 t="str">
        <f>iferror(sumif('Weekly Rates'!D:D,A31,'Weekly Rates'!F:F)/countif('Weekly Rates'!D:D,A31))</f>
        <v/>
      </c>
      <c r="AE31" s="13"/>
      <c r="AF31" s="13"/>
      <c r="AG31" s="13"/>
      <c r="AH31" s="13"/>
      <c r="AI31" s="13"/>
      <c r="AJ31" s="13"/>
      <c r="AK31" s="13"/>
      <c r="AL31" s="13" t="str">
        <f>iferror(VLOOKUP($A31,EAM!A$2:E$14,2,FALSE))</f>
        <v/>
      </c>
      <c r="AM31" s="13"/>
      <c r="AN31" s="13">
        <f>sumif('Weekly Rates'!A:A,A31,'Weekly Rates'!B:B)</f>
        <v>0</v>
      </c>
      <c r="AO31" s="13"/>
      <c r="AP31" s="13"/>
      <c r="AQ31" s="13"/>
      <c r="AR31" s="13"/>
      <c r="AS31" s="13"/>
      <c r="AT31" s="13">
        <f>IFERROR(__xludf.DUMMYFUNCTION("importrange(""https://docs.google.com/spreadsheets/d/1sEJbnmLMGxlqg2Slrotvc3YAgqP9DQwYm8VpUh_GslY/edit#gid=0"",""Sheet1!C17"")"),0.0502)</f>
        <v>0.0502</v>
      </c>
      <c r="AU31" s="13"/>
      <c r="AV31" s="13"/>
      <c r="AW31" s="13">
        <v>0.0277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</row>
    <row r="32" ht="15.75" customHeight="1">
      <c r="A32" s="11" t="s">
        <v>188</v>
      </c>
      <c r="B32" s="13"/>
      <c r="C32" s="13"/>
      <c r="D32" s="13"/>
      <c r="E32" s="13"/>
      <c r="F32" s="13"/>
      <c r="G32" s="13"/>
      <c r="H32" s="13"/>
      <c r="I32" s="15">
        <f>iferror(vlookup(A32,'Inst Lending numbers'!A:D,4,false)," ")</f>
        <v>0</v>
      </c>
      <c r="J32" s="13"/>
      <c r="K32" s="13">
        <v>0.0</v>
      </c>
      <c r="L32" s="13">
        <v>0.0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tr">
        <f>iferror(sumif('Weekly Rates'!D:D,A32,'Weekly Rates'!F:F)/countif('Weekly Rates'!D:D,A32))</f>
        <v/>
      </c>
      <c r="AE32" s="13"/>
      <c r="AF32" s="13"/>
      <c r="AG32" s="13"/>
      <c r="AH32" s="13"/>
      <c r="AI32" s="13"/>
      <c r="AJ32" s="13"/>
      <c r="AK32" s="13"/>
      <c r="AL32" s="13" t="str">
        <f>iferror(VLOOKUP($A32,EAM!A$2:E$14,2,FALSE))</f>
        <v/>
      </c>
      <c r="AM32" s="13"/>
      <c r="AN32" s="13">
        <f>sumif('Weekly Rates'!A:A,A32,'Weekly Rates'!B:B)</f>
        <v>0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</row>
    <row r="33" ht="15.75" customHeight="1">
      <c r="A33" s="11" t="s">
        <v>189</v>
      </c>
      <c r="B33" s="13"/>
      <c r="C33" s="13"/>
      <c r="D33" s="13"/>
      <c r="E33" s="13"/>
      <c r="F33" s="13"/>
      <c r="G33" s="13"/>
      <c r="H33" s="13"/>
      <c r="I33" s="15">
        <f>iferror(vlookup(A33,'Inst Lending numbers'!A:D,4,false)," ")</f>
        <v>0.0704</v>
      </c>
      <c r="J33" s="13"/>
      <c r="K33" s="13">
        <v>0.031</v>
      </c>
      <c r="L33" s="13">
        <v>0.0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C33" s="13"/>
      <c r="AD33" s="13" t="str">
        <f>iferror(sumif('Weekly Rates'!D:D,A33,'Weekly Rates'!F:F)/countif('Weekly Rates'!D:D,A33))</f>
        <v/>
      </c>
      <c r="AE33" s="13"/>
      <c r="AF33" s="13"/>
      <c r="AG33" s="13"/>
      <c r="AH33" s="13"/>
      <c r="AI33" s="13"/>
      <c r="AJ33" s="13"/>
      <c r="AK33" s="13"/>
      <c r="AL33" s="13" t="str">
        <f>iferror(VLOOKUP($A33,EAM!A$2:E$14,2,FALSE))</f>
        <v/>
      </c>
      <c r="AM33" s="13"/>
      <c r="AN33" s="13">
        <f>sumif('Weekly Rates'!A:A,A33,'Weekly Rates'!B:B)</f>
        <v>0.2426</v>
      </c>
      <c r="AO33" s="13"/>
      <c r="AP33" s="13"/>
      <c r="AQ33" s="13"/>
      <c r="AR33" s="13"/>
      <c r="AS33" s="13"/>
      <c r="AT33" s="13"/>
      <c r="AU33" s="13"/>
      <c r="AV33" s="13"/>
      <c r="AW33" s="13">
        <v>0.0313</v>
      </c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</row>
    <row r="34" ht="15.75" customHeight="1">
      <c r="A34" s="7" t="s">
        <v>190</v>
      </c>
      <c r="B34" s="13"/>
      <c r="C34" s="13"/>
      <c r="D34" s="13"/>
      <c r="E34" s="13"/>
      <c r="F34" s="13"/>
      <c r="G34" s="13"/>
      <c r="H34" s="13"/>
      <c r="I34" s="15"/>
      <c r="J34" s="13"/>
      <c r="K34" s="13">
        <v>0.0</v>
      </c>
      <c r="L34" s="13">
        <v>0.0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 t="str">
        <f>iferror(sumif('Weekly Rates'!D:D,A34,'Weekly Rates'!F:F)/countif('Weekly Rates'!D:D,A34))</f>
        <v/>
      </c>
      <c r="AE34" s="13"/>
      <c r="AF34" s="13"/>
      <c r="AG34" s="13"/>
      <c r="AH34" s="13"/>
      <c r="AI34" s="13"/>
      <c r="AJ34" s="13"/>
      <c r="AK34" s="13"/>
      <c r="AL34" s="13" t="str">
        <f>iferror(VLOOKUP($A34,EAM!A$2:E$14,2,FALSE))</f>
        <v/>
      </c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</row>
    <row r="35" ht="15.75" customHeight="1">
      <c r="A35" s="11" t="s">
        <v>191</v>
      </c>
      <c r="B35" s="13"/>
      <c r="C35" s="13"/>
      <c r="D35" s="13"/>
      <c r="E35" s="13"/>
      <c r="F35" s="13"/>
      <c r="G35" s="13"/>
      <c r="H35" s="13"/>
      <c r="I35" s="15">
        <f>iferror(vlookup(A35,'Inst Lending numbers'!A:D,4,false)," ")</f>
        <v>0.1264</v>
      </c>
      <c r="J35" s="13"/>
      <c r="K35" s="13">
        <v>0.0</v>
      </c>
      <c r="L35" s="13">
        <v>0.0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 t="str">
        <f>iferror(sumif('Weekly Rates'!D:D,A35,'Weekly Rates'!F:F)/countif('Weekly Rates'!D:D,A35))</f>
        <v/>
      </c>
      <c r="AE35" s="13"/>
      <c r="AF35" s="13"/>
      <c r="AG35" s="13"/>
      <c r="AH35" s="13"/>
      <c r="AI35" s="13"/>
      <c r="AJ35" s="13"/>
      <c r="AK35" s="13"/>
      <c r="AL35" s="13" t="str">
        <f>iferror(VLOOKUP($A35,EAM!A$2:E$14,2,FALSE))</f>
        <v/>
      </c>
      <c r="AM35" s="13"/>
      <c r="AN35" s="13">
        <f>sumif('Weekly Rates'!A:A,A35,'Weekly Rates'!B:B)</f>
        <v>0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>
        <f>IFERROR(__xludf.DUMMYFUNCTION("importrange(""https://docs.google.com/spreadsheets/d/1sEJbnmLMGxlqg2Slrotvc3YAgqP9DQwYm8VpUh_GslY/edit#gid=0"",""Sheet1!C62"")"),0.0982)</f>
        <v>0.0982</v>
      </c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</row>
    <row r="36" ht="15.75" customHeight="1">
      <c r="A36" s="11" t="s">
        <v>192</v>
      </c>
      <c r="B36" s="13"/>
      <c r="C36" s="13"/>
      <c r="D36" s="13"/>
      <c r="E36" s="13"/>
      <c r="F36" s="13"/>
      <c r="G36" s="13"/>
      <c r="H36" s="13"/>
      <c r="I36" s="15" t="str">
        <f>iferror(vlookup(A36,'Inst Lending numbers'!A:D,4,false)," ")</f>
        <v> </v>
      </c>
      <c r="J36" s="13"/>
      <c r="K36" s="13">
        <v>0.0</v>
      </c>
      <c r="L36" s="13">
        <v>0.0</v>
      </c>
      <c r="M36" s="13"/>
      <c r="N36" s="13"/>
      <c r="O36" s="7" t="s">
        <v>193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 t="str">
        <f>iferror(sumif('Weekly Rates'!D:D,A36,'Weekly Rates'!F:F)/countif('Weekly Rates'!D:D,A36))</f>
        <v/>
      </c>
      <c r="AE36" s="13"/>
      <c r="AF36" s="13"/>
      <c r="AG36" s="13"/>
      <c r="AH36" s="13"/>
      <c r="AI36" s="13"/>
      <c r="AJ36" s="13"/>
      <c r="AK36" s="13"/>
      <c r="AL36" s="13" t="str">
        <f>iferror(VLOOKUP($A36,EAM!A$2:E$14,2,FALSE))</f>
        <v/>
      </c>
      <c r="AM36" s="13"/>
      <c r="AN36" s="13">
        <f>sumif('Weekly Rates'!A:A,A36,'Weekly Rates'!B:B)</f>
        <v>0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</row>
    <row r="37" ht="15.75" customHeight="1">
      <c r="A37" s="11" t="s">
        <v>194</v>
      </c>
      <c r="B37" s="13"/>
      <c r="C37" s="13"/>
      <c r="D37" s="13"/>
      <c r="E37" s="13"/>
      <c r="F37" s="13"/>
      <c r="G37" s="13"/>
      <c r="H37" s="13"/>
      <c r="I37" s="15">
        <f>iferror(vlookup(A37,'Inst Lending numbers'!A:D,4,false)," ")</f>
        <v>0.0425</v>
      </c>
      <c r="J37" s="13"/>
      <c r="K37" s="13">
        <v>0.0</v>
      </c>
      <c r="L37" s="13">
        <v>0.0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 t="str">
        <f>iferror(sumif('Weekly Rates'!D:D,A37,'Weekly Rates'!F:F)/countif('Weekly Rates'!D:D,A37))</f>
        <v/>
      </c>
      <c r="AE37" s="13"/>
      <c r="AF37" s="13"/>
      <c r="AG37" s="13"/>
      <c r="AH37" s="13"/>
      <c r="AI37" s="13"/>
      <c r="AJ37" s="13">
        <v>0.02</v>
      </c>
      <c r="AK37" s="13"/>
      <c r="AL37" s="13" t="str">
        <f>iferror(VLOOKUP($A37,EAM!A$2:E$14,2,FALSE))</f>
        <v/>
      </c>
      <c r="AM37" s="13"/>
      <c r="AN37" s="13">
        <f>sumif('Weekly Rates'!A:A,A37,'Weekly Rates'!B:B)</f>
        <v>0.0635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ht="15.75" customHeight="1">
      <c r="A38" s="11" t="s">
        <v>195</v>
      </c>
      <c r="B38" s="13"/>
      <c r="C38" s="13"/>
      <c r="D38" s="13"/>
      <c r="E38" s="13"/>
      <c r="F38" s="13"/>
      <c r="G38" s="13"/>
      <c r="H38" s="13"/>
      <c r="I38" s="15" t="str">
        <f>iferror(vlookup(A38,'Inst Lending numbers'!A:D,4,false)," ")</f>
        <v> </v>
      </c>
      <c r="J38" s="13"/>
      <c r="K38" s="13">
        <v>0.0</v>
      </c>
      <c r="L38" s="13">
        <v>0.0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 t="str">
        <f>iferror(sumif('Weekly Rates'!D:D,A38,'Weekly Rates'!F:F)/countif('Weekly Rates'!D:D,A38))</f>
        <v/>
      </c>
      <c r="AE38" s="13"/>
      <c r="AF38" s="13"/>
      <c r="AG38" s="13"/>
      <c r="AH38" s="13"/>
      <c r="AI38" s="13"/>
      <c r="AJ38" s="13"/>
      <c r="AK38" s="13"/>
      <c r="AL38" s="13" t="str">
        <f>iferror(VLOOKUP($A38,EAM!A$2:E$14,2,FALSE))</f>
        <v/>
      </c>
      <c r="AM38" s="13"/>
      <c r="AN38" s="13">
        <f>sumif('Weekly Rates'!A:A,A38,'Weekly Rates'!B:B)</f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>
        <v>0.05</v>
      </c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</row>
    <row r="39" ht="15.75" customHeight="1">
      <c r="A39" s="11" t="s">
        <v>196</v>
      </c>
      <c r="B39" s="13"/>
      <c r="C39" s="13"/>
      <c r="D39" s="13"/>
      <c r="E39" s="13"/>
      <c r="F39" s="13"/>
      <c r="G39" s="13"/>
      <c r="H39" s="13"/>
      <c r="I39" s="15">
        <f>iferror(vlookup(A39,'Inst Lending numbers'!A:D,4,false)," ")</f>
        <v>0.0904</v>
      </c>
      <c r="J39" s="13"/>
      <c r="K39" s="13">
        <v>0.0</v>
      </c>
      <c r="L39" s="13">
        <v>0.0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 t="str">
        <f>iferror(sumif('Weekly Rates'!D:D,A39,'Weekly Rates'!F:F)/countif('Weekly Rates'!D:D,A39))</f>
        <v/>
      </c>
      <c r="AE39" s="13"/>
      <c r="AF39" s="13"/>
      <c r="AG39" s="13"/>
      <c r="AH39" s="13">
        <v>0.1</v>
      </c>
      <c r="AI39" s="13">
        <v>0.12</v>
      </c>
      <c r="AJ39" s="13">
        <v>0.14</v>
      </c>
      <c r="AK39" s="13"/>
      <c r="AL39" s="13" t="str">
        <f>iferror(VLOOKUP($A39,EAM!A$2:E$14,2,FALSE))</f>
        <v/>
      </c>
      <c r="AM39" s="13"/>
      <c r="AN39" s="13">
        <f>sumif('Weekly Rates'!A:A,A39,'Weekly Rates'!B:B)</f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ht="15.75" customHeight="1">
      <c r="A40" s="7" t="s">
        <v>197</v>
      </c>
      <c r="B40" s="13">
        <v>0.0</v>
      </c>
      <c r="C40" s="13"/>
      <c r="D40" s="13"/>
      <c r="E40" s="13"/>
      <c r="F40" s="13"/>
      <c r="G40" s="13"/>
      <c r="H40" s="13"/>
      <c r="I40" s="13">
        <v>0.0</v>
      </c>
      <c r="J40" s="13"/>
      <c r="K40" s="13">
        <v>0.0</v>
      </c>
      <c r="L40" s="13">
        <v>0.0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 t="str">
        <f>iferror(sumif('Weekly Rates'!D:D,A40,'Weekly Rates'!F:F)/countif('Weekly Rates'!D:D,A40))</f>
        <v/>
      </c>
      <c r="AE40" s="13"/>
      <c r="AF40" s="13"/>
      <c r="AG40" s="13"/>
      <c r="AH40" s="13"/>
      <c r="AI40" s="13"/>
      <c r="AJ40" s="13"/>
      <c r="AK40" s="13"/>
      <c r="AL40" s="13"/>
      <c r="AM40" s="13"/>
      <c r="AN40" s="13">
        <v>0.0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</row>
    <row r="41" ht="15.75" customHeight="1">
      <c r="A41" s="11" t="s">
        <v>198</v>
      </c>
      <c r="B41" s="13"/>
      <c r="C41" s="13"/>
      <c r="D41" s="13"/>
      <c r="E41" s="13"/>
      <c r="F41" s="13"/>
      <c r="G41" s="13"/>
      <c r="H41" s="13"/>
      <c r="I41" s="15">
        <f>iferror(vlookup(A41,'Inst Lending numbers'!A:D,4,false)," ")</f>
        <v>0.0643</v>
      </c>
      <c r="J41" s="13"/>
      <c r="K41" s="13">
        <v>0.0</v>
      </c>
      <c r="L41" s="13">
        <v>0.0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 t="str">
        <f>iferror(sumif('Weekly Rates'!D:D,A41,'Weekly Rates'!F:F)/countif('Weekly Rates'!D:D,A41))</f>
        <v/>
      </c>
      <c r="AE41" s="13"/>
      <c r="AF41" s="13"/>
      <c r="AG41" s="13"/>
      <c r="AH41" s="13"/>
      <c r="AI41" s="13"/>
      <c r="AJ41" s="13"/>
      <c r="AK41" s="13"/>
      <c r="AL41" s="13" t="str">
        <f>iferror(VLOOKUP($A41,EAM!A$2:E$14,2,FALSE))</f>
        <v/>
      </c>
      <c r="AM41" s="13"/>
      <c r="AN41" s="13">
        <f>sumif('Weekly Rates'!A:A,A41,'Weekly Rates'!B:B)</f>
        <v>0.0662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ht="15.75" customHeight="1">
      <c r="A42" s="11" t="s">
        <v>199</v>
      </c>
      <c r="B42" s="13"/>
      <c r="C42" s="13"/>
      <c r="D42" s="13"/>
      <c r="E42" s="13"/>
      <c r="F42" s="13"/>
      <c r="G42" s="13"/>
      <c r="H42" s="13"/>
      <c r="I42" s="15">
        <f>iferror(vlookup(A42,'Inst Lending numbers'!A:D,4,false)," ")</f>
        <v>0.05</v>
      </c>
      <c r="J42" s="13"/>
      <c r="K42" s="13">
        <v>0.0</v>
      </c>
      <c r="L42" s="13">
        <v>0.0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 t="str">
        <f>iferror(sumif('Weekly Rates'!D:D,A42,'Weekly Rates'!F:F)/countif('Weekly Rates'!D:D,A42))</f>
        <v/>
      </c>
      <c r="AE42" s="13"/>
      <c r="AF42" s="13"/>
      <c r="AG42" s="13"/>
      <c r="AH42" s="13"/>
      <c r="AI42" s="13"/>
      <c r="AJ42" s="13"/>
      <c r="AK42" s="13"/>
      <c r="AL42" s="13" t="str">
        <f>iferror(VLOOKUP($A42,EAM!A$2:E$14,2,FALSE))</f>
        <v/>
      </c>
      <c r="AM42" s="13"/>
      <c r="AN42" s="13">
        <f>sumif('Weekly Rates'!A:A,A42,'Weekly Rates'!B:B)</f>
        <v>0.0236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ht="15.75" customHeight="1">
      <c r="A43" s="11" t="s">
        <v>200</v>
      </c>
      <c r="B43" s="13"/>
      <c r="C43" s="13"/>
      <c r="D43" s="13"/>
      <c r="E43" s="13"/>
      <c r="F43" s="13"/>
      <c r="G43" s="13"/>
      <c r="H43" s="13"/>
      <c r="I43" s="15">
        <f>iferror(vlookup(A43,'Inst Lending numbers'!A:D,4,false)," ")</f>
        <v>0.0355</v>
      </c>
      <c r="J43" s="13"/>
      <c r="K43" s="13">
        <v>0.003</v>
      </c>
      <c r="L43" s="13">
        <v>0.0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>
        <f>iferror(sumif('Weekly Rates'!D:D,A43,'Weekly Rates'!F:F)/countif('Weekly Rates'!D:D,A43))</f>
        <v>0.0103222</v>
      </c>
      <c r="AE43" s="13"/>
      <c r="AF43" s="13">
        <v>0.0</v>
      </c>
      <c r="AG43" s="13"/>
      <c r="AH43" s="13">
        <v>0.04</v>
      </c>
      <c r="AI43" s="13"/>
      <c r="AJ43" s="13">
        <v>0.047</v>
      </c>
      <c r="AK43" s="13"/>
      <c r="AL43" s="13">
        <f>iferror(VLOOKUP($A43,EAM!A$2:E$14,2,FALSE))</f>
        <v>0.05557489884</v>
      </c>
      <c r="AM43" s="13"/>
      <c r="AN43" s="13">
        <f>sumif('Weekly Rates'!A:A,A43,'Weekly Rates'!B:B)</f>
        <v>0.131</v>
      </c>
      <c r="AO43" s="13"/>
      <c r="AP43" s="13"/>
      <c r="AQ43" s="13"/>
      <c r="AR43" s="13"/>
      <c r="AS43" s="13"/>
      <c r="AT43" s="13"/>
      <c r="AU43" s="13"/>
      <c r="AV43" s="13"/>
      <c r="AW43" s="13">
        <v>0.0043</v>
      </c>
      <c r="AX43" s="13"/>
      <c r="AY43" s="13"/>
      <c r="AZ43" s="13"/>
      <c r="BA43" s="13">
        <f t="array" ref="BA43">iferror(INDEX('Import from defimon'!$1:$100,MATCH(BA$1,'Import from defimon'!$A:$A,0),MATCH($A43,'Import from defimon'!$1:$1,0)))</f>
        <v>0.014</v>
      </c>
      <c r="BB43" s="13">
        <v>0.0426</v>
      </c>
      <c r="BC43" s="13">
        <f t="array" ref="BC43">iferror(INDEX('Import from defimon'!$1:$100,MATCH(BC$1,'Import from defimon'!$A:$A,0),MATCH($A43,'Import from defimon'!$1:$1,0)))</f>
        <v>0.0487</v>
      </c>
      <c r="BD43" s="13"/>
      <c r="BE43" s="13"/>
      <c r="BF43" s="13"/>
      <c r="BG43" s="13">
        <v>0.0427</v>
      </c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>
        <f>IFERROR(__xludf.DUMMYFUNCTION("importrange(""https://docs.google.com/spreadsheets/d/1sEJbnmLMGxlqg2Slrotvc3YAgqP9DQwYm8VpUh_GslY/edit#gid=0"",""Sheet1!C14"")"),0.0257)</f>
        <v>0.0257</v>
      </c>
      <c r="CB43" s="13"/>
      <c r="CC43" s="13">
        <f>IFERROR(__xludf.DUMMYFUNCTION("importrange(""https://docs.google.com/spreadsheets/d/1sEJbnmLMGxlqg2Slrotvc3YAgqP9DQwYm8VpUh_GslY/edit#gid=0"",""Sheet1!C15"")"),0.0495)</f>
        <v>0.0495</v>
      </c>
      <c r="CD43" s="13"/>
      <c r="CE43" s="13">
        <f>IFERROR(__xludf.DUMMYFUNCTION("importrange(""https://docs.google.com/spreadsheets/d/1sEJbnmLMGxlqg2Slrotvc3YAgqP9DQwYm8VpUh_GslY/edit#gid=0"",""Sheet1!C23"")"),0.0091)</f>
        <v>0.0091</v>
      </c>
      <c r="CF43" s="13">
        <f>IFERROR(__xludf.DUMMYFUNCTION("importrange(""https://docs.google.com/spreadsheets/d/1sEJbnmLMGxlqg2Slrotvc3YAgqP9DQwYm8VpUh_GslY/edit#gid=0"",""Sheet1!C25"")"),0.0673)</f>
        <v>0.0673</v>
      </c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>
        <f t="array" ref="CQ43">iferror(INDEX('Import from defimon'!$1:$100,MATCH(CQ$1,'Import from defimon'!$A:$A,0),MATCH($A43,'Import from defimon'!$1:$1,0)))</f>
        <v>0.0273</v>
      </c>
      <c r="CR43" s="13">
        <f>IFERROR(__xludf.DUMMYFUNCTION("importrange(""https://docs.google.com/spreadsheets/d/1sEJbnmLMGxlqg2Slrotvc3YAgqP9DQwYm8VpUh_GslY/edit#gid=0"",""Sheet1!C32"")"),0.0108)</f>
        <v>0.0108</v>
      </c>
      <c r="CS43" s="13"/>
      <c r="CT43" s="13"/>
      <c r="CU43" s="13"/>
      <c r="CV43" s="13"/>
      <c r="CW43" s="13"/>
      <c r="CX43" s="13"/>
      <c r="CY43" s="13">
        <v>0.1682</v>
      </c>
      <c r="CZ43" s="13"/>
      <c r="DA43" s="13"/>
      <c r="DB43" s="13"/>
      <c r="DC43" s="13"/>
      <c r="DD43" s="13"/>
      <c r="DE43" s="13"/>
      <c r="DF43" s="13"/>
      <c r="DG43" s="13"/>
      <c r="DH43" s="13"/>
      <c r="DI43" s="13">
        <v>0.0176</v>
      </c>
      <c r="DJ43" s="13"/>
      <c r="DK43" s="13"/>
      <c r="DL43" s="13"/>
      <c r="DM43" s="14">
        <f>IFERROR(__xludf.DUMMYFUNCTION("importrange(""https://docs.google.com/spreadsheets/d/1sEJbnmLMGxlqg2Slrotvc3YAgqP9DQwYm8VpUh_GslY/edit#gid=0"",""Sheet1!C46"")"),0.1053)</f>
        <v>0.1053</v>
      </c>
      <c r="DN43" s="13"/>
      <c r="DO43" s="13"/>
      <c r="DP43" s="13"/>
      <c r="DQ43" s="13"/>
      <c r="DR43" s="13"/>
      <c r="DS43" s="13"/>
      <c r="DT43" s="13"/>
      <c r="DU43" s="13">
        <v>0.1682</v>
      </c>
      <c r="DV43" s="13"/>
      <c r="DW43" s="13"/>
      <c r="DX43" s="13"/>
      <c r="DY43" s="13">
        <v>0.01</v>
      </c>
      <c r="DZ43" s="13"/>
      <c r="EA43" s="13"/>
      <c r="EB43" s="13"/>
      <c r="EC43" s="13"/>
      <c r="ED43" s="13"/>
      <c r="EE43" s="13"/>
    </row>
    <row r="44" ht="15.75" customHeight="1">
      <c r="A44" s="11" t="s">
        <v>201</v>
      </c>
      <c r="B44" s="13"/>
      <c r="C44" s="13"/>
      <c r="D44" s="13"/>
      <c r="E44" s="13"/>
      <c r="F44" s="13"/>
      <c r="G44" s="13"/>
      <c r="H44" s="13"/>
      <c r="I44" s="15" t="str">
        <f>iferror(vlookup(A44,'Inst Lending numbers'!A:D,4,false)," ")</f>
        <v> </v>
      </c>
      <c r="J44" s="13"/>
      <c r="K44" s="13">
        <v>0.0</v>
      </c>
      <c r="L44" s="13">
        <v>0.0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 t="str">
        <f>iferror(sumif('Weekly Rates'!D:D,A44,'Weekly Rates'!F:F)/countif('Weekly Rates'!D:D,A44))</f>
        <v/>
      </c>
      <c r="AE44" s="13"/>
      <c r="AF44" s="13"/>
      <c r="AG44" s="13"/>
      <c r="AH44" s="13"/>
      <c r="AI44" s="13"/>
      <c r="AJ44" s="13"/>
      <c r="AK44" s="13"/>
      <c r="AL44" s="13" t="str">
        <f>iferror(VLOOKUP($A44,EAM!A$2:E$14,2,FALSE))</f>
        <v/>
      </c>
      <c r="AM44" s="13"/>
      <c r="AN44" s="13">
        <f>sumif('Weekly Rates'!A:A,A44,'Weekly Rates'!B:B)</f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ht="15.75" customHeight="1">
      <c r="A45" s="11" t="s">
        <v>202</v>
      </c>
      <c r="B45" s="13"/>
      <c r="C45" s="13"/>
      <c r="D45" s="13"/>
      <c r="E45" s="13"/>
      <c r="F45" s="13"/>
      <c r="G45" s="13"/>
      <c r="H45" s="13"/>
      <c r="I45" s="15" t="str">
        <f>iferror(vlookup(A45,'Inst Lending numbers'!A:D,4,false)," ")</f>
        <v> </v>
      </c>
      <c r="J45" s="13"/>
      <c r="K45" s="13">
        <v>0.0</v>
      </c>
      <c r="L45" s="13">
        <v>0.0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 t="str">
        <f>iferror(sumif('Weekly Rates'!D:D,A45,'Weekly Rates'!F:F)/countif('Weekly Rates'!D:D,A45))</f>
        <v/>
      </c>
      <c r="AE45" s="13"/>
      <c r="AF45" s="13"/>
      <c r="AG45" s="13"/>
      <c r="AH45" s="13"/>
      <c r="AI45" s="13"/>
      <c r="AJ45" s="13"/>
      <c r="AK45" s="13"/>
      <c r="AL45" s="13" t="str">
        <f>iferror(VLOOKUP($A45,EAM!A$2:E$14,2,FALSE))</f>
        <v/>
      </c>
      <c r="AM45" s="13"/>
      <c r="AN45" s="13">
        <f>sumif('Weekly Rates'!A:A,A45,'Weekly Rates'!B:B)</f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</row>
    <row r="46" ht="15.75" customHeight="1">
      <c r="A46" s="7" t="s">
        <v>203</v>
      </c>
      <c r="B46" s="13"/>
      <c r="C46" s="13"/>
      <c r="D46" s="13"/>
      <c r="E46" s="13"/>
      <c r="F46" s="13"/>
      <c r="G46" s="13"/>
      <c r="H46" s="13"/>
      <c r="I46" s="15"/>
      <c r="J46" s="13"/>
      <c r="K46" s="13">
        <v>0.0</v>
      </c>
      <c r="L46" s="13">
        <v>0.0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 t="str">
        <f>iferror(sumif('Weekly Rates'!D:D,A46,'Weekly Rates'!F:F)/countif('Weekly Rates'!D:D,A46))</f>
        <v/>
      </c>
      <c r="AE46" s="13"/>
      <c r="AF46" s="13"/>
      <c r="AG46" s="13"/>
      <c r="AH46" s="13"/>
      <c r="AI46" s="13"/>
      <c r="AJ46" s="13"/>
      <c r="AK46" s="13"/>
      <c r="AL46" s="13" t="str">
        <f>iferror(VLOOKUP($A46,EAM!A$2:E$14,2,FALSE))</f>
        <v/>
      </c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ht="15.75" customHeight="1">
      <c r="A47" s="11" t="s">
        <v>204</v>
      </c>
      <c r="B47" s="13"/>
      <c r="C47" s="13"/>
      <c r="D47" s="13"/>
      <c r="E47" s="13"/>
      <c r="F47" s="13"/>
      <c r="G47" s="13"/>
      <c r="H47" s="13"/>
      <c r="I47" s="15">
        <f>iferror(vlookup(A47,'Inst Lending numbers'!A:D,4,false)," ")</f>
        <v>0.0537</v>
      </c>
      <c r="J47" s="13"/>
      <c r="K47" s="13">
        <v>0.0</v>
      </c>
      <c r="L47" s="13">
        <v>0.0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0.025</v>
      </c>
      <c r="AC47" s="13"/>
      <c r="AD47" s="13" t="str">
        <f>iferror(sumif('Weekly Rates'!D:D,A47,'Weekly Rates'!F:F)/countif('Weekly Rates'!D:D,A47))</f>
        <v/>
      </c>
      <c r="AE47" s="13"/>
      <c r="AF47" s="13"/>
      <c r="AG47" s="13"/>
      <c r="AH47" s="13"/>
      <c r="AI47" s="13"/>
      <c r="AJ47" s="13"/>
      <c r="AK47" s="13"/>
      <c r="AL47" s="13" t="str">
        <f>iferror(VLOOKUP($A47,EAM!A$2:E$14,2,FALSE))</f>
        <v/>
      </c>
      <c r="AM47" s="13"/>
      <c r="AN47" s="13">
        <f>sumif('Weekly Rates'!A:A,A47,'Weekly Rates'!B:B)</f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ht="15.75" customHeight="1">
      <c r="A48" s="7" t="s">
        <v>205</v>
      </c>
      <c r="B48" s="13"/>
      <c r="C48" s="13"/>
      <c r="D48" s="13"/>
      <c r="E48" s="13"/>
      <c r="F48" s="13"/>
      <c r="G48" s="13"/>
      <c r="H48" s="13"/>
      <c r="I48" s="15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 t="str">
        <f>iferror(sumif('Weekly Rates'!D:D,A48,'Weekly Rates'!F:F)/countif('Weekly Rates'!D:D,A48))</f>
        <v/>
      </c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>
        <v>0.19</v>
      </c>
      <c r="EB48" s="13"/>
      <c r="EC48" s="13"/>
      <c r="ED48" s="13"/>
      <c r="EE48" s="13"/>
    </row>
    <row r="49" ht="15.75" customHeight="1">
      <c r="A49" s="11" t="s">
        <v>206</v>
      </c>
      <c r="B49" s="13"/>
      <c r="C49" s="13"/>
      <c r="D49" s="13"/>
      <c r="E49" s="13"/>
      <c r="F49" s="13"/>
      <c r="G49" s="13"/>
      <c r="H49" s="13"/>
      <c r="I49" s="15" t="str">
        <f>iferror(vlookup(A49,'Inst Lending numbers'!A:D,4,false)," ")</f>
        <v> </v>
      </c>
      <c r="J49" s="13"/>
      <c r="K49" s="13">
        <v>0.0</v>
      </c>
      <c r="L49" s="13">
        <v>0.0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 t="str">
        <f>iferror(sumif('Weekly Rates'!D:D,A49,'Weekly Rates'!F:F)/countif('Weekly Rates'!D:D,A49))</f>
        <v/>
      </c>
      <c r="AE49" s="13"/>
      <c r="AF49" s="13"/>
      <c r="AG49" s="13"/>
      <c r="AH49" s="13"/>
      <c r="AI49" s="13"/>
      <c r="AJ49" s="13"/>
      <c r="AK49" s="13"/>
      <c r="AL49" s="13" t="str">
        <f>iferror(VLOOKUP($A49,EAM!A$2:E$14,2,FALSE))</f>
        <v/>
      </c>
      <c r="AM49" s="13"/>
      <c r="AN49" s="13">
        <f>sumif('Weekly Rates'!A:A,A49,'Weekly Rates'!B:B)</f>
        <v>0</v>
      </c>
      <c r="AO49" s="13"/>
      <c r="AP49" s="13"/>
      <c r="AQ49" s="13"/>
      <c r="AR49" s="13"/>
      <c r="AS49" s="13"/>
      <c r="AT49" s="13"/>
      <c r="AU49" s="13"/>
      <c r="AV49" s="13"/>
      <c r="AW49" s="13">
        <v>0.0405</v>
      </c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</row>
    <row r="50" ht="15.75" customHeight="1">
      <c r="A50" s="11" t="s">
        <v>207</v>
      </c>
      <c r="B50" s="13"/>
      <c r="C50" s="13"/>
      <c r="D50" s="13"/>
      <c r="E50" s="13"/>
      <c r="F50" s="13"/>
      <c r="G50" s="13"/>
      <c r="H50" s="13"/>
      <c r="I50" s="15">
        <f>iferror(vlookup(A50,'Inst Lending numbers'!A:D,4,false)," ")</f>
        <v>0.0686</v>
      </c>
      <c r="J50" s="13"/>
      <c r="K50" s="13">
        <v>0.0</v>
      </c>
      <c r="L50" s="13">
        <v>0.0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>
        <f>iferror(sumif('Weekly Rates'!D:D,A50,'Weekly Rates'!F:F)/countif('Weekly Rates'!D:D,A50))</f>
        <v>0.0120012</v>
      </c>
      <c r="AE50" s="13"/>
      <c r="AF50" s="13"/>
      <c r="AG50" s="13"/>
      <c r="AH50" s="13"/>
      <c r="AI50" s="13"/>
      <c r="AJ50" s="13"/>
      <c r="AK50" s="13"/>
      <c r="AL50" s="13" t="str">
        <f>iferror(VLOOKUP($A50,EAM!A$2:E$14,2,FALSE))</f>
        <v/>
      </c>
      <c r="AM50" s="13"/>
      <c r="AN50" s="13">
        <f>sumif('Weekly Rates'!A:A,A50,'Weekly Rates'!B:B)</f>
        <v>0</v>
      </c>
      <c r="AO50" s="13"/>
      <c r="AP50" s="13"/>
      <c r="AQ50" s="13"/>
      <c r="AR50" s="13"/>
      <c r="AS50" s="13"/>
      <c r="AT50" s="13"/>
      <c r="AU50" s="13"/>
      <c r="AV50" s="13"/>
      <c r="AW50" s="13">
        <v>0.0125</v>
      </c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ht="15.75" customHeight="1">
      <c r="A51" s="11" t="s">
        <v>208</v>
      </c>
      <c r="B51" s="13"/>
      <c r="C51" s="13"/>
      <c r="D51" s="13"/>
      <c r="E51" s="13"/>
      <c r="F51" s="13"/>
      <c r="G51" s="13"/>
      <c r="H51" s="13"/>
      <c r="I51" s="15" t="str">
        <f>iferror(vlookup(A51,'Inst Lending numbers'!A:D,4,false)," ")</f>
        <v> </v>
      </c>
      <c r="J51" s="13"/>
      <c r="K51" s="13">
        <v>0.0</v>
      </c>
      <c r="L51" s="13">
        <v>0.0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 t="str">
        <f>iferror(sumif('Weekly Rates'!D:D,A51,'Weekly Rates'!F:F)/countif('Weekly Rates'!D:D,A51))</f>
        <v/>
      </c>
      <c r="AE51" s="13"/>
      <c r="AF51" s="13"/>
      <c r="AG51" s="13"/>
      <c r="AH51" s="13"/>
      <c r="AI51" s="13"/>
      <c r="AJ51" s="13"/>
      <c r="AK51" s="13"/>
      <c r="AL51" s="13" t="str">
        <f>iferror(VLOOKUP($A51,EAM!A$2:E$14,2,FALSE))</f>
        <v/>
      </c>
      <c r="AM51" s="13"/>
      <c r="AN51" s="13">
        <f>sumif('Weekly Rates'!A:A,A51,'Weekly Rates'!B:B)</f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ht="15.75" customHeight="1">
      <c r="A52" s="11" t="s">
        <v>209</v>
      </c>
      <c r="B52" s="13"/>
      <c r="C52" s="13"/>
      <c r="D52" s="13"/>
      <c r="E52" s="13"/>
      <c r="F52" s="13"/>
      <c r="G52" s="13"/>
      <c r="H52" s="13"/>
      <c r="I52" s="15">
        <f>iferror(vlookup(A52,'Inst Lending numbers'!A:D,4,false)," ")</f>
        <v>0.0541</v>
      </c>
      <c r="J52" s="13"/>
      <c r="K52" s="13">
        <v>0.0143</v>
      </c>
      <c r="L52" s="13">
        <v>0.0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 t="str">
        <f>iferror(sumif('Weekly Rates'!D:D,A52,'Weekly Rates'!F:F)/countif('Weekly Rates'!D:D,A52))</f>
        <v/>
      </c>
      <c r="AE52" s="13"/>
      <c r="AF52" s="13"/>
      <c r="AG52" s="13"/>
      <c r="AH52" s="13"/>
      <c r="AI52" s="13"/>
      <c r="AJ52" s="13"/>
      <c r="AK52" s="13"/>
      <c r="AL52" s="13">
        <f>iferror(VLOOKUP($A52,EAM!A$2:E$14,2,FALSE))</f>
        <v>0.1175948461</v>
      </c>
      <c r="AM52" s="13"/>
      <c r="AN52" s="13">
        <f>sumif('Weekly Rates'!A:A,A52,'Weekly Rates'!B:B)</f>
        <v>0.0555</v>
      </c>
      <c r="AO52" s="13"/>
      <c r="AP52" s="13"/>
      <c r="AQ52" s="13"/>
      <c r="AR52" s="13"/>
      <c r="AS52" s="13"/>
      <c r="AT52" s="13"/>
      <c r="AU52" s="13"/>
      <c r="AV52" s="13"/>
      <c r="AW52" s="13">
        <v>0.0216</v>
      </c>
      <c r="AX52" s="13"/>
      <c r="AY52" s="13"/>
      <c r="AZ52" s="13"/>
      <c r="BA52" s="13">
        <f t="array" ref="BA52">iferror(INDEX('Import from defimon'!$1:$100,MATCH(BA$1,'Import from defimon'!$A:$A,0),MATCH($A52,'Import from defimon'!$1:$1,0)))</f>
        <v>0.002</v>
      </c>
      <c r="BB52" s="13">
        <v>0.0013</v>
      </c>
      <c r="BC52" s="13">
        <f t="array" ref="BC52">iferror(INDEX('Import from defimon'!$1:$100,MATCH(BC$1,'Import from defimon'!$A:$A,0),MATCH($A52,'Import from defimon'!$1:$1,0)))</f>
        <v>0.1287</v>
      </c>
      <c r="BD52" s="13"/>
      <c r="BE52" s="13"/>
      <c r="BF52" s="13"/>
      <c r="BG52" s="13">
        <v>0.08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>
        <f>IFERROR(__xludf.DUMMYFUNCTION("importrange(""https://docs.google.com/spreadsheets/d/1sEJbnmLMGxlqg2Slrotvc3YAgqP9DQwYm8VpUh_GslY/edit#gid=0"",""Sheet1!C24"")"),0.0063)</f>
        <v>0.0063</v>
      </c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>
        <f>IFERROR(__xludf.DUMMYFUNCTION("importrange(""https://docs.google.com/spreadsheets/d/1sEJbnmLMGxlqg2Slrotvc3YAgqP9DQwYm8VpUh_GslY/edit#gid=0"",""Sheet1!C33"")"),0.0343)</f>
        <v>0.0343</v>
      </c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4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>
        <f>IFERROR(__xludf.DUMMYFUNCTION("importrange(""https://docs.google.com/spreadsheets/d/1sEJbnmLMGxlqg2Slrotvc3YAgqP9DQwYm8VpUh_GslY/edit#gid=0"",""Sheet1!C57"")"),0.0075)</f>
        <v>0.0075</v>
      </c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ht="15.75" customHeight="1">
      <c r="A53" s="11" t="s">
        <v>210</v>
      </c>
      <c r="B53" s="13"/>
      <c r="C53" s="13"/>
      <c r="D53" s="13"/>
      <c r="E53" s="13"/>
      <c r="F53" s="13"/>
      <c r="G53" s="13"/>
      <c r="H53" s="13"/>
      <c r="I53" s="15" t="str">
        <f>iferror(vlookup(A53,'Inst Lending numbers'!A:D,4,false)," ")</f>
        <v> </v>
      </c>
      <c r="J53" s="13"/>
      <c r="K53" s="13">
        <v>0.0</v>
      </c>
      <c r="L53" s="13">
        <v>0.0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 t="str">
        <f>iferror(sumif('Weekly Rates'!D:D,A53,'Weekly Rates'!F:F)/countif('Weekly Rates'!D:D,A53))</f>
        <v/>
      </c>
      <c r="AE53" s="13"/>
      <c r="AF53" s="13"/>
      <c r="AG53" s="13"/>
      <c r="AH53" s="13"/>
      <c r="AI53" s="13"/>
      <c r="AJ53" s="13"/>
      <c r="AK53" s="13"/>
      <c r="AL53" s="13" t="str">
        <f>iferror(VLOOKUP($A53,EAM!A$2:E$14,2,FALSE))</f>
        <v/>
      </c>
      <c r="AM53" s="13"/>
      <c r="AN53" s="13">
        <f>sumif('Weekly Rates'!A:A,A53,'Weekly Rates'!B:B)</f>
        <v>0</v>
      </c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>
        <v>0.0</v>
      </c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ht="15.75" customHeight="1">
      <c r="A54" s="11" t="s">
        <v>211</v>
      </c>
      <c r="B54" s="13"/>
      <c r="C54" s="13"/>
      <c r="D54" s="13"/>
      <c r="E54" s="13"/>
      <c r="F54" s="13"/>
      <c r="G54" s="13"/>
      <c r="H54" s="13"/>
      <c r="I54" s="15" t="str">
        <f>iferror(vlookup(A54,'Inst Lending numbers'!A:D,4,false)," ")</f>
        <v> </v>
      </c>
      <c r="J54" s="13"/>
      <c r="K54" s="13">
        <v>0.0</v>
      </c>
      <c r="L54" s="13">
        <v>0.0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 t="str">
        <f>iferror(sumif('Weekly Rates'!D:D,A54,'Weekly Rates'!F:F)/countif('Weekly Rates'!D:D,A54))</f>
        <v/>
      </c>
      <c r="AE54" s="13"/>
      <c r="AF54" s="13"/>
      <c r="AG54" s="13"/>
      <c r="AH54" s="13"/>
      <c r="AI54" s="13"/>
      <c r="AJ54" s="13"/>
      <c r="AK54" s="13"/>
      <c r="AL54" s="13" t="str">
        <f>iferror(VLOOKUP($A54,EAM!A$2:E$14,2,FALSE))</f>
        <v/>
      </c>
      <c r="AM54" s="13"/>
      <c r="AN54" s="13">
        <f>sumif('Weekly Rates'!A:A,A54,'Weekly Rates'!B:B)</f>
        <v>0</v>
      </c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>
        <v>0.0</v>
      </c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ht="15.75" customHeight="1">
      <c r="A55" s="7" t="s">
        <v>212</v>
      </c>
      <c r="K55" s="13">
        <v>0.0</v>
      </c>
      <c r="L55" s="13">
        <v>0.0</v>
      </c>
      <c r="S55" s="13"/>
      <c r="AD55" s="13" t="str">
        <f>iferror(sumif('Weekly Rates'!D:D,A55,'Weekly Rates'!F:F)/countif('Weekly Rates'!D:D,A55))</f>
        <v/>
      </c>
      <c r="AL55" s="13" t="str">
        <f>iferror(VLOOKUP($A55,EAM!H$2:I$14,2,FALSE))</f>
        <v/>
      </c>
      <c r="AN55" s="13">
        <f>sumif('Weekly Rates'!A:A,A55,'Weekly Rates'!B:B)</f>
        <v>0</v>
      </c>
      <c r="AP55" s="13"/>
      <c r="AQ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>
        <v>0.0</v>
      </c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ht="15.75" customHeight="1">
      <c r="A56" s="11" t="s">
        <v>213</v>
      </c>
      <c r="B56" s="13"/>
      <c r="C56" s="13"/>
      <c r="D56" s="13"/>
      <c r="E56" s="13"/>
      <c r="F56" s="13"/>
      <c r="G56" s="13"/>
      <c r="H56" s="13"/>
      <c r="I56" s="15">
        <f>iferror(vlookup(A56,'Inst Lending numbers'!A:D,4,false)," ")</f>
        <v>0.0509</v>
      </c>
      <c r="J56" s="13"/>
      <c r="K56" s="13">
        <v>0.0</v>
      </c>
      <c r="L56" s="13">
        <v>0.0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>
        <f>iferror(sumif('Weekly Rates'!D:D,A56,'Weekly Rates'!F:F)/countif('Weekly Rates'!D:D,A56))</f>
        <v>0.09742215</v>
      </c>
      <c r="AE56" s="13"/>
      <c r="AF56" s="13"/>
      <c r="AG56" s="13"/>
      <c r="AH56" s="13"/>
      <c r="AI56" s="13"/>
      <c r="AJ56" s="13"/>
      <c r="AK56" s="13"/>
      <c r="AL56" s="13" t="str">
        <f>iferror(VLOOKUP($A56,EAM!A$2:E$14,2,FALSE))</f>
        <v/>
      </c>
      <c r="AM56" s="13"/>
      <c r="AN56" s="13">
        <f>sumif('Weekly Rates'!A:A,A56,'Weekly Rates'!B:B)</f>
        <v>0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>
        <v>0.0</v>
      </c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</row>
    <row r="57" ht="15.75" customHeight="1">
      <c r="A57" s="11" t="s">
        <v>214</v>
      </c>
      <c r="B57" s="13"/>
      <c r="C57" s="13"/>
      <c r="D57" s="13"/>
      <c r="E57" s="13"/>
      <c r="F57" s="13"/>
      <c r="G57" s="13"/>
      <c r="H57" s="13"/>
      <c r="I57" s="15">
        <f>iferror(vlookup(A57,'Inst Lending numbers'!A:D,4,false)," ")</f>
        <v>0.06</v>
      </c>
      <c r="J57" s="13"/>
      <c r="K57" s="13">
        <v>0.0</v>
      </c>
      <c r="L57" s="13">
        <v>0.0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 t="str">
        <f>iferror(sumif('Weekly Rates'!D:D,A57,'Weekly Rates'!F:F)/countif('Weekly Rates'!D:D,A57))</f>
        <v/>
      </c>
      <c r="AE57" s="13"/>
      <c r="AF57" s="13"/>
      <c r="AG57" s="13"/>
      <c r="AH57" s="13"/>
      <c r="AI57" s="13"/>
      <c r="AJ57" s="17">
        <v>0.12</v>
      </c>
      <c r="AK57" s="13"/>
      <c r="AL57" s="13" t="str">
        <f>iferror(VLOOKUP($A57,EAM!A$2:E$14,2,FALSE))</f>
        <v/>
      </c>
      <c r="AM57" s="13"/>
      <c r="AN57" s="13">
        <f>sumif('Weekly Rates'!A:A,A57,'Weekly Rates'!B:B)</f>
        <v>0.076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>
        <v>0.0</v>
      </c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ht="15.75" customHeight="1">
      <c r="A58" s="11" t="s">
        <v>215</v>
      </c>
      <c r="B58" s="13"/>
      <c r="C58" s="13"/>
      <c r="D58" s="13"/>
      <c r="E58" s="13"/>
      <c r="F58" s="13"/>
      <c r="G58" s="13"/>
      <c r="H58" s="13"/>
      <c r="I58" s="15" t="str">
        <f>iferror(vlookup(A58,'Inst Lending numbers'!A:D,4,false)," ")</f>
        <v> </v>
      </c>
      <c r="J58" s="13"/>
      <c r="K58" s="13">
        <v>0.0</v>
      </c>
      <c r="L58" s="13">
        <v>0.0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 t="str">
        <f>iferror(sumif('Weekly Rates'!D:D,A58,'Weekly Rates'!F:F)/countif('Weekly Rates'!D:D,A58))</f>
        <v/>
      </c>
      <c r="AE58" s="13"/>
      <c r="AF58" s="13"/>
      <c r="AG58" s="13"/>
      <c r="AH58" s="13"/>
      <c r="AI58" s="13"/>
      <c r="AJ58" s="13"/>
      <c r="AK58" s="13"/>
      <c r="AL58" s="13" t="str">
        <f>iferror(VLOOKUP($A58,EAM!A$2:E$14,2,FALSE))</f>
        <v/>
      </c>
      <c r="AM58" s="13"/>
      <c r="AN58" s="13">
        <f>sumif('Weekly Rates'!A:A,A58,'Weekly Rates'!B:B)</f>
        <v>0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>
        <v>0.0</v>
      </c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ht="15.75" customHeight="1">
      <c r="A59" s="11" t="s">
        <v>216</v>
      </c>
      <c r="B59" s="13"/>
      <c r="C59" s="13"/>
      <c r="D59" s="13"/>
      <c r="E59" s="13"/>
      <c r="F59" s="13"/>
      <c r="G59" s="13"/>
      <c r="H59" s="13"/>
      <c r="I59" s="15" t="str">
        <f>iferror(vlookup(A59,'Inst Lending numbers'!A:D,4,false)," ")</f>
        <v> </v>
      </c>
      <c r="J59" s="13"/>
      <c r="K59" s="13">
        <v>0.0</v>
      </c>
      <c r="L59" s="13">
        <v>0.0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 t="str">
        <f>iferror(sumif('Weekly Rates'!D:D,A59,'Weekly Rates'!F:F)/countif('Weekly Rates'!D:D,A59))</f>
        <v/>
      </c>
      <c r="AE59" s="13"/>
      <c r="AF59" s="13"/>
      <c r="AG59" s="13"/>
      <c r="AH59" s="13"/>
      <c r="AI59" s="13"/>
      <c r="AJ59" s="13"/>
      <c r="AK59" s="13"/>
      <c r="AL59" s="13" t="str">
        <f>iferror(VLOOKUP($A59,EAM!A$2:E$14,2,FALSE))</f>
        <v/>
      </c>
      <c r="AM59" s="13"/>
      <c r="AN59" s="13">
        <f>sumif('Weekly Rates'!A:A,A59,'Weekly Rates'!B:B)</f>
        <v>0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>
        <f>IFERROR(__xludf.DUMMYFUNCTION("importrange(""https://docs.google.com/spreadsheets/d/1sEJbnmLMGxlqg2Slrotvc3YAgqP9DQwYm8VpUh_GslY/edit#gid=0"",""Sheet1!C11"")"),0.1216)</f>
        <v>0.1216</v>
      </c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>
        <v>0.0</v>
      </c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</row>
    <row r="60" ht="15.75" customHeight="1">
      <c r="A60" s="11" t="s">
        <v>217</v>
      </c>
      <c r="B60" s="13"/>
      <c r="C60" s="13"/>
      <c r="D60" s="13"/>
      <c r="E60" s="13"/>
      <c r="F60" s="13"/>
      <c r="G60" s="13"/>
      <c r="H60" s="13"/>
      <c r="I60" s="15" t="str">
        <f>iferror(vlookup(A60,'Inst Lending numbers'!A:D,4,false)," ")</f>
        <v> </v>
      </c>
      <c r="J60" s="13"/>
      <c r="K60" s="13">
        <v>5.0E-4</v>
      </c>
      <c r="L60" s="13">
        <v>0.0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 t="str">
        <f>iferror(sumif('Weekly Rates'!D:D,A60,'Weekly Rates'!F:F)/countif('Weekly Rates'!D:D,A60))</f>
        <v/>
      </c>
      <c r="AE60" s="13"/>
      <c r="AF60" s="13"/>
      <c r="AG60" s="13"/>
      <c r="AH60" s="13"/>
      <c r="AI60" s="13"/>
      <c r="AJ60" s="13"/>
      <c r="AK60" s="13"/>
      <c r="AL60" s="13" t="str">
        <f>iferror(VLOOKUP($A60,EAM!A$2:E$14,2,FALSE))</f>
        <v/>
      </c>
      <c r="AM60" s="13"/>
      <c r="AN60" s="13">
        <f>sumif('Weekly Rates'!A:A,A60,'Weekly Rates'!B:B)</f>
        <v>0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>
        <v>0.0042</v>
      </c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>
        <v>0.0</v>
      </c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</row>
    <row r="61" ht="15.75" customHeight="1">
      <c r="A61" s="11" t="s">
        <v>218</v>
      </c>
      <c r="B61" s="13"/>
      <c r="C61" s="13"/>
      <c r="D61" s="13"/>
      <c r="E61" s="13"/>
      <c r="F61" s="13"/>
      <c r="G61" s="13"/>
      <c r="H61" s="13"/>
      <c r="I61" s="15">
        <f>iferror(vlookup(A61,'Inst Lending numbers'!A:D,4,false)," ")</f>
        <v>0.079</v>
      </c>
      <c r="J61" s="13"/>
      <c r="K61" s="13">
        <v>0.0</v>
      </c>
      <c r="L61" s="13">
        <v>0.0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 t="str">
        <f>iferror(sumif('Weekly Rates'!D:D,A61,'Weekly Rates'!F:F)/countif('Weekly Rates'!D:D,A61))</f>
        <v/>
      </c>
      <c r="AE61" s="13"/>
      <c r="AF61" s="13"/>
      <c r="AG61" s="13"/>
      <c r="AH61" s="13">
        <v>0.1</v>
      </c>
      <c r="AI61" s="13"/>
      <c r="AJ61" s="13">
        <v>0.135</v>
      </c>
      <c r="AK61" s="13"/>
      <c r="AL61" s="13" t="str">
        <f>iferror(VLOOKUP($A61,EAM!A$2:E$14,2,FALSE))</f>
        <v/>
      </c>
      <c r="AM61" s="13"/>
      <c r="AN61" s="13">
        <f>sumif('Weekly Rates'!A:A,A61,'Weekly Rates'!B:B)</f>
        <v>0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4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>
        <v>0.0</v>
      </c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</row>
    <row r="62" ht="15.75" customHeight="1">
      <c r="A62" s="11" t="s">
        <v>219</v>
      </c>
      <c r="B62" s="13"/>
      <c r="C62" s="13"/>
      <c r="D62" s="13"/>
      <c r="E62" s="13"/>
      <c r="F62" s="13"/>
      <c r="G62" s="13"/>
      <c r="H62" s="13"/>
      <c r="I62" s="15" t="str">
        <f>iferror(vlookup(A62,'Inst Lending numbers'!A:D,4,false)," ")</f>
        <v> </v>
      </c>
      <c r="J62" s="13"/>
      <c r="K62" s="13">
        <v>0.0</v>
      </c>
      <c r="L62" s="13">
        <v>0.0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 t="str">
        <f>iferror(sumif('Weekly Rates'!D:D,A62,'Weekly Rates'!F:F)/countif('Weekly Rates'!D:D,A62))</f>
        <v/>
      </c>
      <c r="AE62" s="13"/>
      <c r="AF62" s="13"/>
      <c r="AG62" s="13"/>
      <c r="AH62" s="13"/>
      <c r="AI62" s="13"/>
      <c r="AJ62" s="13"/>
      <c r="AK62" s="13"/>
      <c r="AL62" s="13">
        <f>iferror(VLOOKUP($A62,EAM!A$2:E$14,2,FALSE))</f>
        <v>0.1386007088</v>
      </c>
      <c r="AM62" s="13"/>
      <c r="AN62" s="13">
        <f>sumif('Weekly Rates'!A:A,A62,'Weekly Rates'!B:B)</f>
        <v>0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>
        <v>0.0</v>
      </c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</row>
    <row r="63" ht="15.75" customHeight="1">
      <c r="A63" s="11" t="s">
        <v>220</v>
      </c>
      <c r="B63" s="13"/>
      <c r="C63" s="13"/>
      <c r="D63" s="13"/>
      <c r="E63" s="13"/>
      <c r="F63" s="13"/>
      <c r="G63" s="13"/>
      <c r="H63" s="13"/>
      <c r="I63" s="15" t="str">
        <f>iferror(vlookup(A63,'Inst Lending numbers'!A:D,4,false)," ")</f>
        <v> </v>
      </c>
      <c r="J63" s="13"/>
      <c r="K63" s="13">
        <v>0.0</v>
      </c>
      <c r="L63" s="13">
        <v>0.0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 t="str">
        <f>iferror(sumif('Weekly Rates'!D:D,A63,'Weekly Rates'!F:F)/countif('Weekly Rates'!D:D,A63))</f>
        <v/>
      </c>
      <c r="AE63" s="13"/>
      <c r="AF63" s="13"/>
      <c r="AG63" s="13"/>
      <c r="AH63" s="13"/>
      <c r="AI63" s="13"/>
      <c r="AJ63" s="13"/>
      <c r="AK63" s="13"/>
      <c r="AL63" s="13" t="str">
        <f>iferror(VLOOKUP($A63,EAM!A$2:E$14,2,FALSE))</f>
        <v/>
      </c>
      <c r="AM63" s="13"/>
      <c r="AN63" s="13">
        <f>sumif('Weekly Rates'!A:A,A63,'Weekly Rates'!B:B)</f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>
        <v>0.0</v>
      </c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</row>
    <row r="64" ht="15.75" customHeight="1">
      <c r="A64" s="11" t="s">
        <v>221</v>
      </c>
      <c r="B64" s="13"/>
      <c r="C64" s="13"/>
      <c r="D64" s="13"/>
      <c r="E64" s="13"/>
      <c r="F64" s="13"/>
      <c r="G64" s="13"/>
      <c r="H64" s="13"/>
      <c r="I64" s="15">
        <f>iferror(vlookup(A64,'Inst Lending numbers'!A:D,4,false)," ")</f>
        <v>0.0694</v>
      </c>
      <c r="J64" s="13"/>
      <c r="K64" s="13">
        <v>0.0</v>
      </c>
      <c r="L64" s="13">
        <v>0.0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 t="str">
        <f>iferror(sumif('Weekly Rates'!D:D,A64,'Weekly Rates'!F:F)/countif('Weekly Rates'!D:D,A64))</f>
        <v/>
      </c>
      <c r="AE64" s="13"/>
      <c r="AF64" s="13"/>
      <c r="AG64" s="13"/>
      <c r="AH64" s="13"/>
      <c r="AI64" s="13"/>
      <c r="AJ64" s="13"/>
      <c r="AK64" s="13"/>
      <c r="AL64" s="13" t="str">
        <f>iferror(VLOOKUP($A64,EAM!A$2:E$14,2,FALSE))</f>
        <v/>
      </c>
      <c r="AM64" s="13"/>
      <c r="AN64" s="13">
        <f>sumif('Weekly Rates'!A:A,A64,'Weekly Rates'!B:B)</f>
        <v>0.4287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>
        <v>0.0</v>
      </c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</row>
    <row r="65" ht="15.75" customHeight="1">
      <c r="A65" s="11" t="s">
        <v>222</v>
      </c>
      <c r="B65" s="13"/>
      <c r="C65" s="13"/>
      <c r="D65" s="13"/>
      <c r="E65" s="13"/>
      <c r="F65" s="13"/>
      <c r="G65" s="13"/>
      <c r="H65" s="13"/>
      <c r="I65" s="15" t="str">
        <f>iferror(vlookup(A65,'Inst Lending numbers'!A:D,4,false)," ")</f>
        <v> </v>
      </c>
      <c r="J65" s="13"/>
      <c r="K65" s="13">
        <v>0.0</v>
      </c>
      <c r="L65" s="13">
        <v>0.0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 t="str">
        <f>iferror(sumif('Weekly Rates'!D:D,A65,'Weekly Rates'!F:F)/countif('Weekly Rates'!D:D,A65))</f>
        <v/>
      </c>
      <c r="AE65" s="13"/>
      <c r="AF65" s="13"/>
      <c r="AG65" s="13"/>
      <c r="AH65" s="13"/>
      <c r="AI65" s="13"/>
      <c r="AJ65" s="13"/>
      <c r="AK65" s="13"/>
      <c r="AL65" s="13" t="str">
        <f>iferror(VLOOKUP($A65,EAM!A$2:E$14,2,FALSE))</f>
        <v/>
      </c>
      <c r="AM65" s="13"/>
      <c r="AN65" s="13">
        <f>sumif('Weekly Rates'!A:A,A65,'Weekly Rates'!B:B)</f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>
        <v>0.0</v>
      </c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</row>
    <row r="66" ht="15.75" customHeight="1">
      <c r="A66" s="11" t="s">
        <v>223</v>
      </c>
      <c r="B66" s="13"/>
      <c r="C66" s="13"/>
      <c r="D66" s="13"/>
      <c r="E66" s="13"/>
      <c r="F66" s="13"/>
      <c r="G66" s="13"/>
      <c r="H66" s="13"/>
      <c r="I66" s="15" t="str">
        <f>iferror(vlookup(A66,'Inst Lending numbers'!A:D,4,false)," ")</f>
        <v> </v>
      </c>
      <c r="J66" s="13"/>
      <c r="K66" s="13">
        <v>0.0</v>
      </c>
      <c r="L66" s="13">
        <v>0.0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 t="str">
        <f>iferror(sumif('Weekly Rates'!D:D,A66,'Weekly Rates'!F:F)/countif('Weekly Rates'!D:D,A66))</f>
        <v/>
      </c>
      <c r="AE66" s="13"/>
      <c r="AF66" s="13"/>
      <c r="AG66" s="13"/>
      <c r="AH66" s="13"/>
      <c r="AI66" s="13"/>
      <c r="AJ66" s="13"/>
      <c r="AK66" s="13"/>
      <c r="AL66" s="13" t="str">
        <f>iferror(VLOOKUP($A66,EAM!A$2:E$14,2,FALSE))</f>
        <v/>
      </c>
      <c r="AM66" s="13"/>
      <c r="AN66" s="13">
        <f>sumif('Weekly Rates'!A:A,A66,'Weekly Rates'!B:B)</f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>
        <v>0.0</v>
      </c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</row>
    <row r="67" ht="15.75" customHeight="1">
      <c r="A67" s="11" t="s">
        <v>224</v>
      </c>
      <c r="B67" s="13"/>
      <c r="C67" s="13"/>
      <c r="D67" s="13"/>
      <c r="E67" s="13"/>
      <c r="F67" s="13"/>
      <c r="G67" s="13"/>
      <c r="H67" s="13"/>
      <c r="I67" s="15" t="str">
        <f>iferror(vlookup(A67,'Inst Lending numbers'!A:D,4,false)," ")</f>
        <v> </v>
      </c>
      <c r="J67" s="13"/>
      <c r="K67" s="13">
        <v>0.0</v>
      </c>
      <c r="L67" s="13">
        <v>0.0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 t="str">
        <f>iferror(sumif('Weekly Rates'!D:D,A67,'Weekly Rates'!F:F)/countif('Weekly Rates'!D:D,A67))</f>
        <v/>
      </c>
      <c r="AE67" s="13"/>
      <c r="AF67" s="13"/>
      <c r="AG67" s="13"/>
      <c r="AH67" s="13"/>
      <c r="AI67" s="13"/>
      <c r="AJ67" s="13"/>
      <c r="AK67" s="13"/>
      <c r="AL67" s="13" t="str">
        <f>iferror(VLOOKUP($A67,EAM!A$2:E$14,2,FALSE))</f>
        <v/>
      </c>
      <c r="AM67" s="13"/>
      <c r="AN67" s="13">
        <f>sumif('Weekly Rates'!A:A,A67,'Weekly Rates'!B:B)</f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>
        <v>0.0</v>
      </c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</row>
    <row r="68" ht="15.75" customHeight="1">
      <c r="A68" s="11" t="s">
        <v>225</v>
      </c>
      <c r="B68" s="13"/>
      <c r="C68" s="13"/>
      <c r="D68" s="13"/>
      <c r="E68" s="13"/>
      <c r="F68" s="13"/>
      <c r="G68" s="13"/>
      <c r="H68" s="13"/>
      <c r="I68" s="15">
        <f>iferror(vlookup(A68,'Inst Lending numbers'!A:D,4,false)," ")</f>
        <v>0.045</v>
      </c>
      <c r="J68" s="13"/>
      <c r="K68" s="13">
        <v>0.0</v>
      </c>
      <c r="L68" s="13">
        <v>0.0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 t="str">
        <f>iferror(sumif('Weekly Rates'!D:D,A68,'Weekly Rates'!F:F)/countif('Weekly Rates'!D:D,A68))</f>
        <v/>
      </c>
      <c r="AE68" s="13"/>
      <c r="AF68" s="13"/>
      <c r="AG68" s="13"/>
      <c r="AH68" s="13"/>
      <c r="AI68" s="13"/>
      <c r="AJ68" s="13"/>
      <c r="AK68" s="13"/>
      <c r="AL68" s="13" t="str">
        <f>iferror(VLOOKUP($A68,EAM!A$2:E$14,2,FALSE))</f>
        <v/>
      </c>
      <c r="AM68" s="13"/>
      <c r="AN68" s="13">
        <f>sumif('Weekly Rates'!A:A,A68,'Weekly Rates'!B:B)</f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>
        <v>0.0</v>
      </c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ht="15.75" customHeight="1">
      <c r="A69" s="11" t="s">
        <v>226</v>
      </c>
      <c r="B69" s="13"/>
      <c r="C69" s="13"/>
      <c r="D69" s="13"/>
      <c r="E69" s="13"/>
      <c r="F69" s="13"/>
      <c r="G69" s="13"/>
      <c r="H69" s="13"/>
      <c r="I69" s="15" t="str">
        <f>iferror(vlookup(A69,'Inst Lending numbers'!A:D,4,false)," ")</f>
        <v> </v>
      </c>
      <c r="J69" s="13"/>
      <c r="K69" s="13">
        <v>0.0</v>
      </c>
      <c r="L69" s="13">
        <v>0.0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 t="str">
        <f>iferror(sumif('Weekly Rates'!D:D,A69,'Weekly Rates'!F:F)/countif('Weekly Rates'!D:D,A69))</f>
        <v/>
      </c>
      <c r="AE69" s="13"/>
      <c r="AF69" s="13"/>
      <c r="AG69" s="13"/>
      <c r="AH69" s="13"/>
      <c r="AI69" s="13"/>
      <c r="AJ69" s="13"/>
      <c r="AK69" s="13"/>
      <c r="AL69" s="13" t="str">
        <f>iferror(VLOOKUP($A69,EAM!A$2:E$14,2,FALSE))</f>
        <v/>
      </c>
      <c r="AM69" s="13"/>
      <c r="AN69" s="13">
        <f>sumif('Weekly Rates'!A:A,A69,'Weekly Rates'!B:B)</f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>
        <v>0.0</v>
      </c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</row>
    <row r="70" ht="15.75" customHeight="1">
      <c r="A70" s="7" t="s">
        <v>227</v>
      </c>
      <c r="K70" s="13">
        <v>0.0</v>
      </c>
      <c r="L70" s="13">
        <v>0.0</v>
      </c>
      <c r="S70" s="13"/>
      <c r="X70" s="13"/>
      <c r="AD70" s="13" t="str">
        <f>iferror(sumif('Weekly Rates'!D:D,A70,'Weekly Rates'!F:F)/countif('Weekly Rates'!D:D,A70))</f>
        <v/>
      </c>
      <c r="AL70" s="13" t="str">
        <f>iferror(VLOOKUP($A70,EAM!H$2:I$14,2,FALSE))</f>
        <v/>
      </c>
      <c r="AN70" s="13">
        <f>sumif('Weekly Rates'!A:A,A70,'Weekly Rates'!B:B)</f>
        <v>0</v>
      </c>
      <c r="AP70" s="13"/>
      <c r="AQ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M70" s="13"/>
      <c r="DN70" s="13"/>
      <c r="DO70" s="13"/>
      <c r="DP70" s="13"/>
      <c r="DQ70" s="13"/>
      <c r="DR70" s="13">
        <v>0.0</v>
      </c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</row>
    <row r="71" ht="15.75" customHeight="1">
      <c r="A71" s="7" t="s">
        <v>228</v>
      </c>
      <c r="B71" s="13"/>
      <c r="C71" s="13"/>
      <c r="D71" s="13"/>
      <c r="E71" s="13"/>
      <c r="F71" s="13"/>
      <c r="G71" s="13"/>
      <c r="H71" s="13"/>
      <c r="I71" s="15"/>
      <c r="J71" s="13"/>
      <c r="K71" s="13">
        <v>0.0</v>
      </c>
      <c r="L71" s="13">
        <v>0.0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 t="str">
        <f>iferror(sumif('Weekly Rates'!D:D,A71,'Weekly Rates'!F:F)/countif('Weekly Rates'!D:D,A71))</f>
        <v/>
      </c>
      <c r="AE71" s="13"/>
      <c r="AF71" s="13"/>
      <c r="AG71" s="13"/>
      <c r="AH71" s="13"/>
      <c r="AI71" s="13"/>
      <c r="AJ71" s="13"/>
      <c r="AK71" s="13"/>
      <c r="AL71" s="13" t="str">
        <f>iferror(VLOOKUP($A71,EAM!A$2:E$14,2,FALSE))</f>
        <v/>
      </c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>
        <v>0.0</v>
      </c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</row>
    <row r="72" ht="15.75" customHeight="1">
      <c r="A72" s="7" t="s">
        <v>229</v>
      </c>
      <c r="K72" s="13">
        <v>0.0</v>
      </c>
      <c r="L72" s="13">
        <v>0.0</v>
      </c>
      <c r="S72" s="13"/>
      <c r="X72" s="13"/>
      <c r="AD72" s="13" t="str">
        <f>iferror(sumif('Weekly Rates'!D:D,A72,'Weekly Rates'!F:F)/countif('Weekly Rates'!D:D,A72))</f>
        <v/>
      </c>
      <c r="AL72" s="13" t="str">
        <f>iferror(VLOOKUP($A72,EAM!H$2:I$14,2,FALSE))</f>
        <v/>
      </c>
      <c r="AN72" s="13">
        <f>sumif('Weekly Rates'!A:A,A72,'Weekly Rates'!B:B)</f>
        <v>0</v>
      </c>
      <c r="AP72" s="13"/>
      <c r="AQ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M72" s="13"/>
      <c r="DN72" s="13"/>
      <c r="DO72" s="13"/>
      <c r="DP72" s="13"/>
      <c r="DQ72" s="13"/>
      <c r="DR72" s="13">
        <v>0.0</v>
      </c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</row>
    <row r="73" ht="15.75" customHeight="1">
      <c r="A73" s="11" t="s">
        <v>230</v>
      </c>
      <c r="B73" s="13"/>
      <c r="C73" s="13"/>
      <c r="D73" s="13"/>
      <c r="E73" s="13"/>
      <c r="F73" s="13"/>
      <c r="G73" s="13"/>
      <c r="H73" s="13"/>
      <c r="I73" s="15">
        <f>iferror(vlookup(A73,'Inst Lending numbers'!A:D,4,false)," ")</f>
        <v>0.0943</v>
      </c>
      <c r="J73" s="13"/>
      <c r="K73" s="13">
        <v>0.0</v>
      </c>
      <c r="L73" s="13">
        <v>0.0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 t="str">
        <f>iferror(sumif('Weekly Rates'!D:D,A73,'Weekly Rates'!F:F)/countif('Weekly Rates'!D:D,A73))</f>
        <v/>
      </c>
      <c r="AE73" s="13"/>
      <c r="AF73" s="13"/>
      <c r="AG73" s="13"/>
      <c r="AH73" s="13"/>
      <c r="AI73" s="13"/>
      <c r="AJ73" s="13"/>
      <c r="AK73" s="13"/>
      <c r="AL73" s="13" t="str">
        <f>iferror(VLOOKUP($A73,EAM!A$2:E$14,2,FALSE))</f>
        <v/>
      </c>
      <c r="AM73" s="13"/>
      <c r="AN73" s="13">
        <f>sumif('Weekly Rates'!A:A,A73,'Weekly Rates'!B:B)</f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>
        <v>0.0</v>
      </c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</row>
    <row r="74" ht="15.75" customHeight="1">
      <c r="A74" s="7" t="s">
        <v>231</v>
      </c>
      <c r="B74" s="13"/>
      <c r="C74" s="13"/>
      <c r="D74" s="13"/>
      <c r="E74" s="13"/>
      <c r="F74" s="13"/>
      <c r="G74" s="13"/>
      <c r="H74" s="13"/>
      <c r="I74" s="13">
        <v>0.0</v>
      </c>
      <c r="J74" s="13"/>
      <c r="K74" s="13">
        <v>0.0</v>
      </c>
      <c r="L74" s="13">
        <v>0.0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>
        <v>0.0</v>
      </c>
      <c r="X74" s="13"/>
      <c r="Y74" s="13"/>
      <c r="Z74" s="13"/>
      <c r="AA74" s="13"/>
      <c r="AB74" s="13"/>
      <c r="AC74" s="13"/>
      <c r="AD74" s="13" t="str">
        <f>iferror(sumif('Weekly Rates'!D:D,A74,'Weekly Rates'!F:F)/countif('Weekly Rates'!D:D,A74))</f>
        <v/>
      </c>
      <c r="AE74" s="13"/>
      <c r="AF74" s="13">
        <v>0.0</v>
      </c>
      <c r="AG74" s="13">
        <v>0.0</v>
      </c>
      <c r="AH74" s="13">
        <v>0.0</v>
      </c>
      <c r="AI74" s="13">
        <v>0.0</v>
      </c>
      <c r="AJ74" s="13">
        <v>0.0</v>
      </c>
      <c r="AK74" s="13">
        <v>0.0</v>
      </c>
      <c r="AL74" s="13" t="str">
        <f>iferror(VLOOKUP($A74,EAM!A$2:E$14,2,FALSE))</f>
        <v/>
      </c>
      <c r="AM74" s="13"/>
      <c r="AN74" s="13">
        <v>0.0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>
        <v>0.0</v>
      </c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</row>
    <row r="75" ht="15.75" customHeight="1">
      <c r="A75" s="11" t="s">
        <v>232</v>
      </c>
      <c r="B75" s="13"/>
      <c r="C75" s="13"/>
      <c r="D75" s="13"/>
      <c r="E75" s="13"/>
      <c r="F75" s="13"/>
      <c r="G75" s="13"/>
      <c r="H75" s="13"/>
      <c r="I75" s="15" t="str">
        <f>iferror(vlookup(A75,'Inst Lending numbers'!A:D,4,false)," ")</f>
        <v> </v>
      </c>
      <c r="J75" s="13"/>
      <c r="K75" s="13">
        <v>0.0</v>
      </c>
      <c r="L75" s="13">
        <v>0.0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 t="str">
        <f>iferror(sumif('Weekly Rates'!D:D,A75,'Weekly Rates'!F:F)/countif('Weekly Rates'!D:D,A75))</f>
        <v/>
      </c>
      <c r="AE75" s="13"/>
      <c r="AF75" s="13"/>
      <c r="AG75" s="13"/>
      <c r="AH75" s="13"/>
      <c r="AI75" s="13"/>
      <c r="AJ75" s="13"/>
      <c r="AK75" s="13"/>
      <c r="AL75" s="13" t="str">
        <f>iferror(VLOOKUP($A75,EAM!A$2:E$14,2,FALSE))</f>
        <v/>
      </c>
      <c r="AM75" s="13"/>
      <c r="AN75" s="13">
        <f>sumif('Weekly Rates'!A:A,A75,'Weekly Rates'!B:B)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>
        <v>0.0</v>
      </c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ht="15.75" customHeight="1">
      <c r="A76" s="7" t="s">
        <v>233</v>
      </c>
      <c r="B76" s="13"/>
      <c r="C76" s="13"/>
      <c r="D76" s="13"/>
      <c r="E76" s="13"/>
      <c r="F76" s="13"/>
      <c r="G76" s="13"/>
      <c r="H76" s="13"/>
      <c r="I76" s="13">
        <v>0.0</v>
      </c>
      <c r="J76" s="13"/>
      <c r="K76" s="13">
        <v>0.0</v>
      </c>
      <c r="L76" s="13">
        <v>0.0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>
        <v>0.0</v>
      </c>
      <c r="X76" s="13"/>
      <c r="Y76" s="13"/>
      <c r="Z76" s="13"/>
      <c r="AA76" s="13"/>
      <c r="AB76" s="13"/>
      <c r="AC76" s="13"/>
      <c r="AD76" s="13" t="str">
        <f>iferror(sumif('Weekly Rates'!D:D,A76,'Weekly Rates'!F:F)/countif('Weekly Rates'!D:D,A76))</f>
        <v/>
      </c>
      <c r="AE76" s="13"/>
      <c r="AF76" s="13">
        <v>0.0</v>
      </c>
      <c r="AG76" s="13">
        <v>0.0</v>
      </c>
      <c r="AH76" s="13">
        <v>0.0</v>
      </c>
      <c r="AI76" s="13">
        <v>0.0</v>
      </c>
      <c r="AJ76" s="13">
        <v>0.0</v>
      </c>
      <c r="AK76" s="13">
        <v>0.0</v>
      </c>
      <c r="AL76" s="13" t="str">
        <f>iferror(VLOOKUP($A76,EAM!A$2:E$14,2,FALSE))</f>
        <v/>
      </c>
      <c r="AM76" s="13"/>
      <c r="AN76" s="13">
        <v>0.0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>
        <v>0.01</v>
      </c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>
        <v>0.0</v>
      </c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</row>
    <row r="77" ht="15.75" customHeight="1">
      <c r="A77" s="11" t="s">
        <v>234</v>
      </c>
      <c r="B77" s="13"/>
      <c r="C77" s="13"/>
      <c r="D77" s="13"/>
      <c r="E77" s="13"/>
      <c r="F77" s="13"/>
      <c r="G77" s="13"/>
      <c r="H77" s="13"/>
      <c r="I77" s="15" t="str">
        <f>iferror(vlookup(A77,'Inst Lending numbers'!A:D,4,false)," ")</f>
        <v> </v>
      </c>
      <c r="J77" s="13"/>
      <c r="K77" s="13">
        <v>0.0</v>
      </c>
      <c r="L77" s="13">
        <v>0.0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 t="str">
        <f>iferror(sumif('Weekly Rates'!D:D,A77,'Weekly Rates'!F:F)/countif('Weekly Rates'!D:D,A77))</f>
        <v/>
      </c>
      <c r="AE77" s="13"/>
      <c r="AF77" s="13"/>
      <c r="AG77" s="13"/>
      <c r="AH77" s="13"/>
      <c r="AI77" s="13"/>
      <c r="AJ77" s="13"/>
      <c r="AK77" s="13"/>
      <c r="AL77" s="13" t="str">
        <f>iferror(VLOOKUP($A77,EAM!A$2:E$14,2,FALSE))</f>
        <v/>
      </c>
      <c r="AM77" s="13"/>
      <c r="AN77" s="13">
        <f>sumif('Weekly Rates'!A:A,A77,'Weekly Rates'!B:B)</f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>
        <v>0.0</v>
      </c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ht="15.75" customHeight="1">
      <c r="A78" s="11" t="s">
        <v>235</v>
      </c>
      <c r="B78" s="13"/>
      <c r="C78" s="13"/>
      <c r="D78" s="13"/>
      <c r="E78" s="13"/>
      <c r="F78" s="13"/>
      <c r="G78" s="13"/>
      <c r="H78" s="13"/>
      <c r="I78" s="15" t="str">
        <f>iferror(vlookup(A78,'Inst Lending numbers'!A:D,4,false)," ")</f>
        <v> </v>
      </c>
      <c r="J78" s="13"/>
      <c r="K78" s="13">
        <v>0.0</v>
      </c>
      <c r="L78" s="13">
        <v>0.0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 t="str">
        <f>iferror(sumif('Weekly Rates'!D:D,A78,'Weekly Rates'!F:F)/countif('Weekly Rates'!D:D,A78))</f>
        <v/>
      </c>
      <c r="AE78" s="13"/>
      <c r="AF78" s="13"/>
      <c r="AG78" s="13"/>
      <c r="AH78" s="13"/>
      <c r="AI78" s="13"/>
      <c r="AJ78" s="13"/>
      <c r="AK78" s="13"/>
      <c r="AL78" s="13" t="str">
        <f>iferror(VLOOKUP($A78,EAM!A$2:E$14,2,FALSE))</f>
        <v/>
      </c>
      <c r="AM78" s="13"/>
      <c r="AN78" s="13">
        <f>sumif('Weekly Rates'!A:A,A78,'Weekly Rates'!B:B)</f>
        <v>0</v>
      </c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>
        <v>0.0</v>
      </c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</row>
    <row r="79" ht="15.75" customHeight="1">
      <c r="A79" s="11" t="s">
        <v>236</v>
      </c>
      <c r="B79" s="13"/>
      <c r="C79" s="13"/>
      <c r="D79" s="13"/>
      <c r="E79" s="13"/>
      <c r="F79" s="13"/>
      <c r="G79" s="13"/>
      <c r="H79" s="13"/>
      <c r="I79" s="15">
        <f>iferror(vlookup(A79,'Inst Lending numbers'!A:D,4,false)," ")</f>
        <v>0.1425</v>
      </c>
      <c r="J79" s="13"/>
      <c r="K79" s="13">
        <v>0.0</v>
      </c>
      <c r="L79" s="13">
        <v>0.0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>
        <f>iferror(sumif('Weekly Rates'!D:D,A79,'Weekly Rates'!F:F)/countif('Weekly Rates'!D:D,A79))</f>
        <v>0.024966</v>
      </c>
      <c r="AE79" s="13"/>
      <c r="AF79" s="13"/>
      <c r="AG79" s="13"/>
      <c r="AH79" s="13"/>
      <c r="AI79" s="13"/>
      <c r="AJ79" s="13"/>
      <c r="AK79" s="13"/>
      <c r="AL79" s="13" t="str">
        <f>iferror(VLOOKUP($A79,EAM!A$2:E$14,2,FALSE))</f>
        <v/>
      </c>
      <c r="AM79" s="13"/>
      <c r="AN79" s="13">
        <f>sumif('Weekly Rates'!A:A,A79,'Weekly Rates'!B:B)</f>
        <v>0</v>
      </c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>
        <v>0.35</v>
      </c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>
        <v>0.0</v>
      </c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ht="15.75" customHeight="1">
      <c r="A80" s="10" t="s">
        <v>237</v>
      </c>
      <c r="B80" s="13"/>
      <c r="C80" s="13"/>
      <c r="D80" s="13"/>
      <c r="E80" s="13"/>
      <c r="F80" s="13"/>
      <c r="G80" s="13"/>
      <c r="H80" s="13"/>
      <c r="I80" s="15"/>
      <c r="J80" s="13"/>
      <c r="K80" s="13">
        <v>0.0</v>
      </c>
      <c r="L80" s="13">
        <v>0.0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 t="str">
        <f>iferror(sumif('Weekly Rates'!D:D,A80,'Weekly Rates'!F:F)/countif('Weekly Rates'!D:D,A80))</f>
        <v/>
      </c>
      <c r="AE80" s="13"/>
      <c r="AF80" s="13"/>
      <c r="AG80" s="13"/>
      <c r="AH80" s="13"/>
      <c r="AI80" s="13"/>
      <c r="AJ80" s="13"/>
      <c r="AK80" s="13"/>
      <c r="AL80" s="13" t="str">
        <f>iferror(VLOOKUP($A80,EAM!A$2:E$14,2,FALSE))</f>
        <v/>
      </c>
      <c r="AM80" s="13"/>
      <c r="AN80" s="13">
        <v>0.0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>
        <v>0.0</v>
      </c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ht="15.75" customHeight="1">
      <c r="A81" s="11" t="s">
        <v>238</v>
      </c>
      <c r="B81" s="13"/>
      <c r="C81" s="13"/>
      <c r="D81" s="13"/>
      <c r="E81" s="13"/>
      <c r="F81" s="13"/>
      <c r="G81" s="13"/>
      <c r="H81" s="13"/>
      <c r="I81" s="15" t="str">
        <f>iferror(vlookup(A81,'Inst Lending numbers'!A:D,4,false)," ")</f>
        <v> </v>
      </c>
      <c r="J81" s="13"/>
      <c r="K81" s="13">
        <v>0.0</v>
      </c>
      <c r="L81" s="13">
        <v>0.0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 t="str">
        <f>iferror(sumif('Weekly Rates'!D:D,A81,'Weekly Rates'!F:F)/countif('Weekly Rates'!D:D,A81))</f>
        <v/>
      </c>
      <c r="AE81" s="13"/>
      <c r="AF81" s="13"/>
      <c r="AG81" s="13"/>
      <c r="AH81" s="13"/>
      <c r="AI81" s="13"/>
      <c r="AJ81" s="13"/>
      <c r="AK81" s="13"/>
      <c r="AL81" s="13" t="str">
        <f>iferror(VLOOKUP($A81,EAM!A$2:E$14,2,FALSE))</f>
        <v/>
      </c>
      <c r="AM81" s="13"/>
      <c r="AN81" s="13">
        <f>sumif('Weekly Rates'!A:A,A81,'Weekly Rates'!B:B)</f>
        <v>0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>
        <v>0.0</v>
      </c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ht="15.75" customHeight="1">
      <c r="A82" s="7" t="s">
        <v>239</v>
      </c>
      <c r="B82" s="13"/>
      <c r="C82" s="13"/>
      <c r="D82" s="13"/>
      <c r="E82" s="13"/>
      <c r="F82" s="13"/>
      <c r="G82" s="13"/>
      <c r="H82" s="13"/>
      <c r="I82" s="15"/>
      <c r="J82" s="13"/>
      <c r="K82" s="13">
        <v>0.0</v>
      </c>
      <c r="L82" s="13">
        <v>0.0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>
        <v>0.03</v>
      </c>
      <c r="AC82" s="13"/>
      <c r="AD82" s="13" t="str">
        <f>iferror(sumif('Weekly Rates'!D:D,A82,'Weekly Rates'!F:F)/countif('Weekly Rates'!D:D,A82))</f>
        <v/>
      </c>
      <c r="AE82" s="13"/>
      <c r="AF82" s="13"/>
      <c r="AG82" s="13"/>
      <c r="AH82" s="13"/>
      <c r="AI82" s="13"/>
      <c r="AJ82" s="13"/>
      <c r="AK82" s="13"/>
      <c r="AL82" s="13" t="str">
        <f>iferror(VLOOKUP($A82,EAM!A$2:E$14,2,FALSE))</f>
        <v/>
      </c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>
        <v>0.0</v>
      </c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</row>
    <row r="83" ht="15.75" customHeight="1">
      <c r="A83" s="10" t="s">
        <v>240</v>
      </c>
      <c r="B83" s="13"/>
      <c r="C83" s="13"/>
      <c r="D83" s="13"/>
      <c r="E83" s="13"/>
      <c r="F83" s="13"/>
      <c r="G83" s="13"/>
      <c r="H83" s="13"/>
      <c r="I83" s="15"/>
      <c r="J83" s="13"/>
      <c r="K83" s="13">
        <v>0.0</v>
      </c>
      <c r="L83" s="13">
        <v>0.0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0.0</v>
      </c>
      <c r="AC83" s="13"/>
      <c r="AD83" s="13" t="str">
        <f>iferror(sumif('Weekly Rates'!D:D,A83,'Weekly Rates'!F:F)/countif('Weekly Rates'!D:D,A83))</f>
        <v/>
      </c>
      <c r="AE83" s="13"/>
      <c r="AF83" s="13"/>
      <c r="AG83" s="13"/>
      <c r="AH83" s="13"/>
      <c r="AI83" s="13"/>
      <c r="AJ83" s="13"/>
      <c r="AK83" s="13"/>
      <c r="AL83" s="13" t="str">
        <f>iferror(VLOOKUP($A83,EAM!A$2:E$14,2,FALSE))</f>
        <v/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>
        <v>0.0</v>
      </c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</row>
    <row r="84" ht="15.75" customHeight="1">
      <c r="A84" s="11" t="s">
        <v>241</v>
      </c>
      <c r="B84" s="13"/>
      <c r="C84" s="13"/>
      <c r="D84" s="13"/>
      <c r="E84" s="13"/>
      <c r="F84" s="13"/>
      <c r="G84" s="13"/>
      <c r="H84" s="13"/>
      <c r="I84" s="15" t="str">
        <f>iferror(vlookup(A84,'Inst Lending numbers'!A:D,4,false)," ")</f>
        <v> </v>
      </c>
      <c r="J84" s="13"/>
      <c r="K84" s="13">
        <v>0.0</v>
      </c>
      <c r="L84" s="13">
        <v>0.0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 t="str">
        <f>iferror(sumif('Weekly Rates'!D:D,A84,'Weekly Rates'!F:F)/countif('Weekly Rates'!D:D,A84))</f>
        <v/>
      </c>
      <c r="AE84" s="13"/>
      <c r="AF84" s="13"/>
      <c r="AG84" s="13"/>
      <c r="AH84" s="13"/>
      <c r="AI84" s="13"/>
      <c r="AJ84" s="13"/>
      <c r="AK84" s="13"/>
      <c r="AL84" s="13" t="str">
        <f>iferror(VLOOKUP($A84,EAM!A$2:E$14,2,FALSE))</f>
        <v/>
      </c>
      <c r="AM84" s="13"/>
      <c r="AN84" s="13">
        <f>sumif('Weekly Rates'!A:A,A84,'Weekly Rates'!B:B)</f>
        <v>0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>
        <v>0.0</v>
      </c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</row>
    <row r="85" ht="15.75" customHeight="1">
      <c r="A85" s="11" t="s">
        <v>242</v>
      </c>
      <c r="B85" s="13"/>
      <c r="C85" s="13"/>
      <c r="D85" s="13"/>
      <c r="E85" s="13"/>
      <c r="F85" s="13"/>
      <c r="G85" s="13"/>
      <c r="H85" s="13"/>
      <c r="I85" s="15">
        <f>iferror(vlookup(A85,'Inst Lending numbers'!A:D,4,false)," ")</f>
        <v>0.1473</v>
      </c>
      <c r="J85" s="13"/>
      <c r="K85" s="13">
        <v>0.0</v>
      </c>
      <c r="L85" s="13">
        <v>0.0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 t="str">
        <f>iferror(sumif('Weekly Rates'!D:D,A85,'Weekly Rates'!F:F)/countif('Weekly Rates'!D:D,A85))</f>
        <v/>
      </c>
      <c r="AE85" s="13"/>
      <c r="AF85" s="13"/>
      <c r="AG85" s="13"/>
      <c r="AH85" s="13"/>
      <c r="AI85" s="13"/>
      <c r="AJ85" s="13"/>
      <c r="AK85" s="13"/>
      <c r="AL85" s="13" t="str">
        <f>iferror(VLOOKUP($A85,EAM!A$2:E$14,2,FALSE))</f>
        <v/>
      </c>
      <c r="AM85" s="13"/>
      <c r="AN85" s="13">
        <f>sumif('Weekly Rates'!A:A,A85,'Weekly Rates'!B:B)</f>
        <v>0</v>
      </c>
      <c r="AO85" s="13"/>
      <c r="AP85" s="13"/>
      <c r="AQ85" s="13"/>
      <c r="AR85" s="13"/>
      <c r="AS85" s="13"/>
      <c r="AT85" s="13"/>
      <c r="AU85" s="13"/>
      <c r="AV85" s="13"/>
      <c r="AW85" s="13">
        <v>0.025</v>
      </c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4">
        <f>IFERROR(__xludf.DUMMYFUNCTION("importrange(""https://docs.google.com/spreadsheets/d/1sEJbnmLMGxlqg2Slrotvc3YAgqP9DQwYm8VpUh_GslY/edit#gid=0"",""Sheet1!C81"")"),0.0909)</f>
        <v>0.0909</v>
      </c>
      <c r="DK85" s="13"/>
      <c r="DL85" s="13"/>
      <c r="DM85" s="13"/>
      <c r="DN85" s="13"/>
      <c r="DO85" s="13"/>
      <c r="DP85" s="13"/>
      <c r="DQ85" s="13"/>
      <c r="DR85" s="13">
        <v>0.0</v>
      </c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</row>
    <row r="86" ht="15.75" customHeight="1">
      <c r="A86" s="11" t="s">
        <v>243</v>
      </c>
      <c r="B86" s="13"/>
      <c r="C86" s="13"/>
      <c r="D86" s="13"/>
      <c r="E86" s="13"/>
      <c r="F86" s="13"/>
      <c r="G86" s="13"/>
      <c r="H86" s="13"/>
      <c r="I86" s="15" t="str">
        <f>iferror(vlookup(A86,'Inst Lending numbers'!A:D,4,false)," ")</f>
        <v> </v>
      </c>
      <c r="J86" s="13"/>
      <c r="K86" s="13">
        <v>0.0</v>
      </c>
      <c r="L86" s="13">
        <v>0.0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 t="str">
        <f>iferror(sumif('Weekly Rates'!D:D,A86,'Weekly Rates'!F:F)/countif('Weekly Rates'!D:D,A86))</f>
        <v/>
      </c>
      <c r="AE86" s="13"/>
      <c r="AF86" s="13"/>
      <c r="AG86" s="13"/>
      <c r="AH86" s="13"/>
      <c r="AI86" s="13"/>
      <c r="AJ86" s="13"/>
      <c r="AK86" s="13"/>
      <c r="AL86" s="13" t="str">
        <f>iferror(VLOOKUP($A86,EAM!A$2:E$14,2,FALSE))</f>
        <v/>
      </c>
      <c r="AM86" s="13"/>
      <c r="AN86" s="13">
        <f>sumif('Weekly Rates'!A:A,A86,'Weekly Rates'!B:B)</f>
        <v>0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>
        <v>0.0</v>
      </c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</row>
    <row r="87" ht="15.75" customHeight="1">
      <c r="A87" s="11" t="s">
        <v>244</v>
      </c>
      <c r="B87" s="13"/>
      <c r="C87" s="13"/>
      <c r="D87" s="13"/>
      <c r="E87" s="13"/>
      <c r="F87" s="13"/>
      <c r="G87" s="13"/>
      <c r="H87" s="13"/>
      <c r="I87" s="15" t="str">
        <f>iferror(vlookup(A87,'Inst Lending numbers'!A:D,4,false)," ")</f>
        <v> </v>
      </c>
      <c r="J87" s="13"/>
      <c r="K87" s="13">
        <v>0.0</v>
      </c>
      <c r="L87" s="13">
        <v>0.0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 t="str">
        <f>iferror(sumif('Weekly Rates'!D:D,A87,'Weekly Rates'!F:F)/countif('Weekly Rates'!D:D,A87))</f>
        <v/>
      </c>
      <c r="AE87" s="13"/>
      <c r="AF87" s="13"/>
      <c r="AG87" s="13"/>
      <c r="AH87" s="13"/>
      <c r="AI87" s="13"/>
      <c r="AJ87" s="13"/>
      <c r="AK87" s="13"/>
      <c r="AL87" s="13" t="str">
        <f>iferror(VLOOKUP($A87,EAM!A$2:E$14,2,FALSE))</f>
        <v/>
      </c>
      <c r="AM87" s="13"/>
      <c r="AN87" s="13">
        <f>sumif('Weekly Rates'!A:A,A87,'Weekly Rates'!B:B)</f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>
        <v>0.0</v>
      </c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</row>
    <row r="88" ht="15.75" customHeight="1">
      <c r="A88" s="11" t="s">
        <v>245</v>
      </c>
      <c r="B88" s="13"/>
      <c r="C88" s="13"/>
      <c r="D88" s="13"/>
      <c r="E88" s="13"/>
      <c r="F88" s="13"/>
      <c r="G88" s="13"/>
      <c r="H88" s="13"/>
      <c r="I88" s="15" t="str">
        <f>iferror(vlookup(A88,'Inst Lending numbers'!A:D,4,false)," ")</f>
        <v> </v>
      </c>
      <c r="J88" s="13"/>
      <c r="K88" s="13">
        <v>0.0</v>
      </c>
      <c r="L88" s="13">
        <v>0.0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 t="str">
        <f>iferror(sumif('Weekly Rates'!D:D,A88,'Weekly Rates'!F:F)/countif('Weekly Rates'!D:D,A88))</f>
        <v/>
      </c>
      <c r="AE88" s="13"/>
      <c r="AF88" s="13"/>
      <c r="AG88" s="13"/>
      <c r="AH88" s="13"/>
      <c r="AI88" s="13"/>
      <c r="AJ88" s="13"/>
      <c r="AK88" s="13"/>
      <c r="AL88" s="13" t="str">
        <f>iferror(VLOOKUP($A88,EAM!A$2:E$14,2,FALSE))</f>
        <v/>
      </c>
      <c r="AM88" s="13"/>
      <c r="AN88" s="13">
        <f>sumif('Weekly Rates'!A:A,A88,'Weekly Rates'!B:B)</f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>
        <v>0.0</v>
      </c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</row>
    <row r="89" ht="15.75" customHeight="1">
      <c r="A89" s="11" t="s">
        <v>246</v>
      </c>
      <c r="B89" s="13"/>
      <c r="C89" s="13"/>
      <c r="D89" s="13"/>
      <c r="E89" s="13"/>
      <c r="F89" s="13"/>
      <c r="G89" s="13"/>
      <c r="H89" s="13"/>
      <c r="I89" s="15" t="str">
        <f>iferror(vlookup(A89,'Inst Lending numbers'!A:D,4,false)," ")</f>
        <v> </v>
      </c>
      <c r="J89" s="13"/>
      <c r="K89" s="13">
        <v>0.0</v>
      </c>
      <c r="L89" s="13">
        <v>0.0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tr">
        <f>iferror(sumif('Weekly Rates'!D:D,A89,'Weekly Rates'!F:F)/countif('Weekly Rates'!D:D,A89))</f>
        <v/>
      </c>
      <c r="AE89" s="13"/>
      <c r="AF89" s="13"/>
      <c r="AG89" s="13"/>
      <c r="AH89" s="13"/>
      <c r="AI89" s="13"/>
      <c r="AJ89" s="13"/>
      <c r="AK89" s="13"/>
      <c r="AL89" s="13" t="str">
        <f>iferror(VLOOKUP($A89,EAM!A$2:E$14,2,FALSE))</f>
        <v/>
      </c>
      <c r="AM89" s="13"/>
      <c r="AN89" s="13">
        <f>sumif('Weekly Rates'!A:A,A89,'Weekly Rates'!B:B)</f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>
        <v>0.0</v>
      </c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</row>
    <row r="90" ht="15.75" customHeight="1">
      <c r="A90" s="7" t="s">
        <v>247</v>
      </c>
      <c r="B90" s="13"/>
      <c r="C90" s="13"/>
      <c r="D90" s="13"/>
      <c r="E90" s="13"/>
      <c r="F90" s="13"/>
      <c r="G90" s="13"/>
      <c r="H90" s="13"/>
      <c r="I90" s="15"/>
      <c r="J90" s="13"/>
      <c r="K90" s="13">
        <v>0.0</v>
      </c>
      <c r="L90" s="13">
        <v>0.0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 t="str">
        <f>iferror(sumif('Weekly Rates'!D:D,A90,'Weekly Rates'!F:F)/countif('Weekly Rates'!D:D,A90))</f>
        <v/>
      </c>
      <c r="AE90" s="13"/>
      <c r="AF90" s="13"/>
      <c r="AG90" s="13"/>
      <c r="AH90" s="13"/>
      <c r="AI90" s="13"/>
      <c r="AJ90" s="13"/>
      <c r="AK90" s="13"/>
      <c r="AL90" s="13" t="str">
        <f>iferror(VLOOKUP($A90,EAM!A$2:E$14,2,FALSE))</f>
        <v/>
      </c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>
        <f>IFERROR(__xludf.DUMMYFUNCTION("importrange(""https://docs.google.com/spreadsheets/d/1sEJbnmLMGxlqg2Slrotvc3YAgqP9DQwYm8VpUh_GslY/edit#gid=0"",""Sheet1!C63"")"),0.2235)</f>
        <v>0.2235</v>
      </c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>
        <v>0.0</v>
      </c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</row>
    <row r="91" ht="15.75" customHeight="1">
      <c r="A91" s="11" t="s">
        <v>248</v>
      </c>
      <c r="B91" s="13"/>
      <c r="C91" s="13"/>
      <c r="D91" s="13"/>
      <c r="E91" s="13"/>
      <c r="F91" s="13"/>
      <c r="G91" s="13"/>
      <c r="H91" s="13"/>
      <c r="I91" s="15" t="str">
        <f>iferror(vlookup(A91,'Inst Lending numbers'!A:D,4,false)," ")</f>
        <v> </v>
      </c>
      <c r="J91" s="13"/>
      <c r="K91" s="13">
        <v>0.0</v>
      </c>
      <c r="L91" s="13">
        <v>0.0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 t="str">
        <f>iferror(sumif('Weekly Rates'!D:D,A91,'Weekly Rates'!F:F)/countif('Weekly Rates'!D:D,A91))</f>
        <v/>
      </c>
      <c r="AE91" s="13"/>
      <c r="AF91" s="13"/>
      <c r="AG91" s="13"/>
      <c r="AH91" s="13"/>
      <c r="AI91" s="13"/>
      <c r="AJ91" s="13"/>
      <c r="AK91" s="13"/>
      <c r="AL91" s="13" t="str">
        <f>iferror(VLOOKUP($A91,EAM!A$2:E$14,2,FALSE))</f>
        <v/>
      </c>
      <c r="AM91" s="13"/>
      <c r="AN91" s="13">
        <f>sumif('Weekly Rates'!A:A,A91,'Weekly Rates'!B:B)</f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>
        <v>0.0945</v>
      </c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>
        <v>0.0</v>
      </c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</row>
    <row r="92" ht="15.75" customHeight="1">
      <c r="A92" s="11" t="s">
        <v>249</v>
      </c>
      <c r="B92" s="13"/>
      <c r="C92" s="13"/>
      <c r="D92" s="13"/>
      <c r="E92" s="13"/>
      <c r="F92" s="13"/>
      <c r="G92" s="13"/>
      <c r="H92" s="13"/>
      <c r="I92" s="15">
        <f>iferror(vlookup(A92,'Inst Lending numbers'!A:D,4,false)," ")</f>
        <v>0.0747</v>
      </c>
      <c r="J92" s="13"/>
      <c r="K92" s="13">
        <v>0.0</v>
      </c>
      <c r="L92" s="13">
        <v>0.0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 t="str">
        <f>iferror(sumif('Weekly Rates'!D:D,A92,'Weekly Rates'!F:F)/countif('Weekly Rates'!D:D,A92))</f>
        <v/>
      </c>
      <c r="AE92" s="13"/>
      <c r="AF92" s="13"/>
      <c r="AG92" s="13"/>
      <c r="AH92" s="13"/>
      <c r="AI92" s="13"/>
      <c r="AJ92" s="13"/>
      <c r="AK92" s="13"/>
      <c r="AL92" s="13" t="str">
        <f>iferror(VLOOKUP($A92,EAM!A$2:E$14,2,FALSE))</f>
        <v/>
      </c>
      <c r="AM92" s="13"/>
      <c r="AN92" s="13">
        <f>sumif('Weekly Rates'!A:A,A92,'Weekly Rates'!B:B)</f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>
        <v>0.0</v>
      </c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ht="15.75" customHeight="1">
      <c r="A93" s="11" t="s">
        <v>250</v>
      </c>
      <c r="B93" s="13"/>
      <c r="C93" s="13"/>
      <c r="D93" s="13"/>
      <c r="E93" s="13"/>
      <c r="F93" s="13"/>
      <c r="G93" s="13"/>
      <c r="H93" s="13"/>
      <c r="I93" s="15">
        <f>iferror(vlookup(A93,'Inst Lending numbers'!A:D,4,false)," ")</f>
        <v>0.0707</v>
      </c>
      <c r="J93" s="13"/>
      <c r="K93" s="13">
        <v>4.0E-4</v>
      </c>
      <c r="L93" s="13">
        <v>0.0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f>iferror(sumif('Weekly Rates'!D:D,A93,'Weekly Rates'!F:F)/countif('Weekly Rates'!D:D,A93))</f>
        <v>0.00876</v>
      </c>
      <c r="AE93" s="13"/>
      <c r="AF93" s="13"/>
      <c r="AG93" s="13"/>
      <c r="AH93" s="13"/>
      <c r="AI93" s="13"/>
      <c r="AJ93" s="13"/>
      <c r="AK93" s="13"/>
      <c r="AL93" s="13" t="str">
        <f>iferror(VLOOKUP($A93,EAM!A$2:E$14,2,FALSE))</f>
        <v/>
      </c>
      <c r="AM93" s="13"/>
      <c r="AN93" s="13">
        <f>sumif('Weekly Rates'!A:A,A93,'Weekly Rates'!B:B)</f>
        <v>0.0535</v>
      </c>
      <c r="AO93" s="13"/>
      <c r="AP93" s="13"/>
      <c r="AQ93" s="13"/>
      <c r="AR93" s="13"/>
      <c r="AS93" s="13"/>
      <c r="AT93" s="13"/>
      <c r="AU93" s="13"/>
      <c r="AV93" s="13"/>
      <c r="AW93" s="13">
        <v>0.0066</v>
      </c>
      <c r="AX93" s="13"/>
      <c r="AY93" s="13"/>
      <c r="AZ93" s="13"/>
      <c r="BA93" s="13"/>
      <c r="BB93" s="13">
        <v>0.0066</v>
      </c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>
        <f>IFERROR(__xludf.DUMMYFUNCTION("importrange(""https://docs.google.com/spreadsheets/d/1sEJbnmLMGxlqg2Slrotvc3YAgqP9DQwYm8VpUh_GslY/edit#gid=0"",""Sheet1!C34"")"),0.0526)</f>
        <v>0.0526</v>
      </c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>
        <v>0.0</v>
      </c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</row>
    <row r="94" ht="15.75" customHeight="1">
      <c r="A94" s="11" t="s">
        <v>251</v>
      </c>
      <c r="B94" s="13"/>
      <c r="C94" s="13"/>
      <c r="D94" s="13"/>
      <c r="E94" s="13"/>
      <c r="F94" s="13"/>
      <c r="G94" s="13"/>
      <c r="H94" s="13"/>
      <c r="I94" s="15">
        <f>iferror(vlookup(A94,'Inst Lending numbers'!A:D,4,false)," ")</f>
        <v>0.085</v>
      </c>
      <c r="J94" s="13"/>
      <c r="K94" s="13">
        <v>0.0</v>
      </c>
      <c r="L94" s="13">
        <v>0.0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 t="str">
        <f>iferror(sumif('Weekly Rates'!D:D,A94,'Weekly Rates'!F:F)/countif('Weekly Rates'!D:D,A94))</f>
        <v/>
      </c>
      <c r="AE94" s="13"/>
      <c r="AF94" s="13"/>
      <c r="AG94" s="13"/>
      <c r="AH94" s="13"/>
      <c r="AI94" s="13"/>
      <c r="AJ94" s="13"/>
      <c r="AK94" s="13">
        <v>0.3</v>
      </c>
      <c r="AL94" s="13" t="str">
        <f>iferror(VLOOKUP($A94,EAM!A$2:E$14,2,FALSE))</f>
        <v/>
      </c>
      <c r="AM94" s="13"/>
      <c r="AN94" s="13">
        <f>sumif('Weekly Rates'!A:A,A94,'Weekly Rates'!B:B)</f>
        <v>0.0659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>
        <v>0.0</v>
      </c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ht="15.75" customHeight="1">
      <c r="A95" s="11" t="s">
        <v>252</v>
      </c>
      <c r="B95" s="13"/>
      <c r="C95" s="13"/>
      <c r="D95" s="13"/>
      <c r="E95" s="13"/>
      <c r="F95" s="13"/>
      <c r="G95" s="13"/>
      <c r="H95" s="13"/>
      <c r="I95" s="15">
        <f>iferror(vlookup(A95,'Inst Lending numbers'!A:D,4,false)," ")</f>
        <v>0.0888</v>
      </c>
      <c r="J95" s="13"/>
      <c r="K95" s="13">
        <v>0.0</v>
      </c>
      <c r="L95" s="13">
        <v>0.0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 t="str">
        <f>iferror(sumif('Weekly Rates'!D:D,A95,'Weekly Rates'!F:F)/countif('Weekly Rates'!D:D,A95))</f>
        <v/>
      </c>
      <c r="AE95" s="13"/>
      <c r="AF95" s="13"/>
      <c r="AG95" s="13"/>
      <c r="AH95" s="13"/>
      <c r="AI95" s="13"/>
      <c r="AJ95" s="13"/>
      <c r="AK95" s="13"/>
      <c r="AL95" s="13">
        <f>iferror(VLOOKUP($A95,EAM!A$2:E$14,2,FALSE))</f>
        <v>0.1240603877</v>
      </c>
      <c r="AM95" s="13"/>
      <c r="AN95" s="13">
        <f>sumif('Weekly Rates'!A:A,A95,'Weekly Rates'!B:B)</f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>
        <v>0.0945</v>
      </c>
      <c r="BR95" s="13">
        <v>0.0905</v>
      </c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>
        <v>0.2773</v>
      </c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>
        <v>0.0</v>
      </c>
      <c r="DS95" s="13"/>
      <c r="DT95" s="13"/>
      <c r="DU95" s="13"/>
      <c r="DV95" s="13"/>
      <c r="DW95" s="13"/>
      <c r="DX95" s="13"/>
      <c r="DY95" s="13"/>
      <c r="DZ95" s="13"/>
      <c r="EA95" s="13"/>
      <c r="EB95" s="13">
        <v>0.12</v>
      </c>
      <c r="EC95" s="13">
        <v>0.45</v>
      </c>
      <c r="ED95" s="13"/>
      <c r="EE95" s="13"/>
    </row>
    <row r="96" ht="15.75" customHeight="1">
      <c r="A96" s="11" t="s">
        <v>253</v>
      </c>
      <c r="B96" s="13"/>
      <c r="C96" s="13"/>
      <c r="D96" s="13"/>
      <c r="E96" s="13"/>
      <c r="F96" s="13"/>
      <c r="G96" s="13"/>
      <c r="H96" s="13"/>
      <c r="I96" s="15">
        <f>iferror(vlookup(A96,'Inst Lending numbers'!A:D,4,false)," ")</f>
        <v>0.0857</v>
      </c>
      <c r="J96" s="13"/>
      <c r="K96" s="13">
        <v>0.0</v>
      </c>
      <c r="L96" s="13">
        <v>0.0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 t="str">
        <f>iferror(sumif('Weekly Rates'!D:D,A96,'Weekly Rates'!F:F)/countif('Weekly Rates'!D:D,A96))</f>
        <v/>
      </c>
      <c r="AE96" s="13"/>
      <c r="AF96" s="13"/>
      <c r="AG96" s="13"/>
      <c r="AH96" s="13"/>
      <c r="AI96" s="13"/>
      <c r="AJ96" s="13"/>
      <c r="AK96" s="13"/>
      <c r="AL96" s="13" t="str">
        <f>iferror(VLOOKUP($A96,EAM!A$2:E$14,2,FALSE))</f>
        <v/>
      </c>
      <c r="AM96" s="13"/>
      <c r="AN96" s="13">
        <f>sumif('Weekly Rates'!A:A,A96,'Weekly Rates'!B:B)</f>
        <v>0.2313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>
        <v>0.0805</v>
      </c>
      <c r="BN96" s="13"/>
      <c r="BO96" s="13"/>
      <c r="BP96" s="13"/>
      <c r="BQ96" s="13">
        <v>0.0945</v>
      </c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>
        <v>0.1682</v>
      </c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>
        <v>0.0</v>
      </c>
      <c r="DS96" s="13"/>
      <c r="DT96" s="13"/>
      <c r="DU96" s="13">
        <v>0.1682</v>
      </c>
      <c r="DV96" s="13"/>
      <c r="DW96" s="13"/>
      <c r="DX96" s="13"/>
      <c r="DY96" s="13"/>
      <c r="DZ96" s="13"/>
      <c r="EA96" s="13"/>
      <c r="EB96" s="13"/>
      <c r="EC96" s="13"/>
      <c r="ED96" s="13"/>
      <c r="EE96" s="13"/>
    </row>
    <row r="97" ht="15.75" customHeight="1">
      <c r="A97" s="11" t="s">
        <v>254</v>
      </c>
      <c r="B97" s="13"/>
      <c r="C97" s="13"/>
      <c r="D97" s="13"/>
      <c r="E97" s="13"/>
      <c r="F97" s="13"/>
      <c r="G97" s="13"/>
      <c r="H97" s="13"/>
      <c r="I97" s="15" t="str">
        <f>iferror(vlookup(A97,'Inst Lending numbers'!A:D,4,false)," ")</f>
        <v> </v>
      </c>
      <c r="J97" s="13"/>
      <c r="K97" s="13">
        <v>0.0</v>
      </c>
      <c r="L97" s="13">
        <v>0.0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 t="str">
        <f>iferror(sumif('Weekly Rates'!D:D,A97,'Weekly Rates'!F:F)/countif('Weekly Rates'!D:D,A97))</f>
        <v/>
      </c>
      <c r="AE97" s="13"/>
      <c r="AF97" s="13"/>
      <c r="AG97" s="13"/>
      <c r="AH97" s="13"/>
      <c r="AI97" s="13"/>
      <c r="AJ97" s="13"/>
      <c r="AK97" s="13"/>
      <c r="AL97" s="13" t="str">
        <f>iferror(VLOOKUP($A97,EAM!A$2:E$14,2,FALSE))</f>
        <v/>
      </c>
      <c r="AM97" s="13"/>
      <c r="AN97" s="13">
        <f>sumif('Weekly Rates'!A:A,A97,'Weekly Rates'!B:B)</f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>
        <v>0.0</v>
      </c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</row>
    <row r="98" ht="15.75" customHeight="1">
      <c r="A98" s="11" t="s">
        <v>255</v>
      </c>
      <c r="B98" s="13"/>
      <c r="C98" s="13"/>
      <c r="D98" s="13"/>
      <c r="E98" s="13"/>
      <c r="F98" s="13"/>
      <c r="G98" s="13"/>
      <c r="H98" s="13"/>
      <c r="I98" s="15" t="str">
        <f>iferror(vlookup(A98,'Inst Lending numbers'!A:D,4,false)," ")</f>
        <v> </v>
      </c>
      <c r="J98" s="13"/>
      <c r="K98" s="13">
        <v>0.0</v>
      </c>
      <c r="L98" s="13">
        <v>0.0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 t="str">
        <f>iferror(sumif('Weekly Rates'!D:D,A98,'Weekly Rates'!F:F)/countif('Weekly Rates'!D:D,A98))</f>
        <v/>
      </c>
      <c r="AE98" s="13"/>
      <c r="AF98" s="13"/>
      <c r="AG98" s="13"/>
      <c r="AH98" s="13"/>
      <c r="AI98" s="13"/>
      <c r="AJ98" s="13"/>
      <c r="AK98" s="13"/>
      <c r="AL98" s="13" t="str">
        <f>iferror(VLOOKUP($A98,EAM!A$2:E$14,2,FALSE))</f>
        <v/>
      </c>
      <c r="AM98" s="13"/>
      <c r="AN98" s="13">
        <f>sumif('Weekly Rates'!A:A,A98,'Weekly Rates'!B:B)</f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>
        <v>0.0</v>
      </c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</row>
    <row r="99" ht="15.75" customHeight="1">
      <c r="A99" s="11" t="s">
        <v>256</v>
      </c>
      <c r="B99" s="13"/>
      <c r="C99" s="13"/>
      <c r="D99" s="13"/>
      <c r="E99" s="13"/>
      <c r="F99" s="13"/>
      <c r="G99" s="13"/>
      <c r="H99" s="13"/>
      <c r="I99" s="15" t="str">
        <f>iferror(vlookup(A99,'Inst Lending numbers'!A:D,4,false)," ")</f>
        <v> </v>
      </c>
      <c r="J99" s="13"/>
      <c r="K99" s="13">
        <v>0.0</v>
      </c>
      <c r="L99" s="13">
        <v>0.0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 t="str">
        <f>iferror(sumif('Weekly Rates'!D:D,A99,'Weekly Rates'!F:F)/countif('Weekly Rates'!D:D,A99))</f>
        <v/>
      </c>
      <c r="AE99" s="13"/>
      <c r="AF99" s="13"/>
      <c r="AG99" s="13"/>
      <c r="AH99" s="13"/>
      <c r="AI99" s="13"/>
      <c r="AJ99" s="13"/>
      <c r="AK99" s="13"/>
      <c r="AL99" s="13" t="str">
        <f>iferror(VLOOKUP($A99,EAM!A$2:E$14,2,FALSE))</f>
        <v/>
      </c>
      <c r="AM99" s="13"/>
      <c r="AN99" s="13">
        <f>sumif('Weekly Rates'!A:A,A99,'Weekly Rates'!B:B)</f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>
        <v>0.0</v>
      </c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</row>
    <row r="100" ht="15.75" customHeight="1">
      <c r="A100" s="11" t="s">
        <v>257</v>
      </c>
      <c r="B100" s="13"/>
      <c r="C100" s="13"/>
      <c r="D100" s="13"/>
      <c r="E100" s="13"/>
      <c r="F100" s="13"/>
      <c r="G100" s="13"/>
      <c r="H100" s="13"/>
      <c r="I100" s="15">
        <f>iferror(vlookup(A100,'Inst Lending numbers'!A:D,4,false)," ")</f>
        <v>0.0503</v>
      </c>
      <c r="J100" s="13"/>
      <c r="K100" s="13">
        <v>0.0</v>
      </c>
      <c r="L100" s="13">
        <v>0.0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 t="str">
        <f>iferror(sumif('Weekly Rates'!D:D,A100,'Weekly Rates'!F:F)/countif('Weekly Rates'!D:D,A100))</f>
        <v/>
      </c>
      <c r="AE100" s="13"/>
      <c r="AF100" s="13"/>
      <c r="AG100" s="13"/>
      <c r="AH100" s="13"/>
      <c r="AI100" s="13"/>
      <c r="AJ100" s="13"/>
      <c r="AK100" s="13"/>
      <c r="AL100" s="13" t="str">
        <f>iferror(VLOOKUP($A100,EAM!A$2:E$14,2,FALSE))</f>
        <v/>
      </c>
      <c r="AM100" s="13"/>
      <c r="AN100" s="13">
        <f>sumif('Weekly Rates'!A:A,A100,'Weekly Rates'!B:B)</f>
        <v>0.0413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>
        <v>0.0</v>
      </c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</row>
    <row r="101" ht="15.75" customHeight="1">
      <c r="A101" s="11" t="s">
        <v>258</v>
      </c>
      <c r="B101" s="13"/>
      <c r="C101" s="13"/>
      <c r="D101" s="13"/>
      <c r="E101" s="13"/>
      <c r="F101" s="13"/>
      <c r="G101" s="13"/>
      <c r="H101" s="13"/>
      <c r="I101" s="15">
        <f>iferror(vlookup(A101,'Inst Lending numbers'!A:D,4,false)," ")</f>
        <v>0.0462</v>
      </c>
      <c r="J101" s="13"/>
      <c r="K101" s="13">
        <v>0.0</v>
      </c>
      <c r="L101" s="13">
        <v>0.0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 t="str">
        <f>iferror(sumif('Weekly Rates'!D:D,A101,'Weekly Rates'!F:F)/countif('Weekly Rates'!D:D,A101))</f>
        <v/>
      </c>
      <c r="AE101" s="13"/>
      <c r="AF101" s="13"/>
      <c r="AG101" s="13"/>
      <c r="AH101" s="13"/>
      <c r="AI101" s="13"/>
      <c r="AJ101" s="13"/>
      <c r="AK101" s="13"/>
      <c r="AL101" s="13" t="str">
        <f>iferror(VLOOKUP($A101,EAM!A$2:E$14,2,FALSE))</f>
        <v/>
      </c>
      <c r="AM101" s="13"/>
      <c r="AN101" s="13">
        <f>sumif('Weekly Rates'!A:A,A101,'Weekly Rates'!B:B)</f>
        <v>0.0066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>
        <v>0.0</v>
      </c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</row>
    <row r="102" ht="15.75" customHeight="1">
      <c r="A102" s="7" t="s">
        <v>259</v>
      </c>
      <c r="B102" s="13"/>
      <c r="C102" s="13"/>
      <c r="D102" s="13"/>
      <c r="E102" s="13"/>
      <c r="F102" s="13"/>
      <c r="G102" s="13"/>
      <c r="H102" s="13"/>
      <c r="I102" s="15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 t="str">
        <f>iferror(sumif('Weekly Rates'!D:D,A102,'Weekly Rates'!F:F)/countif('Weekly Rates'!D:D,A102))</f>
        <v/>
      </c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</row>
    <row r="103" ht="15.75" customHeight="1">
      <c r="A103" s="11" t="s">
        <v>260</v>
      </c>
      <c r="B103" s="13"/>
      <c r="C103" s="13"/>
      <c r="D103" s="13"/>
      <c r="E103" s="13"/>
      <c r="F103" s="13"/>
      <c r="G103" s="13"/>
      <c r="H103" s="13"/>
      <c r="I103" s="15">
        <f>iferror(vlookup(A103,'Inst Lending numbers'!A:D,4,false)," ")</f>
        <v>0.0831</v>
      </c>
      <c r="J103" s="13"/>
      <c r="K103" s="13">
        <v>0.0</v>
      </c>
      <c r="L103" s="13">
        <v>0.0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 t="str">
        <f>iferror(sumif('Weekly Rates'!D:D,A103,'Weekly Rates'!F:F)/countif('Weekly Rates'!D:D,A103))</f>
        <v/>
      </c>
      <c r="AE103" s="13"/>
      <c r="AF103" s="13"/>
      <c r="AG103" s="13"/>
      <c r="AH103" s="13"/>
      <c r="AI103" s="13"/>
      <c r="AJ103" s="13"/>
      <c r="AK103" s="13"/>
      <c r="AL103" s="13" t="str">
        <f>iferror(VLOOKUP($A103,EAM!A$2:E$14,2,FALSE))</f>
        <v/>
      </c>
      <c r="AM103" s="13"/>
      <c r="AN103" s="13">
        <f>sumif('Weekly Rates'!A:A,A103,'Weekly Rates'!B:B)</f>
        <v>0</v>
      </c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>
        <v>0.0</v>
      </c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</row>
    <row r="104" ht="15.75" customHeight="1">
      <c r="A104" s="7" t="s">
        <v>67</v>
      </c>
      <c r="B104" s="13"/>
      <c r="C104" s="13"/>
      <c r="D104" s="13"/>
      <c r="E104" s="13"/>
      <c r="F104" s="13"/>
      <c r="G104" s="13"/>
      <c r="H104" s="13"/>
      <c r="I104" s="15"/>
      <c r="J104" s="13"/>
      <c r="K104" s="13">
        <v>0.0</v>
      </c>
      <c r="L104" s="13">
        <v>0.0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 t="str">
        <f>iferror(sumif('Weekly Rates'!D:D,A104,'Weekly Rates'!F:F)/countif('Weekly Rates'!D:D,A104))</f>
        <v/>
      </c>
      <c r="AE104" s="13"/>
      <c r="AF104" s="13"/>
      <c r="AG104" s="13"/>
      <c r="AH104" s="13"/>
      <c r="AI104" s="13"/>
      <c r="AJ104" s="13"/>
      <c r="AK104" s="13"/>
      <c r="AL104" s="13" t="str">
        <f>iferror(VLOOKUP($A104,EAM!A$2:E$14,2,FALSE))</f>
        <v/>
      </c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>
        <v>0.0</v>
      </c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</row>
    <row r="105" ht="15.75" customHeight="1">
      <c r="A105" s="11" t="s">
        <v>261</v>
      </c>
      <c r="B105" s="13"/>
      <c r="C105" s="13"/>
      <c r="D105" s="13"/>
      <c r="E105" s="13"/>
      <c r="F105" s="13"/>
      <c r="G105" s="13"/>
      <c r="H105" s="13"/>
      <c r="I105" s="15">
        <f>iferror(vlookup(A105,'Inst Lending numbers'!A:D,4,false)," ")</f>
        <v>0.0386</v>
      </c>
      <c r="J105" s="13"/>
      <c r="K105" s="13">
        <v>0.0</v>
      </c>
      <c r="L105" s="13">
        <v>0.0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 t="str">
        <f>iferror(sumif('Weekly Rates'!D:D,A105,'Weekly Rates'!F:F)/countif('Weekly Rates'!D:D,A105))</f>
        <v/>
      </c>
      <c r="AE105" s="13"/>
      <c r="AF105" s="13"/>
      <c r="AG105" s="13"/>
      <c r="AH105" s="13"/>
      <c r="AI105" s="13"/>
      <c r="AJ105" s="13"/>
      <c r="AK105" s="13"/>
      <c r="AL105" s="13" t="str">
        <f>iferror(VLOOKUP($A105,EAM!A$2:E$14,2,FALSE))</f>
        <v/>
      </c>
      <c r="AM105" s="13"/>
      <c r="AN105" s="13">
        <f>sumif('Weekly Rates'!A:A,A105,'Weekly Rates'!B:B)</f>
        <v>0</v>
      </c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>
        <v>0.0</v>
      </c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</row>
    <row r="106" ht="15.75" customHeight="1">
      <c r="A106" s="11" t="s">
        <v>262</v>
      </c>
      <c r="B106" s="13"/>
      <c r="C106" s="13"/>
      <c r="D106" s="13"/>
      <c r="E106" s="13"/>
      <c r="F106" s="13"/>
      <c r="G106" s="13"/>
      <c r="H106" s="13"/>
      <c r="I106" s="15">
        <f>iferror(vlookup(A106,'Inst Lending numbers'!A:D,4,false)," ")</f>
        <v>0.0557</v>
      </c>
      <c r="J106" s="13"/>
      <c r="K106" s="13">
        <v>0.02</v>
      </c>
      <c r="L106" s="13">
        <v>0.0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 t="str">
        <f>iferror(sumif('Weekly Rates'!D:D,A106,'Weekly Rates'!F:F)/countif('Weekly Rates'!D:D,A106))</f>
        <v/>
      </c>
      <c r="AE106" s="13"/>
      <c r="AF106" s="13"/>
      <c r="AG106" s="13"/>
      <c r="AH106" s="13"/>
      <c r="AI106" s="13"/>
      <c r="AJ106" s="13"/>
      <c r="AK106" s="13"/>
      <c r="AL106" s="13" t="str">
        <f>iferror(VLOOKUP($A106,EAM!A$2:E$14,2,FALSE))</f>
        <v/>
      </c>
      <c r="AM106" s="13"/>
      <c r="AN106" s="13">
        <f>sumif('Weekly Rates'!A:A,A106,'Weekly Rates'!B:B)</f>
        <v>0.0486</v>
      </c>
      <c r="AO106" s="13"/>
      <c r="AP106" s="13"/>
      <c r="AQ106" s="13"/>
      <c r="AR106" s="13"/>
      <c r="AS106" s="13"/>
      <c r="AT106" s="13"/>
      <c r="AU106" s="13"/>
      <c r="AV106" s="13"/>
      <c r="AW106" s="13">
        <v>0.0221</v>
      </c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>
        <v>0.0</v>
      </c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</row>
    <row r="107" ht="15.75" customHeight="1">
      <c r="A107" s="11" t="s">
        <v>263</v>
      </c>
      <c r="B107" s="13"/>
      <c r="C107" s="13"/>
      <c r="D107" s="13"/>
      <c r="E107" s="13"/>
      <c r="F107" s="13"/>
      <c r="G107" s="13"/>
      <c r="H107" s="13"/>
      <c r="I107" s="15" t="str">
        <f>iferror(vlookup(A107,'Inst Lending numbers'!A:D,4,false)," ")</f>
        <v> </v>
      </c>
      <c r="J107" s="13"/>
      <c r="K107" s="13">
        <v>0.0</v>
      </c>
      <c r="L107" s="13">
        <v>0.0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 t="str">
        <f>iferror(sumif('Weekly Rates'!D:D,A107,'Weekly Rates'!F:F)/countif('Weekly Rates'!D:D,A107))</f>
        <v/>
      </c>
      <c r="AE107" s="13"/>
      <c r="AF107" s="13"/>
      <c r="AG107" s="13"/>
      <c r="AH107" s="13"/>
      <c r="AI107" s="13"/>
      <c r="AJ107" s="13"/>
      <c r="AK107" s="13"/>
      <c r="AL107" s="13" t="str">
        <f>iferror(VLOOKUP($A107,EAM!A$2:E$14,2,FALSE))</f>
        <v/>
      </c>
      <c r="AM107" s="13"/>
      <c r="AN107" s="13">
        <f>sumif('Weekly Rates'!A:A,A107,'Weekly Rates'!B:B)</f>
        <v>0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>
        <v>0.0</v>
      </c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</row>
    <row r="108" ht="15.75" customHeight="1">
      <c r="A108" s="7"/>
      <c r="DI108" s="7"/>
    </row>
    <row r="109" ht="15.75" customHeight="1">
      <c r="A109" s="7" t="s">
        <v>264</v>
      </c>
      <c r="B109" s="11">
        <f t="shared" ref="B109:EE109" si="1">COUNT(B6:B108)</f>
        <v>1</v>
      </c>
      <c r="C109" s="11">
        <f t="shared" si="1"/>
        <v>0</v>
      </c>
      <c r="D109" s="11">
        <f t="shared" si="1"/>
        <v>0</v>
      </c>
      <c r="E109" s="11">
        <f t="shared" si="1"/>
        <v>0</v>
      </c>
      <c r="F109" s="11">
        <f t="shared" si="1"/>
        <v>0</v>
      </c>
      <c r="G109" s="11">
        <f t="shared" si="1"/>
        <v>0</v>
      </c>
      <c r="H109" s="11">
        <f t="shared" si="1"/>
        <v>0</v>
      </c>
      <c r="I109" s="11">
        <f t="shared" si="1"/>
        <v>42</v>
      </c>
      <c r="J109" s="11">
        <f t="shared" si="1"/>
        <v>0</v>
      </c>
      <c r="K109" s="11">
        <f t="shared" si="1"/>
        <v>99</v>
      </c>
      <c r="L109" s="11">
        <f t="shared" si="1"/>
        <v>99</v>
      </c>
      <c r="M109" s="11">
        <f t="shared" si="1"/>
        <v>0</v>
      </c>
      <c r="N109" s="11">
        <f t="shared" si="1"/>
        <v>0</v>
      </c>
      <c r="O109" s="11">
        <f t="shared" si="1"/>
        <v>0</v>
      </c>
      <c r="P109" s="11">
        <f t="shared" si="1"/>
        <v>0</v>
      </c>
      <c r="Q109" s="11">
        <f t="shared" si="1"/>
        <v>0</v>
      </c>
      <c r="R109" s="11">
        <f t="shared" si="1"/>
        <v>0</v>
      </c>
      <c r="S109" s="11">
        <f t="shared" si="1"/>
        <v>0</v>
      </c>
      <c r="T109" s="11">
        <f t="shared" si="1"/>
        <v>0</v>
      </c>
      <c r="U109" s="11">
        <f t="shared" si="1"/>
        <v>0</v>
      </c>
      <c r="V109" s="11">
        <f t="shared" si="1"/>
        <v>0</v>
      </c>
      <c r="W109" s="11">
        <f t="shared" si="1"/>
        <v>2</v>
      </c>
      <c r="X109" s="11">
        <f t="shared" si="1"/>
        <v>0</v>
      </c>
      <c r="Y109" s="11">
        <f t="shared" si="1"/>
        <v>0</v>
      </c>
      <c r="Z109" s="11">
        <f t="shared" si="1"/>
        <v>0</v>
      </c>
      <c r="AA109" s="11">
        <f t="shared" si="1"/>
        <v>0</v>
      </c>
      <c r="AB109" s="11">
        <f t="shared" si="1"/>
        <v>3</v>
      </c>
      <c r="AC109" s="11">
        <f t="shared" si="1"/>
        <v>0</v>
      </c>
      <c r="AD109" s="11">
        <f t="shared" si="1"/>
        <v>8</v>
      </c>
      <c r="AE109" s="11">
        <f t="shared" si="1"/>
        <v>0</v>
      </c>
      <c r="AF109" s="11">
        <f t="shared" si="1"/>
        <v>3</v>
      </c>
      <c r="AG109" s="11">
        <f t="shared" si="1"/>
        <v>2</v>
      </c>
      <c r="AH109" s="11">
        <f t="shared" si="1"/>
        <v>5</v>
      </c>
      <c r="AI109" s="11">
        <f t="shared" si="1"/>
        <v>3</v>
      </c>
      <c r="AJ109" s="11">
        <f t="shared" si="1"/>
        <v>9</v>
      </c>
      <c r="AK109" s="11">
        <f t="shared" si="1"/>
        <v>5</v>
      </c>
      <c r="AL109" s="11">
        <f t="shared" si="1"/>
        <v>5</v>
      </c>
      <c r="AM109" s="11">
        <f t="shared" si="1"/>
        <v>0</v>
      </c>
      <c r="AN109" s="11">
        <f t="shared" si="1"/>
        <v>93</v>
      </c>
      <c r="AO109" s="11">
        <f t="shared" si="1"/>
        <v>0</v>
      </c>
      <c r="AP109" s="11">
        <f t="shared" si="1"/>
        <v>0</v>
      </c>
      <c r="AQ109" s="11">
        <f t="shared" si="1"/>
        <v>0</v>
      </c>
      <c r="AR109" s="11">
        <f t="shared" si="1"/>
        <v>0</v>
      </c>
      <c r="AS109" s="11">
        <f t="shared" si="1"/>
        <v>0</v>
      </c>
      <c r="AT109" s="11">
        <f t="shared" si="1"/>
        <v>1</v>
      </c>
      <c r="AU109" s="11">
        <f t="shared" si="1"/>
        <v>1</v>
      </c>
      <c r="AV109" s="11">
        <f t="shared" si="1"/>
        <v>0</v>
      </c>
      <c r="AW109" s="11">
        <f t="shared" si="1"/>
        <v>11</v>
      </c>
      <c r="AX109" s="11">
        <f t="shared" si="1"/>
        <v>0</v>
      </c>
      <c r="AY109" s="11">
        <f t="shared" si="1"/>
        <v>1</v>
      </c>
      <c r="AZ109" s="11">
        <f t="shared" si="1"/>
        <v>1</v>
      </c>
      <c r="BA109" s="11">
        <f t="shared" si="1"/>
        <v>3</v>
      </c>
      <c r="BB109" s="11">
        <f t="shared" si="1"/>
        <v>6</v>
      </c>
      <c r="BC109" s="11">
        <f t="shared" si="1"/>
        <v>5</v>
      </c>
      <c r="BD109" s="11">
        <f t="shared" si="1"/>
        <v>0</v>
      </c>
      <c r="BE109" s="11">
        <f t="shared" si="1"/>
        <v>2</v>
      </c>
      <c r="BF109" s="11">
        <f t="shared" si="1"/>
        <v>2</v>
      </c>
      <c r="BG109" s="11">
        <f t="shared" si="1"/>
        <v>5</v>
      </c>
      <c r="BH109" s="11">
        <f t="shared" si="1"/>
        <v>2</v>
      </c>
      <c r="BI109" s="11">
        <f t="shared" si="1"/>
        <v>2</v>
      </c>
      <c r="BJ109" s="11">
        <f t="shared" si="1"/>
        <v>2</v>
      </c>
      <c r="BK109" s="11">
        <f t="shared" si="1"/>
        <v>2</v>
      </c>
      <c r="BL109" s="11">
        <f t="shared" si="1"/>
        <v>2</v>
      </c>
      <c r="BM109" s="11">
        <f t="shared" si="1"/>
        <v>2</v>
      </c>
      <c r="BN109" s="11">
        <f t="shared" si="1"/>
        <v>3</v>
      </c>
      <c r="BO109" s="11">
        <f t="shared" si="1"/>
        <v>0</v>
      </c>
      <c r="BP109" s="11">
        <f t="shared" si="1"/>
        <v>1</v>
      </c>
      <c r="BQ109" s="11">
        <f t="shared" si="1"/>
        <v>3</v>
      </c>
      <c r="BR109" s="11">
        <f t="shared" si="1"/>
        <v>1</v>
      </c>
      <c r="BS109" s="11">
        <f t="shared" si="1"/>
        <v>2</v>
      </c>
      <c r="BT109" s="11">
        <f t="shared" si="1"/>
        <v>2</v>
      </c>
      <c r="BU109" s="11">
        <f t="shared" si="1"/>
        <v>2</v>
      </c>
      <c r="BV109" s="11">
        <f t="shared" si="1"/>
        <v>2</v>
      </c>
      <c r="BW109" s="11">
        <f t="shared" si="1"/>
        <v>0</v>
      </c>
      <c r="BX109" s="11">
        <f t="shared" si="1"/>
        <v>2</v>
      </c>
      <c r="BY109" s="11">
        <f t="shared" si="1"/>
        <v>2</v>
      </c>
      <c r="BZ109" s="11">
        <f t="shared" si="1"/>
        <v>0</v>
      </c>
      <c r="CA109" s="11">
        <f t="shared" si="1"/>
        <v>1</v>
      </c>
      <c r="CB109" s="11">
        <f t="shared" si="1"/>
        <v>1</v>
      </c>
      <c r="CC109" s="11">
        <f t="shared" si="1"/>
        <v>1</v>
      </c>
      <c r="CD109" s="11">
        <f t="shared" si="1"/>
        <v>3</v>
      </c>
      <c r="CE109" s="11">
        <f t="shared" si="1"/>
        <v>3</v>
      </c>
      <c r="CF109" s="11">
        <f t="shared" si="1"/>
        <v>3</v>
      </c>
      <c r="CG109" s="11">
        <f t="shared" si="1"/>
        <v>0</v>
      </c>
      <c r="CH109" s="11">
        <f t="shared" si="1"/>
        <v>0</v>
      </c>
      <c r="CI109" s="11">
        <f t="shared" si="1"/>
        <v>0</v>
      </c>
      <c r="CJ109" s="11">
        <f t="shared" si="1"/>
        <v>1</v>
      </c>
      <c r="CK109" s="11">
        <f t="shared" si="1"/>
        <v>0</v>
      </c>
      <c r="CL109" s="11">
        <f t="shared" si="1"/>
        <v>0</v>
      </c>
      <c r="CM109" s="11">
        <f t="shared" si="1"/>
        <v>1</v>
      </c>
      <c r="CN109" s="11">
        <f t="shared" si="1"/>
        <v>0</v>
      </c>
      <c r="CO109" s="11">
        <f t="shared" si="1"/>
        <v>0</v>
      </c>
      <c r="CP109" s="11">
        <f t="shared" si="1"/>
        <v>0</v>
      </c>
      <c r="CQ109" s="11">
        <f t="shared" si="1"/>
        <v>1</v>
      </c>
      <c r="CR109" s="11">
        <f t="shared" si="1"/>
        <v>1</v>
      </c>
      <c r="CS109" s="11">
        <f t="shared" si="1"/>
        <v>1</v>
      </c>
      <c r="CT109" s="11">
        <f t="shared" si="1"/>
        <v>0</v>
      </c>
      <c r="CU109" s="11">
        <f t="shared" si="1"/>
        <v>0</v>
      </c>
      <c r="CV109" s="11">
        <f t="shared" si="1"/>
        <v>1</v>
      </c>
      <c r="CW109" s="11">
        <f t="shared" si="1"/>
        <v>0</v>
      </c>
      <c r="CX109" s="11">
        <f t="shared" si="1"/>
        <v>3</v>
      </c>
      <c r="CY109" s="11">
        <f t="shared" si="1"/>
        <v>4</v>
      </c>
      <c r="CZ109" s="11">
        <f t="shared" si="1"/>
        <v>2</v>
      </c>
      <c r="DA109" s="11">
        <f t="shared" si="1"/>
        <v>0</v>
      </c>
      <c r="DB109" s="11">
        <f t="shared" si="1"/>
        <v>0</v>
      </c>
      <c r="DC109" s="11">
        <f t="shared" si="1"/>
        <v>0</v>
      </c>
      <c r="DD109" s="11">
        <f t="shared" si="1"/>
        <v>0</v>
      </c>
      <c r="DE109" s="11">
        <f t="shared" si="1"/>
        <v>2</v>
      </c>
      <c r="DF109" s="11">
        <f t="shared" si="1"/>
        <v>0</v>
      </c>
      <c r="DG109" s="11">
        <f t="shared" si="1"/>
        <v>0</v>
      </c>
      <c r="DH109" s="11">
        <f t="shared" si="1"/>
        <v>0</v>
      </c>
      <c r="DI109" s="7">
        <f t="shared" si="1"/>
        <v>3</v>
      </c>
      <c r="DJ109" s="11">
        <f t="shared" si="1"/>
        <v>2</v>
      </c>
      <c r="DK109" s="11">
        <f t="shared" si="1"/>
        <v>0</v>
      </c>
      <c r="DL109" s="11">
        <f t="shared" si="1"/>
        <v>0</v>
      </c>
      <c r="DM109" s="11">
        <f t="shared" si="1"/>
        <v>1</v>
      </c>
      <c r="DN109" s="11">
        <f t="shared" si="1"/>
        <v>2</v>
      </c>
      <c r="DO109" s="11">
        <f t="shared" si="1"/>
        <v>2</v>
      </c>
      <c r="DP109" s="11">
        <f t="shared" si="1"/>
        <v>0</v>
      </c>
      <c r="DQ109" s="11">
        <f t="shared" si="1"/>
        <v>0</v>
      </c>
      <c r="DR109" s="11">
        <f t="shared" si="1"/>
        <v>55</v>
      </c>
      <c r="DS109" s="11">
        <f t="shared" si="1"/>
        <v>2</v>
      </c>
      <c r="DT109" s="11">
        <f t="shared" si="1"/>
        <v>1</v>
      </c>
      <c r="DU109" s="11">
        <f t="shared" si="1"/>
        <v>4</v>
      </c>
      <c r="DV109" s="11">
        <f t="shared" si="1"/>
        <v>0</v>
      </c>
      <c r="DW109" s="11">
        <f t="shared" si="1"/>
        <v>0</v>
      </c>
      <c r="DX109" s="11">
        <f t="shared" si="1"/>
        <v>0</v>
      </c>
      <c r="DY109" s="11">
        <f t="shared" si="1"/>
        <v>1</v>
      </c>
      <c r="DZ109" s="11">
        <f t="shared" si="1"/>
        <v>0</v>
      </c>
      <c r="EA109" s="11">
        <f t="shared" si="1"/>
        <v>1</v>
      </c>
      <c r="EB109" s="11">
        <f t="shared" si="1"/>
        <v>1</v>
      </c>
      <c r="EC109" s="11">
        <f t="shared" si="1"/>
        <v>1</v>
      </c>
      <c r="ED109" s="11">
        <f t="shared" si="1"/>
        <v>0</v>
      </c>
      <c r="EE109" s="11">
        <f t="shared" si="1"/>
        <v>0</v>
      </c>
    </row>
    <row r="110" ht="15.75" customHeight="1">
      <c r="AL110" s="13" t="str">
        <f>iferror(VLOOKUP($A110,EAM!H$2:I$14,2,FALSE))</f>
        <v/>
      </c>
      <c r="AN110" s="18"/>
      <c r="AT110" s="13" t="str">
        <f t="array" ref="AT110">iferror(INDEX('Import from defimon'!$1:$100,MATCH(AT$1,'Import from defimon'!$A:$A,0),MATCH($A110,'Import from defimon'!$1:$1,0)))</f>
        <v/>
      </c>
      <c r="BA110" s="13" t="str">
        <f t="array" ref="BA110">iferror(INDEX('Import from defimon'!$1:$100,MATCH(BA$1,'Import from defimon'!$A:$A,0),MATCH($A110,'Import from defimon'!$1:$1,0)))</f>
        <v/>
      </c>
      <c r="BC110" s="13" t="str">
        <f t="array" ref="BC110">iferror(INDEX('Import from defimon'!$1:$100,MATCH(BC$1,'Import from defimon'!$A:$A,0),MATCH($A110,'Import from defimon'!$1:$1,0)))</f>
        <v/>
      </c>
      <c r="BD110" s="13" t="str">
        <f t="array" ref="BD110">iferror(INDEX('Import from defimon'!$1:$100,MATCH(BD$1,'Import from defimon'!$A:$A,0),MATCH($A110,'Import from defimon'!$1:$1,0)))</f>
        <v/>
      </c>
      <c r="BE110" s="13" t="str">
        <f t="array" ref="BE110">iferror(INDEX('Import from defimon'!$1:$100,MATCH(BE$1,'Import from defimon'!$A:$A,0),MATCH($A110,'Import from defimon'!$1:$1,0)))</f>
        <v/>
      </c>
      <c r="BF110" s="13" t="str">
        <f t="array" ref="BF110">iferror(INDEX('Import from defimon'!$1:$100,MATCH(BF$1,'Import from defimon'!$A:$A,0),MATCH($A110,'Import from defimon'!$1:$1,0)))</f>
        <v/>
      </c>
      <c r="BG110" s="13" t="str">
        <f t="array" ref="BG110">iferror(INDEX('Import from defimon'!$1:$100,MATCH(BG$1,'Import from defimon'!$A:$A,0),MATCH($A110,'Import from defimon'!$1:$1,0)))</f>
        <v/>
      </c>
      <c r="BH110" s="13" t="str">
        <f t="array" ref="BH110">iferror(INDEX('Import from defimon'!$1:$100,MATCH(BH$1,'Import from defimon'!$A:$A,0),MATCH($A110,'Import from defimon'!$1:$1,0)))</f>
        <v/>
      </c>
      <c r="BI110" s="13" t="str">
        <f t="array" ref="BI110">iferror(INDEX('Import from defimon'!$1:$100,MATCH(BI$1,'Import from defimon'!$A:$A,0),MATCH($A110,'Import from defimon'!$1:$1,0)))</f>
        <v/>
      </c>
      <c r="BJ110" s="13" t="str">
        <f t="array" ref="BJ110">iferror(INDEX('Import from defimon'!$1:$100,MATCH(BJ$1,'Import from defimon'!$A:$A,0),MATCH($A110,'Import from defimon'!$1:$1,0)))</f>
        <v/>
      </c>
      <c r="BK110" s="13" t="str">
        <f t="array" ref="BK110">iferror(INDEX('Import from defimon'!$1:$100,MATCH(BK$1,'Import from defimon'!$A:$A,0),MATCH($A110,'Import from defimon'!$1:$1,0)))</f>
        <v/>
      </c>
      <c r="BL110" s="13" t="str">
        <f t="array" ref="BL110">iferror(INDEX('Import from defimon'!$1:$100,MATCH(BL$1,'Import from defimon'!$A:$A,0),MATCH($A110,'Import from defimon'!$1:$1,0)))</f>
        <v/>
      </c>
      <c r="BN110" s="13" t="str">
        <f t="array" ref="BN110">iferror(INDEX('Import from defimon'!$1:$100,MATCH(BN$1,'Import from defimon'!$A:$A,0),MATCH($A110,'Import from defimon'!$1:$1,0)))</f>
        <v/>
      </c>
      <c r="BO110" s="13" t="str">
        <f t="array" ref="BO110">iferror(INDEX('Import from defimon'!$1:$100,MATCH(BO$1,'Import from defimon'!$A:$A,0),MATCH($A110,'Import from defimon'!$1:$1,0)))</f>
        <v/>
      </c>
      <c r="BP110" s="13" t="str">
        <f t="array" ref="BP110">iferror(INDEX('Import from defimon'!$1:$100,MATCH(BP$1,'Import from defimon'!$A:$A,0),MATCH($A110,'Import from defimon'!$1:$1,0)))</f>
        <v/>
      </c>
      <c r="BS110" s="13" t="str">
        <f t="array" ref="BS110">iferror(INDEX('Import from defimon'!$1:$100,MATCH(BS$1,'Import from defimon'!$A:$A,0),MATCH($A110,'Import from defimon'!$1:$1,0)))</f>
        <v/>
      </c>
      <c r="BT110" s="13" t="str">
        <f t="array" ref="BT110">iferror(INDEX('Import from defimon'!$1:$100,MATCH(BT$1,'Import from defimon'!$A:$A,0),MATCH($A110,'Import from defimon'!$1:$1,0)))</f>
        <v/>
      </c>
      <c r="BU110" s="13" t="str">
        <f t="array" ref="BU110">iferror(INDEX('Import from defimon'!$1:$100,MATCH(BU$1,'Import from defimon'!$A:$A,0),MATCH($A110,'Import from defimon'!$1:$1,0)))</f>
        <v/>
      </c>
      <c r="BV110" s="13" t="str">
        <f t="array" ref="BV110">iferror(INDEX('Import from defimon'!$1:$100,MATCH(BV$1,'Import from defimon'!$A:$A,0),MATCH($A110,'Import from defimon'!$1:$1,0)))</f>
        <v/>
      </c>
      <c r="BW110" s="13" t="str">
        <f t="array" ref="BW110">iferror(INDEX('Import from defimon'!$1:$100,MATCH(BW$1,'Import from defimon'!$A:$A,0),MATCH($A110,'Import from defimon'!$1:$1,0)))</f>
        <v/>
      </c>
      <c r="BX110" s="13" t="str">
        <f t="array" ref="BX110">iferror(INDEX('Import from defimon'!$1:$100,MATCH(BX$1,'Import from defimon'!$A:$A,0),MATCH($A110,'Import from defimon'!$1:$1,0)))</f>
        <v/>
      </c>
      <c r="BY110" s="13" t="str">
        <f t="array" ref="BY110">iferror(INDEX('Import from defimon'!$1:$100,MATCH(BY$1,'Import from defimon'!$A:$A,0),MATCH($A110,'Import from defimon'!$1:$1,0)))</f>
        <v/>
      </c>
      <c r="BZ110" s="13" t="str">
        <f t="array" ref="BZ110">iferror(INDEX('Import from defimon'!$1:$100,MATCH(BZ$1,'Import from defimon'!$A:$A,0),MATCH($A110,'Import from defimon'!$1:$1,0)))</f>
        <v/>
      </c>
      <c r="CA110" s="13" t="str">
        <f t="array" ref="CA110">iferror(INDEX('Import from defimon'!$1:$100,MATCH(CA$1,'Import from defimon'!$A:$A,0),MATCH($A110,'Import from defimon'!$1:$1,0)))</f>
        <v/>
      </c>
      <c r="CB110" s="13" t="str">
        <f t="array" ref="CB110">iferror(INDEX('Import from defimon'!$1:$100,MATCH(CB$1,'Import from defimon'!$A:$A,0),MATCH($A110,'Import from defimon'!$1:$1,0)))</f>
        <v/>
      </c>
      <c r="CC110" s="13" t="str">
        <f t="array" ref="CC110">iferror(INDEX('Import from defimon'!$1:$100,MATCH(CC$1,'Import from defimon'!$A:$A,0),MATCH($A110,'Import from defimon'!$1:$1,0)))</f>
        <v/>
      </c>
      <c r="CD110" s="13" t="str">
        <f t="array" ref="CD110">iferror(INDEX('Import from defimon'!$1:$100,MATCH(CD$1,'Import from defimon'!$A:$A,0),MATCH($A110,'Import from defimon'!$1:$1,0)))</f>
        <v/>
      </c>
      <c r="CE110" s="13" t="str">
        <f t="array" ref="CE110">iferror(INDEX('Import from defimon'!$1:$100,MATCH(CE$1,'Import from defimon'!$A:$A,0),MATCH($A110,'Import from defimon'!$1:$1,0)))</f>
        <v/>
      </c>
      <c r="CF110" s="13" t="str">
        <f t="array" ref="CF110">iferror(INDEX('Import from defimon'!$1:$100,MATCH(CF$1,'Import from defimon'!$A:$A,0),MATCH($A110,'Import from defimon'!$1:$1,0)))</f>
        <v/>
      </c>
      <c r="CH110" s="13" t="str">
        <f t="array" ref="CH110">iferror(INDEX('Import from defimon'!$1:$100,MATCH(CH$1,'Import from defimon'!$A:$A,0),MATCH($A110,'Import from defimon'!$1:$1,0)))</f>
        <v/>
      </c>
      <c r="CI110" s="13" t="str">
        <f t="array" ref="CI110">iferror(INDEX('Import from defimon'!$1:$100,MATCH(CI$1,'Import from defimon'!$A:$A,0),MATCH($A110,'Import from defimon'!$1:$1,0)))</f>
        <v/>
      </c>
      <c r="CJ110" s="13" t="str">
        <f t="array" ref="CJ110">iferror(INDEX('Import from defimon'!$1:$100,MATCH(CJ$1,'Import from defimon'!$A:$A,0),MATCH($A110,'Import from defimon'!$1:$1,0)))</f>
        <v/>
      </c>
      <c r="CQ110" s="13" t="str">
        <f t="array" ref="CQ110">iferror(INDEX('Import from defimon'!$1:$100,MATCH(CQ$1,'Import from defimon'!$A:$A,0),MATCH($A110,'Import from defimon'!$1:$1,0)))</f>
        <v/>
      </c>
      <c r="CR110" s="13" t="str">
        <f t="array" ref="CR110">iferror(INDEX('Import from defimon'!$1:$100,MATCH(CR$1,'Import from defimon'!$A:$A,0),MATCH($A110,'Import from defimon'!$1:$1,0)))</f>
        <v/>
      </c>
      <c r="CS110" s="13" t="str">
        <f t="array" ref="CS110">iferror(INDEX('Import from defimon'!$1:$100,MATCH(CS$1,'Import from defimon'!$A:$A,0),MATCH($A110,'Import from defimon'!$1:$1,0)))</f>
        <v/>
      </c>
    </row>
    <row r="111" ht="15.75" customHeight="1">
      <c r="AL111" s="13" t="str">
        <f>iferror(VLOOKUP($A111,EAM!H$2:I$14,2,FALSE))</f>
        <v/>
      </c>
      <c r="AN111" s="18"/>
      <c r="AT111" s="13" t="str">
        <f t="array" ref="AT111">iferror(INDEX('Import from defimon'!$1:$100,MATCH(AT$1,'Import from defimon'!$A:$A,0),MATCH($A111,'Import from defimon'!$1:$1,0)))</f>
        <v/>
      </c>
      <c r="BA111" s="13" t="str">
        <f t="array" ref="BA111">iferror(INDEX('Import from defimon'!$1:$100,MATCH(BA$1,'Import from defimon'!$A:$A,0),MATCH($A111,'Import from defimon'!$1:$1,0)))</f>
        <v/>
      </c>
      <c r="BC111" s="13" t="str">
        <f t="array" ref="BC111">iferror(INDEX('Import from defimon'!$1:$100,MATCH(BC$1,'Import from defimon'!$A:$A,0),MATCH($A111,'Import from defimon'!$1:$1,0)))</f>
        <v/>
      </c>
      <c r="BD111" s="13" t="str">
        <f t="array" ref="BD111">iferror(INDEX('Import from defimon'!$1:$100,MATCH(BD$1,'Import from defimon'!$A:$A,0),MATCH($A111,'Import from defimon'!$1:$1,0)))</f>
        <v/>
      </c>
      <c r="BE111" s="13" t="str">
        <f t="array" ref="BE111">iferror(INDEX('Import from defimon'!$1:$100,MATCH(BE$1,'Import from defimon'!$A:$A,0),MATCH($A111,'Import from defimon'!$1:$1,0)))</f>
        <v/>
      </c>
      <c r="BF111" s="13" t="str">
        <f t="array" ref="BF111">iferror(INDEX('Import from defimon'!$1:$100,MATCH(BF$1,'Import from defimon'!$A:$A,0),MATCH($A111,'Import from defimon'!$1:$1,0)))</f>
        <v/>
      </c>
      <c r="BG111" s="13" t="str">
        <f t="array" ref="BG111">iferror(INDEX('Import from defimon'!$1:$100,MATCH(BG$1,'Import from defimon'!$A:$A,0),MATCH($A111,'Import from defimon'!$1:$1,0)))</f>
        <v/>
      </c>
      <c r="BH111" s="13" t="str">
        <f t="array" ref="BH111">iferror(INDEX('Import from defimon'!$1:$100,MATCH(BH$1,'Import from defimon'!$A:$A,0),MATCH($A111,'Import from defimon'!$1:$1,0)))</f>
        <v/>
      </c>
      <c r="BI111" s="13" t="str">
        <f t="array" ref="BI111">iferror(INDEX('Import from defimon'!$1:$100,MATCH(BI$1,'Import from defimon'!$A:$A,0),MATCH($A111,'Import from defimon'!$1:$1,0)))</f>
        <v/>
      </c>
      <c r="BJ111" s="13" t="str">
        <f t="array" ref="BJ111">iferror(INDEX('Import from defimon'!$1:$100,MATCH(BJ$1,'Import from defimon'!$A:$A,0),MATCH($A111,'Import from defimon'!$1:$1,0)))</f>
        <v/>
      </c>
      <c r="BK111" s="13" t="str">
        <f t="array" ref="BK111">iferror(INDEX('Import from defimon'!$1:$100,MATCH(BK$1,'Import from defimon'!$A:$A,0),MATCH($A111,'Import from defimon'!$1:$1,0)))</f>
        <v/>
      </c>
      <c r="BL111" s="13" t="str">
        <f t="array" ref="BL111">iferror(INDEX('Import from defimon'!$1:$100,MATCH(BL$1,'Import from defimon'!$A:$A,0),MATCH($A111,'Import from defimon'!$1:$1,0)))</f>
        <v/>
      </c>
      <c r="BN111" s="13" t="str">
        <f t="array" ref="BN111">iferror(INDEX('Import from defimon'!$1:$100,MATCH(BN$1,'Import from defimon'!$A:$A,0),MATCH($A111,'Import from defimon'!$1:$1,0)))</f>
        <v/>
      </c>
      <c r="BO111" s="13" t="str">
        <f t="array" ref="BO111">iferror(INDEX('Import from defimon'!$1:$100,MATCH(BO$1,'Import from defimon'!$A:$A,0),MATCH($A111,'Import from defimon'!$1:$1,0)))</f>
        <v/>
      </c>
      <c r="BP111" s="13" t="str">
        <f t="array" ref="BP111">iferror(INDEX('Import from defimon'!$1:$100,MATCH(BP$1,'Import from defimon'!$A:$A,0),MATCH($A111,'Import from defimon'!$1:$1,0)))</f>
        <v/>
      </c>
      <c r="BS111" s="13" t="str">
        <f t="array" ref="BS111">iferror(INDEX('Import from defimon'!$1:$100,MATCH(BS$1,'Import from defimon'!$A:$A,0),MATCH($A111,'Import from defimon'!$1:$1,0)))</f>
        <v/>
      </c>
      <c r="BT111" s="13" t="str">
        <f t="array" ref="BT111">iferror(INDEX('Import from defimon'!$1:$100,MATCH(BT$1,'Import from defimon'!$A:$A,0),MATCH($A111,'Import from defimon'!$1:$1,0)))</f>
        <v/>
      </c>
      <c r="BU111" s="13" t="str">
        <f t="array" ref="BU111">iferror(INDEX('Import from defimon'!$1:$100,MATCH(BU$1,'Import from defimon'!$A:$A,0),MATCH($A111,'Import from defimon'!$1:$1,0)))</f>
        <v/>
      </c>
      <c r="BV111" s="13" t="str">
        <f t="array" ref="BV111">iferror(INDEX('Import from defimon'!$1:$100,MATCH(BV$1,'Import from defimon'!$A:$A,0),MATCH($A111,'Import from defimon'!$1:$1,0)))</f>
        <v/>
      </c>
      <c r="BW111" s="13" t="str">
        <f t="array" ref="BW111">iferror(INDEX('Import from defimon'!$1:$100,MATCH(BW$1,'Import from defimon'!$A:$A,0),MATCH($A111,'Import from defimon'!$1:$1,0)))</f>
        <v/>
      </c>
      <c r="BX111" s="13" t="str">
        <f t="array" ref="BX111">iferror(INDEX('Import from defimon'!$1:$100,MATCH(BX$1,'Import from defimon'!$A:$A,0),MATCH($A111,'Import from defimon'!$1:$1,0)))</f>
        <v/>
      </c>
      <c r="BY111" s="13" t="str">
        <f t="array" ref="BY111">iferror(INDEX('Import from defimon'!$1:$100,MATCH(BY$1,'Import from defimon'!$A:$A,0),MATCH($A111,'Import from defimon'!$1:$1,0)))</f>
        <v/>
      </c>
      <c r="BZ111" s="13" t="str">
        <f t="array" ref="BZ111">iferror(INDEX('Import from defimon'!$1:$100,MATCH(BZ$1,'Import from defimon'!$A:$A,0),MATCH($A111,'Import from defimon'!$1:$1,0)))</f>
        <v/>
      </c>
      <c r="CA111" s="13" t="str">
        <f t="array" ref="CA111">iferror(INDEX('Import from defimon'!$1:$100,MATCH(CA$1,'Import from defimon'!$A:$A,0),MATCH($A111,'Import from defimon'!$1:$1,0)))</f>
        <v/>
      </c>
      <c r="CB111" s="13" t="str">
        <f t="array" ref="CB111">iferror(INDEX('Import from defimon'!$1:$100,MATCH(CB$1,'Import from defimon'!$A:$A,0),MATCH($A111,'Import from defimon'!$1:$1,0)))</f>
        <v/>
      </c>
      <c r="CC111" s="13" t="str">
        <f t="array" ref="CC111">iferror(INDEX('Import from defimon'!$1:$100,MATCH(CC$1,'Import from defimon'!$A:$A,0),MATCH($A111,'Import from defimon'!$1:$1,0)))</f>
        <v/>
      </c>
      <c r="CD111" s="13" t="str">
        <f t="array" ref="CD111">iferror(INDEX('Import from defimon'!$1:$100,MATCH(CD$1,'Import from defimon'!$A:$A,0),MATCH($A111,'Import from defimon'!$1:$1,0)))</f>
        <v/>
      </c>
      <c r="CE111" s="13" t="str">
        <f t="array" ref="CE111">iferror(INDEX('Import from defimon'!$1:$100,MATCH(CE$1,'Import from defimon'!$A:$A,0),MATCH($A111,'Import from defimon'!$1:$1,0)))</f>
        <v/>
      </c>
      <c r="CF111" s="13" t="str">
        <f t="array" ref="CF111">iferror(INDEX('Import from defimon'!$1:$100,MATCH(CF$1,'Import from defimon'!$A:$A,0),MATCH($A111,'Import from defimon'!$1:$1,0)))</f>
        <v/>
      </c>
      <c r="CH111" s="13" t="str">
        <f t="array" ref="CH111">iferror(INDEX('Import from defimon'!$1:$100,MATCH(CH$1,'Import from defimon'!$A:$A,0),MATCH($A111,'Import from defimon'!$1:$1,0)))</f>
        <v/>
      </c>
      <c r="CI111" s="13" t="str">
        <f t="array" ref="CI111">iferror(INDEX('Import from defimon'!$1:$100,MATCH(CI$1,'Import from defimon'!$A:$A,0),MATCH($A111,'Import from defimon'!$1:$1,0)))</f>
        <v/>
      </c>
      <c r="CJ111" s="13" t="str">
        <f t="array" ref="CJ111">iferror(INDEX('Import from defimon'!$1:$100,MATCH(CJ$1,'Import from defimon'!$A:$A,0),MATCH($A111,'Import from defimon'!$1:$1,0)))</f>
        <v/>
      </c>
      <c r="CQ111" s="13" t="str">
        <f t="array" ref="CQ111">iferror(INDEX('Import from defimon'!$1:$100,MATCH(CQ$1,'Import from defimon'!$A:$A,0),MATCH($A111,'Import from defimon'!$1:$1,0)))</f>
        <v/>
      </c>
      <c r="CR111" s="13" t="str">
        <f t="array" ref="CR111">iferror(INDEX('Import from defimon'!$1:$100,MATCH(CR$1,'Import from defimon'!$A:$A,0),MATCH($A111,'Import from defimon'!$1:$1,0)))</f>
        <v/>
      </c>
      <c r="CS111" s="13" t="str">
        <f t="array" ref="CS111">iferror(INDEX('Import from defimon'!$1:$100,MATCH(CS$1,'Import from defimon'!$A:$A,0),MATCH($A111,'Import from defimon'!$1:$1,0)))</f>
        <v/>
      </c>
    </row>
    <row r="112" ht="15.75" customHeight="1">
      <c r="AL112" s="13" t="str">
        <f>iferror(VLOOKUP($A112,EAM!H$2:I$14,2,FALSE))</f>
        <v/>
      </c>
      <c r="AN112" s="18"/>
      <c r="AT112" s="13" t="str">
        <f t="array" ref="AT112">iferror(INDEX('Import from defimon'!$1:$100,MATCH(AT$1,'Import from defimon'!$A:$A,0),MATCH($A112,'Import from defimon'!$1:$1,0)))</f>
        <v/>
      </c>
      <c r="BA112" s="13" t="str">
        <f t="array" ref="BA112">iferror(INDEX('Import from defimon'!$1:$100,MATCH(BA$1,'Import from defimon'!$A:$A,0),MATCH($A112,'Import from defimon'!$1:$1,0)))</f>
        <v/>
      </c>
      <c r="BC112" s="13" t="str">
        <f t="array" ref="BC112">iferror(INDEX('Import from defimon'!$1:$100,MATCH(BC$1,'Import from defimon'!$A:$A,0),MATCH($A112,'Import from defimon'!$1:$1,0)))</f>
        <v/>
      </c>
      <c r="BD112" s="13" t="str">
        <f t="array" ref="BD112">iferror(INDEX('Import from defimon'!$1:$100,MATCH(BD$1,'Import from defimon'!$A:$A,0),MATCH($A112,'Import from defimon'!$1:$1,0)))</f>
        <v/>
      </c>
      <c r="BE112" s="13" t="str">
        <f t="array" ref="BE112">iferror(INDEX('Import from defimon'!$1:$100,MATCH(BE$1,'Import from defimon'!$A:$A,0),MATCH($A112,'Import from defimon'!$1:$1,0)))</f>
        <v/>
      </c>
      <c r="BF112" s="13" t="str">
        <f t="array" ref="BF112">iferror(INDEX('Import from defimon'!$1:$100,MATCH(BF$1,'Import from defimon'!$A:$A,0),MATCH($A112,'Import from defimon'!$1:$1,0)))</f>
        <v/>
      </c>
      <c r="BG112" s="13" t="str">
        <f t="array" ref="BG112">iferror(INDEX('Import from defimon'!$1:$100,MATCH(BG$1,'Import from defimon'!$A:$A,0),MATCH($A112,'Import from defimon'!$1:$1,0)))</f>
        <v/>
      </c>
      <c r="BH112" s="13" t="str">
        <f t="array" ref="BH112">iferror(INDEX('Import from defimon'!$1:$100,MATCH(BH$1,'Import from defimon'!$A:$A,0),MATCH($A112,'Import from defimon'!$1:$1,0)))</f>
        <v/>
      </c>
      <c r="BI112" s="13" t="str">
        <f t="array" ref="BI112">iferror(INDEX('Import from defimon'!$1:$100,MATCH(BI$1,'Import from defimon'!$A:$A,0),MATCH($A112,'Import from defimon'!$1:$1,0)))</f>
        <v/>
      </c>
      <c r="BJ112" s="13" t="str">
        <f t="array" ref="BJ112">iferror(INDEX('Import from defimon'!$1:$100,MATCH(BJ$1,'Import from defimon'!$A:$A,0),MATCH($A112,'Import from defimon'!$1:$1,0)))</f>
        <v/>
      </c>
      <c r="BK112" s="13" t="str">
        <f t="array" ref="BK112">iferror(INDEX('Import from defimon'!$1:$100,MATCH(BK$1,'Import from defimon'!$A:$A,0),MATCH($A112,'Import from defimon'!$1:$1,0)))</f>
        <v/>
      </c>
      <c r="BL112" s="13" t="str">
        <f t="array" ref="BL112">iferror(INDEX('Import from defimon'!$1:$100,MATCH(BL$1,'Import from defimon'!$A:$A,0),MATCH($A112,'Import from defimon'!$1:$1,0)))</f>
        <v/>
      </c>
      <c r="BN112" s="13" t="str">
        <f t="array" ref="BN112">iferror(INDEX('Import from defimon'!$1:$100,MATCH(BN$1,'Import from defimon'!$A:$A,0),MATCH($A112,'Import from defimon'!$1:$1,0)))</f>
        <v/>
      </c>
      <c r="BO112" s="13" t="str">
        <f t="array" ref="BO112">iferror(INDEX('Import from defimon'!$1:$100,MATCH(BO$1,'Import from defimon'!$A:$A,0),MATCH($A112,'Import from defimon'!$1:$1,0)))</f>
        <v/>
      </c>
      <c r="BP112" s="13" t="str">
        <f t="array" ref="BP112">iferror(INDEX('Import from defimon'!$1:$100,MATCH(BP$1,'Import from defimon'!$A:$A,0),MATCH($A112,'Import from defimon'!$1:$1,0)))</f>
        <v/>
      </c>
      <c r="BS112" s="13" t="str">
        <f t="array" ref="BS112">iferror(INDEX('Import from defimon'!$1:$100,MATCH(BS$1,'Import from defimon'!$A:$A,0),MATCH($A112,'Import from defimon'!$1:$1,0)))</f>
        <v/>
      </c>
      <c r="BT112" s="13" t="str">
        <f t="array" ref="BT112">iferror(INDEX('Import from defimon'!$1:$100,MATCH(BT$1,'Import from defimon'!$A:$A,0),MATCH($A112,'Import from defimon'!$1:$1,0)))</f>
        <v/>
      </c>
      <c r="BU112" s="13" t="str">
        <f t="array" ref="BU112">iferror(INDEX('Import from defimon'!$1:$100,MATCH(BU$1,'Import from defimon'!$A:$A,0),MATCH($A112,'Import from defimon'!$1:$1,0)))</f>
        <v/>
      </c>
      <c r="BV112" s="13" t="str">
        <f t="array" ref="BV112">iferror(INDEX('Import from defimon'!$1:$100,MATCH(BV$1,'Import from defimon'!$A:$A,0),MATCH($A112,'Import from defimon'!$1:$1,0)))</f>
        <v/>
      </c>
      <c r="BW112" s="13" t="str">
        <f t="array" ref="BW112">iferror(INDEX('Import from defimon'!$1:$100,MATCH(BW$1,'Import from defimon'!$A:$A,0),MATCH($A112,'Import from defimon'!$1:$1,0)))</f>
        <v/>
      </c>
      <c r="BX112" s="13" t="str">
        <f t="array" ref="BX112">iferror(INDEX('Import from defimon'!$1:$100,MATCH(BX$1,'Import from defimon'!$A:$A,0),MATCH($A112,'Import from defimon'!$1:$1,0)))</f>
        <v/>
      </c>
      <c r="BY112" s="13" t="str">
        <f t="array" ref="BY112">iferror(INDEX('Import from defimon'!$1:$100,MATCH(BY$1,'Import from defimon'!$A:$A,0),MATCH($A112,'Import from defimon'!$1:$1,0)))</f>
        <v/>
      </c>
      <c r="BZ112" s="13" t="str">
        <f t="array" ref="BZ112">iferror(INDEX('Import from defimon'!$1:$100,MATCH(BZ$1,'Import from defimon'!$A:$A,0),MATCH($A112,'Import from defimon'!$1:$1,0)))</f>
        <v/>
      </c>
      <c r="CA112" s="13" t="str">
        <f t="array" ref="CA112">iferror(INDEX('Import from defimon'!$1:$100,MATCH(CA$1,'Import from defimon'!$A:$A,0),MATCH($A112,'Import from defimon'!$1:$1,0)))</f>
        <v/>
      </c>
      <c r="CB112" s="13" t="str">
        <f t="array" ref="CB112">iferror(INDEX('Import from defimon'!$1:$100,MATCH(CB$1,'Import from defimon'!$A:$A,0),MATCH($A112,'Import from defimon'!$1:$1,0)))</f>
        <v/>
      </c>
      <c r="CC112" s="13" t="str">
        <f t="array" ref="CC112">iferror(INDEX('Import from defimon'!$1:$100,MATCH(CC$1,'Import from defimon'!$A:$A,0),MATCH($A112,'Import from defimon'!$1:$1,0)))</f>
        <v/>
      </c>
      <c r="CD112" s="13" t="str">
        <f t="array" ref="CD112">iferror(INDEX('Import from defimon'!$1:$100,MATCH(CD$1,'Import from defimon'!$A:$A,0),MATCH($A112,'Import from defimon'!$1:$1,0)))</f>
        <v/>
      </c>
      <c r="CE112" s="13" t="str">
        <f t="array" ref="CE112">iferror(INDEX('Import from defimon'!$1:$100,MATCH(CE$1,'Import from defimon'!$A:$A,0),MATCH($A112,'Import from defimon'!$1:$1,0)))</f>
        <v/>
      </c>
      <c r="CF112" s="13" t="str">
        <f t="array" ref="CF112">iferror(INDEX('Import from defimon'!$1:$100,MATCH(CF$1,'Import from defimon'!$A:$A,0),MATCH($A112,'Import from defimon'!$1:$1,0)))</f>
        <v/>
      </c>
      <c r="CH112" s="13" t="str">
        <f t="array" ref="CH112">iferror(INDEX('Import from defimon'!$1:$100,MATCH(CH$1,'Import from defimon'!$A:$A,0),MATCH($A112,'Import from defimon'!$1:$1,0)))</f>
        <v/>
      </c>
      <c r="CI112" s="13" t="str">
        <f t="array" ref="CI112">iferror(INDEX('Import from defimon'!$1:$100,MATCH(CI$1,'Import from defimon'!$A:$A,0),MATCH($A112,'Import from defimon'!$1:$1,0)))</f>
        <v/>
      </c>
      <c r="CJ112" s="13" t="str">
        <f t="array" ref="CJ112">iferror(INDEX('Import from defimon'!$1:$100,MATCH(CJ$1,'Import from defimon'!$A:$A,0),MATCH($A112,'Import from defimon'!$1:$1,0)))</f>
        <v/>
      </c>
      <c r="CQ112" s="13" t="str">
        <f t="array" ref="CQ112">iferror(INDEX('Import from defimon'!$1:$100,MATCH(CQ$1,'Import from defimon'!$A:$A,0),MATCH($A112,'Import from defimon'!$1:$1,0)))</f>
        <v/>
      </c>
      <c r="CR112" s="13" t="str">
        <f t="array" ref="CR112">iferror(INDEX('Import from defimon'!$1:$100,MATCH(CR$1,'Import from defimon'!$A:$A,0),MATCH($A112,'Import from defimon'!$1:$1,0)))</f>
        <v/>
      </c>
      <c r="CS112" s="13" t="str">
        <f t="array" ref="CS112">iferror(INDEX('Import from defimon'!$1:$100,MATCH(CS$1,'Import from defimon'!$A:$A,0),MATCH($A112,'Import from defimon'!$1:$1,0)))</f>
        <v/>
      </c>
    </row>
    <row r="113" ht="15.75" customHeight="1">
      <c r="AL113" s="13" t="str">
        <f>iferror(VLOOKUP($A113,EAM!H$2:I$14,2,FALSE))</f>
        <v/>
      </c>
      <c r="AN113" s="18"/>
      <c r="AT113" s="13" t="str">
        <f t="array" ref="AT113">iferror(INDEX('Import from defimon'!$1:$100,MATCH(AT$1,'Import from defimon'!$A:$A,0),MATCH($A113,'Import from defimon'!$1:$1,0)))</f>
        <v/>
      </c>
      <c r="BA113" s="13" t="str">
        <f t="array" ref="BA113">iferror(INDEX('Import from defimon'!$1:$100,MATCH(BA$1,'Import from defimon'!$A:$A,0),MATCH($A113,'Import from defimon'!$1:$1,0)))</f>
        <v/>
      </c>
      <c r="BC113" s="13" t="str">
        <f t="array" ref="BC113">iferror(INDEX('Import from defimon'!$1:$100,MATCH(BC$1,'Import from defimon'!$A:$A,0),MATCH($A113,'Import from defimon'!$1:$1,0)))</f>
        <v/>
      </c>
      <c r="BD113" s="13" t="str">
        <f t="array" ref="BD113">iferror(INDEX('Import from defimon'!$1:$100,MATCH(BD$1,'Import from defimon'!$A:$A,0),MATCH($A113,'Import from defimon'!$1:$1,0)))</f>
        <v/>
      </c>
      <c r="BE113" s="13" t="str">
        <f t="array" ref="BE113">iferror(INDEX('Import from defimon'!$1:$100,MATCH(BE$1,'Import from defimon'!$A:$A,0),MATCH($A113,'Import from defimon'!$1:$1,0)))</f>
        <v/>
      </c>
      <c r="BF113" s="13" t="str">
        <f t="array" ref="BF113">iferror(INDEX('Import from defimon'!$1:$100,MATCH(BF$1,'Import from defimon'!$A:$A,0),MATCH($A113,'Import from defimon'!$1:$1,0)))</f>
        <v/>
      </c>
      <c r="BG113" s="13" t="str">
        <f t="array" ref="BG113">iferror(INDEX('Import from defimon'!$1:$100,MATCH(BG$1,'Import from defimon'!$A:$A,0),MATCH($A113,'Import from defimon'!$1:$1,0)))</f>
        <v/>
      </c>
      <c r="BH113" s="13" t="str">
        <f t="array" ref="BH113">iferror(INDEX('Import from defimon'!$1:$100,MATCH(BH$1,'Import from defimon'!$A:$A,0),MATCH($A113,'Import from defimon'!$1:$1,0)))</f>
        <v/>
      </c>
      <c r="BI113" s="13" t="str">
        <f t="array" ref="BI113">iferror(INDEX('Import from defimon'!$1:$100,MATCH(BI$1,'Import from defimon'!$A:$A,0),MATCH($A113,'Import from defimon'!$1:$1,0)))</f>
        <v/>
      </c>
      <c r="BJ113" s="13" t="str">
        <f t="array" ref="BJ113">iferror(INDEX('Import from defimon'!$1:$100,MATCH(BJ$1,'Import from defimon'!$A:$A,0),MATCH($A113,'Import from defimon'!$1:$1,0)))</f>
        <v/>
      </c>
      <c r="BK113" s="13" t="str">
        <f t="array" ref="BK113">iferror(INDEX('Import from defimon'!$1:$100,MATCH(BK$1,'Import from defimon'!$A:$A,0),MATCH($A113,'Import from defimon'!$1:$1,0)))</f>
        <v/>
      </c>
      <c r="BL113" s="13" t="str">
        <f t="array" ref="BL113">iferror(INDEX('Import from defimon'!$1:$100,MATCH(BL$1,'Import from defimon'!$A:$A,0),MATCH($A113,'Import from defimon'!$1:$1,0)))</f>
        <v/>
      </c>
      <c r="BN113" s="13" t="str">
        <f t="array" ref="BN113">iferror(INDEX('Import from defimon'!$1:$100,MATCH(BN$1,'Import from defimon'!$A:$A,0),MATCH($A113,'Import from defimon'!$1:$1,0)))</f>
        <v/>
      </c>
      <c r="BO113" s="13" t="str">
        <f t="array" ref="BO113">iferror(INDEX('Import from defimon'!$1:$100,MATCH(BO$1,'Import from defimon'!$A:$A,0),MATCH($A113,'Import from defimon'!$1:$1,0)))</f>
        <v/>
      </c>
      <c r="BP113" s="13" t="str">
        <f t="array" ref="BP113">iferror(INDEX('Import from defimon'!$1:$100,MATCH(BP$1,'Import from defimon'!$A:$A,0),MATCH($A113,'Import from defimon'!$1:$1,0)))</f>
        <v/>
      </c>
      <c r="BS113" s="13" t="str">
        <f t="array" ref="BS113">iferror(INDEX('Import from defimon'!$1:$100,MATCH(BS$1,'Import from defimon'!$A:$A,0),MATCH($A113,'Import from defimon'!$1:$1,0)))</f>
        <v/>
      </c>
      <c r="BT113" s="13" t="str">
        <f t="array" ref="BT113">iferror(INDEX('Import from defimon'!$1:$100,MATCH(BT$1,'Import from defimon'!$A:$A,0),MATCH($A113,'Import from defimon'!$1:$1,0)))</f>
        <v/>
      </c>
      <c r="BU113" s="13" t="str">
        <f t="array" ref="BU113">iferror(INDEX('Import from defimon'!$1:$100,MATCH(BU$1,'Import from defimon'!$A:$A,0),MATCH($A113,'Import from defimon'!$1:$1,0)))</f>
        <v/>
      </c>
      <c r="BV113" s="13" t="str">
        <f t="array" ref="BV113">iferror(INDEX('Import from defimon'!$1:$100,MATCH(BV$1,'Import from defimon'!$A:$A,0),MATCH($A113,'Import from defimon'!$1:$1,0)))</f>
        <v/>
      </c>
      <c r="BW113" s="13" t="str">
        <f t="array" ref="BW113">iferror(INDEX('Import from defimon'!$1:$100,MATCH(BW$1,'Import from defimon'!$A:$A,0),MATCH($A113,'Import from defimon'!$1:$1,0)))</f>
        <v/>
      </c>
      <c r="BX113" s="13" t="str">
        <f t="array" ref="BX113">iferror(INDEX('Import from defimon'!$1:$100,MATCH(BX$1,'Import from defimon'!$A:$A,0),MATCH($A113,'Import from defimon'!$1:$1,0)))</f>
        <v/>
      </c>
      <c r="BY113" s="13" t="str">
        <f t="array" ref="BY113">iferror(INDEX('Import from defimon'!$1:$100,MATCH(BY$1,'Import from defimon'!$A:$A,0),MATCH($A113,'Import from defimon'!$1:$1,0)))</f>
        <v/>
      </c>
      <c r="BZ113" s="13" t="str">
        <f t="array" ref="BZ113">iferror(INDEX('Import from defimon'!$1:$100,MATCH(BZ$1,'Import from defimon'!$A:$A,0),MATCH($A113,'Import from defimon'!$1:$1,0)))</f>
        <v/>
      </c>
      <c r="CA113" s="13" t="str">
        <f t="array" ref="CA113">iferror(INDEX('Import from defimon'!$1:$100,MATCH(CA$1,'Import from defimon'!$A:$A,0),MATCH($A113,'Import from defimon'!$1:$1,0)))</f>
        <v/>
      </c>
      <c r="CB113" s="13" t="str">
        <f t="array" ref="CB113">iferror(INDEX('Import from defimon'!$1:$100,MATCH(CB$1,'Import from defimon'!$A:$A,0),MATCH($A113,'Import from defimon'!$1:$1,0)))</f>
        <v/>
      </c>
      <c r="CC113" s="13" t="str">
        <f t="array" ref="CC113">iferror(INDEX('Import from defimon'!$1:$100,MATCH(CC$1,'Import from defimon'!$A:$A,0),MATCH($A113,'Import from defimon'!$1:$1,0)))</f>
        <v/>
      </c>
      <c r="CD113" s="13" t="str">
        <f t="array" ref="CD113">iferror(INDEX('Import from defimon'!$1:$100,MATCH(CD$1,'Import from defimon'!$A:$A,0),MATCH($A113,'Import from defimon'!$1:$1,0)))</f>
        <v/>
      </c>
      <c r="CE113" s="13" t="str">
        <f t="array" ref="CE113">iferror(INDEX('Import from defimon'!$1:$100,MATCH(CE$1,'Import from defimon'!$A:$A,0),MATCH($A113,'Import from defimon'!$1:$1,0)))</f>
        <v/>
      </c>
      <c r="CF113" s="13" t="str">
        <f t="array" ref="CF113">iferror(INDEX('Import from defimon'!$1:$100,MATCH(CF$1,'Import from defimon'!$A:$A,0),MATCH($A113,'Import from defimon'!$1:$1,0)))</f>
        <v/>
      </c>
      <c r="CH113" s="13" t="str">
        <f t="array" ref="CH113">iferror(INDEX('Import from defimon'!$1:$100,MATCH(CH$1,'Import from defimon'!$A:$A,0),MATCH($A113,'Import from defimon'!$1:$1,0)))</f>
        <v/>
      </c>
      <c r="CI113" s="13" t="str">
        <f t="array" ref="CI113">iferror(INDEX('Import from defimon'!$1:$100,MATCH(CI$1,'Import from defimon'!$A:$A,0),MATCH($A113,'Import from defimon'!$1:$1,0)))</f>
        <v/>
      </c>
      <c r="CJ113" s="13" t="str">
        <f t="array" ref="CJ113">iferror(INDEX('Import from defimon'!$1:$100,MATCH(CJ$1,'Import from defimon'!$A:$A,0),MATCH($A113,'Import from defimon'!$1:$1,0)))</f>
        <v/>
      </c>
      <c r="CQ113" s="13" t="str">
        <f t="array" ref="CQ113">iferror(INDEX('Import from defimon'!$1:$100,MATCH(CQ$1,'Import from defimon'!$A:$A,0),MATCH($A113,'Import from defimon'!$1:$1,0)))</f>
        <v/>
      </c>
      <c r="CR113" s="13" t="str">
        <f t="array" ref="CR113">iferror(INDEX('Import from defimon'!$1:$100,MATCH(CR$1,'Import from defimon'!$A:$A,0),MATCH($A113,'Import from defimon'!$1:$1,0)))</f>
        <v/>
      </c>
      <c r="CS113" s="13" t="str">
        <f t="array" ref="CS113">iferror(INDEX('Import from defimon'!$1:$100,MATCH(CS$1,'Import from defimon'!$A:$A,0),MATCH($A113,'Import from defimon'!$1:$1,0)))</f>
        <v/>
      </c>
    </row>
    <row r="114" ht="15.75" customHeight="1">
      <c r="AL114" s="13" t="str">
        <f>iferror(VLOOKUP($A114,EAM!H$2:I$14,2,FALSE))</f>
        <v/>
      </c>
      <c r="AN114" s="19"/>
      <c r="AT114" s="13" t="str">
        <f t="array" ref="AT114">iferror(INDEX('Import from defimon'!$1:$100,MATCH(AT$1,'Import from defimon'!$A:$A,0),MATCH($A114,'Import from defimon'!$1:$1,0)))</f>
        <v/>
      </c>
      <c r="BA114" s="13" t="str">
        <f t="array" ref="BA114">iferror(INDEX('Import from defimon'!$1:$100,MATCH(BA$1,'Import from defimon'!$A:$A,0),MATCH($A114,'Import from defimon'!$1:$1,0)))</f>
        <v/>
      </c>
      <c r="BC114" s="13" t="str">
        <f t="array" ref="BC114">iferror(INDEX('Import from defimon'!$1:$100,MATCH(BC$1,'Import from defimon'!$A:$A,0),MATCH($A114,'Import from defimon'!$1:$1,0)))</f>
        <v/>
      </c>
      <c r="BD114" s="13" t="str">
        <f t="array" ref="BD114">iferror(INDEX('Import from defimon'!$1:$100,MATCH(BD$1,'Import from defimon'!$A:$A,0),MATCH($A114,'Import from defimon'!$1:$1,0)))</f>
        <v/>
      </c>
      <c r="BE114" s="13" t="str">
        <f t="array" ref="BE114">iferror(INDEX('Import from defimon'!$1:$100,MATCH(BE$1,'Import from defimon'!$A:$A,0),MATCH($A114,'Import from defimon'!$1:$1,0)))</f>
        <v/>
      </c>
      <c r="BF114" s="13" t="str">
        <f t="array" ref="BF114">iferror(INDEX('Import from defimon'!$1:$100,MATCH(BF$1,'Import from defimon'!$A:$A,0),MATCH($A114,'Import from defimon'!$1:$1,0)))</f>
        <v/>
      </c>
      <c r="BG114" s="13" t="str">
        <f t="array" ref="BG114">iferror(INDEX('Import from defimon'!$1:$100,MATCH(BG$1,'Import from defimon'!$A:$A,0),MATCH($A114,'Import from defimon'!$1:$1,0)))</f>
        <v/>
      </c>
      <c r="BH114" s="13" t="str">
        <f t="array" ref="BH114">iferror(INDEX('Import from defimon'!$1:$100,MATCH(BH$1,'Import from defimon'!$A:$A,0),MATCH($A114,'Import from defimon'!$1:$1,0)))</f>
        <v/>
      </c>
      <c r="BI114" s="13" t="str">
        <f t="array" ref="BI114">iferror(INDEX('Import from defimon'!$1:$100,MATCH(BI$1,'Import from defimon'!$A:$A,0),MATCH($A114,'Import from defimon'!$1:$1,0)))</f>
        <v/>
      </c>
      <c r="BJ114" s="13" t="str">
        <f t="array" ref="BJ114">iferror(INDEX('Import from defimon'!$1:$100,MATCH(BJ$1,'Import from defimon'!$A:$A,0),MATCH($A114,'Import from defimon'!$1:$1,0)))</f>
        <v/>
      </c>
      <c r="BK114" s="13" t="str">
        <f t="array" ref="BK114">iferror(INDEX('Import from defimon'!$1:$100,MATCH(BK$1,'Import from defimon'!$A:$A,0),MATCH($A114,'Import from defimon'!$1:$1,0)))</f>
        <v/>
      </c>
      <c r="BL114" s="13" t="str">
        <f t="array" ref="BL114">iferror(INDEX('Import from defimon'!$1:$100,MATCH(BL$1,'Import from defimon'!$A:$A,0),MATCH($A114,'Import from defimon'!$1:$1,0)))</f>
        <v/>
      </c>
      <c r="BN114" s="13" t="str">
        <f t="array" ref="BN114">iferror(INDEX('Import from defimon'!$1:$100,MATCH(BN$1,'Import from defimon'!$A:$A,0),MATCH($A114,'Import from defimon'!$1:$1,0)))</f>
        <v/>
      </c>
      <c r="BO114" s="13" t="str">
        <f t="array" ref="BO114">iferror(INDEX('Import from defimon'!$1:$100,MATCH(BO$1,'Import from defimon'!$A:$A,0),MATCH($A114,'Import from defimon'!$1:$1,0)))</f>
        <v/>
      </c>
      <c r="BP114" s="13" t="str">
        <f t="array" ref="BP114">iferror(INDEX('Import from defimon'!$1:$100,MATCH(BP$1,'Import from defimon'!$A:$A,0),MATCH($A114,'Import from defimon'!$1:$1,0)))</f>
        <v/>
      </c>
      <c r="BS114" s="13" t="str">
        <f t="array" ref="BS114">iferror(INDEX('Import from defimon'!$1:$100,MATCH(BS$1,'Import from defimon'!$A:$A,0),MATCH($A114,'Import from defimon'!$1:$1,0)))</f>
        <v/>
      </c>
      <c r="BT114" s="13" t="str">
        <f t="array" ref="BT114">iferror(INDEX('Import from defimon'!$1:$100,MATCH(BT$1,'Import from defimon'!$A:$A,0),MATCH($A114,'Import from defimon'!$1:$1,0)))</f>
        <v/>
      </c>
      <c r="BU114" s="13" t="str">
        <f t="array" ref="BU114">iferror(INDEX('Import from defimon'!$1:$100,MATCH(BU$1,'Import from defimon'!$A:$A,0),MATCH($A114,'Import from defimon'!$1:$1,0)))</f>
        <v/>
      </c>
      <c r="BV114" s="13" t="str">
        <f t="array" ref="BV114">iferror(INDEX('Import from defimon'!$1:$100,MATCH(BV$1,'Import from defimon'!$A:$A,0),MATCH($A114,'Import from defimon'!$1:$1,0)))</f>
        <v/>
      </c>
      <c r="BW114" s="13" t="str">
        <f t="array" ref="BW114">iferror(INDEX('Import from defimon'!$1:$100,MATCH(BW$1,'Import from defimon'!$A:$A,0),MATCH($A114,'Import from defimon'!$1:$1,0)))</f>
        <v/>
      </c>
      <c r="BX114" s="13" t="str">
        <f t="array" ref="BX114">iferror(INDEX('Import from defimon'!$1:$100,MATCH(BX$1,'Import from defimon'!$A:$A,0),MATCH($A114,'Import from defimon'!$1:$1,0)))</f>
        <v/>
      </c>
      <c r="BY114" s="13" t="str">
        <f t="array" ref="BY114">iferror(INDEX('Import from defimon'!$1:$100,MATCH(BY$1,'Import from defimon'!$A:$A,0),MATCH($A114,'Import from defimon'!$1:$1,0)))</f>
        <v/>
      </c>
      <c r="BZ114" s="13" t="str">
        <f t="array" ref="BZ114">iferror(INDEX('Import from defimon'!$1:$100,MATCH(BZ$1,'Import from defimon'!$A:$A,0),MATCH($A114,'Import from defimon'!$1:$1,0)))</f>
        <v/>
      </c>
      <c r="CA114" s="13" t="str">
        <f t="array" ref="CA114">iferror(INDEX('Import from defimon'!$1:$100,MATCH(CA$1,'Import from defimon'!$A:$A,0),MATCH($A114,'Import from defimon'!$1:$1,0)))</f>
        <v/>
      </c>
      <c r="CB114" s="13" t="str">
        <f t="array" ref="CB114">iferror(INDEX('Import from defimon'!$1:$100,MATCH(CB$1,'Import from defimon'!$A:$A,0),MATCH($A114,'Import from defimon'!$1:$1,0)))</f>
        <v/>
      </c>
      <c r="CC114" s="13" t="str">
        <f t="array" ref="CC114">iferror(INDEX('Import from defimon'!$1:$100,MATCH(CC$1,'Import from defimon'!$A:$A,0),MATCH($A114,'Import from defimon'!$1:$1,0)))</f>
        <v/>
      </c>
      <c r="CD114" s="13" t="str">
        <f t="array" ref="CD114">iferror(INDEX('Import from defimon'!$1:$100,MATCH(CD$1,'Import from defimon'!$A:$A,0),MATCH($A114,'Import from defimon'!$1:$1,0)))</f>
        <v/>
      </c>
      <c r="CE114" s="13" t="str">
        <f t="array" ref="CE114">iferror(INDEX('Import from defimon'!$1:$100,MATCH(CE$1,'Import from defimon'!$A:$A,0),MATCH($A114,'Import from defimon'!$1:$1,0)))</f>
        <v/>
      </c>
      <c r="CF114" s="13" t="str">
        <f t="array" ref="CF114">iferror(INDEX('Import from defimon'!$1:$100,MATCH(CF$1,'Import from defimon'!$A:$A,0),MATCH($A114,'Import from defimon'!$1:$1,0)))</f>
        <v/>
      </c>
      <c r="CH114" s="13" t="str">
        <f t="array" ref="CH114">iferror(INDEX('Import from defimon'!$1:$100,MATCH(CH$1,'Import from defimon'!$A:$A,0),MATCH($A114,'Import from defimon'!$1:$1,0)))</f>
        <v/>
      </c>
      <c r="CI114" s="13" t="str">
        <f t="array" ref="CI114">iferror(INDEX('Import from defimon'!$1:$100,MATCH(CI$1,'Import from defimon'!$A:$A,0),MATCH($A114,'Import from defimon'!$1:$1,0)))</f>
        <v/>
      </c>
      <c r="CJ114" s="13" t="str">
        <f t="array" ref="CJ114">iferror(INDEX('Import from defimon'!$1:$100,MATCH(CJ$1,'Import from defimon'!$A:$A,0),MATCH($A114,'Import from defimon'!$1:$1,0)))</f>
        <v/>
      </c>
      <c r="CQ114" s="13" t="str">
        <f t="array" ref="CQ114">iferror(INDEX('Import from defimon'!$1:$100,MATCH(CQ$1,'Import from defimon'!$A:$A,0),MATCH($A114,'Import from defimon'!$1:$1,0)))</f>
        <v/>
      </c>
      <c r="CR114" s="13" t="str">
        <f t="array" ref="CR114">iferror(INDEX('Import from defimon'!$1:$100,MATCH(CR$1,'Import from defimon'!$A:$A,0),MATCH($A114,'Import from defimon'!$1:$1,0)))</f>
        <v/>
      </c>
      <c r="CS114" s="13" t="str">
        <f t="array" ref="CS114">iferror(INDEX('Import from defimon'!$1:$100,MATCH(CS$1,'Import from defimon'!$A:$A,0),MATCH($A114,'Import from defimon'!$1:$1,0)))</f>
        <v/>
      </c>
    </row>
    <row r="115" ht="15.75" customHeight="1">
      <c r="AL115" s="13" t="str">
        <f>iferror(VLOOKUP($A115,EAM!H$2:I$14,2,FALSE))</f>
        <v/>
      </c>
      <c r="AN115" s="18"/>
      <c r="AT115" s="13" t="str">
        <f t="array" ref="AT115">iferror(INDEX('Import from defimon'!$1:$100,MATCH(AT$1,'Import from defimon'!$A:$A,0),MATCH($A115,'Import from defimon'!$1:$1,0)))</f>
        <v/>
      </c>
      <c r="BA115" s="13" t="str">
        <f t="array" ref="BA115">iferror(INDEX('Import from defimon'!$1:$100,MATCH(BA$1,'Import from defimon'!$A:$A,0),MATCH($A115,'Import from defimon'!$1:$1,0)))</f>
        <v/>
      </c>
      <c r="BC115" s="13" t="str">
        <f t="array" ref="BC115">iferror(INDEX('Import from defimon'!$1:$100,MATCH(BC$1,'Import from defimon'!$A:$A,0),MATCH($A115,'Import from defimon'!$1:$1,0)))</f>
        <v/>
      </c>
      <c r="BD115" s="13" t="str">
        <f t="array" ref="BD115">iferror(INDEX('Import from defimon'!$1:$100,MATCH(BD$1,'Import from defimon'!$A:$A,0),MATCH($A115,'Import from defimon'!$1:$1,0)))</f>
        <v/>
      </c>
      <c r="BE115" s="13" t="str">
        <f t="array" ref="BE115">iferror(INDEX('Import from defimon'!$1:$100,MATCH(BE$1,'Import from defimon'!$A:$A,0),MATCH($A115,'Import from defimon'!$1:$1,0)))</f>
        <v/>
      </c>
      <c r="BF115" s="13" t="str">
        <f t="array" ref="BF115">iferror(INDEX('Import from defimon'!$1:$100,MATCH(BF$1,'Import from defimon'!$A:$A,0),MATCH($A115,'Import from defimon'!$1:$1,0)))</f>
        <v/>
      </c>
      <c r="BG115" s="13" t="str">
        <f t="array" ref="BG115">iferror(INDEX('Import from defimon'!$1:$100,MATCH(BG$1,'Import from defimon'!$A:$A,0),MATCH($A115,'Import from defimon'!$1:$1,0)))</f>
        <v/>
      </c>
      <c r="BH115" s="13" t="str">
        <f t="array" ref="BH115">iferror(INDEX('Import from defimon'!$1:$100,MATCH(BH$1,'Import from defimon'!$A:$A,0),MATCH($A115,'Import from defimon'!$1:$1,0)))</f>
        <v/>
      </c>
      <c r="BI115" s="13" t="str">
        <f t="array" ref="BI115">iferror(INDEX('Import from defimon'!$1:$100,MATCH(BI$1,'Import from defimon'!$A:$A,0),MATCH($A115,'Import from defimon'!$1:$1,0)))</f>
        <v/>
      </c>
      <c r="BJ115" s="13" t="str">
        <f t="array" ref="BJ115">iferror(INDEX('Import from defimon'!$1:$100,MATCH(BJ$1,'Import from defimon'!$A:$A,0),MATCH($A115,'Import from defimon'!$1:$1,0)))</f>
        <v/>
      </c>
      <c r="BK115" s="13" t="str">
        <f t="array" ref="BK115">iferror(INDEX('Import from defimon'!$1:$100,MATCH(BK$1,'Import from defimon'!$A:$A,0),MATCH($A115,'Import from defimon'!$1:$1,0)))</f>
        <v/>
      </c>
      <c r="BL115" s="13" t="str">
        <f t="array" ref="BL115">iferror(INDEX('Import from defimon'!$1:$100,MATCH(BL$1,'Import from defimon'!$A:$A,0),MATCH($A115,'Import from defimon'!$1:$1,0)))</f>
        <v/>
      </c>
      <c r="BN115" s="13" t="str">
        <f t="array" ref="BN115">iferror(INDEX('Import from defimon'!$1:$100,MATCH(BN$1,'Import from defimon'!$A:$A,0),MATCH($A115,'Import from defimon'!$1:$1,0)))</f>
        <v/>
      </c>
      <c r="BO115" s="13" t="str">
        <f t="array" ref="BO115">iferror(INDEX('Import from defimon'!$1:$100,MATCH(BO$1,'Import from defimon'!$A:$A,0),MATCH($A115,'Import from defimon'!$1:$1,0)))</f>
        <v/>
      </c>
      <c r="BP115" s="13" t="str">
        <f t="array" ref="BP115">iferror(INDEX('Import from defimon'!$1:$100,MATCH(BP$1,'Import from defimon'!$A:$A,0),MATCH($A115,'Import from defimon'!$1:$1,0)))</f>
        <v/>
      </c>
      <c r="BS115" s="13" t="str">
        <f t="array" ref="BS115">iferror(INDEX('Import from defimon'!$1:$100,MATCH(BS$1,'Import from defimon'!$A:$A,0),MATCH($A115,'Import from defimon'!$1:$1,0)))</f>
        <v/>
      </c>
      <c r="BT115" s="13" t="str">
        <f t="array" ref="BT115">iferror(INDEX('Import from defimon'!$1:$100,MATCH(BT$1,'Import from defimon'!$A:$A,0),MATCH($A115,'Import from defimon'!$1:$1,0)))</f>
        <v/>
      </c>
      <c r="BU115" s="13" t="str">
        <f t="array" ref="BU115">iferror(INDEX('Import from defimon'!$1:$100,MATCH(BU$1,'Import from defimon'!$A:$A,0),MATCH($A115,'Import from defimon'!$1:$1,0)))</f>
        <v/>
      </c>
      <c r="BV115" s="13" t="str">
        <f t="array" ref="BV115">iferror(INDEX('Import from defimon'!$1:$100,MATCH(BV$1,'Import from defimon'!$A:$A,0),MATCH($A115,'Import from defimon'!$1:$1,0)))</f>
        <v/>
      </c>
      <c r="BW115" s="13" t="str">
        <f t="array" ref="BW115">iferror(INDEX('Import from defimon'!$1:$100,MATCH(BW$1,'Import from defimon'!$A:$A,0),MATCH($A115,'Import from defimon'!$1:$1,0)))</f>
        <v/>
      </c>
      <c r="BX115" s="13" t="str">
        <f t="array" ref="BX115">iferror(INDEX('Import from defimon'!$1:$100,MATCH(BX$1,'Import from defimon'!$A:$A,0),MATCH($A115,'Import from defimon'!$1:$1,0)))</f>
        <v/>
      </c>
      <c r="BY115" s="13" t="str">
        <f t="array" ref="BY115">iferror(INDEX('Import from defimon'!$1:$100,MATCH(BY$1,'Import from defimon'!$A:$A,0),MATCH($A115,'Import from defimon'!$1:$1,0)))</f>
        <v/>
      </c>
      <c r="BZ115" s="13" t="str">
        <f t="array" ref="BZ115">iferror(INDEX('Import from defimon'!$1:$100,MATCH(BZ$1,'Import from defimon'!$A:$A,0),MATCH($A115,'Import from defimon'!$1:$1,0)))</f>
        <v/>
      </c>
      <c r="CA115" s="13" t="str">
        <f t="array" ref="CA115">iferror(INDEX('Import from defimon'!$1:$100,MATCH(CA$1,'Import from defimon'!$A:$A,0),MATCH($A115,'Import from defimon'!$1:$1,0)))</f>
        <v/>
      </c>
      <c r="CB115" s="13" t="str">
        <f t="array" ref="CB115">iferror(INDEX('Import from defimon'!$1:$100,MATCH(CB$1,'Import from defimon'!$A:$A,0),MATCH($A115,'Import from defimon'!$1:$1,0)))</f>
        <v/>
      </c>
      <c r="CC115" s="13" t="str">
        <f t="array" ref="CC115">iferror(INDEX('Import from defimon'!$1:$100,MATCH(CC$1,'Import from defimon'!$A:$A,0),MATCH($A115,'Import from defimon'!$1:$1,0)))</f>
        <v/>
      </c>
      <c r="CD115" s="13" t="str">
        <f t="array" ref="CD115">iferror(INDEX('Import from defimon'!$1:$100,MATCH(CD$1,'Import from defimon'!$A:$A,0),MATCH($A115,'Import from defimon'!$1:$1,0)))</f>
        <v/>
      </c>
      <c r="CE115" s="13" t="str">
        <f t="array" ref="CE115">iferror(INDEX('Import from defimon'!$1:$100,MATCH(CE$1,'Import from defimon'!$A:$A,0),MATCH($A115,'Import from defimon'!$1:$1,0)))</f>
        <v/>
      </c>
      <c r="CF115" s="13" t="str">
        <f t="array" ref="CF115">iferror(INDEX('Import from defimon'!$1:$100,MATCH(CF$1,'Import from defimon'!$A:$A,0),MATCH($A115,'Import from defimon'!$1:$1,0)))</f>
        <v/>
      </c>
      <c r="CH115" s="13" t="str">
        <f t="array" ref="CH115">iferror(INDEX('Import from defimon'!$1:$100,MATCH(CH$1,'Import from defimon'!$A:$A,0),MATCH($A115,'Import from defimon'!$1:$1,0)))</f>
        <v/>
      </c>
      <c r="CI115" s="13" t="str">
        <f t="array" ref="CI115">iferror(INDEX('Import from defimon'!$1:$100,MATCH(CI$1,'Import from defimon'!$A:$A,0),MATCH($A115,'Import from defimon'!$1:$1,0)))</f>
        <v/>
      </c>
      <c r="CJ115" s="13" t="str">
        <f t="array" ref="CJ115">iferror(INDEX('Import from defimon'!$1:$100,MATCH(CJ$1,'Import from defimon'!$A:$A,0),MATCH($A115,'Import from defimon'!$1:$1,0)))</f>
        <v/>
      </c>
      <c r="CQ115" s="13" t="str">
        <f t="array" ref="CQ115">iferror(INDEX('Import from defimon'!$1:$100,MATCH(CQ$1,'Import from defimon'!$A:$A,0),MATCH($A115,'Import from defimon'!$1:$1,0)))</f>
        <v/>
      </c>
      <c r="CR115" s="13" t="str">
        <f t="array" ref="CR115">iferror(INDEX('Import from defimon'!$1:$100,MATCH(CR$1,'Import from defimon'!$A:$A,0),MATCH($A115,'Import from defimon'!$1:$1,0)))</f>
        <v/>
      </c>
      <c r="CS115" s="13" t="str">
        <f t="array" ref="CS115">iferror(INDEX('Import from defimon'!$1:$100,MATCH(CS$1,'Import from defimon'!$A:$A,0),MATCH($A115,'Import from defimon'!$1:$1,0)))</f>
        <v/>
      </c>
    </row>
    <row r="116" ht="15.75" customHeight="1">
      <c r="AL116" s="13" t="str">
        <f>iferror(VLOOKUP($A116,EAM!H$2:I$14,2,FALSE))</f>
        <v/>
      </c>
      <c r="AN116" s="18"/>
      <c r="AT116" s="13" t="str">
        <f t="array" ref="AT116">iferror(INDEX('Import from defimon'!$1:$100,MATCH(AT$1,'Import from defimon'!$A:$A,0),MATCH($A116,'Import from defimon'!$1:$1,0)))</f>
        <v/>
      </c>
      <c r="BA116" s="13" t="str">
        <f t="array" ref="BA116">iferror(INDEX('Import from defimon'!$1:$100,MATCH(BA$1,'Import from defimon'!$A:$A,0),MATCH($A116,'Import from defimon'!$1:$1,0)))</f>
        <v/>
      </c>
      <c r="BC116" s="13" t="str">
        <f t="array" ref="BC116">iferror(INDEX('Import from defimon'!$1:$100,MATCH(BC$1,'Import from defimon'!$A:$A,0),MATCH($A116,'Import from defimon'!$1:$1,0)))</f>
        <v/>
      </c>
      <c r="BD116" s="13" t="str">
        <f t="array" ref="BD116">iferror(INDEX('Import from defimon'!$1:$100,MATCH(BD$1,'Import from defimon'!$A:$A,0),MATCH($A116,'Import from defimon'!$1:$1,0)))</f>
        <v/>
      </c>
      <c r="BE116" s="13" t="str">
        <f t="array" ref="BE116">iferror(INDEX('Import from defimon'!$1:$100,MATCH(BE$1,'Import from defimon'!$A:$A,0),MATCH($A116,'Import from defimon'!$1:$1,0)))</f>
        <v/>
      </c>
      <c r="BF116" s="13" t="str">
        <f t="array" ref="BF116">iferror(INDEX('Import from defimon'!$1:$100,MATCH(BF$1,'Import from defimon'!$A:$A,0),MATCH($A116,'Import from defimon'!$1:$1,0)))</f>
        <v/>
      </c>
      <c r="BG116" s="13" t="str">
        <f t="array" ref="BG116">iferror(INDEX('Import from defimon'!$1:$100,MATCH(BG$1,'Import from defimon'!$A:$A,0),MATCH($A116,'Import from defimon'!$1:$1,0)))</f>
        <v/>
      </c>
      <c r="BH116" s="13" t="str">
        <f t="array" ref="BH116">iferror(INDEX('Import from defimon'!$1:$100,MATCH(BH$1,'Import from defimon'!$A:$A,0),MATCH($A116,'Import from defimon'!$1:$1,0)))</f>
        <v/>
      </c>
      <c r="BI116" s="13" t="str">
        <f t="array" ref="BI116">iferror(INDEX('Import from defimon'!$1:$100,MATCH(BI$1,'Import from defimon'!$A:$A,0),MATCH($A116,'Import from defimon'!$1:$1,0)))</f>
        <v/>
      </c>
      <c r="BJ116" s="13" t="str">
        <f t="array" ref="BJ116">iferror(INDEX('Import from defimon'!$1:$100,MATCH(BJ$1,'Import from defimon'!$A:$A,0),MATCH($A116,'Import from defimon'!$1:$1,0)))</f>
        <v/>
      </c>
      <c r="BK116" s="13" t="str">
        <f t="array" ref="BK116">iferror(INDEX('Import from defimon'!$1:$100,MATCH(BK$1,'Import from defimon'!$A:$A,0),MATCH($A116,'Import from defimon'!$1:$1,0)))</f>
        <v/>
      </c>
      <c r="BL116" s="13" t="str">
        <f t="array" ref="BL116">iferror(INDEX('Import from defimon'!$1:$100,MATCH(BL$1,'Import from defimon'!$A:$A,0),MATCH($A116,'Import from defimon'!$1:$1,0)))</f>
        <v/>
      </c>
      <c r="BN116" s="13" t="str">
        <f t="array" ref="BN116">iferror(INDEX('Import from defimon'!$1:$100,MATCH(BN$1,'Import from defimon'!$A:$A,0),MATCH($A116,'Import from defimon'!$1:$1,0)))</f>
        <v/>
      </c>
      <c r="BO116" s="13" t="str">
        <f t="array" ref="BO116">iferror(INDEX('Import from defimon'!$1:$100,MATCH(BO$1,'Import from defimon'!$A:$A,0),MATCH($A116,'Import from defimon'!$1:$1,0)))</f>
        <v/>
      </c>
      <c r="BP116" s="13" t="str">
        <f t="array" ref="BP116">iferror(INDEX('Import from defimon'!$1:$100,MATCH(BP$1,'Import from defimon'!$A:$A,0),MATCH($A116,'Import from defimon'!$1:$1,0)))</f>
        <v/>
      </c>
      <c r="BS116" s="13" t="str">
        <f t="array" ref="BS116">iferror(INDEX('Import from defimon'!$1:$100,MATCH(BS$1,'Import from defimon'!$A:$A,0),MATCH($A116,'Import from defimon'!$1:$1,0)))</f>
        <v/>
      </c>
      <c r="BT116" s="13" t="str">
        <f t="array" ref="BT116">iferror(INDEX('Import from defimon'!$1:$100,MATCH(BT$1,'Import from defimon'!$A:$A,0),MATCH($A116,'Import from defimon'!$1:$1,0)))</f>
        <v/>
      </c>
      <c r="BU116" s="13" t="str">
        <f t="array" ref="BU116">iferror(INDEX('Import from defimon'!$1:$100,MATCH(BU$1,'Import from defimon'!$A:$A,0),MATCH($A116,'Import from defimon'!$1:$1,0)))</f>
        <v/>
      </c>
      <c r="BV116" s="13" t="str">
        <f t="array" ref="BV116">iferror(INDEX('Import from defimon'!$1:$100,MATCH(BV$1,'Import from defimon'!$A:$A,0),MATCH($A116,'Import from defimon'!$1:$1,0)))</f>
        <v/>
      </c>
      <c r="BW116" s="13" t="str">
        <f t="array" ref="BW116">iferror(INDEX('Import from defimon'!$1:$100,MATCH(BW$1,'Import from defimon'!$A:$A,0),MATCH($A116,'Import from defimon'!$1:$1,0)))</f>
        <v/>
      </c>
      <c r="BX116" s="13" t="str">
        <f t="array" ref="BX116">iferror(INDEX('Import from defimon'!$1:$100,MATCH(BX$1,'Import from defimon'!$A:$A,0),MATCH($A116,'Import from defimon'!$1:$1,0)))</f>
        <v/>
      </c>
      <c r="BY116" s="13" t="str">
        <f t="array" ref="BY116">iferror(INDEX('Import from defimon'!$1:$100,MATCH(BY$1,'Import from defimon'!$A:$A,0),MATCH($A116,'Import from defimon'!$1:$1,0)))</f>
        <v/>
      </c>
      <c r="BZ116" s="13" t="str">
        <f t="array" ref="BZ116">iferror(INDEX('Import from defimon'!$1:$100,MATCH(BZ$1,'Import from defimon'!$A:$A,0),MATCH($A116,'Import from defimon'!$1:$1,0)))</f>
        <v/>
      </c>
      <c r="CA116" s="13" t="str">
        <f t="array" ref="CA116">iferror(INDEX('Import from defimon'!$1:$100,MATCH(CA$1,'Import from defimon'!$A:$A,0),MATCH($A116,'Import from defimon'!$1:$1,0)))</f>
        <v/>
      </c>
      <c r="CB116" s="13" t="str">
        <f t="array" ref="CB116">iferror(INDEX('Import from defimon'!$1:$100,MATCH(CB$1,'Import from defimon'!$A:$A,0),MATCH($A116,'Import from defimon'!$1:$1,0)))</f>
        <v/>
      </c>
      <c r="CC116" s="13" t="str">
        <f t="array" ref="CC116">iferror(INDEX('Import from defimon'!$1:$100,MATCH(CC$1,'Import from defimon'!$A:$A,0),MATCH($A116,'Import from defimon'!$1:$1,0)))</f>
        <v/>
      </c>
      <c r="CD116" s="13" t="str">
        <f t="array" ref="CD116">iferror(INDEX('Import from defimon'!$1:$100,MATCH(CD$1,'Import from defimon'!$A:$A,0),MATCH($A116,'Import from defimon'!$1:$1,0)))</f>
        <v/>
      </c>
      <c r="CE116" s="13" t="str">
        <f t="array" ref="CE116">iferror(INDEX('Import from defimon'!$1:$100,MATCH(CE$1,'Import from defimon'!$A:$A,0),MATCH($A116,'Import from defimon'!$1:$1,0)))</f>
        <v/>
      </c>
      <c r="CF116" s="13" t="str">
        <f t="array" ref="CF116">iferror(INDEX('Import from defimon'!$1:$100,MATCH(CF$1,'Import from defimon'!$A:$A,0),MATCH($A116,'Import from defimon'!$1:$1,0)))</f>
        <v/>
      </c>
      <c r="CH116" s="13" t="str">
        <f t="array" ref="CH116">iferror(INDEX('Import from defimon'!$1:$100,MATCH(CH$1,'Import from defimon'!$A:$A,0),MATCH($A116,'Import from defimon'!$1:$1,0)))</f>
        <v/>
      </c>
      <c r="CI116" s="13" t="str">
        <f t="array" ref="CI116">iferror(INDEX('Import from defimon'!$1:$100,MATCH(CI$1,'Import from defimon'!$A:$A,0),MATCH($A116,'Import from defimon'!$1:$1,0)))</f>
        <v/>
      </c>
      <c r="CJ116" s="13" t="str">
        <f t="array" ref="CJ116">iferror(INDEX('Import from defimon'!$1:$100,MATCH(CJ$1,'Import from defimon'!$A:$A,0),MATCH($A116,'Import from defimon'!$1:$1,0)))</f>
        <v/>
      </c>
      <c r="CQ116" s="13" t="str">
        <f t="array" ref="CQ116">iferror(INDEX('Import from defimon'!$1:$100,MATCH(CQ$1,'Import from defimon'!$A:$A,0),MATCH($A116,'Import from defimon'!$1:$1,0)))</f>
        <v/>
      </c>
      <c r="CR116" s="13" t="str">
        <f t="array" ref="CR116">iferror(INDEX('Import from defimon'!$1:$100,MATCH(CR$1,'Import from defimon'!$A:$A,0),MATCH($A116,'Import from defimon'!$1:$1,0)))</f>
        <v/>
      </c>
      <c r="CS116" s="13" t="str">
        <f t="array" ref="CS116">iferror(INDEX('Import from defimon'!$1:$100,MATCH(CS$1,'Import from defimon'!$A:$A,0),MATCH($A116,'Import from defimon'!$1:$1,0)))</f>
        <v/>
      </c>
    </row>
    <row r="117" ht="15.75" customHeight="1">
      <c r="AL117" s="13" t="str">
        <f>iferror(VLOOKUP($A117,EAM!H$2:I$14,2,FALSE))</f>
        <v/>
      </c>
      <c r="AN117" s="18"/>
      <c r="AT117" s="13" t="str">
        <f t="array" ref="AT117">iferror(INDEX('Import from defimon'!$1:$100,MATCH(AT$1,'Import from defimon'!$A:$A,0),MATCH($A117,'Import from defimon'!$1:$1,0)))</f>
        <v/>
      </c>
      <c r="BA117" s="13" t="str">
        <f t="array" ref="BA117">iferror(INDEX('Import from defimon'!$1:$100,MATCH(BA$1,'Import from defimon'!$A:$A,0),MATCH($A117,'Import from defimon'!$1:$1,0)))</f>
        <v/>
      </c>
      <c r="BC117" s="13" t="str">
        <f t="array" ref="BC117">iferror(INDEX('Import from defimon'!$1:$100,MATCH(BC$1,'Import from defimon'!$A:$A,0),MATCH($A117,'Import from defimon'!$1:$1,0)))</f>
        <v/>
      </c>
      <c r="BD117" s="13" t="str">
        <f t="array" ref="BD117">iferror(INDEX('Import from defimon'!$1:$100,MATCH(BD$1,'Import from defimon'!$A:$A,0),MATCH($A117,'Import from defimon'!$1:$1,0)))</f>
        <v/>
      </c>
      <c r="BE117" s="13" t="str">
        <f t="array" ref="BE117">iferror(INDEX('Import from defimon'!$1:$100,MATCH(BE$1,'Import from defimon'!$A:$A,0),MATCH($A117,'Import from defimon'!$1:$1,0)))</f>
        <v/>
      </c>
      <c r="BF117" s="13" t="str">
        <f t="array" ref="BF117">iferror(INDEX('Import from defimon'!$1:$100,MATCH(BF$1,'Import from defimon'!$A:$A,0),MATCH($A117,'Import from defimon'!$1:$1,0)))</f>
        <v/>
      </c>
      <c r="BG117" s="13" t="str">
        <f t="array" ref="BG117">iferror(INDEX('Import from defimon'!$1:$100,MATCH(BG$1,'Import from defimon'!$A:$A,0),MATCH($A117,'Import from defimon'!$1:$1,0)))</f>
        <v/>
      </c>
      <c r="BH117" s="13" t="str">
        <f t="array" ref="BH117">iferror(INDEX('Import from defimon'!$1:$100,MATCH(BH$1,'Import from defimon'!$A:$A,0),MATCH($A117,'Import from defimon'!$1:$1,0)))</f>
        <v/>
      </c>
      <c r="BI117" s="13" t="str">
        <f t="array" ref="BI117">iferror(INDEX('Import from defimon'!$1:$100,MATCH(BI$1,'Import from defimon'!$A:$A,0),MATCH($A117,'Import from defimon'!$1:$1,0)))</f>
        <v/>
      </c>
      <c r="BJ117" s="13" t="str">
        <f t="array" ref="BJ117">iferror(INDEX('Import from defimon'!$1:$100,MATCH(BJ$1,'Import from defimon'!$A:$A,0),MATCH($A117,'Import from defimon'!$1:$1,0)))</f>
        <v/>
      </c>
      <c r="BK117" s="13" t="str">
        <f t="array" ref="BK117">iferror(INDEX('Import from defimon'!$1:$100,MATCH(BK$1,'Import from defimon'!$A:$A,0),MATCH($A117,'Import from defimon'!$1:$1,0)))</f>
        <v/>
      </c>
      <c r="BL117" s="13" t="str">
        <f t="array" ref="BL117">iferror(INDEX('Import from defimon'!$1:$100,MATCH(BL$1,'Import from defimon'!$A:$A,0),MATCH($A117,'Import from defimon'!$1:$1,0)))</f>
        <v/>
      </c>
      <c r="BN117" s="13" t="str">
        <f t="array" ref="BN117">iferror(INDEX('Import from defimon'!$1:$100,MATCH(BN$1,'Import from defimon'!$A:$A,0),MATCH($A117,'Import from defimon'!$1:$1,0)))</f>
        <v/>
      </c>
      <c r="BO117" s="13" t="str">
        <f t="array" ref="BO117">iferror(INDEX('Import from defimon'!$1:$100,MATCH(BO$1,'Import from defimon'!$A:$A,0),MATCH($A117,'Import from defimon'!$1:$1,0)))</f>
        <v/>
      </c>
      <c r="BP117" s="13" t="str">
        <f t="array" ref="BP117">iferror(INDEX('Import from defimon'!$1:$100,MATCH(BP$1,'Import from defimon'!$A:$A,0),MATCH($A117,'Import from defimon'!$1:$1,0)))</f>
        <v/>
      </c>
      <c r="BS117" s="13" t="str">
        <f t="array" ref="BS117">iferror(INDEX('Import from defimon'!$1:$100,MATCH(BS$1,'Import from defimon'!$A:$A,0),MATCH($A117,'Import from defimon'!$1:$1,0)))</f>
        <v/>
      </c>
      <c r="BT117" s="13" t="str">
        <f t="array" ref="BT117">iferror(INDEX('Import from defimon'!$1:$100,MATCH(BT$1,'Import from defimon'!$A:$A,0),MATCH($A117,'Import from defimon'!$1:$1,0)))</f>
        <v/>
      </c>
      <c r="BU117" s="13" t="str">
        <f t="array" ref="BU117">iferror(INDEX('Import from defimon'!$1:$100,MATCH(BU$1,'Import from defimon'!$A:$A,0),MATCH($A117,'Import from defimon'!$1:$1,0)))</f>
        <v/>
      </c>
      <c r="BV117" s="13" t="str">
        <f t="array" ref="BV117">iferror(INDEX('Import from defimon'!$1:$100,MATCH(BV$1,'Import from defimon'!$A:$A,0),MATCH($A117,'Import from defimon'!$1:$1,0)))</f>
        <v/>
      </c>
      <c r="BW117" s="13" t="str">
        <f t="array" ref="BW117">iferror(INDEX('Import from defimon'!$1:$100,MATCH(BW$1,'Import from defimon'!$A:$A,0),MATCH($A117,'Import from defimon'!$1:$1,0)))</f>
        <v/>
      </c>
      <c r="BX117" s="13" t="str">
        <f t="array" ref="BX117">iferror(INDEX('Import from defimon'!$1:$100,MATCH(BX$1,'Import from defimon'!$A:$A,0),MATCH($A117,'Import from defimon'!$1:$1,0)))</f>
        <v/>
      </c>
      <c r="BY117" s="13" t="str">
        <f t="array" ref="BY117">iferror(INDEX('Import from defimon'!$1:$100,MATCH(BY$1,'Import from defimon'!$A:$A,0),MATCH($A117,'Import from defimon'!$1:$1,0)))</f>
        <v/>
      </c>
      <c r="BZ117" s="13" t="str">
        <f t="array" ref="BZ117">iferror(INDEX('Import from defimon'!$1:$100,MATCH(BZ$1,'Import from defimon'!$A:$A,0),MATCH($A117,'Import from defimon'!$1:$1,0)))</f>
        <v/>
      </c>
      <c r="CA117" s="13" t="str">
        <f t="array" ref="CA117">iferror(INDEX('Import from defimon'!$1:$100,MATCH(CA$1,'Import from defimon'!$A:$A,0),MATCH($A117,'Import from defimon'!$1:$1,0)))</f>
        <v/>
      </c>
      <c r="CB117" s="13" t="str">
        <f t="array" ref="CB117">iferror(INDEX('Import from defimon'!$1:$100,MATCH(CB$1,'Import from defimon'!$A:$A,0),MATCH($A117,'Import from defimon'!$1:$1,0)))</f>
        <v/>
      </c>
      <c r="CC117" s="13" t="str">
        <f t="array" ref="CC117">iferror(INDEX('Import from defimon'!$1:$100,MATCH(CC$1,'Import from defimon'!$A:$A,0),MATCH($A117,'Import from defimon'!$1:$1,0)))</f>
        <v/>
      </c>
      <c r="CD117" s="13" t="str">
        <f t="array" ref="CD117">iferror(INDEX('Import from defimon'!$1:$100,MATCH(CD$1,'Import from defimon'!$A:$A,0),MATCH($A117,'Import from defimon'!$1:$1,0)))</f>
        <v/>
      </c>
      <c r="CE117" s="13" t="str">
        <f t="array" ref="CE117">iferror(INDEX('Import from defimon'!$1:$100,MATCH(CE$1,'Import from defimon'!$A:$A,0),MATCH($A117,'Import from defimon'!$1:$1,0)))</f>
        <v/>
      </c>
      <c r="CF117" s="13" t="str">
        <f t="array" ref="CF117">iferror(INDEX('Import from defimon'!$1:$100,MATCH(CF$1,'Import from defimon'!$A:$A,0),MATCH($A117,'Import from defimon'!$1:$1,0)))</f>
        <v/>
      </c>
      <c r="CH117" s="13" t="str">
        <f t="array" ref="CH117">iferror(INDEX('Import from defimon'!$1:$100,MATCH(CH$1,'Import from defimon'!$A:$A,0),MATCH($A117,'Import from defimon'!$1:$1,0)))</f>
        <v/>
      </c>
      <c r="CI117" s="13" t="str">
        <f t="array" ref="CI117">iferror(INDEX('Import from defimon'!$1:$100,MATCH(CI$1,'Import from defimon'!$A:$A,0),MATCH($A117,'Import from defimon'!$1:$1,0)))</f>
        <v/>
      </c>
      <c r="CJ117" s="13" t="str">
        <f t="array" ref="CJ117">iferror(INDEX('Import from defimon'!$1:$100,MATCH(CJ$1,'Import from defimon'!$A:$A,0),MATCH($A117,'Import from defimon'!$1:$1,0)))</f>
        <v/>
      </c>
      <c r="CQ117" s="13" t="str">
        <f t="array" ref="CQ117">iferror(INDEX('Import from defimon'!$1:$100,MATCH(CQ$1,'Import from defimon'!$A:$A,0),MATCH($A117,'Import from defimon'!$1:$1,0)))</f>
        <v/>
      </c>
      <c r="CR117" s="13" t="str">
        <f t="array" ref="CR117">iferror(INDEX('Import from defimon'!$1:$100,MATCH(CR$1,'Import from defimon'!$A:$A,0),MATCH($A117,'Import from defimon'!$1:$1,0)))</f>
        <v/>
      </c>
      <c r="CS117" s="13" t="str">
        <f t="array" ref="CS117">iferror(INDEX('Import from defimon'!$1:$100,MATCH(CS$1,'Import from defimon'!$A:$A,0),MATCH($A117,'Import from defimon'!$1:$1,0)))</f>
        <v/>
      </c>
    </row>
    <row r="118" ht="15.75" customHeight="1">
      <c r="AL118" s="13" t="str">
        <f>iferror(VLOOKUP($A118,EAM!H$2:I$14,2,FALSE))</f>
        <v/>
      </c>
      <c r="AN118" s="18"/>
      <c r="AT118" s="13" t="str">
        <f t="array" ref="AT118">iferror(INDEX('Import from defimon'!$1:$100,MATCH(AT$1,'Import from defimon'!$A:$A,0),MATCH($A118,'Import from defimon'!$1:$1,0)))</f>
        <v/>
      </c>
      <c r="BA118" s="13" t="str">
        <f t="array" ref="BA118">iferror(INDEX('Import from defimon'!$1:$100,MATCH(BA$1,'Import from defimon'!$A:$A,0),MATCH($A118,'Import from defimon'!$1:$1,0)))</f>
        <v/>
      </c>
      <c r="BC118" s="13" t="str">
        <f t="array" ref="BC118">iferror(INDEX('Import from defimon'!$1:$100,MATCH(BC$1,'Import from defimon'!$A:$A,0),MATCH($A118,'Import from defimon'!$1:$1,0)))</f>
        <v/>
      </c>
      <c r="BD118" s="13" t="str">
        <f t="array" ref="BD118">iferror(INDEX('Import from defimon'!$1:$100,MATCH(BD$1,'Import from defimon'!$A:$A,0),MATCH($A118,'Import from defimon'!$1:$1,0)))</f>
        <v/>
      </c>
      <c r="BE118" s="13" t="str">
        <f t="array" ref="BE118">iferror(INDEX('Import from defimon'!$1:$100,MATCH(BE$1,'Import from defimon'!$A:$A,0),MATCH($A118,'Import from defimon'!$1:$1,0)))</f>
        <v/>
      </c>
      <c r="BF118" s="13" t="str">
        <f t="array" ref="BF118">iferror(INDEX('Import from defimon'!$1:$100,MATCH(BF$1,'Import from defimon'!$A:$A,0),MATCH($A118,'Import from defimon'!$1:$1,0)))</f>
        <v/>
      </c>
      <c r="BG118" s="13" t="str">
        <f t="array" ref="BG118">iferror(INDEX('Import from defimon'!$1:$100,MATCH(BG$1,'Import from defimon'!$A:$A,0),MATCH($A118,'Import from defimon'!$1:$1,0)))</f>
        <v/>
      </c>
      <c r="BH118" s="13" t="str">
        <f t="array" ref="BH118">iferror(INDEX('Import from defimon'!$1:$100,MATCH(BH$1,'Import from defimon'!$A:$A,0),MATCH($A118,'Import from defimon'!$1:$1,0)))</f>
        <v/>
      </c>
      <c r="BI118" s="13" t="str">
        <f t="array" ref="BI118">iferror(INDEX('Import from defimon'!$1:$100,MATCH(BI$1,'Import from defimon'!$A:$A,0),MATCH($A118,'Import from defimon'!$1:$1,0)))</f>
        <v/>
      </c>
      <c r="BJ118" s="13" t="str">
        <f t="array" ref="BJ118">iferror(INDEX('Import from defimon'!$1:$100,MATCH(BJ$1,'Import from defimon'!$A:$A,0),MATCH($A118,'Import from defimon'!$1:$1,0)))</f>
        <v/>
      </c>
      <c r="BK118" s="13" t="str">
        <f t="array" ref="BK118">iferror(INDEX('Import from defimon'!$1:$100,MATCH(BK$1,'Import from defimon'!$A:$A,0),MATCH($A118,'Import from defimon'!$1:$1,0)))</f>
        <v/>
      </c>
      <c r="BL118" s="13" t="str">
        <f t="array" ref="BL118">iferror(INDEX('Import from defimon'!$1:$100,MATCH(BL$1,'Import from defimon'!$A:$A,0),MATCH($A118,'Import from defimon'!$1:$1,0)))</f>
        <v/>
      </c>
      <c r="BN118" s="13" t="str">
        <f t="array" ref="BN118">iferror(INDEX('Import from defimon'!$1:$100,MATCH(BN$1,'Import from defimon'!$A:$A,0),MATCH($A118,'Import from defimon'!$1:$1,0)))</f>
        <v/>
      </c>
      <c r="BO118" s="13" t="str">
        <f t="array" ref="BO118">iferror(INDEX('Import from defimon'!$1:$100,MATCH(BO$1,'Import from defimon'!$A:$A,0),MATCH($A118,'Import from defimon'!$1:$1,0)))</f>
        <v/>
      </c>
      <c r="BP118" s="13" t="str">
        <f t="array" ref="BP118">iferror(INDEX('Import from defimon'!$1:$100,MATCH(BP$1,'Import from defimon'!$A:$A,0),MATCH($A118,'Import from defimon'!$1:$1,0)))</f>
        <v/>
      </c>
      <c r="BS118" s="13" t="str">
        <f t="array" ref="BS118">iferror(INDEX('Import from defimon'!$1:$100,MATCH(BS$1,'Import from defimon'!$A:$A,0),MATCH($A118,'Import from defimon'!$1:$1,0)))</f>
        <v/>
      </c>
      <c r="BT118" s="13" t="str">
        <f t="array" ref="BT118">iferror(INDEX('Import from defimon'!$1:$100,MATCH(BT$1,'Import from defimon'!$A:$A,0),MATCH($A118,'Import from defimon'!$1:$1,0)))</f>
        <v/>
      </c>
      <c r="BU118" s="13" t="str">
        <f t="array" ref="BU118">iferror(INDEX('Import from defimon'!$1:$100,MATCH(BU$1,'Import from defimon'!$A:$A,0),MATCH($A118,'Import from defimon'!$1:$1,0)))</f>
        <v/>
      </c>
      <c r="BV118" s="13" t="str">
        <f t="array" ref="BV118">iferror(INDEX('Import from defimon'!$1:$100,MATCH(BV$1,'Import from defimon'!$A:$A,0),MATCH($A118,'Import from defimon'!$1:$1,0)))</f>
        <v/>
      </c>
      <c r="BW118" s="13" t="str">
        <f t="array" ref="BW118">iferror(INDEX('Import from defimon'!$1:$100,MATCH(BW$1,'Import from defimon'!$A:$A,0),MATCH($A118,'Import from defimon'!$1:$1,0)))</f>
        <v/>
      </c>
      <c r="BX118" s="13" t="str">
        <f t="array" ref="BX118">iferror(INDEX('Import from defimon'!$1:$100,MATCH(BX$1,'Import from defimon'!$A:$A,0),MATCH($A118,'Import from defimon'!$1:$1,0)))</f>
        <v/>
      </c>
      <c r="BY118" s="13" t="str">
        <f t="array" ref="BY118">iferror(INDEX('Import from defimon'!$1:$100,MATCH(BY$1,'Import from defimon'!$A:$A,0),MATCH($A118,'Import from defimon'!$1:$1,0)))</f>
        <v/>
      </c>
      <c r="BZ118" s="13" t="str">
        <f t="array" ref="BZ118">iferror(INDEX('Import from defimon'!$1:$100,MATCH(BZ$1,'Import from defimon'!$A:$A,0),MATCH($A118,'Import from defimon'!$1:$1,0)))</f>
        <v/>
      </c>
      <c r="CA118" s="13" t="str">
        <f t="array" ref="CA118">iferror(INDEX('Import from defimon'!$1:$100,MATCH(CA$1,'Import from defimon'!$A:$A,0),MATCH($A118,'Import from defimon'!$1:$1,0)))</f>
        <v/>
      </c>
      <c r="CB118" s="13" t="str">
        <f t="array" ref="CB118">iferror(INDEX('Import from defimon'!$1:$100,MATCH(CB$1,'Import from defimon'!$A:$A,0),MATCH($A118,'Import from defimon'!$1:$1,0)))</f>
        <v/>
      </c>
      <c r="CC118" s="13" t="str">
        <f t="array" ref="CC118">iferror(INDEX('Import from defimon'!$1:$100,MATCH(CC$1,'Import from defimon'!$A:$A,0),MATCH($A118,'Import from defimon'!$1:$1,0)))</f>
        <v/>
      </c>
      <c r="CD118" s="13" t="str">
        <f t="array" ref="CD118">iferror(INDEX('Import from defimon'!$1:$100,MATCH(CD$1,'Import from defimon'!$A:$A,0),MATCH($A118,'Import from defimon'!$1:$1,0)))</f>
        <v/>
      </c>
      <c r="CE118" s="13" t="str">
        <f t="array" ref="CE118">iferror(INDEX('Import from defimon'!$1:$100,MATCH(CE$1,'Import from defimon'!$A:$A,0),MATCH($A118,'Import from defimon'!$1:$1,0)))</f>
        <v/>
      </c>
      <c r="CF118" s="13" t="str">
        <f t="array" ref="CF118">iferror(INDEX('Import from defimon'!$1:$100,MATCH(CF$1,'Import from defimon'!$A:$A,0),MATCH($A118,'Import from defimon'!$1:$1,0)))</f>
        <v/>
      </c>
      <c r="CH118" s="13" t="str">
        <f t="array" ref="CH118">iferror(INDEX('Import from defimon'!$1:$100,MATCH(CH$1,'Import from defimon'!$A:$A,0),MATCH($A118,'Import from defimon'!$1:$1,0)))</f>
        <v/>
      </c>
      <c r="CI118" s="13" t="str">
        <f t="array" ref="CI118">iferror(INDEX('Import from defimon'!$1:$100,MATCH(CI$1,'Import from defimon'!$A:$A,0),MATCH($A118,'Import from defimon'!$1:$1,0)))</f>
        <v/>
      </c>
      <c r="CJ118" s="13" t="str">
        <f t="array" ref="CJ118">iferror(INDEX('Import from defimon'!$1:$100,MATCH(CJ$1,'Import from defimon'!$A:$A,0),MATCH($A118,'Import from defimon'!$1:$1,0)))</f>
        <v/>
      </c>
      <c r="CQ118" s="13" t="str">
        <f t="array" ref="CQ118">iferror(INDEX('Import from defimon'!$1:$100,MATCH(CQ$1,'Import from defimon'!$A:$A,0),MATCH($A118,'Import from defimon'!$1:$1,0)))</f>
        <v/>
      </c>
      <c r="CR118" s="13" t="str">
        <f t="array" ref="CR118">iferror(INDEX('Import from defimon'!$1:$100,MATCH(CR$1,'Import from defimon'!$A:$A,0),MATCH($A118,'Import from defimon'!$1:$1,0)))</f>
        <v/>
      </c>
      <c r="CS118" s="13" t="str">
        <f t="array" ref="CS118">iferror(INDEX('Import from defimon'!$1:$100,MATCH(CS$1,'Import from defimon'!$A:$A,0),MATCH($A118,'Import from defimon'!$1:$1,0)))</f>
        <v/>
      </c>
    </row>
    <row r="119" ht="15.75" customHeight="1">
      <c r="AL119" s="13" t="str">
        <f>iferror(VLOOKUP($A119,EAM!H$2:I$14,2,FALSE))</f>
        <v/>
      </c>
      <c r="AN119" s="18"/>
      <c r="AT119" s="13" t="str">
        <f t="array" ref="AT119">iferror(INDEX('Import from defimon'!$1:$100,MATCH(AT$1,'Import from defimon'!$A:$A,0),MATCH($A119,'Import from defimon'!$1:$1,0)))</f>
        <v/>
      </c>
      <c r="BA119" s="13" t="str">
        <f t="array" ref="BA119">iferror(INDEX('Import from defimon'!$1:$100,MATCH(BA$1,'Import from defimon'!$A:$A,0),MATCH($A119,'Import from defimon'!$1:$1,0)))</f>
        <v/>
      </c>
      <c r="BC119" s="13" t="str">
        <f t="array" ref="BC119">iferror(INDEX('Import from defimon'!$1:$100,MATCH(BC$1,'Import from defimon'!$A:$A,0),MATCH($A119,'Import from defimon'!$1:$1,0)))</f>
        <v/>
      </c>
      <c r="BD119" s="13" t="str">
        <f t="array" ref="BD119">iferror(INDEX('Import from defimon'!$1:$100,MATCH(BD$1,'Import from defimon'!$A:$A,0),MATCH($A119,'Import from defimon'!$1:$1,0)))</f>
        <v/>
      </c>
      <c r="BE119" s="13" t="str">
        <f t="array" ref="BE119">iferror(INDEX('Import from defimon'!$1:$100,MATCH(BE$1,'Import from defimon'!$A:$A,0),MATCH($A119,'Import from defimon'!$1:$1,0)))</f>
        <v/>
      </c>
      <c r="BF119" s="13" t="str">
        <f t="array" ref="BF119">iferror(INDEX('Import from defimon'!$1:$100,MATCH(BF$1,'Import from defimon'!$A:$A,0),MATCH($A119,'Import from defimon'!$1:$1,0)))</f>
        <v/>
      </c>
      <c r="BG119" s="13" t="str">
        <f t="array" ref="BG119">iferror(INDEX('Import from defimon'!$1:$100,MATCH(BG$1,'Import from defimon'!$A:$A,0),MATCH($A119,'Import from defimon'!$1:$1,0)))</f>
        <v/>
      </c>
      <c r="BH119" s="13" t="str">
        <f t="array" ref="BH119">iferror(INDEX('Import from defimon'!$1:$100,MATCH(BH$1,'Import from defimon'!$A:$A,0),MATCH($A119,'Import from defimon'!$1:$1,0)))</f>
        <v/>
      </c>
      <c r="BI119" s="13" t="str">
        <f t="array" ref="BI119">iferror(INDEX('Import from defimon'!$1:$100,MATCH(BI$1,'Import from defimon'!$A:$A,0),MATCH($A119,'Import from defimon'!$1:$1,0)))</f>
        <v/>
      </c>
      <c r="BJ119" s="13" t="str">
        <f t="array" ref="BJ119">iferror(INDEX('Import from defimon'!$1:$100,MATCH(BJ$1,'Import from defimon'!$A:$A,0),MATCH($A119,'Import from defimon'!$1:$1,0)))</f>
        <v/>
      </c>
      <c r="BK119" s="13" t="str">
        <f t="array" ref="BK119">iferror(INDEX('Import from defimon'!$1:$100,MATCH(BK$1,'Import from defimon'!$A:$A,0),MATCH($A119,'Import from defimon'!$1:$1,0)))</f>
        <v/>
      </c>
      <c r="BL119" s="13" t="str">
        <f t="array" ref="BL119">iferror(INDEX('Import from defimon'!$1:$100,MATCH(BL$1,'Import from defimon'!$A:$A,0),MATCH($A119,'Import from defimon'!$1:$1,0)))</f>
        <v/>
      </c>
      <c r="BN119" s="13" t="str">
        <f t="array" ref="BN119">iferror(INDEX('Import from defimon'!$1:$100,MATCH(BN$1,'Import from defimon'!$A:$A,0),MATCH($A119,'Import from defimon'!$1:$1,0)))</f>
        <v/>
      </c>
      <c r="BO119" s="13" t="str">
        <f t="array" ref="BO119">iferror(INDEX('Import from defimon'!$1:$100,MATCH(BO$1,'Import from defimon'!$A:$A,0),MATCH($A119,'Import from defimon'!$1:$1,0)))</f>
        <v/>
      </c>
      <c r="BP119" s="13" t="str">
        <f t="array" ref="BP119">iferror(INDEX('Import from defimon'!$1:$100,MATCH(BP$1,'Import from defimon'!$A:$A,0),MATCH($A119,'Import from defimon'!$1:$1,0)))</f>
        <v/>
      </c>
      <c r="BS119" s="13" t="str">
        <f t="array" ref="BS119">iferror(INDEX('Import from defimon'!$1:$100,MATCH(BS$1,'Import from defimon'!$A:$A,0),MATCH($A119,'Import from defimon'!$1:$1,0)))</f>
        <v/>
      </c>
      <c r="BT119" s="13" t="str">
        <f t="array" ref="BT119">iferror(INDEX('Import from defimon'!$1:$100,MATCH(BT$1,'Import from defimon'!$A:$A,0),MATCH($A119,'Import from defimon'!$1:$1,0)))</f>
        <v/>
      </c>
      <c r="BU119" s="13" t="str">
        <f t="array" ref="BU119">iferror(INDEX('Import from defimon'!$1:$100,MATCH(BU$1,'Import from defimon'!$A:$A,0),MATCH($A119,'Import from defimon'!$1:$1,0)))</f>
        <v/>
      </c>
      <c r="BV119" s="13" t="str">
        <f t="array" ref="BV119">iferror(INDEX('Import from defimon'!$1:$100,MATCH(BV$1,'Import from defimon'!$A:$A,0),MATCH($A119,'Import from defimon'!$1:$1,0)))</f>
        <v/>
      </c>
      <c r="BW119" s="13" t="str">
        <f t="array" ref="BW119">iferror(INDEX('Import from defimon'!$1:$100,MATCH(BW$1,'Import from defimon'!$A:$A,0),MATCH($A119,'Import from defimon'!$1:$1,0)))</f>
        <v/>
      </c>
      <c r="BX119" s="13" t="str">
        <f t="array" ref="BX119">iferror(INDEX('Import from defimon'!$1:$100,MATCH(BX$1,'Import from defimon'!$A:$A,0),MATCH($A119,'Import from defimon'!$1:$1,0)))</f>
        <v/>
      </c>
      <c r="BY119" s="13" t="str">
        <f t="array" ref="BY119">iferror(INDEX('Import from defimon'!$1:$100,MATCH(BY$1,'Import from defimon'!$A:$A,0),MATCH($A119,'Import from defimon'!$1:$1,0)))</f>
        <v/>
      </c>
      <c r="BZ119" s="13" t="str">
        <f t="array" ref="BZ119">iferror(INDEX('Import from defimon'!$1:$100,MATCH(BZ$1,'Import from defimon'!$A:$A,0),MATCH($A119,'Import from defimon'!$1:$1,0)))</f>
        <v/>
      </c>
      <c r="CA119" s="13" t="str">
        <f t="array" ref="CA119">iferror(INDEX('Import from defimon'!$1:$100,MATCH(CA$1,'Import from defimon'!$A:$A,0),MATCH($A119,'Import from defimon'!$1:$1,0)))</f>
        <v/>
      </c>
      <c r="CB119" s="13" t="str">
        <f t="array" ref="CB119">iferror(INDEX('Import from defimon'!$1:$100,MATCH(CB$1,'Import from defimon'!$A:$A,0),MATCH($A119,'Import from defimon'!$1:$1,0)))</f>
        <v/>
      </c>
      <c r="CC119" s="13" t="str">
        <f t="array" ref="CC119">iferror(INDEX('Import from defimon'!$1:$100,MATCH(CC$1,'Import from defimon'!$A:$A,0),MATCH($A119,'Import from defimon'!$1:$1,0)))</f>
        <v/>
      </c>
      <c r="CD119" s="13" t="str">
        <f t="array" ref="CD119">iferror(INDEX('Import from defimon'!$1:$100,MATCH(CD$1,'Import from defimon'!$A:$A,0),MATCH($A119,'Import from defimon'!$1:$1,0)))</f>
        <v/>
      </c>
      <c r="CE119" s="13" t="str">
        <f t="array" ref="CE119">iferror(INDEX('Import from defimon'!$1:$100,MATCH(CE$1,'Import from defimon'!$A:$A,0),MATCH($A119,'Import from defimon'!$1:$1,0)))</f>
        <v/>
      </c>
      <c r="CF119" s="13" t="str">
        <f t="array" ref="CF119">iferror(INDEX('Import from defimon'!$1:$100,MATCH(CF$1,'Import from defimon'!$A:$A,0),MATCH($A119,'Import from defimon'!$1:$1,0)))</f>
        <v/>
      </c>
      <c r="CH119" s="13" t="str">
        <f t="array" ref="CH119">iferror(INDEX('Import from defimon'!$1:$100,MATCH(CH$1,'Import from defimon'!$A:$A,0),MATCH($A119,'Import from defimon'!$1:$1,0)))</f>
        <v/>
      </c>
      <c r="CI119" s="13" t="str">
        <f t="array" ref="CI119">iferror(INDEX('Import from defimon'!$1:$100,MATCH(CI$1,'Import from defimon'!$A:$A,0),MATCH($A119,'Import from defimon'!$1:$1,0)))</f>
        <v/>
      </c>
      <c r="CJ119" s="13" t="str">
        <f t="array" ref="CJ119">iferror(INDEX('Import from defimon'!$1:$100,MATCH(CJ$1,'Import from defimon'!$A:$A,0),MATCH($A119,'Import from defimon'!$1:$1,0)))</f>
        <v/>
      </c>
      <c r="CQ119" s="13" t="str">
        <f t="array" ref="CQ119">iferror(INDEX('Import from defimon'!$1:$100,MATCH(CQ$1,'Import from defimon'!$A:$A,0),MATCH($A119,'Import from defimon'!$1:$1,0)))</f>
        <v/>
      </c>
      <c r="CR119" s="13" t="str">
        <f t="array" ref="CR119">iferror(INDEX('Import from defimon'!$1:$100,MATCH(CR$1,'Import from defimon'!$A:$A,0),MATCH($A119,'Import from defimon'!$1:$1,0)))</f>
        <v/>
      </c>
      <c r="CS119" s="13" t="str">
        <f t="array" ref="CS119">iferror(INDEX('Import from defimon'!$1:$100,MATCH(CS$1,'Import from defimon'!$A:$A,0),MATCH($A119,'Import from defimon'!$1:$1,0)))</f>
        <v/>
      </c>
    </row>
    <row r="120" ht="15.75" customHeight="1">
      <c r="AL120" s="13" t="str">
        <f>iferror(VLOOKUP($A120,EAM!H$2:I$14,2,FALSE))</f>
        <v/>
      </c>
      <c r="AN120" s="19"/>
      <c r="AT120" s="13" t="str">
        <f t="array" ref="AT120">iferror(INDEX('Import from defimon'!$1:$100,MATCH(AT$1,'Import from defimon'!$A:$A,0),MATCH($A120,'Import from defimon'!$1:$1,0)))</f>
        <v/>
      </c>
      <c r="BA120" s="13" t="str">
        <f t="array" ref="BA120">iferror(INDEX('Import from defimon'!$1:$100,MATCH(BA$1,'Import from defimon'!$A:$A,0),MATCH($A120,'Import from defimon'!$1:$1,0)))</f>
        <v/>
      </c>
      <c r="BC120" s="13" t="str">
        <f t="array" ref="BC120">iferror(INDEX('Import from defimon'!$1:$100,MATCH(BC$1,'Import from defimon'!$A:$A,0),MATCH($A120,'Import from defimon'!$1:$1,0)))</f>
        <v/>
      </c>
      <c r="BD120" s="13" t="str">
        <f t="array" ref="BD120">iferror(INDEX('Import from defimon'!$1:$100,MATCH(BD$1,'Import from defimon'!$A:$A,0),MATCH($A120,'Import from defimon'!$1:$1,0)))</f>
        <v/>
      </c>
      <c r="BE120" s="13" t="str">
        <f t="array" ref="BE120">iferror(INDEX('Import from defimon'!$1:$100,MATCH(BE$1,'Import from defimon'!$A:$A,0),MATCH($A120,'Import from defimon'!$1:$1,0)))</f>
        <v/>
      </c>
      <c r="BF120" s="13" t="str">
        <f t="array" ref="BF120">iferror(INDEX('Import from defimon'!$1:$100,MATCH(BF$1,'Import from defimon'!$A:$A,0),MATCH($A120,'Import from defimon'!$1:$1,0)))</f>
        <v/>
      </c>
      <c r="BG120" s="13" t="str">
        <f t="array" ref="BG120">iferror(INDEX('Import from defimon'!$1:$100,MATCH(BG$1,'Import from defimon'!$A:$A,0),MATCH($A120,'Import from defimon'!$1:$1,0)))</f>
        <v/>
      </c>
      <c r="BH120" s="13" t="str">
        <f t="array" ref="BH120">iferror(INDEX('Import from defimon'!$1:$100,MATCH(BH$1,'Import from defimon'!$A:$A,0),MATCH($A120,'Import from defimon'!$1:$1,0)))</f>
        <v/>
      </c>
      <c r="BI120" s="13" t="str">
        <f t="array" ref="BI120">iferror(INDEX('Import from defimon'!$1:$100,MATCH(BI$1,'Import from defimon'!$A:$A,0),MATCH($A120,'Import from defimon'!$1:$1,0)))</f>
        <v/>
      </c>
      <c r="BJ120" s="13" t="str">
        <f t="array" ref="BJ120">iferror(INDEX('Import from defimon'!$1:$100,MATCH(BJ$1,'Import from defimon'!$A:$A,0),MATCH($A120,'Import from defimon'!$1:$1,0)))</f>
        <v/>
      </c>
      <c r="BK120" s="13" t="str">
        <f t="array" ref="BK120">iferror(INDEX('Import from defimon'!$1:$100,MATCH(BK$1,'Import from defimon'!$A:$A,0),MATCH($A120,'Import from defimon'!$1:$1,0)))</f>
        <v/>
      </c>
      <c r="BL120" s="13" t="str">
        <f t="array" ref="BL120">iferror(INDEX('Import from defimon'!$1:$100,MATCH(BL$1,'Import from defimon'!$A:$A,0),MATCH($A120,'Import from defimon'!$1:$1,0)))</f>
        <v/>
      </c>
      <c r="BN120" s="13" t="str">
        <f t="array" ref="BN120">iferror(INDEX('Import from defimon'!$1:$100,MATCH(BN$1,'Import from defimon'!$A:$A,0),MATCH($A120,'Import from defimon'!$1:$1,0)))</f>
        <v/>
      </c>
      <c r="BO120" s="13" t="str">
        <f t="array" ref="BO120">iferror(INDEX('Import from defimon'!$1:$100,MATCH(BO$1,'Import from defimon'!$A:$A,0),MATCH($A120,'Import from defimon'!$1:$1,0)))</f>
        <v/>
      </c>
      <c r="BP120" s="13" t="str">
        <f t="array" ref="BP120">iferror(INDEX('Import from defimon'!$1:$100,MATCH(BP$1,'Import from defimon'!$A:$A,0),MATCH($A120,'Import from defimon'!$1:$1,0)))</f>
        <v/>
      </c>
      <c r="BS120" s="13" t="str">
        <f t="array" ref="BS120">iferror(INDEX('Import from defimon'!$1:$100,MATCH(BS$1,'Import from defimon'!$A:$A,0),MATCH($A120,'Import from defimon'!$1:$1,0)))</f>
        <v/>
      </c>
      <c r="BT120" s="13" t="str">
        <f t="array" ref="BT120">iferror(INDEX('Import from defimon'!$1:$100,MATCH(BT$1,'Import from defimon'!$A:$A,0),MATCH($A120,'Import from defimon'!$1:$1,0)))</f>
        <v/>
      </c>
      <c r="BU120" s="13" t="str">
        <f t="array" ref="BU120">iferror(INDEX('Import from defimon'!$1:$100,MATCH(BU$1,'Import from defimon'!$A:$A,0),MATCH($A120,'Import from defimon'!$1:$1,0)))</f>
        <v/>
      </c>
      <c r="BV120" s="13" t="str">
        <f t="array" ref="BV120">iferror(INDEX('Import from defimon'!$1:$100,MATCH(BV$1,'Import from defimon'!$A:$A,0),MATCH($A120,'Import from defimon'!$1:$1,0)))</f>
        <v/>
      </c>
      <c r="BW120" s="13" t="str">
        <f t="array" ref="BW120">iferror(INDEX('Import from defimon'!$1:$100,MATCH(BW$1,'Import from defimon'!$A:$A,0),MATCH($A120,'Import from defimon'!$1:$1,0)))</f>
        <v/>
      </c>
      <c r="BX120" s="13" t="str">
        <f t="array" ref="BX120">iferror(INDEX('Import from defimon'!$1:$100,MATCH(BX$1,'Import from defimon'!$A:$A,0),MATCH($A120,'Import from defimon'!$1:$1,0)))</f>
        <v/>
      </c>
      <c r="BY120" s="13" t="str">
        <f t="array" ref="BY120">iferror(INDEX('Import from defimon'!$1:$100,MATCH(BY$1,'Import from defimon'!$A:$A,0),MATCH($A120,'Import from defimon'!$1:$1,0)))</f>
        <v/>
      </c>
      <c r="BZ120" s="13" t="str">
        <f t="array" ref="BZ120">iferror(INDEX('Import from defimon'!$1:$100,MATCH(BZ$1,'Import from defimon'!$A:$A,0),MATCH($A120,'Import from defimon'!$1:$1,0)))</f>
        <v/>
      </c>
      <c r="CA120" s="13" t="str">
        <f t="array" ref="CA120">iferror(INDEX('Import from defimon'!$1:$100,MATCH(CA$1,'Import from defimon'!$A:$A,0),MATCH($A120,'Import from defimon'!$1:$1,0)))</f>
        <v/>
      </c>
      <c r="CB120" s="13" t="str">
        <f t="array" ref="CB120">iferror(INDEX('Import from defimon'!$1:$100,MATCH(CB$1,'Import from defimon'!$A:$A,0),MATCH($A120,'Import from defimon'!$1:$1,0)))</f>
        <v/>
      </c>
      <c r="CC120" s="13" t="str">
        <f t="array" ref="CC120">iferror(INDEX('Import from defimon'!$1:$100,MATCH(CC$1,'Import from defimon'!$A:$A,0),MATCH($A120,'Import from defimon'!$1:$1,0)))</f>
        <v/>
      </c>
      <c r="CD120" s="13" t="str">
        <f t="array" ref="CD120">iferror(INDEX('Import from defimon'!$1:$100,MATCH(CD$1,'Import from defimon'!$A:$A,0),MATCH($A120,'Import from defimon'!$1:$1,0)))</f>
        <v/>
      </c>
      <c r="CE120" s="13" t="str">
        <f t="array" ref="CE120">iferror(INDEX('Import from defimon'!$1:$100,MATCH(CE$1,'Import from defimon'!$A:$A,0),MATCH($A120,'Import from defimon'!$1:$1,0)))</f>
        <v/>
      </c>
      <c r="CF120" s="13" t="str">
        <f t="array" ref="CF120">iferror(INDEX('Import from defimon'!$1:$100,MATCH(CF$1,'Import from defimon'!$A:$A,0),MATCH($A120,'Import from defimon'!$1:$1,0)))</f>
        <v/>
      </c>
      <c r="CH120" s="13" t="str">
        <f t="array" ref="CH120">iferror(INDEX('Import from defimon'!$1:$100,MATCH(CH$1,'Import from defimon'!$A:$A,0),MATCH($A120,'Import from defimon'!$1:$1,0)))</f>
        <v/>
      </c>
      <c r="CI120" s="13" t="str">
        <f t="array" ref="CI120">iferror(INDEX('Import from defimon'!$1:$100,MATCH(CI$1,'Import from defimon'!$A:$A,0),MATCH($A120,'Import from defimon'!$1:$1,0)))</f>
        <v/>
      </c>
      <c r="CJ120" s="13" t="str">
        <f t="array" ref="CJ120">iferror(INDEX('Import from defimon'!$1:$100,MATCH(CJ$1,'Import from defimon'!$A:$A,0),MATCH($A120,'Import from defimon'!$1:$1,0)))</f>
        <v/>
      </c>
      <c r="CQ120" s="13" t="str">
        <f t="array" ref="CQ120">iferror(INDEX('Import from defimon'!$1:$100,MATCH(CQ$1,'Import from defimon'!$A:$A,0),MATCH($A120,'Import from defimon'!$1:$1,0)))</f>
        <v/>
      </c>
      <c r="CR120" s="13" t="str">
        <f t="array" ref="CR120">iferror(INDEX('Import from defimon'!$1:$100,MATCH(CR$1,'Import from defimon'!$A:$A,0),MATCH($A120,'Import from defimon'!$1:$1,0)))</f>
        <v/>
      </c>
      <c r="CS120" s="13" t="str">
        <f t="array" ref="CS120">iferror(INDEX('Import from defimon'!$1:$100,MATCH(CS$1,'Import from defimon'!$A:$A,0),MATCH($A120,'Import from defimon'!$1:$1,0)))</f>
        <v/>
      </c>
    </row>
    <row r="121" ht="15.75" customHeight="1">
      <c r="AL121" s="13" t="str">
        <f>iferror(VLOOKUP($A121,EAM!H$2:I$14,2,FALSE))</f>
        <v/>
      </c>
      <c r="AN121" s="18"/>
      <c r="AT121" s="13" t="str">
        <f t="array" ref="AT121">iferror(INDEX('Import from defimon'!$1:$100,MATCH(AT$1,'Import from defimon'!$A:$A,0),MATCH($A121,'Import from defimon'!$1:$1,0)))</f>
        <v/>
      </c>
      <c r="BA121" s="13" t="str">
        <f t="array" ref="BA121">iferror(INDEX('Import from defimon'!$1:$100,MATCH(BA$1,'Import from defimon'!$A:$A,0),MATCH($A121,'Import from defimon'!$1:$1,0)))</f>
        <v/>
      </c>
      <c r="BC121" s="13" t="str">
        <f t="array" ref="BC121">iferror(INDEX('Import from defimon'!$1:$100,MATCH(BC$1,'Import from defimon'!$A:$A,0),MATCH($A121,'Import from defimon'!$1:$1,0)))</f>
        <v/>
      </c>
      <c r="BD121" s="13" t="str">
        <f t="array" ref="BD121">iferror(INDEX('Import from defimon'!$1:$100,MATCH(BD$1,'Import from defimon'!$A:$A,0),MATCH($A121,'Import from defimon'!$1:$1,0)))</f>
        <v/>
      </c>
      <c r="BE121" s="13" t="str">
        <f t="array" ref="BE121">iferror(INDEX('Import from defimon'!$1:$100,MATCH(BE$1,'Import from defimon'!$A:$A,0),MATCH($A121,'Import from defimon'!$1:$1,0)))</f>
        <v/>
      </c>
      <c r="BF121" s="13" t="str">
        <f t="array" ref="BF121">iferror(INDEX('Import from defimon'!$1:$100,MATCH(BF$1,'Import from defimon'!$A:$A,0),MATCH($A121,'Import from defimon'!$1:$1,0)))</f>
        <v/>
      </c>
      <c r="BG121" s="13" t="str">
        <f t="array" ref="BG121">iferror(INDEX('Import from defimon'!$1:$100,MATCH(BG$1,'Import from defimon'!$A:$A,0),MATCH($A121,'Import from defimon'!$1:$1,0)))</f>
        <v/>
      </c>
      <c r="BH121" s="13" t="str">
        <f t="array" ref="BH121">iferror(INDEX('Import from defimon'!$1:$100,MATCH(BH$1,'Import from defimon'!$A:$A,0),MATCH($A121,'Import from defimon'!$1:$1,0)))</f>
        <v/>
      </c>
      <c r="BI121" s="13" t="str">
        <f t="array" ref="BI121">iferror(INDEX('Import from defimon'!$1:$100,MATCH(BI$1,'Import from defimon'!$A:$A,0),MATCH($A121,'Import from defimon'!$1:$1,0)))</f>
        <v/>
      </c>
      <c r="BJ121" s="13" t="str">
        <f t="array" ref="BJ121">iferror(INDEX('Import from defimon'!$1:$100,MATCH(BJ$1,'Import from defimon'!$A:$A,0),MATCH($A121,'Import from defimon'!$1:$1,0)))</f>
        <v/>
      </c>
      <c r="BK121" s="13" t="str">
        <f t="array" ref="BK121">iferror(INDEX('Import from defimon'!$1:$100,MATCH(BK$1,'Import from defimon'!$A:$A,0),MATCH($A121,'Import from defimon'!$1:$1,0)))</f>
        <v/>
      </c>
      <c r="BL121" s="13" t="str">
        <f t="array" ref="BL121">iferror(INDEX('Import from defimon'!$1:$100,MATCH(BL$1,'Import from defimon'!$A:$A,0),MATCH($A121,'Import from defimon'!$1:$1,0)))</f>
        <v/>
      </c>
      <c r="BN121" s="13" t="str">
        <f t="array" ref="BN121">iferror(INDEX('Import from defimon'!$1:$100,MATCH(BN$1,'Import from defimon'!$A:$A,0),MATCH($A121,'Import from defimon'!$1:$1,0)))</f>
        <v/>
      </c>
      <c r="BO121" s="13" t="str">
        <f t="array" ref="BO121">iferror(INDEX('Import from defimon'!$1:$100,MATCH(BO$1,'Import from defimon'!$A:$A,0),MATCH($A121,'Import from defimon'!$1:$1,0)))</f>
        <v/>
      </c>
      <c r="BP121" s="13" t="str">
        <f t="array" ref="BP121">iferror(INDEX('Import from defimon'!$1:$100,MATCH(BP$1,'Import from defimon'!$A:$A,0),MATCH($A121,'Import from defimon'!$1:$1,0)))</f>
        <v/>
      </c>
      <c r="BS121" s="13" t="str">
        <f t="array" ref="BS121">iferror(INDEX('Import from defimon'!$1:$100,MATCH(BS$1,'Import from defimon'!$A:$A,0),MATCH($A121,'Import from defimon'!$1:$1,0)))</f>
        <v/>
      </c>
      <c r="BT121" s="13" t="str">
        <f t="array" ref="BT121">iferror(INDEX('Import from defimon'!$1:$100,MATCH(BT$1,'Import from defimon'!$A:$A,0),MATCH($A121,'Import from defimon'!$1:$1,0)))</f>
        <v/>
      </c>
      <c r="BU121" s="13" t="str">
        <f t="array" ref="BU121">iferror(INDEX('Import from defimon'!$1:$100,MATCH(BU$1,'Import from defimon'!$A:$A,0),MATCH($A121,'Import from defimon'!$1:$1,0)))</f>
        <v/>
      </c>
      <c r="BV121" s="13" t="str">
        <f t="array" ref="BV121">iferror(INDEX('Import from defimon'!$1:$100,MATCH(BV$1,'Import from defimon'!$A:$A,0),MATCH($A121,'Import from defimon'!$1:$1,0)))</f>
        <v/>
      </c>
      <c r="BW121" s="13" t="str">
        <f t="array" ref="BW121">iferror(INDEX('Import from defimon'!$1:$100,MATCH(BW$1,'Import from defimon'!$A:$A,0),MATCH($A121,'Import from defimon'!$1:$1,0)))</f>
        <v/>
      </c>
      <c r="BX121" s="13" t="str">
        <f t="array" ref="BX121">iferror(INDEX('Import from defimon'!$1:$100,MATCH(BX$1,'Import from defimon'!$A:$A,0),MATCH($A121,'Import from defimon'!$1:$1,0)))</f>
        <v/>
      </c>
      <c r="BY121" s="13" t="str">
        <f t="array" ref="BY121">iferror(INDEX('Import from defimon'!$1:$100,MATCH(BY$1,'Import from defimon'!$A:$A,0),MATCH($A121,'Import from defimon'!$1:$1,0)))</f>
        <v/>
      </c>
      <c r="BZ121" s="13" t="str">
        <f t="array" ref="BZ121">iferror(INDEX('Import from defimon'!$1:$100,MATCH(BZ$1,'Import from defimon'!$A:$A,0),MATCH($A121,'Import from defimon'!$1:$1,0)))</f>
        <v/>
      </c>
      <c r="CA121" s="13" t="str">
        <f t="array" ref="CA121">iferror(INDEX('Import from defimon'!$1:$100,MATCH(CA$1,'Import from defimon'!$A:$A,0),MATCH($A121,'Import from defimon'!$1:$1,0)))</f>
        <v/>
      </c>
      <c r="CB121" s="13" t="str">
        <f t="array" ref="CB121">iferror(INDEX('Import from defimon'!$1:$100,MATCH(CB$1,'Import from defimon'!$A:$A,0),MATCH($A121,'Import from defimon'!$1:$1,0)))</f>
        <v/>
      </c>
      <c r="CC121" s="13" t="str">
        <f t="array" ref="CC121">iferror(INDEX('Import from defimon'!$1:$100,MATCH(CC$1,'Import from defimon'!$A:$A,0),MATCH($A121,'Import from defimon'!$1:$1,0)))</f>
        <v/>
      </c>
      <c r="CD121" s="13" t="str">
        <f t="array" ref="CD121">iferror(INDEX('Import from defimon'!$1:$100,MATCH(CD$1,'Import from defimon'!$A:$A,0),MATCH($A121,'Import from defimon'!$1:$1,0)))</f>
        <v/>
      </c>
      <c r="CE121" s="13" t="str">
        <f t="array" ref="CE121">iferror(INDEX('Import from defimon'!$1:$100,MATCH(CE$1,'Import from defimon'!$A:$A,0),MATCH($A121,'Import from defimon'!$1:$1,0)))</f>
        <v/>
      </c>
      <c r="CF121" s="13" t="str">
        <f t="array" ref="CF121">iferror(INDEX('Import from defimon'!$1:$100,MATCH(CF$1,'Import from defimon'!$A:$A,0),MATCH($A121,'Import from defimon'!$1:$1,0)))</f>
        <v/>
      </c>
      <c r="CH121" s="13" t="str">
        <f t="array" ref="CH121">iferror(INDEX('Import from defimon'!$1:$100,MATCH(CH$1,'Import from defimon'!$A:$A,0),MATCH($A121,'Import from defimon'!$1:$1,0)))</f>
        <v/>
      </c>
      <c r="CI121" s="13" t="str">
        <f t="array" ref="CI121">iferror(INDEX('Import from defimon'!$1:$100,MATCH(CI$1,'Import from defimon'!$A:$A,0),MATCH($A121,'Import from defimon'!$1:$1,0)))</f>
        <v/>
      </c>
      <c r="CJ121" s="13" t="str">
        <f t="array" ref="CJ121">iferror(INDEX('Import from defimon'!$1:$100,MATCH(CJ$1,'Import from defimon'!$A:$A,0),MATCH($A121,'Import from defimon'!$1:$1,0)))</f>
        <v/>
      </c>
      <c r="CQ121" s="13" t="str">
        <f t="array" ref="CQ121">iferror(INDEX('Import from defimon'!$1:$100,MATCH(CQ$1,'Import from defimon'!$A:$A,0),MATCH($A121,'Import from defimon'!$1:$1,0)))</f>
        <v/>
      </c>
      <c r="CR121" s="13" t="str">
        <f t="array" ref="CR121">iferror(INDEX('Import from defimon'!$1:$100,MATCH(CR$1,'Import from defimon'!$A:$A,0),MATCH($A121,'Import from defimon'!$1:$1,0)))</f>
        <v/>
      </c>
      <c r="CS121" s="13" t="str">
        <f t="array" ref="CS121">iferror(INDEX('Import from defimon'!$1:$100,MATCH(CS$1,'Import from defimon'!$A:$A,0),MATCH($A121,'Import from defimon'!$1:$1,0)))</f>
        <v/>
      </c>
    </row>
    <row r="122" ht="15.75" customHeight="1">
      <c r="AL122" s="13" t="str">
        <f>iferror(VLOOKUP($A122,EAM!H$2:I$14,2,FALSE))</f>
        <v/>
      </c>
      <c r="AN122" s="18"/>
      <c r="AT122" s="13" t="str">
        <f t="array" ref="AT122">iferror(INDEX('Import from defimon'!$1:$100,MATCH(AT$1,'Import from defimon'!$A:$A,0),MATCH($A122,'Import from defimon'!$1:$1,0)))</f>
        <v/>
      </c>
      <c r="BA122" s="13" t="str">
        <f t="array" ref="BA122">iferror(INDEX('Import from defimon'!$1:$100,MATCH(BA$1,'Import from defimon'!$A:$A,0),MATCH($A122,'Import from defimon'!$1:$1,0)))</f>
        <v/>
      </c>
      <c r="BC122" s="13" t="str">
        <f t="array" ref="BC122">iferror(INDEX('Import from defimon'!$1:$100,MATCH(BC$1,'Import from defimon'!$A:$A,0),MATCH($A122,'Import from defimon'!$1:$1,0)))</f>
        <v/>
      </c>
      <c r="BD122" s="13" t="str">
        <f t="array" ref="BD122">iferror(INDEX('Import from defimon'!$1:$100,MATCH(BD$1,'Import from defimon'!$A:$A,0),MATCH($A122,'Import from defimon'!$1:$1,0)))</f>
        <v/>
      </c>
      <c r="BE122" s="13" t="str">
        <f t="array" ref="BE122">iferror(INDEX('Import from defimon'!$1:$100,MATCH(BE$1,'Import from defimon'!$A:$A,0),MATCH($A122,'Import from defimon'!$1:$1,0)))</f>
        <v/>
      </c>
      <c r="BF122" s="13" t="str">
        <f t="array" ref="BF122">iferror(INDEX('Import from defimon'!$1:$100,MATCH(BF$1,'Import from defimon'!$A:$A,0),MATCH($A122,'Import from defimon'!$1:$1,0)))</f>
        <v/>
      </c>
      <c r="BG122" s="13" t="str">
        <f t="array" ref="BG122">iferror(INDEX('Import from defimon'!$1:$100,MATCH(BG$1,'Import from defimon'!$A:$A,0),MATCH($A122,'Import from defimon'!$1:$1,0)))</f>
        <v/>
      </c>
      <c r="BH122" s="13" t="str">
        <f t="array" ref="BH122">iferror(INDEX('Import from defimon'!$1:$100,MATCH(BH$1,'Import from defimon'!$A:$A,0),MATCH($A122,'Import from defimon'!$1:$1,0)))</f>
        <v/>
      </c>
      <c r="BI122" s="13" t="str">
        <f t="array" ref="BI122">iferror(INDEX('Import from defimon'!$1:$100,MATCH(BI$1,'Import from defimon'!$A:$A,0),MATCH($A122,'Import from defimon'!$1:$1,0)))</f>
        <v/>
      </c>
      <c r="BJ122" s="13" t="str">
        <f t="array" ref="BJ122">iferror(INDEX('Import from defimon'!$1:$100,MATCH(BJ$1,'Import from defimon'!$A:$A,0),MATCH($A122,'Import from defimon'!$1:$1,0)))</f>
        <v/>
      </c>
      <c r="BK122" s="13" t="str">
        <f t="array" ref="BK122">iferror(INDEX('Import from defimon'!$1:$100,MATCH(BK$1,'Import from defimon'!$A:$A,0),MATCH($A122,'Import from defimon'!$1:$1,0)))</f>
        <v/>
      </c>
      <c r="BL122" s="13" t="str">
        <f t="array" ref="BL122">iferror(INDEX('Import from defimon'!$1:$100,MATCH(BL$1,'Import from defimon'!$A:$A,0),MATCH($A122,'Import from defimon'!$1:$1,0)))</f>
        <v/>
      </c>
      <c r="BN122" s="13" t="str">
        <f t="array" ref="BN122">iferror(INDEX('Import from defimon'!$1:$100,MATCH(BN$1,'Import from defimon'!$A:$A,0),MATCH($A122,'Import from defimon'!$1:$1,0)))</f>
        <v/>
      </c>
      <c r="BO122" s="13" t="str">
        <f t="array" ref="BO122">iferror(INDEX('Import from defimon'!$1:$100,MATCH(BO$1,'Import from defimon'!$A:$A,0),MATCH($A122,'Import from defimon'!$1:$1,0)))</f>
        <v/>
      </c>
      <c r="BP122" s="13" t="str">
        <f t="array" ref="BP122">iferror(INDEX('Import from defimon'!$1:$100,MATCH(BP$1,'Import from defimon'!$A:$A,0),MATCH($A122,'Import from defimon'!$1:$1,0)))</f>
        <v/>
      </c>
      <c r="BS122" s="13" t="str">
        <f t="array" ref="BS122">iferror(INDEX('Import from defimon'!$1:$100,MATCH(BS$1,'Import from defimon'!$A:$A,0),MATCH($A122,'Import from defimon'!$1:$1,0)))</f>
        <v/>
      </c>
      <c r="BT122" s="13" t="str">
        <f t="array" ref="BT122">iferror(INDEX('Import from defimon'!$1:$100,MATCH(BT$1,'Import from defimon'!$A:$A,0),MATCH($A122,'Import from defimon'!$1:$1,0)))</f>
        <v/>
      </c>
      <c r="BU122" s="13" t="str">
        <f t="array" ref="BU122">iferror(INDEX('Import from defimon'!$1:$100,MATCH(BU$1,'Import from defimon'!$A:$A,0),MATCH($A122,'Import from defimon'!$1:$1,0)))</f>
        <v/>
      </c>
      <c r="BV122" s="13" t="str">
        <f t="array" ref="BV122">iferror(INDEX('Import from defimon'!$1:$100,MATCH(BV$1,'Import from defimon'!$A:$A,0),MATCH($A122,'Import from defimon'!$1:$1,0)))</f>
        <v/>
      </c>
      <c r="BW122" s="13" t="str">
        <f t="array" ref="BW122">iferror(INDEX('Import from defimon'!$1:$100,MATCH(BW$1,'Import from defimon'!$A:$A,0),MATCH($A122,'Import from defimon'!$1:$1,0)))</f>
        <v/>
      </c>
      <c r="BX122" s="13" t="str">
        <f t="array" ref="BX122">iferror(INDEX('Import from defimon'!$1:$100,MATCH(BX$1,'Import from defimon'!$A:$A,0),MATCH($A122,'Import from defimon'!$1:$1,0)))</f>
        <v/>
      </c>
      <c r="BY122" s="13" t="str">
        <f t="array" ref="BY122">iferror(INDEX('Import from defimon'!$1:$100,MATCH(BY$1,'Import from defimon'!$A:$A,0),MATCH($A122,'Import from defimon'!$1:$1,0)))</f>
        <v/>
      </c>
      <c r="BZ122" s="13" t="str">
        <f t="array" ref="BZ122">iferror(INDEX('Import from defimon'!$1:$100,MATCH(BZ$1,'Import from defimon'!$A:$A,0),MATCH($A122,'Import from defimon'!$1:$1,0)))</f>
        <v/>
      </c>
      <c r="CA122" s="13" t="str">
        <f t="array" ref="CA122">iferror(INDEX('Import from defimon'!$1:$100,MATCH(CA$1,'Import from defimon'!$A:$A,0),MATCH($A122,'Import from defimon'!$1:$1,0)))</f>
        <v/>
      </c>
      <c r="CB122" s="13" t="str">
        <f t="array" ref="CB122">iferror(INDEX('Import from defimon'!$1:$100,MATCH(CB$1,'Import from defimon'!$A:$A,0),MATCH($A122,'Import from defimon'!$1:$1,0)))</f>
        <v/>
      </c>
      <c r="CC122" s="13" t="str">
        <f t="array" ref="CC122">iferror(INDEX('Import from defimon'!$1:$100,MATCH(CC$1,'Import from defimon'!$A:$A,0),MATCH($A122,'Import from defimon'!$1:$1,0)))</f>
        <v/>
      </c>
      <c r="CD122" s="13" t="str">
        <f t="array" ref="CD122">iferror(INDEX('Import from defimon'!$1:$100,MATCH(CD$1,'Import from defimon'!$A:$A,0),MATCH($A122,'Import from defimon'!$1:$1,0)))</f>
        <v/>
      </c>
      <c r="CE122" s="13" t="str">
        <f t="array" ref="CE122">iferror(INDEX('Import from defimon'!$1:$100,MATCH(CE$1,'Import from defimon'!$A:$A,0),MATCH($A122,'Import from defimon'!$1:$1,0)))</f>
        <v/>
      </c>
      <c r="CF122" s="13" t="str">
        <f t="array" ref="CF122">iferror(INDEX('Import from defimon'!$1:$100,MATCH(CF$1,'Import from defimon'!$A:$A,0),MATCH($A122,'Import from defimon'!$1:$1,0)))</f>
        <v/>
      </c>
      <c r="CH122" s="13" t="str">
        <f t="array" ref="CH122">iferror(INDEX('Import from defimon'!$1:$100,MATCH(CH$1,'Import from defimon'!$A:$A,0),MATCH($A122,'Import from defimon'!$1:$1,0)))</f>
        <v/>
      </c>
      <c r="CI122" s="13" t="str">
        <f t="array" ref="CI122">iferror(INDEX('Import from defimon'!$1:$100,MATCH(CI$1,'Import from defimon'!$A:$A,0),MATCH($A122,'Import from defimon'!$1:$1,0)))</f>
        <v/>
      </c>
      <c r="CJ122" s="13" t="str">
        <f t="array" ref="CJ122">iferror(INDEX('Import from defimon'!$1:$100,MATCH(CJ$1,'Import from defimon'!$A:$A,0),MATCH($A122,'Import from defimon'!$1:$1,0)))</f>
        <v/>
      </c>
      <c r="CQ122" s="13" t="str">
        <f t="array" ref="CQ122">iferror(INDEX('Import from defimon'!$1:$100,MATCH(CQ$1,'Import from defimon'!$A:$A,0),MATCH($A122,'Import from defimon'!$1:$1,0)))</f>
        <v/>
      </c>
      <c r="CR122" s="13" t="str">
        <f t="array" ref="CR122">iferror(INDEX('Import from defimon'!$1:$100,MATCH(CR$1,'Import from defimon'!$A:$A,0),MATCH($A122,'Import from defimon'!$1:$1,0)))</f>
        <v/>
      </c>
      <c r="CS122" s="13" t="str">
        <f t="array" ref="CS122">iferror(INDEX('Import from defimon'!$1:$100,MATCH(CS$1,'Import from defimon'!$A:$A,0),MATCH($A122,'Import from defimon'!$1:$1,0)))</f>
        <v/>
      </c>
    </row>
    <row r="123" ht="15.75" customHeight="1">
      <c r="AL123" s="13" t="str">
        <f>iferror(VLOOKUP($A123,EAM!H$2:I$14,2,FALSE))</f>
        <v/>
      </c>
      <c r="AN123" s="18"/>
      <c r="AT123" s="13" t="str">
        <f t="array" ref="AT123">iferror(INDEX('Import from defimon'!$1:$100,MATCH(AT$1,'Import from defimon'!$A:$A,0),MATCH($A123,'Import from defimon'!$1:$1,0)))</f>
        <v/>
      </c>
      <c r="BA123" s="13" t="str">
        <f t="array" ref="BA123">iferror(INDEX('Import from defimon'!$1:$100,MATCH(BA$1,'Import from defimon'!$A:$A,0),MATCH($A123,'Import from defimon'!$1:$1,0)))</f>
        <v/>
      </c>
      <c r="BC123" s="13" t="str">
        <f t="array" ref="BC123">iferror(INDEX('Import from defimon'!$1:$100,MATCH(BC$1,'Import from defimon'!$A:$A,0),MATCH($A123,'Import from defimon'!$1:$1,0)))</f>
        <v/>
      </c>
      <c r="BD123" s="13" t="str">
        <f t="array" ref="BD123">iferror(INDEX('Import from defimon'!$1:$100,MATCH(BD$1,'Import from defimon'!$A:$A,0),MATCH($A123,'Import from defimon'!$1:$1,0)))</f>
        <v/>
      </c>
      <c r="BE123" s="13" t="str">
        <f t="array" ref="BE123">iferror(INDEX('Import from defimon'!$1:$100,MATCH(BE$1,'Import from defimon'!$A:$A,0),MATCH($A123,'Import from defimon'!$1:$1,0)))</f>
        <v/>
      </c>
      <c r="BF123" s="13" t="str">
        <f t="array" ref="BF123">iferror(INDEX('Import from defimon'!$1:$100,MATCH(BF$1,'Import from defimon'!$A:$A,0),MATCH($A123,'Import from defimon'!$1:$1,0)))</f>
        <v/>
      </c>
      <c r="BG123" s="13" t="str">
        <f t="array" ref="BG123">iferror(INDEX('Import from defimon'!$1:$100,MATCH(BG$1,'Import from defimon'!$A:$A,0),MATCH($A123,'Import from defimon'!$1:$1,0)))</f>
        <v/>
      </c>
      <c r="BH123" s="13" t="str">
        <f t="array" ref="BH123">iferror(INDEX('Import from defimon'!$1:$100,MATCH(BH$1,'Import from defimon'!$A:$A,0),MATCH($A123,'Import from defimon'!$1:$1,0)))</f>
        <v/>
      </c>
      <c r="BI123" s="13" t="str">
        <f t="array" ref="BI123">iferror(INDEX('Import from defimon'!$1:$100,MATCH(BI$1,'Import from defimon'!$A:$A,0),MATCH($A123,'Import from defimon'!$1:$1,0)))</f>
        <v/>
      </c>
      <c r="BJ123" s="13" t="str">
        <f t="array" ref="BJ123">iferror(INDEX('Import from defimon'!$1:$100,MATCH(BJ$1,'Import from defimon'!$A:$A,0),MATCH($A123,'Import from defimon'!$1:$1,0)))</f>
        <v/>
      </c>
      <c r="BK123" s="13" t="str">
        <f t="array" ref="BK123">iferror(INDEX('Import from defimon'!$1:$100,MATCH(BK$1,'Import from defimon'!$A:$A,0),MATCH($A123,'Import from defimon'!$1:$1,0)))</f>
        <v/>
      </c>
      <c r="BL123" s="13" t="str">
        <f t="array" ref="BL123">iferror(INDEX('Import from defimon'!$1:$100,MATCH(BL$1,'Import from defimon'!$A:$A,0),MATCH($A123,'Import from defimon'!$1:$1,0)))</f>
        <v/>
      </c>
      <c r="BN123" s="13" t="str">
        <f t="array" ref="BN123">iferror(INDEX('Import from defimon'!$1:$100,MATCH(BN$1,'Import from defimon'!$A:$A,0),MATCH($A123,'Import from defimon'!$1:$1,0)))</f>
        <v/>
      </c>
      <c r="BO123" s="13" t="str">
        <f t="array" ref="BO123">iferror(INDEX('Import from defimon'!$1:$100,MATCH(BO$1,'Import from defimon'!$A:$A,0),MATCH($A123,'Import from defimon'!$1:$1,0)))</f>
        <v/>
      </c>
      <c r="BP123" s="13" t="str">
        <f t="array" ref="BP123">iferror(INDEX('Import from defimon'!$1:$100,MATCH(BP$1,'Import from defimon'!$A:$A,0),MATCH($A123,'Import from defimon'!$1:$1,0)))</f>
        <v/>
      </c>
      <c r="BS123" s="13" t="str">
        <f t="array" ref="BS123">iferror(INDEX('Import from defimon'!$1:$100,MATCH(BS$1,'Import from defimon'!$A:$A,0),MATCH($A123,'Import from defimon'!$1:$1,0)))</f>
        <v/>
      </c>
      <c r="BT123" s="13" t="str">
        <f t="array" ref="BT123">iferror(INDEX('Import from defimon'!$1:$100,MATCH(BT$1,'Import from defimon'!$A:$A,0),MATCH($A123,'Import from defimon'!$1:$1,0)))</f>
        <v/>
      </c>
      <c r="BU123" s="13" t="str">
        <f t="array" ref="BU123">iferror(INDEX('Import from defimon'!$1:$100,MATCH(BU$1,'Import from defimon'!$A:$A,0),MATCH($A123,'Import from defimon'!$1:$1,0)))</f>
        <v/>
      </c>
      <c r="BV123" s="13" t="str">
        <f t="array" ref="BV123">iferror(INDEX('Import from defimon'!$1:$100,MATCH(BV$1,'Import from defimon'!$A:$A,0),MATCH($A123,'Import from defimon'!$1:$1,0)))</f>
        <v/>
      </c>
      <c r="BW123" s="13" t="str">
        <f t="array" ref="BW123">iferror(INDEX('Import from defimon'!$1:$100,MATCH(BW$1,'Import from defimon'!$A:$A,0),MATCH($A123,'Import from defimon'!$1:$1,0)))</f>
        <v/>
      </c>
      <c r="BX123" s="13" t="str">
        <f t="array" ref="BX123">iferror(INDEX('Import from defimon'!$1:$100,MATCH(BX$1,'Import from defimon'!$A:$A,0),MATCH($A123,'Import from defimon'!$1:$1,0)))</f>
        <v/>
      </c>
      <c r="BY123" s="13" t="str">
        <f t="array" ref="BY123">iferror(INDEX('Import from defimon'!$1:$100,MATCH(BY$1,'Import from defimon'!$A:$A,0),MATCH($A123,'Import from defimon'!$1:$1,0)))</f>
        <v/>
      </c>
      <c r="BZ123" s="13" t="str">
        <f t="array" ref="BZ123">iferror(INDEX('Import from defimon'!$1:$100,MATCH(BZ$1,'Import from defimon'!$A:$A,0),MATCH($A123,'Import from defimon'!$1:$1,0)))</f>
        <v/>
      </c>
      <c r="CA123" s="13" t="str">
        <f t="array" ref="CA123">iferror(INDEX('Import from defimon'!$1:$100,MATCH(CA$1,'Import from defimon'!$A:$A,0),MATCH($A123,'Import from defimon'!$1:$1,0)))</f>
        <v/>
      </c>
      <c r="CB123" s="13" t="str">
        <f t="array" ref="CB123">iferror(INDEX('Import from defimon'!$1:$100,MATCH(CB$1,'Import from defimon'!$A:$A,0),MATCH($A123,'Import from defimon'!$1:$1,0)))</f>
        <v/>
      </c>
      <c r="CC123" s="13" t="str">
        <f t="array" ref="CC123">iferror(INDEX('Import from defimon'!$1:$100,MATCH(CC$1,'Import from defimon'!$A:$A,0),MATCH($A123,'Import from defimon'!$1:$1,0)))</f>
        <v/>
      </c>
      <c r="CD123" s="13" t="str">
        <f t="array" ref="CD123">iferror(INDEX('Import from defimon'!$1:$100,MATCH(CD$1,'Import from defimon'!$A:$A,0),MATCH($A123,'Import from defimon'!$1:$1,0)))</f>
        <v/>
      </c>
      <c r="CE123" s="13" t="str">
        <f t="array" ref="CE123">iferror(INDEX('Import from defimon'!$1:$100,MATCH(CE$1,'Import from defimon'!$A:$A,0),MATCH($A123,'Import from defimon'!$1:$1,0)))</f>
        <v/>
      </c>
      <c r="CF123" s="13" t="str">
        <f t="array" ref="CF123">iferror(INDEX('Import from defimon'!$1:$100,MATCH(CF$1,'Import from defimon'!$A:$A,0),MATCH($A123,'Import from defimon'!$1:$1,0)))</f>
        <v/>
      </c>
      <c r="CH123" s="13" t="str">
        <f t="array" ref="CH123">iferror(INDEX('Import from defimon'!$1:$100,MATCH(CH$1,'Import from defimon'!$A:$A,0),MATCH($A123,'Import from defimon'!$1:$1,0)))</f>
        <v/>
      </c>
      <c r="CI123" s="13" t="str">
        <f t="array" ref="CI123">iferror(INDEX('Import from defimon'!$1:$100,MATCH(CI$1,'Import from defimon'!$A:$A,0),MATCH($A123,'Import from defimon'!$1:$1,0)))</f>
        <v/>
      </c>
      <c r="CJ123" s="13" t="str">
        <f t="array" ref="CJ123">iferror(INDEX('Import from defimon'!$1:$100,MATCH(CJ$1,'Import from defimon'!$A:$A,0),MATCH($A123,'Import from defimon'!$1:$1,0)))</f>
        <v/>
      </c>
      <c r="CQ123" s="13" t="str">
        <f t="array" ref="CQ123">iferror(INDEX('Import from defimon'!$1:$100,MATCH(CQ$1,'Import from defimon'!$A:$A,0),MATCH($A123,'Import from defimon'!$1:$1,0)))</f>
        <v/>
      </c>
      <c r="CR123" s="13" t="str">
        <f t="array" ref="CR123">iferror(INDEX('Import from defimon'!$1:$100,MATCH(CR$1,'Import from defimon'!$A:$A,0),MATCH($A123,'Import from defimon'!$1:$1,0)))</f>
        <v/>
      </c>
      <c r="CS123" s="13" t="str">
        <f t="array" ref="CS123">iferror(INDEX('Import from defimon'!$1:$100,MATCH(CS$1,'Import from defimon'!$A:$A,0),MATCH($A123,'Import from defimon'!$1:$1,0)))</f>
        <v/>
      </c>
    </row>
    <row r="124" ht="15.75" customHeight="1">
      <c r="AL124" s="13" t="str">
        <f>iferror(VLOOKUP($A124,EAM!H$2:I$14,2,FALSE))</f>
        <v/>
      </c>
      <c r="AN124" s="18"/>
      <c r="AT124" s="13" t="str">
        <f t="array" ref="AT124">iferror(INDEX('Import from defimon'!$1:$100,MATCH(AT$1,'Import from defimon'!$A:$A,0),MATCH($A124,'Import from defimon'!$1:$1,0)))</f>
        <v/>
      </c>
      <c r="BA124" s="13" t="str">
        <f t="array" ref="BA124">iferror(INDEX('Import from defimon'!$1:$100,MATCH(BA$1,'Import from defimon'!$A:$A,0),MATCH($A124,'Import from defimon'!$1:$1,0)))</f>
        <v/>
      </c>
      <c r="BC124" s="13" t="str">
        <f t="array" ref="BC124">iferror(INDEX('Import from defimon'!$1:$100,MATCH(BC$1,'Import from defimon'!$A:$A,0),MATCH($A124,'Import from defimon'!$1:$1,0)))</f>
        <v/>
      </c>
      <c r="BD124" s="13" t="str">
        <f t="array" ref="BD124">iferror(INDEX('Import from defimon'!$1:$100,MATCH(BD$1,'Import from defimon'!$A:$A,0),MATCH($A124,'Import from defimon'!$1:$1,0)))</f>
        <v/>
      </c>
      <c r="BE124" s="13" t="str">
        <f t="array" ref="BE124">iferror(INDEX('Import from defimon'!$1:$100,MATCH(BE$1,'Import from defimon'!$A:$A,0),MATCH($A124,'Import from defimon'!$1:$1,0)))</f>
        <v/>
      </c>
      <c r="BF124" s="13" t="str">
        <f t="array" ref="BF124">iferror(INDEX('Import from defimon'!$1:$100,MATCH(BF$1,'Import from defimon'!$A:$A,0),MATCH($A124,'Import from defimon'!$1:$1,0)))</f>
        <v/>
      </c>
      <c r="BG124" s="13" t="str">
        <f t="array" ref="BG124">iferror(INDEX('Import from defimon'!$1:$100,MATCH(BG$1,'Import from defimon'!$A:$A,0),MATCH($A124,'Import from defimon'!$1:$1,0)))</f>
        <v/>
      </c>
      <c r="BH124" s="13" t="str">
        <f t="array" ref="BH124">iferror(INDEX('Import from defimon'!$1:$100,MATCH(BH$1,'Import from defimon'!$A:$A,0),MATCH($A124,'Import from defimon'!$1:$1,0)))</f>
        <v/>
      </c>
      <c r="BI124" s="13" t="str">
        <f t="array" ref="BI124">iferror(INDEX('Import from defimon'!$1:$100,MATCH(BI$1,'Import from defimon'!$A:$A,0),MATCH($A124,'Import from defimon'!$1:$1,0)))</f>
        <v/>
      </c>
      <c r="BJ124" s="13" t="str">
        <f t="array" ref="BJ124">iferror(INDEX('Import from defimon'!$1:$100,MATCH(BJ$1,'Import from defimon'!$A:$A,0),MATCH($A124,'Import from defimon'!$1:$1,0)))</f>
        <v/>
      </c>
      <c r="BK124" s="13" t="str">
        <f t="array" ref="BK124">iferror(INDEX('Import from defimon'!$1:$100,MATCH(BK$1,'Import from defimon'!$A:$A,0),MATCH($A124,'Import from defimon'!$1:$1,0)))</f>
        <v/>
      </c>
      <c r="BL124" s="13" t="str">
        <f t="array" ref="BL124">iferror(INDEX('Import from defimon'!$1:$100,MATCH(BL$1,'Import from defimon'!$A:$A,0),MATCH($A124,'Import from defimon'!$1:$1,0)))</f>
        <v/>
      </c>
      <c r="BN124" s="13" t="str">
        <f t="array" ref="BN124">iferror(INDEX('Import from defimon'!$1:$100,MATCH(BN$1,'Import from defimon'!$A:$A,0),MATCH($A124,'Import from defimon'!$1:$1,0)))</f>
        <v/>
      </c>
      <c r="BO124" s="13" t="str">
        <f t="array" ref="BO124">iferror(INDEX('Import from defimon'!$1:$100,MATCH(BO$1,'Import from defimon'!$A:$A,0),MATCH($A124,'Import from defimon'!$1:$1,0)))</f>
        <v/>
      </c>
      <c r="BP124" s="13" t="str">
        <f t="array" ref="BP124">iferror(INDEX('Import from defimon'!$1:$100,MATCH(BP$1,'Import from defimon'!$A:$A,0),MATCH($A124,'Import from defimon'!$1:$1,0)))</f>
        <v/>
      </c>
      <c r="BS124" s="13" t="str">
        <f t="array" ref="BS124">iferror(INDEX('Import from defimon'!$1:$100,MATCH(BS$1,'Import from defimon'!$A:$A,0),MATCH($A124,'Import from defimon'!$1:$1,0)))</f>
        <v/>
      </c>
      <c r="BT124" s="13" t="str">
        <f t="array" ref="BT124">iferror(INDEX('Import from defimon'!$1:$100,MATCH(BT$1,'Import from defimon'!$A:$A,0),MATCH($A124,'Import from defimon'!$1:$1,0)))</f>
        <v/>
      </c>
      <c r="BU124" s="13" t="str">
        <f t="array" ref="BU124">iferror(INDEX('Import from defimon'!$1:$100,MATCH(BU$1,'Import from defimon'!$A:$A,0),MATCH($A124,'Import from defimon'!$1:$1,0)))</f>
        <v/>
      </c>
      <c r="BV124" s="13" t="str">
        <f t="array" ref="BV124">iferror(INDEX('Import from defimon'!$1:$100,MATCH(BV$1,'Import from defimon'!$A:$A,0),MATCH($A124,'Import from defimon'!$1:$1,0)))</f>
        <v/>
      </c>
      <c r="BW124" s="13" t="str">
        <f t="array" ref="BW124">iferror(INDEX('Import from defimon'!$1:$100,MATCH(BW$1,'Import from defimon'!$A:$A,0),MATCH($A124,'Import from defimon'!$1:$1,0)))</f>
        <v/>
      </c>
      <c r="BX124" s="13" t="str">
        <f t="array" ref="BX124">iferror(INDEX('Import from defimon'!$1:$100,MATCH(BX$1,'Import from defimon'!$A:$A,0),MATCH($A124,'Import from defimon'!$1:$1,0)))</f>
        <v/>
      </c>
      <c r="BY124" s="13" t="str">
        <f t="array" ref="BY124">iferror(INDEX('Import from defimon'!$1:$100,MATCH(BY$1,'Import from defimon'!$A:$A,0),MATCH($A124,'Import from defimon'!$1:$1,0)))</f>
        <v/>
      </c>
      <c r="BZ124" s="13" t="str">
        <f t="array" ref="BZ124">iferror(INDEX('Import from defimon'!$1:$100,MATCH(BZ$1,'Import from defimon'!$A:$A,0),MATCH($A124,'Import from defimon'!$1:$1,0)))</f>
        <v/>
      </c>
      <c r="CA124" s="13" t="str">
        <f t="array" ref="CA124">iferror(INDEX('Import from defimon'!$1:$100,MATCH(CA$1,'Import from defimon'!$A:$A,0),MATCH($A124,'Import from defimon'!$1:$1,0)))</f>
        <v/>
      </c>
      <c r="CB124" s="13" t="str">
        <f t="array" ref="CB124">iferror(INDEX('Import from defimon'!$1:$100,MATCH(CB$1,'Import from defimon'!$A:$A,0),MATCH($A124,'Import from defimon'!$1:$1,0)))</f>
        <v/>
      </c>
      <c r="CC124" s="13" t="str">
        <f t="array" ref="CC124">iferror(INDEX('Import from defimon'!$1:$100,MATCH(CC$1,'Import from defimon'!$A:$A,0),MATCH($A124,'Import from defimon'!$1:$1,0)))</f>
        <v/>
      </c>
      <c r="CD124" s="13" t="str">
        <f t="array" ref="CD124">iferror(INDEX('Import from defimon'!$1:$100,MATCH(CD$1,'Import from defimon'!$A:$A,0),MATCH($A124,'Import from defimon'!$1:$1,0)))</f>
        <v/>
      </c>
      <c r="CE124" s="13" t="str">
        <f t="array" ref="CE124">iferror(INDEX('Import from defimon'!$1:$100,MATCH(CE$1,'Import from defimon'!$A:$A,0),MATCH($A124,'Import from defimon'!$1:$1,0)))</f>
        <v/>
      </c>
      <c r="CF124" s="13" t="str">
        <f t="array" ref="CF124">iferror(INDEX('Import from defimon'!$1:$100,MATCH(CF$1,'Import from defimon'!$A:$A,0),MATCH($A124,'Import from defimon'!$1:$1,0)))</f>
        <v/>
      </c>
      <c r="CH124" s="13" t="str">
        <f t="array" ref="CH124">iferror(INDEX('Import from defimon'!$1:$100,MATCH(CH$1,'Import from defimon'!$A:$A,0),MATCH($A124,'Import from defimon'!$1:$1,0)))</f>
        <v/>
      </c>
      <c r="CI124" s="13" t="str">
        <f t="array" ref="CI124">iferror(INDEX('Import from defimon'!$1:$100,MATCH(CI$1,'Import from defimon'!$A:$A,0),MATCH($A124,'Import from defimon'!$1:$1,0)))</f>
        <v/>
      </c>
      <c r="CJ124" s="13" t="str">
        <f t="array" ref="CJ124">iferror(INDEX('Import from defimon'!$1:$100,MATCH(CJ$1,'Import from defimon'!$A:$A,0),MATCH($A124,'Import from defimon'!$1:$1,0)))</f>
        <v/>
      </c>
      <c r="CQ124" s="13" t="str">
        <f t="array" ref="CQ124">iferror(INDEX('Import from defimon'!$1:$100,MATCH(CQ$1,'Import from defimon'!$A:$A,0),MATCH($A124,'Import from defimon'!$1:$1,0)))</f>
        <v/>
      </c>
      <c r="CR124" s="13" t="str">
        <f t="array" ref="CR124">iferror(INDEX('Import from defimon'!$1:$100,MATCH(CR$1,'Import from defimon'!$A:$A,0),MATCH($A124,'Import from defimon'!$1:$1,0)))</f>
        <v/>
      </c>
      <c r="CS124" s="13" t="str">
        <f t="array" ref="CS124">iferror(INDEX('Import from defimon'!$1:$100,MATCH(CS$1,'Import from defimon'!$A:$A,0),MATCH($A124,'Import from defimon'!$1:$1,0)))</f>
        <v/>
      </c>
    </row>
    <row r="125" ht="15.75" customHeight="1">
      <c r="AL125" s="13" t="str">
        <f>iferror(VLOOKUP($A125,EAM!H$2:I$14,2,FALSE))</f>
        <v/>
      </c>
      <c r="AN125" s="18"/>
      <c r="AT125" s="13" t="str">
        <f t="array" ref="AT125">iferror(INDEX('Import from defimon'!$1:$100,MATCH(AT$1,'Import from defimon'!$A:$A,0),MATCH($A125,'Import from defimon'!$1:$1,0)))</f>
        <v/>
      </c>
      <c r="BA125" s="13" t="str">
        <f t="array" ref="BA125">iferror(INDEX('Import from defimon'!$1:$100,MATCH(BA$1,'Import from defimon'!$A:$A,0),MATCH($A125,'Import from defimon'!$1:$1,0)))</f>
        <v/>
      </c>
      <c r="BC125" s="13" t="str">
        <f t="array" ref="BC125">iferror(INDEX('Import from defimon'!$1:$100,MATCH(BC$1,'Import from defimon'!$A:$A,0),MATCH($A125,'Import from defimon'!$1:$1,0)))</f>
        <v/>
      </c>
      <c r="BD125" s="13" t="str">
        <f t="array" ref="BD125">iferror(INDEX('Import from defimon'!$1:$100,MATCH(BD$1,'Import from defimon'!$A:$A,0),MATCH($A125,'Import from defimon'!$1:$1,0)))</f>
        <v/>
      </c>
      <c r="BE125" s="13" t="str">
        <f t="array" ref="BE125">iferror(INDEX('Import from defimon'!$1:$100,MATCH(BE$1,'Import from defimon'!$A:$A,0),MATCH($A125,'Import from defimon'!$1:$1,0)))</f>
        <v/>
      </c>
      <c r="BF125" s="13" t="str">
        <f t="array" ref="BF125">iferror(INDEX('Import from defimon'!$1:$100,MATCH(BF$1,'Import from defimon'!$A:$A,0),MATCH($A125,'Import from defimon'!$1:$1,0)))</f>
        <v/>
      </c>
      <c r="BG125" s="13" t="str">
        <f t="array" ref="BG125">iferror(INDEX('Import from defimon'!$1:$100,MATCH(BG$1,'Import from defimon'!$A:$A,0),MATCH($A125,'Import from defimon'!$1:$1,0)))</f>
        <v/>
      </c>
      <c r="BH125" s="13" t="str">
        <f t="array" ref="BH125">iferror(INDEX('Import from defimon'!$1:$100,MATCH(BH$1,'Import from defimon'!$A:$A,0),MATCH($A125,'Import from defimon'!$1:$1,0)))</f>
        <v/>
      </c>
      <c r="BI125" s="13" t="str">
        <f t="array" ref="BI125">iferror(INDEX('Import from defimon'!$1:$100,MATCH(BI$1,'Import from defimon'!$A:$A,0),MATCH($A125,'Import from defimon'!$1:$1,0)))</f>
        <v/>
      </c>
      <c r="BJ125" s="13" t="str">
        <f t="array" ref="BJ125">iferror(INDEX('Import from defimon'!$1:$100,MATCH(BJ$1,'Import from defimon'!$A:$A,0),MATCH($A125,'Import from defimon'!$1:$1,0)))</f>
        <v/>
      </c>
      <c r="BK125" s="13" t="str">
        <f t="array" ref="BK125">iferror(INDEX('Import from defimon'!$1:$100,MATCH(BK$1,'Import from defimon'!$A:$A,0),MATCH($A125,'Import from defimon'!$1:$1,0)))</f>
        <v/>
      </c>
      <c r="BL125" s="13" t="str">
        <f t="array" ref="BL125">iferror(INDEX('Import from defimon'!$1:$100,MATCH(BL$1,'Import from defimon'!$A:$A,0),MATCH($A125,'Import from defimon'!$1:$1,0)))</f>
        <v/>
      </c>
      <c r="BN125" s="13" t="str">
        <f t="array" ref="BN125">iferror(INDEX('Import from defimon'!$1:$100,MATCH(BN$1,'Import from defimon'!$A:$A,0),MATCH($A125,'Import from defimon'!$1:$1,0)))</f>
        <v/>
      </c>
      <c r="BO125" s="13" t="str">
        <f t="array" ref="BO125">iferror(INDEX('Import from defimon'!$1:$100,MATCH(BO$1,'Import from defimon'!$A:$A,0),MATCH($A125,'Import from defimon'!$1:$1,0)))</f>
        <v/>
      </c>
      <c r="BP125" s="13" t="str">
        <f t="array" ref="BP125">iferror(INDEX('Import from defimon'!$1:$100,MATCH(BP$1,'Import from defimon'!$A:$A,0),MATCH($A125,'Import from defimon'!$1:$1,0)))</f>
        <v/>
      </c>
      <c r="BS125" s="13" t="str">
        <f t="array" ref="BS125">iferror(INDEX('Import from defimon'!$1:$100,MATCH(BS$1,'Import from defimon'!$A:$A,0),MATCH($A125,'Import from defimon'!$1:$1,0)))</f>
        <v/>
      </c>
      <c r="BT125" s="13" t="str">
        <f t="array" ref="BT125">iferror(INDEX('Import from defimon'!$1:$100,MATCH(BT$1,'Import from defimon'!$A:$A,0),MATCH($A125,'Import from defimon'!$1:$1,0)))</f>
        <v/>
      </c>
      <c r="BU125" s="13" t="str">
        <f t="array" ref="BU125">iferror(INDEX('Import from defimon'!$1:$100,MATCH(BU$1,'Import from defimon'!$A:$A,0),MATCH($A125,'Import from defimon'!$1:$1,0)))</f>
        <v/>
      </c>
      <c r="BV125" s="13" t="str">
        <f t="array" ref="BV125">iferror(INDEX('Import from defimon'!$1:$100,MATCH(BV$1,'Import from defimon'!$A:$A,0),MATCH($A125,'Import from defimon'!$1:$1,0)))</f>
        <v/>
      </c>
      <c r="BW125" s="13" t="str">
        <f t="array" ref="BW125">iferror(INDEX('Import from defimon'!$1:$100,MATCH(BW$1,'Import from defimon'!$A:$A,0),MATCH($A125,'Import from defimon'!$1:$1,0)))</f>
        <v/>
      </c>
      <c r="BX125" s="13" t="str">
        <f t="array" ref="BX125">iferror(INDEX('Import from defimon'!$1:$100,MATCH(BX$1,'Import from defimon'!$A:$A,0),MATCH($A125,'Import from defimon'!$1:$1,0)))</f>
        <v/>
      </c>
      <c r="BY125" s="13" t="str">
        <f t="array" ref="BY125">iferror(INDEX('Import from defimon'!$1:$100,MATCH(BY$1,'Import from defimon'!$A:$A,0),MATCH($A125,'Import from defimon'!$1:$1,0)))</f>
        <v/>
      </c>
      <c r="BZ125" s="13" t="str">
        <f t="array" ref="BZ125">iferror(INDEX('Import from defimon'!$1:$100,MATCH(BZ$1,'Import from defimon'!$A:$A,0),MATCH($A125,'Import from defimon'!$1:$1,0)))</f>
        <v/>
      </c>
      <c r="CA125" s="13" t="str">
        <f t="array" ref="CA125">iferror(INDEX('Import from defimon'!$1:$100,MATCH(CA$1,'Import from defimon'!$A:$A,0),MATCH($A125,'Import from defimon'!$1:$1,0)))</f>
        <v/>
      </c>
      <c r="CB125" s="13" t="str">
        <f t="array" ref="CB125">iferror(INDEX('Import from defimon'!$1:$100,MATCH(CB$1,'Import from defimon'!$A:$A,0),MATCH($A125,'Import from defimon'!$1:$1,0)))</f>
        <v/>
      </c>
      <c r="CC125" s="13" t="str">
        <f t="array" ref="CC125">iferror(INDEX('Import from defimon'!$1:$100,MATCH(CC$1,'Import from defimon'!$A:$A,0),MATCH($A125,'Import from defimon'!$1:$1,0)))</f>
        <v/>
      </c>
      <c r="CD125" s="13" t="str">
        <f t="array" ref="CD125">iferror(INDEX('Import from defimon'!$1:$100,MATCH(CD$1,'Import from defimon'!$A:$A,0),MATCH($A125,'Import from defimon'!$1:$1,0)))</f>
        <v/>
      </c>
      <c r="CE125" s="13" t="str">
        <f t="array" ref="CE125">iferror(INDEX('Import from defimon'!$1:$100,MATCH(CE$1,'Import from defimon'!$A:$A,0),MATCH($A125,'Import from defimon'!$1:$1,0)))</f>
        <v/>
      </c>
      <c r="CF125" s="13" t="str">
        <f t="array" ref="CF125">iferror(INDEX('Import from defimon'!$1:$100,MATCH(CF$1,'Import from defimon'!$A:$A,0),MATCH($A125,'Import from defimon'!$1:$1,0)))</f>
        <v/>
      </c>
      <c r="CH125" s="13" t="str">
        <f t="array" ref="CH125">iferror(INDEX('Import from defimon'!$1:$100,MATCH(CH$1,'Import from defimon'!$A:$A,0),MATCH($A125,'Import from defimon'!$1:$1,0)))</f>
        <v/>
      </c>
      <c r="CI125" s="13" t="str">
        <f t="array" ref="CI125">iferror(INDEX('Import from defimon'!$1:$100,MATCH(CI$1,'Import from defimon'!$A:$A,0),MATCH($A125,'Import from defimon'!$1:$1,0)))</f>
        <v/>
      </c>
      <c r="CJ125" s="13" t="str">
        <f t="array" ref="CJ125">iferror(INDEX('Import from defimon'!$1:$100,MATCH(CJ$1,'Import from defimon'!$A:$A,0),MATCH($A125,'Import from defimon'!$1:$1,0)))</f>
        <v/>
      </c>
      <c r="CQ125" s="13" t="str">
        <f t="array" ref="CQ125">iferror(INDEX('Import from defimon'!$1:$100,MATCH(CQ$1,'Import from defimon'!$A:$A,0),MATCH($A125,'Import from defimon'!$1:$1,0)))</f>
        <v/>
      </c>
      <c r="CR125" s="13" t="str">
        <f t="array" ref="CR125">iferror(INDEX('Import from defimon'!$1:$100,MATCH(CR$1,'Import from defimon'!$A:$A,0),MATCH($A125,'Import from defimon'!$1:$1,0)))</f>
        <v/>
      </c>
      <c r="CS125" s="13" t="str">
        <f t="array" ref="CS125">iferror(INDEX('Import from defimon'!$1:$100,MATCH(CS$1,'Import from defimon'!$A:$A,0),MATCH($A125,'Import from defimon'!$1:$1,0)))</f>
        <v/>
      </c>
    </row>
    <row r="126" ht="15.75" customHeight="1">
      <c r="AL126" s="13" t="str">
        <f>iferror(VLOOKUP($A126,EAM!H$2:I$14,2,FALSE))</f>
        <v/>
      </c>
      <c r="AN126" s="19"/>
      <c r="AT126" s="13" t="str">
        <f t="array" ref="AT126">iferror(INDEX('Import from defimon'!$1:$100,MATCH(AT$1,'Import from defimon'!$A:$A,0),MATCH($A126,'Import from defimon'!$1:$1,0)))</f>
        <v/>
      </c>
      <c r="BA126" s="13" t="str">
        <f t="array" ref="BA126">iferror(INDEX('Import from defimon'!$1:$100,MATCH(BA$1,'Import from defimon'!$A:$A,0),MATCH($A126,'Import from defimon'!$1:$1,0)))</f>
        <v/>
      </c>
      <c r="BC126" s="13" t="str">
        <f t="array" ref="BC126">iferror(INDEX('Import from defimon'!$1:$100,MATCH(BC$1,'Import from defimon'!$A:$A,0),MATCH($A126,'Import from defimon'!$1:$1,0)))</f>
        <v/>
      </c>
      <c r="BD126" s="13" t="str">
        <f t="array" ref="BD126">iferror(INDEX('Import from defimon'!$1:$100,MATCH(BD$1,'Import from defimon'!$A:$A,0),MATCH($A126,'Import from defimon'!$1:$1,0)))</f>
        <v/>
      </c>
      <c r="BE126" s="13" t="str">
        <f t="array" ref="BE126">iferror(INDEX('Import from defimon'!$1:$100,MATCH(BE$1,'Import from defimon'!$A:$A,0),MATCH($A126,'Import from defimon'!$1:$1,0)))</f>
        <v/>
      </c>
      <c r="BF126" s="13" t="str">
        <f t="array" ref="BF126">iferror(INDEX('Import from defimon'!$1:$100,MATCH(BF$1,'Import from defimon'!$A:$A,0),MATCH($A126,'Import from defimon'!$1:$1,0)))</f>
        <v/>
      </c>
      <c r="BG126" s="13" t="str">
        <f t="array" ref="BG126">iferror(INDEX('Import from defimon'!$1:$100,MATCH(BG$1,'Import from defimon'!$A:$A,0),MATCH($A126,'Import from defimon'!$1:$1,0)))</f>
        <v/>
      </c>
      <c r="BH126" s="13" t="str">
        <f t="array" ref="BH126">iferror(INDEX('Import from defimon'!$1:$100,MATCH(BH$1,'Import from defimon'!$A:$A,0),MATCH($A126,'Import from defimon'!$1:$1,0)))</f>
        <v/>
      </c>
      <c r="BI126" s="13" t="str">
        <f t="array" ref="BI126">iferror(INDEX('Import from defimon'!$1:$100,MATCH(BI$1,'Import from defimon'!$A:$A,0),MATCH($A126,'Import from defimon'!$1:$1,0)))</f>
        <v/>
      </c>
      <c r="BJ126" s="13" t="str">
        <f t="array" ref="BJ126">iferror(INDEX('Import from defimon'!$1:$100,MATCH(BJ$1,'Import from defimon'!$A:$A,0),MATCH($A126,'Import from defimon'!$1:$1,0)))</f>
        <v/>
      </c>
      <c r="BK126" s="13" t="str">
        <f t="array" ref="BK126">iferror(INDEX('Import from defimon'!$1:$100,MATCH(BK$1,'Import from defimon'!$A:$A,0),MATCH($A126,'Import from defimon'!$1:$1,0)))</f>
        <v/>
      </c>
      <c r="BL126" s="13" t="str">
        <f t="array" ref="BL126">iferror(INDEX('Import from defimon'!$1:$100,MATCH(BL$1,'Import from defimon'!$A:$A,0),MATCH($A126,'Import from defimon'!$1:$1,0)))</f>
        <v/>
      </c>
      <c r="BN126" s="13" t="str">
        <f t="array" ref="BN126">iferror(INDEX('Import from defimon'!$1:$100,MATCH(BN$1,'Import from defimon'!$A:$A,0),MATCH($A126,'Import from defimon'!$1:$1,0)))</f>
        <v/>
      </c>
      <c r="BO126" s="13" t="str">
        <f t="array" ref="BO126">iferror(INDEX('Import from defimon'!$1:$100,MATCH(BO$1,'Import from defimon'!$A:$A,0),MATCH($A126,'Import from defimon'!$1:$1,0)))</f>
        <v/>
      </c>
      <c r="BP126" s="13" t="str">
        <f t="array" ref="BP126">iferror(INDEX('Import from defimon'!$1:$100,MATCH(BP$1,'Import from defimon'!$A:$A,0),MATCH($A126,'Import from defimon'!$1:$1,0)))</f>
        <v/>
      </c>
      <c r="BS126" s="13" t="str">
        <f t="array" ref="BS126">iferror(INDEX('Import from defimon'!$1:$100,MATCH(BS$1,'Import from defimon'!$A:$A,0),MATCH($A126,'Import from defimon'!$1:$1,0)))</f>
        <v/>
      </c>
      <c r="BT126" s="13" t="str">
        <f t="array" ref="BT126">iferror(INDEX('Import from defimon'!$1:$100,MATCH(BT$1,'Import from defimon'!$A:$A,0),MATCH($A126,'Import from defimon'!$1:$1,0)))</f>
        <v/>
      </c>
      <c r="BU126" s="13" t="str">
        <f t="array" ref="BU126">iferror(INDEX('Import from defimon'!$1:$100,MATCH(BU$1,'Import from defimon'!$A:$A,0),MATCH($A126,'Import from defimon'!$1:$1,0)))</f>
        <v/>
      </c>
      <c r="BV126" s="13" t="str">
        <f t="array" ref="BV126">iferror(INDEX('Import from defimon'!$1:$100,MATCH(BV$1,'Import from defimon'!$A:$A,0),MATCH($A126,'Import from defimon'!$1:$1,0)))</f>
        <v/>
      </c>
      <c r="BW126" s="13" t="str">
        <f t="array" ref="BW126">iferror(INDEX('Import from defimon'!$1:$100,MATCH(BW$1,'Import from defimon'!$A:$A,0),MATCH($A126,'Import from defimon'!$1:$1,0)))</f>
        <v/>
      </c>
      <c r="BX126" s="13" t="str">
        <f t="array" ref="BX126">iferror(INDEX('Import from defimon'!$1:$100,MATCH(BX$1,'Import from defimon'!$A:$A,0),MATCH($A126,'Import from defimon'!$1:$1,0)))</f>
        <v/>
      </c>
      <c r="BY126" s="13" t="str">
        <f t="array" ref="BY126">iferror(INDEX('Import from defimon'!$1:$100,MATCH(BY$1,'Import from defimon'!$A:$A,0),MATCH($A126,'Import from defimon'!$1:$1,0)))</f>
        <v/>
      </c>
      <c r="BZ126" s="13" t="str">
        <f t="array" ref="BZ126">iferror(INDEX('Import from defimon'!$1:$100,MATCH(BZ$1,'Import from defimon'!$A:$A,0),MATCH($A126,'Import from defimon'!$1:$1,0)))</f>
        <v/>
      </c>
      <c r="CA126" s="13" t="str">
        <f t="array" ref="CA126">iferror(INDEX('Import from defimon'!$1:$100,MATCH(CA$1,'Import from defimon'!$A:$A,0),MATCH($A126,'Import from defimon'!$1:$1,0)))</f>
        <v/>
      </c>
      <c r="CB126" s="13" t="str">
        <f t="array" ref="CB126">iferror(INDEX('Import from defimon'!$1:$100,MATCH(CB$1,'Import from defimon'!$A:$A,0),MATCH($A126,'Import from defimon'!$1:$1,0)))</f>
        <v/>
      </c>
      <c r="CC126" s="13" t="str">
        <f t="array" ref="CC126">iferror(INDEX('Import from defimon'!$1:$100,MATCH(CC$1,'Import from defimon'!$A:$A,0),MATCH($A126,'Import from defimon'!$1:$1,0)))</f>
        <v/>
      </c>
      <c r="CD126" s="13" t="str">
        <f t="array" ref="CD126">iferror(INDEX('Import from defimon'!$1:$100,MATCH(CD$1,'Import from defimon'!$A:$A,0),MATCH($A126,'Import from defimon'!$1:$1,0)))</f>
        <v/>
      </c>
      <c r="CE126" s="13" t="str">
        <f t="array" ref="CE126">iferror(INDEX('Import from defimon'!$1:$100,MATCH(CE$1,'Import from defimon'!$A:$A,0),MATCH($A126,'Import from defimon'!$1:$1,0)))</f>
        <v/>
      </c>
      <c r="CF126" s="13" t="str">
        <f t="array" ref="CF126">iferror(INDEX('Import from defimon'!$1:$100,MATCH(CF$1,'Import from defimon'!$A:$A,0),MATCH($A126,'Import from defimon'!$1:$1,0)))</f>
        <v/>
      </c>
      <c r="CH126" s="13" t="str">
        <f t="array" ref="CH126">iferror(INDEX('Import from defimon'!$1:$100,MATCH(CH$1,'Import from defimon'!$A:$A,0),MATCH($A126,'Import from defimon'!$1:$1,0)))</f>
        <v/>
      </c>
      <c r="CI126" s="13" t="str">
        <f t="array" ref="CI126">iferror(INDEX('Import from defimon'!$1:$100,MATCH(CI$1,'Import from defimon'!$A:$A,0),MATCH($A126,'Import from defimon'!$1:$1,0)))</f>
        <v/>
      </c>
      <c r="CJ126" s="13" t="str">
        <f t="array" ref="CJ126">iferror(INDEX('Import from defimon'!$1:$100,MATCH(CJ$1,'Import from defimon'!$A:$A,0),MATCH($A126,'Import from defimon'!$1:$1,0)))</f>
        <v/>
      </c>
      <c r="CQ126" s="13" t="str">
        <f t="array" ref="CQ126">iferror(INDEX('Import from defimon'!$1:$100,MATCH(CQ$1,'Import from defimon'!$A:$A,0),MATCH($A126,'Import from defimon'!$1:$1,0)))</f>
        <v/>
      </c>
      <c r="CR126" s="13" t="str">
        <f t="array" ref="CR126">iferror(INDEX('Import from defimon'!$1:$100,MATCH(CR$1,'Import from defimon'!$A:$A,0),MATCH($A126,'Import from defimon'!$1:$1,0)))</f>
        <v/>
      </c>
      <c r="CS126" s="13" t="str">
        <f t="array" ref="CS126">iferror(INDEX('Import from defimon'!$1:$100,MATCH(CS$1,'Import from defimon'!$A:$A,0),MATCH($A126,'Import from defimon'!$1:$1,0)))</f>
        <v/>
      </c>
    </row>
    <row r="127" ht="15.75" customHeight="1">
      <c r="AL127" s="13" t="str">
        <f>iferror(VLOOKUP($A127,EAM!H$2:I$14,2,FALSE))</f>
        <v/>
      </c>
      <c r="AN127" s="18"/>
      <c r="AT127" s="13" t="str">
        <f t="array" ref="AT127">iferror(INDEX('Import from defimon'!$1:$100,MATCH(AT$1,'Import from defimon'!$A:$A,0),MATCH($A127,'Import from defimon'!$1:$1,0)))</f>
        <v/>
      </c>
      <c r="BA127" s="13" t="str">
        <f t="array" ref="BA127">iferror(INDEX('Import from defimon'!$1:$100,MATCH(BA$1,'Import from defimon'!$A:$A,0),MATCH($A127,'Import from defimon'!$1:$1,0)))</f>
        <v/>
      </c>
      <c r="BC127" s="13" t="str">
        <f t="array" ref="BC127">iferror(INDEX('Import from defimon'!$1:$100,MATCH(BC$1,'Import from defimon'!$A:$A,0),MATCH($A127,'Import from defimon'!$1:$1,0)))</f>
        <v/>
      </c>
      <c r="BD127" s="13" t="str">
        <f t="array" ref="BD127">iferror(INDEX('Import from defimon'!$1:$100,MATCH(BD$1,'Import from defimon'!$A:$A,0),MATCH($A127,'Import from defimon'!$1:$1,0)))</f>
        <v/>
      </c>
      <c r="BE127" s="13" t="str">
        <f t="array" ref="BE127">iferror(INDEX('Import from defimon'!$1:$100,MATCH(BE$1,'Import from defimon'!$A:$A,0),MATCH($A127,'Import from defimon'!$1:$1,0)))</f>
        <v/>
      </c>
      <c r="BF127" s="13" t="str">
        <f t="array" ref="BF127">iferror(INDEX('Import from defimon'!$1:$100,MATCH(BF$1,'Import from defimon'!$A:$A,0),MATCH($A127,'Import from defimon'!$1:$1,0)))</f>
        <v/>
      </c>
      <c r="BG127" s="13" t="str">
        <f t="array" ref="BG127">iferror(INDEX('Import from defimon'!$1:$100,MATCH(BG$1,'Import from defimon'!$A:$A,0),MATCH($A127,'Import from defimon'!$1:$1,0)))</f>
        <v/>
      </c>
      <c r="BH127" s="13" t="str">
        <f t="array" ref="BH127">iferror(INDEX('Import from defimon'!$1:$100,MATCH(BH$1,'Import from defimon'!$A:$A,0),MATCH($A127,'Import from defimon'!$1:$1,0)))</f>
        <v/>
      </c>
      <c r="BI127" s="13" t="str">
        <f t="array" ref="BI127">iferror(INDEX('Import from defimon'!$1:$100,MATCH(BI$1,'Import from defimon'!$A:$A,0),MATCH($A127,'Import from defimon'!$1:$1,0)))</f>
        <v/>
      </c>
      <c r="BJ127" s="13" t="str">
        <f t="array" ref="BJ127">iferror(INDEX('Import from defimon'!$1:$100,MATCH(BJ$1,'Import from defimon'!$A:$A,0),MATCH($A127,'Import from defimon'!$1:$1,0)))</f>
        <v/>
      </c>
      <c r="BK127" s="13" t="str">
        <f t="array" ref="BK127">iferror(INDEX('Import from defimon'!$1:$100,MATCH(BK$1,'Import from defimon'!$A:$A,0),MATCH($A127,'Import from defimon'!$1:$1,0)))</f>
        <v/>
      </c>
      <c r="BL127" s="13" t="str">
        <f t="array" ref="BL127">iferror(INDEX('Import from defimon'!$1:$100,MATCH(BL$1,'Import from defimon'!$A:$A,0),MATCH($A127,'Import from defimon'!$1:$1,0)))</f>
        <v/>
      </c>
      <c r="BN127" s="13" t="str">
        <f t="array" ref="BN127">iferror(INDEX('Import from defimon'!$1:$100,MATCH(BN$1,'Import from defimon'!$A:$A,0),MATCH($A127,'Import from defimon'!$1:$1,0)))</f>
        <v/>
      </c>
      <c r="BO127" s="13" t="str">
        <f t="array" ref="BO127">iferror(INDEX('Import from defimon'!$1:$100,MATCH(BO$1,'Import from defimon'!$A:$A,0),MATCH($A127,'Import from defimon'!$1:$1,0)))</f>
        <v/>
      </c>
      <c r="BP127" s="13" t="str">
        <f t="array" ref="BP127">iferror(INDEX('Import from defimon'!$1:$100,MATCH(BP$1,'Import from defimon'!$A:$A,0),MATCH($A127,'Import from defimon'!$1:$1,0)))</f>
        <v/>
      </c>
      <c r="BS127" s="13" t="str">
        <f t="array" ref="BS127">iferror(INDEX('Import from defimon'!$1:$100,MATCH(BS$1,'Import from defimon'!$A:$A,0),MATCH($A127,'Import from defimon'!$1:$1,0)))</f>
        <v/>
      </c>
      <c r="BT127" s="13" t="str">
        <f t="array" ref="BT127">iferror(INDEX('Import from defimon'!$1:$100,MATCH(BT$1,'Import from defimon'!$A:$A,0),MATCH($A127,'Import from defimon'!$1:$1,0)))</f>
        <v/>
      </c>
      <c r="BU127" s="13" t="str">
        <f t="array" ref="BU127">iferror(INDEX('Import from defimon'!$1:$100,MATCH(BU$1,'Import from defimon'!$A:$A,0),MATCH($A127,'Import from defimon'!$1:$1,0)))</f>
        <v/>
      </c>
      <c r="BV127" s="13" t="str">
        <f t="array" ref="BV127">iferror(INDEX('Import from defimon'!$1:$100,MATCH(BV$1,'Import from defimon'!$A:$A,0),MATCH($A127,'Import from defimon'!$1:$1,0)))</f>
        <v/>
      </c>
      <c r="BW127" s="13" t="str">
        <f t="array" ref="BW127">iferror(INDEX('Import from defimon'!$1:$100,MATCH(BW$1,'Import from defimon'!$A:$A,0),MATCH($A127,'Import from defimon'!$1:$1,0)))</f>
        <v/>
      </c>
      <c r="BX127" s="13" t="str">
        <f t="array" ref="BX127">iferror(INDEX('Import from defimon'!$1:$100,MATCH(BX$1,'Import from defimon'!$A:$A,0),MATCH($A127,'Import from defimon'!$1:$1,0)))</f>
        <v/>
      </c>
      <c r="BY127" s="13" t="str">
        <f t="array" ref="BY127">iferror(INDEX('Import from defimon'!$1:$100,MATCH(BY$1,'Import from defimon'!$A:$A,0),MATCH($A127,'Import from defimon'!$1:$1,0)))</f>
        <v/>
      </c>
      <c r="BZ127" s="13" t="str">
        <f t="array" ref="BZ127">iferror(INDEX('Import from defimon'!$1:$100,MATCH(BZ$1,'Import from defimon'!$A:$A,0),MATCH($A127,'Import from defimon'!$1:$1,0)))</f>
        <v/>
      </c>
      <c r="CA127" s="13" t="str">
        <f t="array" ref="CA127">iferror(INDEX('Import from defimon'!$1:$100,MATCH(CA$1,'Import from defimon'!$A:$A,0),MATCH($A127,'Import from defimon'!$1:$1,0)))</f>
        <v/>
      </c>
      <c r="CB127" s="13" t="str">
        <f t="array" ref="CB127">iferror(INDEX('Import from defimon'!$1:$100,MATCH(CB$1,'Import from defimon'!$A:$A,0),MATCH($A127,'Import from defimon'!$1:$1,0)))</f>
        <v/>
      </c>
      <c r="CC127" s="13" t="str">
        <f t="array" ref="CC127">iferror(INDEX('Import from defimon'!$1:$100,MATCH(CC$1,'Import from defimon'!$A:$A,0),MATCH($A127,'Import from defimon'!$1:$1,0)))</f>
        <v/>
      </c>
      <c r="CD127" s="13" t="str">
        <f t="array" ref="CD127">iferror(INDEX('Import from defimon'!$1:$100,MATCH(CD$1,'Import from defimon'!$A:$A,0),MATCH($A127,'Import from defimon'!$1:$1,0)))</f>
        <v/>
      </c>
      <c r="CE127" s="13" t="str">
        <f t="array" ref="CE127">iferror(INDEX('Import from defimon'!$1:$100,MATCH(CE$1,'Import from defimon'!$A:$A,0),MATCH($A127,'Import from defimon'!$1:$1,0)))</f>
        <v/>
      </c>
      <c r="CF127" s="13" t="str">
        <f t="array" ref="CF127">iferror(INDEX('Import from defimon'!$1:$100,MATCH(CF$1,'Import from defimon'!$A:$A,0),MATCH($A127,'Import from defimon'!$1:$1,0)))</f>
        <v/>
      </c>
      <c r="CH127" s="13" t="str">
        <f t="array" ref="CH127">iferror(INDEX('Import from defimon'!$1:$100,MATCH(CH$1,'Import from defimon'!$A:$A,0),MATCH($A127,'Import from defimon'!$1:$1,0)))</f>
        <v/>
      </c>
      <c r="CI127" s="13" t="str">
        <f t="array" ref="CI127">iferror(INDEX('Import from defimon'!$1:$100,MATCH(CI$1,'Import from defimon'!$A:$A,0),MATCH($A127,'Import from defimon'!$1:$1,0)))</f>
        <v/>
      </c>
      <c r="CJ127" s="13" t="str">
        <f t="array" ref="CJ127">iferror(INDEX('Import from defimon'!$1:$100,MATCH(CJ$1,'Import from defimon'!$A:$A,0),MATCH($A127,'Import from defimon'!$1:$1,0)))</f>
        <v/>
      </c>
      <c r="CQ127" s="13" t="str">
        <f t="array" ref="CQ127">iferror(INDEX('Import from defimon'!$1:$100,MATCH(CQ$1,'Import from defimon'!$A:$A,0),MATCH($A127,'Import from defimon'!$1:$1,0)))</f>
        <v/>
      </c>
      <c r="CR127" s="13" t="str">
        <f t="array" ref="CR127">iferror(INDEX('Import from defimon'!$1:$100,MATCH(CR$1,'Import from defimon'!$A:$A,0),MATCH($A127,'Import from defimon'!$1:$1,0)))</f>
        <v/>
      </c>
      <c r="CS127" s="13" t="str">
        <f t="array" ref="CS127">iferror(INDEX('Import from defimon'!$1:$100,MATCH(CS$1,'Import from defimon'!$A:$A,0),MATCH($A127,'Import from defimon'!$1:$1,0)))</f>
        <v/>
      </c>
    </row>
    <row r="128" ht="15.75" customHeight="1">
      <c r="AL128" s="13" t="str">
        <f>iferror(VLOOKUP($A128,EAM!H$2:I$14,2,FALSE))</f>
        <v/>
      </c>
      <c r="AN128" s="18"/>
      <c r="AT128" s="13" t="str">
        <f t="array" ref="AT128">iferror(INDEX('Import from defimon'!$1:$100,MATCH(AT$1,'Import from defimon'!$A:$A,0),MATCH($A128,'Import from defimon'!$1:$1,0)))</f>
        <v/>
      </c>
      <c r="BA128" s="13" t="str">
        <f t="array" ref="BA128">iferror(INDEX('Import from defimon'!$1:$100,MATCH(BA$1,'Import from defimon'!$A:$A,0),MATCH($A128,'Import from defimon'!$1:$1,0)))</f>
        <v/>
      </c>
      <c r="BC128" s="13" t="str">
        <f t="array" ref="BC128">iferror(INDEX('Import from defimon'!$1:$100,MATCH(BC$1,'Import from defimon'!$A:$A,0),MATCH($A128,'Import from defimon'!$1:$1,0)))</f>
        <v/>
      </c>
      <c r="BD128" s="13" t="str">
        <f t="array" ref="BD128">iferror(INDEX('Import from defimon'!$1:$100,MATCH(BD$1,'Import from defimon'!$A:$A,0),MATCH($A128,'Import from defimon'!$1:$1,0)))</f>
        <v/>
      </c>
      <c r="BE128" s="13" t="str">
        <f t="array" ref="BE128">iferror(INDEX('Import from defimon'!$1:$100,MATCH(BE$1,'Import from defimon'!$A:$A,0),MATCH($A128,'Import from defimon'!$1:$1,0)))</f>
        <v/>
      </c>
      <c r="BF128" s="13" t="str">
        <f t="array" ref="BF128">iferror(INDEX('Import from defimon'!$1:$100,MATCH(BF$1,'Import from defimon'!$A:$A,0),MATCH($A128,'Import from defimon'!$1:$1,0)))</f>
        <v/>
      </c>
      <c r="BG128" s="13" t="str">
        <f t="array" ref="BG128">iferror(INDEX('Import from defimon'!$1:$100,MATCH(BG$1,'Import from defimon'!$A:$A,0),MATCH($A128,'Import from defimon'!$1:$1,0)))</f>
        <v/>
      </c>
      <c r="BH128" s="13" t="str">
        <f t="array" ref="BH128">iferror(INDEX('Import from defimon'!$1:$100,MATCH(BH$1,'Import from defimon'!$A:$A,0),MATCH($A128,'Import from defimon'!$1:$1,0)))</f>
        <v/>
      </c>
      <c r="BI128" s="13" t="str">
        <f t="array" ref="BI128">iferror(INDEX('Import from defimon'!$1:$100,MATCH(BI$1,'Import from defimon'!$A:$A,0),MATCH($A128,'Import from defimon'!$1:$1,0)))</f>
        <v/>
      </c>
      <c r="BJ128" s="13" t="str">
        <f t="array" ref="BJ128">iferror(INDEX('Import from defimon'!$1:$100,MATCH(BJ$1,'Import from defimon'!$A:$A,0),MATCH($A128,'Import from defimon'!$1:$1,0)))</f>
        <v/>
      </c>
      <c r="BK128" s="13" t="str">
        <f t="array" ref="BK128">iferror(INDEX('Import from defimon'!$1:$100,MATCH(BK$1,'Import from defimon'!$A:$A,0),MATCH($A128,'Import from defimon'!$1:$1,0)))</f>
        <v/>
      </c>
      <c r="BL128" s="13" t="str">
        <f t="array" ref="BL128">iferror(INDEX('Import from defimon'!$1:$100,MATCH(BL$1,'Import from defimon'!$A:$A,0),MATCH($A128,'Import from defimon'!$1:$1,0)))</f>
        <v/>
      </c>
      <c r="BN128" s="13" t="str">
        <f t="array" ref="BN128">iferror(INDEX('Import from defimon'!$1:$100,MATCH(BN$1,'Import from defimon'!$A:$A,0),MATCH($A128,'Import from defimon'!$1:$1,0)))</f>
        <v/>
      </c>
      <c r="BO128" s="13" t="str">
        <f t="array" ref="BO128">iferror(INDEX('Import from defimon'!$1:$100,MATCH(BO$1,'Import from defimon'!$A:$A,0),MATCH($A128,'Import from defimon'!$1:$1,0)))</f>
        <v/>
      </c>
      <c r="BP128" s="13" t="str">
        <f t="array" ref="BP128">iferror(INDEX('Import from defimon'!$1:$100,MATCH(BP$1,'Import from defimon'!$A:$A,0),MATCH($A128,'Import from defimon'!$1:$1,0)))</f>
        <v/>
      </c>
      <c r="BS128" s="13" t="str">
        <f t="array" ref="BS128">iferror(INDEX('Import from defimon'!$1:$100,MATCH(BS$1,'Import from defimon'!$A:$A,0),MATCH($A128,'Import from defimon'!$1:$1,0)))</f>
        <v/>
      </c>
      <c r="BT128" s="13" t="str">
        <f t="array" ref="BT128">iferror(INDEX('Import from defimon'!$1:$100,MATCH(BT$1,'Import from defimon'!$A:$A,0),MATCH($A128,'Import from defimon'!$1:$1,0)))</f>
        <v/>
      </c>
      <c r="BU128" s="13" t="str">
        <f t="array" ref="BU128">iferror(INDEX('Import from defimon'!$1:$100,MATCH(BU$1,'Import from defimon'!$A:$A,0),MATCH($A128,'Import from defimon'!$1:$1,0)))</f>
        <v/>
      </c>
      <c r="BV128" s="13" t="str">
        <f t="array" ref="BV128">iferror(INDEX('Import from defimon'!$1:$100,MATCH(BV$1,'Import from defimon'!$A:$A,0),MATCH($A128,'Import from defimon'!$1:$1,0)))</f>
        <v/>
      </c>
      <c r="BW128" s="13" t="str">
        <f t="array" ref="BW128">iferror(INDEX('Import from defimon'!$1:$100,MATCH(BW$1,'Import from defimon'!$A:$A,0),MATCH($A128,'Import from defimon'!$1:$1,0)))</f>
        <v/>
      </c>
      <c r="BX128" s="13" t="str">
        <f t="array" ref="BX128">iferror(INDEX('Import from defimon'!$1:$100,MATCH(BX$1,'Import from defimon'!$A:$A,0),MATCH($A128,'Import from defimon'!$1:$1,0)))</f>
        <v/>
      </c>
      <c r="BY128" s="13" t="str">
        <f t="array" ref="BY128">iferror(INDEX('Import from defimon'!$1:$100,MATCH(BY$1,'Import from defimon'!$A:$A,0),MATCH($A128,'Import from defimon'!$1:$1,0)))</f>
        <v/>
      </c>
      <c r="BZ128" s="13" t="str">
        <f t="array" ref="BZ128">iferror(INDEX('Import from defimon'!$1:$100,MATCH(BZ$1,'Import from defimon'!$A:$A,0),MATCH($A128,'Import from defimon'!$1:$1,0)))</f>
        <v/>
      </c>
      <c r="CA128" s="13" t="str">
        <f t="array" ref="CA128">iferror(INDEX('Import from defimon'!$1:$100,MATCH(CA$1,'Import from defimon'!$A:$A,0),MATCH($A128,'Import from defimon'!$1:$1,0)))</f>
        <v/>
      </c>
      <c r="CB128" s="13" t="str">
        <f t="array" ref="CB128">iferror(INDEX('Import from defimon'!$1:$100,MATCH(CB$1,'Import from defimon'!$A:$A,0),MATCH($A128,'Import from defimon'!$1:$1,0)))</f>
        <v/>
      </c>
      <c r="CC128" s="13" t="str">
        <f t="array" ref="CC128">iferror(INDEX('Import from defimon'!$1:$100,MATCH(CC$1,'Import from defimon'!$A:$A,0),MATCH($A128,'Import from defimon'!$1:$1,0)))</f>
        <v/>
      </c>
      <c r="CD128" s="13" t="str">
        <f t="array" ref="CD128">iferror(INDEX('Import from defimon'!$1:$100,MATCH(CD$1,'Import from defimon'!$A:$A,0),MATCH($A128,'Import from defimon'!$1:$1,0)))</f>
        <v/>
      </c>
      <c r="CE128" s="13" t="str">
        <f t="array" ref="CE128">iferror(INDEX('Import from defimon'!$1:$100,MATCH(CE$1,'Import from defimon'!$A:$A,0),MATCH($A128,'Import from defimon'!$1:$1,0)))</f>
        <v/>
      </c>
      <c r="CF128" s="13" t="str">
        <f t="array" ref="CF128">iferror(INDEX('Import from defimon'!$1:$100,MATCH(CF$1,'Import from defimon'!$A:$A,0),MATCH($A128,'Import from defimon'!$1:$1,0)))</f>
        <v/>
      </c>
      <c r="CH128" s="13" t="str">
        <f t="array" ref="CH128">iferror(INDEX('Import from defimon'!$1:$100,MATCH(CH$1,'Import from defimon'!$A:$A,0),MATCH($A128,'Import from defimon'!$1:$1,0)))</f>
        <v/>
      </c>
      <c r="CI128" s="13" t="str">
        <f t="array" ref="CI128">iferror(INDEX('Import from defimon'!$1:$100,MATCH(CI$1,'Import from defimon'!$A:$A,0),MATCH($A128,'Import from defimon'!$1:$1,0)))</f>
        <v/>
      </c>
      <c r="CJ128" s="13" t="str">
        <f t="array" ref="CJ128">iferror(INDEX('Import from defimon'!$1:$100,MATCH(CJ$1,'Import from defimon'!$A:$A,0),MATCH($A128,'Import from defimon'!$1:$1,0)))</f>
        <v/>
      </c>
      <c r="CQ128" s="13" t="str">
        <f t="array" ref="CQ128">iferror(INDEX('Import from defimon'!$1:$100,MATCH(CQ$1,'Import from defimon'!$A:$A,0),MATCH($A128,'Import from defimon'!$1:$1,0)))</f>
        <v/>
      </c>
      <c r="CR128" s="13" t="str">
        <f t="array" ref="CR128">iferror(INDEX('Import from defimon'!$1:$100,MATCH(CR$1,'Import from defimon'!$A:$A,0),MATCH($A128,'Import from defimon'!$1:$1,0)))</f>
        <v/>
      </c>
      <c r="CS128" s="13" t="str">
        <f t="array" ref="CS128">iferror(INDEX('Import from defimon'!$1:$100,MATCH(CS$1,'Import from defimon'!$A:$A,0),MATCH($A128,'Import from defimon'!$1:$1,0)))</f>
        <v/>
      </c>
    </row>
    <row r="129" ht="15.75" customHeight="1">
      <c r="AL129" s="13" t="str">
        <f>iferror(VLOOKUP($A129,EAM!H$2:I$14,2,FALSE))</f>
        <v/>
      </c>
      <c r="AN129" s="18"/>
      <c r="AT129" s="13" t="str">
        <f t="array" ref="AT129">iferror(INDEX('Import from defimon'!$1:$100,MATCH(AT$1,'Import from defimon'!$A:$A,0),MATCH($A129,'Import from defimon'!$1:$1,0)))</f>
        <v/>
      </c>
      <c r="BA129" s="13" t="str">
        <f t="array" ref="BA129">iferror(INDEX('Import from defimon'!$1:$100,MATCH(BA$1,'Import from defimon'!$A:$A,0),MATCH($A129,'Import from defimon'!$1:$1,0)))</f>
        <v/>
      </c>
      <c r="BC129" s="13" t="str">
        <f t="array" ref="BC129">iferror(INDEX('Import from defimon'!$1:$100,MATCH(BC$1,'Import from defimon'!$A:$A,0),MATCH($A129,'Import from defimon'!$1:$1,0)))</f>
        <v/>
      </c>
      <c r="BD129" s="13" t="str">
        <f t="array" ref="BD129">iferror(INDEX('Import from defimon'!$1:$100,MATCH(BD$1,'Import from defimon'!$A:$A,0),MATCH($A129,'Import from defimon'!$1:$1,0)))</f>
        <v/>
      </c>
      <c r="BE129" s="13" t="str">
        <f t="array" ref="BE129">iferror(INDEX('Import from defimon'!$1:$100,MATCH(BE$1,'Import from defimon'!$A:$A,0),MATCH($A129,'Import from defimon'!$1:$1,0)))</f>
        <v/>
      </c>
      <c r="BF129" s="13" t="str">
        <f t="array" ref="BF129">iferror(INDEX('Import from defimon'!$1:$100,MATCH(BF$1,'Import from defimon'!$A:$A,0),MATCH($A129,'Import from defimon'!$1:$1,0)))</f>
        <v/>
      </c>
      <c r="BG129" s="13" t="str">
        <f t="array" ref="BG129">iferror(INDEX('Import from defimon'!$1:$100,MATCH(BG$1,'Import from defimon'!$A:$A,0),MATCH($A129,'Import from defimon'!$1:$1,0)))</f>
        <v/>
      </c>
      <c r="BH129" s="13" t="str">
        <f t="array" ref="BH129">iferror(INDEX('Import from defimon'!$1:$100,MATCH(BH$1,'Import from defimon'!$A:$A,0),MATCH($A129,'Import from defimon'!$1:$1,0)))</f>
        <v/>
      </c>
      <c r="BI129" s="13" t="str">
        <f t="array" ref="BI129">iferror(INDEX('Import from defimon'!$1:$100,MATCH(BI$1,'Import from defimon'!$A:$A,0),MATCH($A129,'Import from defimon'!$1:$1,0)))</f>
        <v/>
      </c>
      <c r="BJ129" s="13" t="str">
        <f t="array" ref="BJ129">iferror(INDEX('Import from defimon'!$1:$100,MATCH(BJ$1,'Import from defimon'!$A:$A,0),MATCH($A129,'Import from defimon'!$1:$1,0)))</f>
        <v/>
      </c>
      <c r="BK129" s="13" t="str">
        <f t="array" ref="BK129">iferror(INDEX('Import from defimon'!$1:$100,MATCH(BK$1,'Import from defimon'!$A:$A,0),MATCH($A129,'Import from defimon'!$1:$1,0)))</f>
        <v/>
      </c>
      <c r="BL129" s="13" t="str">
        <f t="array" ref="BL129">iferror(INDEX('Import from defimon'!$1:$100,MATCH(BL$1,'Import from defimon'!$A:$A,0),MATCH($A129,'Import from defimon'!$1:$1,0)))</f>
        <v/>
      </c>
      <c r="BN129" s="13" t="str">
        <f t="array" ref="BN129">iferror(INDEX('Import from defimon'!$1:$100,MATCH(BN$1,'Import from defimon'!$A:$A,0),MATCH($A129,'Import from defimon'!$1:$1,0)))</f>
        <v/>
      </c>
      <c r="BO129" s="13" t="str">
        <f t="array" ref="BO129">iferror(INDEX('Import from defimon'!$1:$100,MATCH(BO$1,'Import from defimon'!$A:$A,0),MATCH($A129,'Import from defimon'!$1:$1,0)))</f>
        <v/>
      </c>
      <c r="BP129" s="13" t="str">
        <f t="array" ref="BP129">iferror(INDEX('Import from defimon'!$1:$100,MATCH(BP$1,'Import from defimon'!$A:$A,0),MATCH($A129,'Import from defimon'!$1:$1,0)))</f>
        <v/>
      </c>
      <c r="BS129" s="13" t="str">
        <f t="array" ref="BS129">iferror(INDEX('Import from defimon'!$1:$100,MATCH(BS$1,'Import from defimon'!$A:$A,0),MATCH($A129,'Import from defimon'!$1:$1,0)))</f>
        <v/>
      </c>
      <c r="BT129" s="13" t="str">
        <f t="array" ref="BT129">iferror(INDEX('Import from defimon'!$1:$100,MATCH(BT$1,'Import from defimon'!$A:$A,0),MATCH($A129,'Import from defimon'!$1:$1,0)))</f>
        <v/>
      </c>
      <c r="BU129" s="13" t="str">
        <f t="array" ref="BU129">iferror(INDEX('Import from defimon'!$1:$100,MATCH(BU$1,'Import from defimon'!$A:$A,0),MATCH($A129,'Import from defimon'!$1:$1,0)))</f>
        <v/>
      </c>
      <c r="BV129" s="13" t="str">
        <f t="array" ref="BV129">iferror(INDEX('Import from defimon'!$1:$100,MATCH(BV$1,'Import from defimon'!$A:$A,0),MATCH($A129,'Import from defimon'!$1:$1,0)))</f>
        <v/>
      </c>
      <c r="BW129" s="13" t="str">
        <f t="array" ref="BW129">iferror(INDEX('Import from defimon'!$1:$100,MATCH(BW$1,'Import from defimon'!$A:$A,0),MATCH($A129,'Import from defimon'!$1:$1,0)))</f>
        <v/>
      </c>
      <c r="BX129" s="13" t="str">
        <f t="array" ref="BX129">iferror(INDEX('Import from defimon'!$1:$100,MATCH(BX$1,'Import from defimon'!$A:$A,0),MATCH($A129,'Import from defimon'!$1:$1,0)))</f>
        <v/>
      </c>
      <c r="BY129" s="13" t="str">
        <f t="array" ref="BY129">iferror(INDEX('Import from defimon'!$1:$100,MATCH(BY$1,'Import from defimon'!$A:$A,0),MATCH($A129,'Import from defimon'!$1:$1,0)))</f>
        <v/>
      </c>
      <c r="BZ129" s="13" t="str">
        <f t="array" ref="BZ129">iferror(INDEX('Import from defimon'!$1:$100,MATCH(BZ$1,'Import from defimon'!$A:$A,0),MATCH($A129,'Import from defimon'!$1:$1,0)))</f>
        <v/>
      </c>
      <c r="CA129" s="13" t="str">
        <f t="array" ref="CA129">iferror(INDEX('Import from defimon'!$1:$100,MATCH(CA$1,'Import from defimon'!$A:$A,0),MATCH($A129,'Import from defimon'!$1:$1,0)))</f>
        <v/>
      </c>
      <c r="CB129" s="13" t="str">
        <f t="array" ref="CB129">iferror(INDEX('Import from defimon'!$1:$100,MATCH(CB$1,'Import from defimon'!$A:$A,0),MATCH($A129,'Import from defimon'!$1:$1,0)))</f>
        <v/>
      </c>
      <c r="CC129" s="13" t="str">
        <f t="array" ref="CC129">iferror(INDEX('Import from defimon'!$1:$100,MATCH(CC$1,'Import from defimon'!$A:$A,0),MATCH($A129,'Import from defimon'!$1:$1,0)))</f>
        <v/>
      </c>
      <c r="CD129" s="13" t="str">
        <f t="array" ref="CD129">iferror(INDEX('Import from defimon'!$1:$100,MATCH(CD$1,'Import from defimon'!$A:$A,0),MATCH($A129,'Import from defimon'!$1:$1,0)))</f>
        <v/>
      </c>
      <c r="CE129" s="13" t="str">
        <f t="array" ref="CE129">iferror(INDEX('Import from defimon'!$1:$100,MATCH(CE$1,'Import from defimon'!$A:$A,0),MATCH($A129,'Import from defimon'!$1:$1,0)))</f>
        <v/>
      </c>
      <c r="CF129" s="13" t="str">
        <f t="array" ref="CF129">iferror(INDEX('Import from defimon'!$1:$100,MATCH(CF$1,'Import from defimon'!$A:$A,0),MATCH($A129,'Import from defimon'!$1:$1,0)))</f>
        <v/>
      </c>
      <c r="CH129" s="13" t="str">
        <f t="array" ref="CH129">iferror(INDEX('Import from defimon'!$1:$100,MATCH(CH$1,'Import from defimon'!$A:$A,0),MATCH($A129,'Import from defimon'!$1:$1,0)))</f>
        <v/>
      </c>
      <c r="CI129" s="13" t="str">
        <f t="array" ref="CI129">iferror(INDEX('Import from defimon'!$1:$100,MATCH(CI$1,'Import from defimon'!$A:$A,0),MATCH($A129,'Import from defimon'!$1:$1,0)))</f>
        <v/>
      </c>
      <c r="CJ129" s="13" t="str">
        <f t="array" ref="CJ129">iferror(INDEX('Import from defimon'!$1:$100,MATCH(CJ$1,'Import from defimon'!$A:$A,0),MATCH($A129,'Import from defimon'!$1:$1,0)))</f>
        <v/>
      </c>
      <c r="CQ129" s="13" t="str">
        <f t="array" ref="CQ129">iferror(INDEX('Import from defimon'!$1:$100,MATCH(CQ$1,'Import from defimon'!$A:$A,0),MATCH($A129,'Import from defimon'!$1:$1,0)))</f>
        <v/>
      </c>
      <c r="CR129" s="13" t="str">
        <f t="array" ref="CR129">iferror(INDEX('Import from defimon'!$1:$100,MATCH(CR$1,'Import from defimon'!$A:$A,0),MATCH($A129,'Import from defimon'!$1:$1,0)))</f>
        <v/>
      </c>
      <c r="CS129" s="13" t="str">
        <f t="array" ref="CS129">iferror(INDEX('Import from defimon'!$1:$100,MATCH(CS$1,'Import from defimon'!$A:$A,0),MATCH($A129,'Import from defimon'!$1:$1,0)))</f>
        <v/>
      </c>
    </row>
    <row r="130" ht="15.75" customHeight="1">
      <c r="AL130" s="13" t="str">
        <f>iferror(VLOOKUP($A130,EAM!H$2:I$14,2,FALSE))</f>
        <v/>
      </c>
      <c r="AN130" s="18"/>
      <c r="AT130" s="13" t="str">
        <f t="array" ref="AT130">iferror(INDEX('Import from defimon'!$1:$100,MATCH(AT$1,'Import from defimon'!$A:$A,0),MATCH($A130,'Import from defimon'!$1:$1,0)))</f>
        <v/>
      </c>
      <c r="BA130" s="13" t="str">
        <f t="array" ref="BA130">iferror(INDEX('Import from defimon'!$1:$100,MATCH(BA$1,'Import from defimon'!$A:$A,0),MATCH($A130,'Import from defimon'!$1:$1,0)))</f>
        <v/>
      </c>
      <c r="BC130" s="13" t="str">
        <f t="array" ref="BC130">iferror(INDEX('Import from defimon'!$1:$100,MATCH(BC$1,'Import from defimon'!$A:$A,0),MATCH($A130,'Import from defimon'!$1:$1,0)))</f>
        <v/>
      </c>
      <c r="BD130" s="13" t="str">
        <f t="array" ref="BD130">iferror(INDEX('Import from defimon'!$1:$100,MATCH(BD$1,'Import from defimon'!$A:$A,0),MATCH($A130,'Import from defimon'!$1:$1,0)))</f>
        <v/>
      </c>
      <c r="BE130" s="13" t="str">
        <f t="array" ref="BE130">iferror(INDEX('Import from defimon'!$1:$100,MATCH(BE$1,'Import from defimon'!$A:$A,0),MATCH($A130,'Import from defimon'!$1:$1,0)))</f>
        <v/>
      </c>
      <c r="BF130" s="13" t="str">
        <f t="array" ref="BF130">iferror(INDEX('Import from defimon'!$1:$100,MATCH(BF$1,'Import from defimon'!$A:$A,0),MATCH($A130,'Import from defimon'!$1:$1,0)))</f>
        <v/>
      </c>
      <c r="BG130" s="13" t="str">
        <f t="array" ref="BG130">iferror(INDEX('Import from defimon'!$1:$100,MATCH(BG$1,'Import from defimon'!$A:$A,0),MATCH($A130,'Import from defimon'!$1:$1,0)))</f>
        <v/>
      </c>
      <c r="BH130" s="13" t="str">
        <f t="array" ref="BH130">iferror(INDEX('Import from defimon'!$1:$100,MATCH(BH$1,'Import from defimon'!$A:$A,0),MATCH($A130,'Import from defimon'!$1:$1,0)))</f>
        <v/>
      </c>
      <c r="BI130" s="13" t="str">
        <f t="array" ref="BI130">iferror(INDEX('Import from defimon'!$1:$100,MATCH(BI$1,'Import from defimon'!$A:$A,0),MATCH($A130,'Import from defimon'!$1:$1,0)))</f>
        <v/>
      </c>
      <c r="BJ130" s="13" t="str">
        <f t="array" ref="BJ130">iferror(INDEX('Import from defimon'!$1:$100,MATCH(BJ$1,'Import from defimon'!$A:$A,0),MATCH($A130,'Import from defimon'!$1:$1,0)))</f>
        <v/>
      </c>
      <c r="BK130" s="13" t="str">
        <f t="array" ref="BK130">iferror(INDEX('Import from defimon'!$1:$100,MATCH(BK$1,'Import from defimon'!$A:$A,0),MATCH($A130,'Import from defimon'!$1:$1,0)))</f>
        <v/>
      </c>
      <c r="BL130" s="13" t="str">
        <f t="array" ref="BL130">iferror(INDEX('Import from defimon'!$1:$100,MATCH(BL$1,'Import from defimon'!$A:$A,0),MATCH($A130,'Import from defimon'!$1:$1,0)))</f>
        <v/>
      </c>
      <c r="BN130" s="13" t="str">
        <f t="array" ref="BN130">iferror(INDEX('Import from defimon'!$1:$100,MATCH(BN$1,'Import from defimon'!$A:$A,0),MATCH($A130,'Import from defimon'!$1:$1,0)))</f>
        <v/>
      </c>
      <c r="BO130" s="13" t="str">
        <f t="array" ref="BO130">iferror(INDEX('Import from defimon'!$1:$100,MATCH(BO$1,'Import from defimon'!$A:$A,0),MATCH($A130,'Import from defimon'!$1:$1,0)))</f>
        <v/>
      </c>
      <c r="BP130" s="13" t="str">
        <f t="array" ref="BP130">iferror(INDEX('Import from defimon'!$1:$100,MATCH(BP$1,'Import from defimon'!$A:$A,0),MATCH($A130,'Import from defimon'!$1:$1,0)))</f>
        <v/>
      </c>
      <c r="BS130" s="13" t="str">
        <f t="array" ref="BS130">iferror(INDEX('Import from defimon'!$1:$100,MATCH(BS$1,'Import from defimon'!$A:$A,0),MATCH($A130,'Import from defimon'!$1:$1,0)))</f>
        <v/>
      </c>
      <c r="BT130" s="13" t="str">
        <f t="array" ref="BT130">iferror(INDEX('Import from defimon'!$1:$100,MATCH(BT$1,'Import from defimon'!$A:$A,0),MATCH($A130,'Import from defimon'!$1:$1,0)))</f>
        <v/>
      </c>
      <c r="BU130" s="13" t="str">
        <f t="array" ref="BU130">iferror(INDEX('Import from defimon'!$1:$100,MATCH(BU$1,'Import from defimon'!$A:$A,0),MATCH($A130,'Import from defimon'!$1:$1,0)))</f>
        <v/>
      </c>
      <c r="BV130" s="13" t="str">
        <f t="array" ref="BV130">iferror(INDEX('Import from defimon'!$1:$100,MATCH(BV$1,'Import from defimon'!$A:$A,0),MATCH($A130,'Import from defimon'!$1:$1,0)))</f>
        <v/>
      </c>
      <c r="BW130" s="13" t="str">
        <f t="array" ref="BW130">iferror(INDEX('Import from defimon'!$1:$100,MATCH(BW$1,'Import from defimon'!$A:$A,0),MATCH($A130,'Import from defimon'!$1:$1,0)))</f>
        <v/>
      </c>
      <c r="BX130" s="13" t="str">
        <f t="array" ref="BX130">iferror(INDEX('Import from defimon'!$1:$100,MATCH(BX$1,'Import from defimon'!$A:$A,0),MATCH($A130,'Import from defimon'!$1:$1,0)))</f>
        <v/>
      </c>
      <c r="BY130" s="13" t="str">
        <f t="array" ref="BY130">iferror(INDEX('Import from defimon'!$1:$100,MATCH(BY$1,'Import from defimon'!$A:$A,0),MATCH($A130,'Import from defimon'!$1:$1,0)))</f>
        <v/>
      </c>
      <c r="BZ130" s="13" t="str">
        <f t="array" ref="BZ130">iferror(INDEX('Import from defimon'!$1:$100,MATCH(BZ$1,'Import from defimon'!$A:$A,0),MATCH($A130,'Import from defimon'!$1:$1,0)))</f>
        <v/>
      </c>
      <c r="CA130" s="13" t="str">
        <f t="array" ref="CA130">iferror(INDEX('Import from defimon'!$1:$100,MATCH(CA$1,'Import from defimon'!$A:$A,0),MATCH($A130,'Import from defimon'!$1:$1,0)))</f>
        <v/>
      </c>
      <c r="CB130" s="13" t="str">
        <f t="array" ref="CB130">iferror(INDEX('Import from defimon'!$1:$100,MATCH(CB$1,'Import from defimon'!$A:$A,0),MATCH($A130,'Import from defimon'!$1:$1,0)))</f>
        <v/>
      </c>
      <c r="CC130" s="13" t="str">
        <f t="array" ref="CC130">iferror(INDEX('Import from defimon'!$1:$100,MATCH(CC$1,'Import from defimon'!$A:$A,0),MATCH($A130,'Import from defimon'!$1:$1,0)))</f>
        <v/>
      </c>
      <c r="CD130" s="13" t="str">
        <f t="array" ref="CD130">iferror(INDEX('Import from defimon'!$1:$100,MATCH(CD$1,'Import from defimon'!$A:$A,0),MATCH($A130,'Import from defimon'!$1:$1,0)))</f>
        <v/>
      </c>
      <c r="CE130" s="13" t="str">
        <f t="array" ref="CE130">iferror(INDEX('Import from defimon'!$1:$100,MATCH(CE$1,'Import from defimon'!$A:$A,0),MATCH($A130,'Import from defimon'!$1:$1,0)))</f>
        <v/>
      </c>
      <c r="CF130" s="13" t="str">
        <f t="array" ref="CF130">iferror(INDEX('Import from defimon'!$1:$100,MATCH(CF$1,'Import from defimon'!$A:$A,0),MATCH($A130,'Import from defimon'!$1:$1,0)))</f>
        <v/>
      </c>
      <c r="CH130" s="13" t="str">
        <f t="array" ref="CH130">iferror(INDEX('Import from defimon'!$1:$100,MATCH(CH$1,'Import from defimon'!$A:$A,0),MATCH($A130,'Import from defimon'!$1:$1,0)))</f>
        <v/>
      </c>
      <c r="CI130" s="13" t="str">
        <f t="array" ref="CI130">iferror(INDEX('Import from defimon'!$1:$100,MATCH(CI$1,'Import from defimon'!$A:$A,0),MATCH($A130,'Import from defimon'!$1:$1,0)))</f>
        <v/>
      </c>
      <c r="CJ130" s="13" t="str">
        <f t="array" ref="CJ130">iferror(INDEX('Import from defimon'!$1:$100,MATCH(CJ$1,'Import from defimon'!$A:$A,0),MATCH($A130,'Import from defimon'!$1:$1,0)))</f>
        <v/>
      </c>
      <c r="CQ130" s="13" t="str">
        <f t="array" ref="CQ130">iferror(INDEX('Import from defimon'!$1:$100,MATCH(CQ$1,'Import from defimon'!$A:$A,0),MATCH($A130,'Import from defimon'!$1:$1,0)))</f>
        <v/>
      </c>
      <c r="CR130" s="13" t="str">
        <f t="array" ref="CR130">iferror(INDEX('Import from defimon'!$1:$100,MATCH(CR$1,'Import from defimon'!$A:$A,0),MATCH($A130,'Import from defimon'!$1:$1,0)))</f>
        <v/>
      </c>
      <c r="CS130" s="13" t="str">
        <f t="array" ref="CS130">iferror(INDEX('Import from defimon'!$1:$100,MATCH(CS$1,'Import from defimon'!$A:$A,0),MATCH($A130,'Import from defimon'!$1:$1,0)))</f>
        <v/>
      </c>
    </row>
    <row r="131" ht="15.75" customHeight="1">
      <c r="AL131" s="13" t="str">
        <f>iferror(VLOOKUP($A131,EAM!H$2:I$14,2,FALSE))</f>
        <v/>
      </c>
      <c r="AN131" s="18"/>
      <c r="AT131" s="13" t="str">
        <f t="array" ref="AT131">iferror(INDEX('Import from defimon'!$1:$100,MATCH(AT$1,'Import from defimon'!$A:$A,0),MATCH($A131,'Import from defimon'!$1:$1,0)))</f>
        <v/>
      </c>
      <c r="BA131" s="13" t="str">
        <f t="array" ref="BA131">iferror(INDEX('Import from defimon'!$1:$100,MATCH(BA$1,'Import from defimon'!$A:$A,0),MATCH($A131,'Import from defimon'!$1:$1,0)))</f>
        <v/>
      </c>
      <c r="BC131" s="13" t="str">
        <f t="array" ref="BC131">iferror(INDEX('Import from defimon'!$1:$100,MATCH(BC$1,'Import from defimon'!$A:$A,0),MATCH($A131,'Import from defimon'!$1:$1,0)))</f>
        <v/>
      </c>
      <c r="BD131" s="13" t="str">
        <f t="array" ref="BD131">iferror(INDEX('Import from defimon'!$1:$100,MATCH(BD$1,'Import from defimon'!$A:$A,0),MATCH($A131,'Import from defimon'!$1:$1,0)))</f>
        <v/>
      </c>
      <c r="BE131" s="13" t="str">
        <f t="array" ref="BE131">iferror(INDEX('Import from defimon'!$1:$100,MATCH(BE$1,'Import from defimon'!$A:$A,0),MATCH($A131,'Import from defimon'!$1:$1,0)))</f>
        <v/>
      </c>
      <c r="BF131" s="13" t="str">
        <f t="array" ref="BF131">iferror(INDEX('Import from defimon'!$1:$100,MATCH(BF$1,'Import from defimon'!$A:$A,0),MATCH($A131,'Import from defimon'!$1:$1,0)))</f>
        <v/>
      </c>
      <c r="BG131" s="13" t="str">
        <f t="array" ref="BG131">iferror(INDEX('Import from defimon'!$1:$100,MATCH(BG$1,'Import from defimon'!$A:$A,0),MATCH($A131,'Import from defimon'!$1:$1,0)))</f>
        <v/>
      </c>
      <c r="BH131" s="13" t="str">
        <f t="array" ref="BH131">iferror(INDEX('Import from defimon'!$1:$100,MATCH(BH$1,'Import from defimon'!$A:$A,0),MATCH($A131,'Import from defimon'!$1:$1,0)))</f>
        <v/>
      </c>
      <c r="BI131" s="13" t="str">
        <f t="array" ref="BI131">iferror(INDEX('Import from defimon'!$1:$100,MATCH(BI$1,'Import from defimon'!$A:$A,0),MATCH($A131,'Import from defimon'!$1:$1,0)))</f>
        <v/>
      </c>
      <c r="BJ131" s="13" t="str">
        <f t="array" ref="BJ131">iferror(INDEX('Import from defimon'!$1:$100,MATCH(BJ$1,'Import from defimon'!$A:$A,0),MATCH($A131,'Import from defimon'!$1:$1,0)))</f>
        <v/>
      </c>
      <c r="BK131" s="13" t="str">
        <f t="array" ref="BK131">iferror(INDEX('Import from defimon'!$1:$100,MATCH(BK$1,'Import from defimon'!$A:$A,0),MATCH($A131,'Import from defimon'!$1:$1,0)))</f>
        <v/>
      </c>
      <c r="BL131" s="13" t="str">
        <f t="array" ref="BL131">iferror(INDEX('Import from defimon'!$1:$100,MATCH(BL$1,'Import from defimon'!$A:$A,0),MATCH($A131,'Import from defimon'!$1:$1,0)))</f>
        <v/>
      </c>
      <c r="BN131" s="13" t="str">
        <f t="array" ref="BN131">iferror(INDEX('Import from defimon'!$1:$100,MATCH(BN$1,'Import from defimon'!$A:$A,0),MATCH($A131,'Import from defimon'!$1:$1,0)))</f>
        <v/>
      </c>
      <c r="BO131" s="13" t="str">
        <f t="array" ref="BO131">iferror(INDEX('Import from defimon'!$1:$100,MATCH(BO$1,'Import from defimon'!$A:$A,0),MATCH($A131,'Import from defimon'!$1:$1,0)))</f>
        <v/>
      </c>
      <c r="BP131" s="13" t="str">
        <f t="array" ref="BP131">iferror(INDEX('Import from defimon'!$1:$100,MATCH(BP$1,'Import from defimon'!$A:$A,0),MATCH($A131,'Import from defimon'!$1:$1,0)))</f>
        <v/>
      </c>
      <c r="BS131" s="13" t="str">
        <f t="array" ref="BS131">iferror(INDEX('Import from defimon'!$1:$100,MATCH(BS$1,'Import from defimon'!$A:$A,0),MATCH($A131,'Import from defimon'!$1:$1,0)))</f>
        <v/>
      </c>
      <c r="BT131" s="13" t="str">
        <f t="array" ref="BT131">iferror(INDEX('Import from defimon'!$1:$100,MATCH(BT$1,'Import from defimon'!$A:$A,0),MATCH($A131,'Import from defimon'!$1:$1,0)))</f>
        <v/>
      </c>
      <c r="BU131" s="13" t="str">
        <f t="array" ref="BU131">iferror(INDEX('Import from defimon'!$1:$100,MATCH(BU$1,'Import from defimon'!$A:$A,0),MATCH($A131,'Import from defimon'!$1:$1,0)))</f>
        <v/>
      </c>
      <c r="BV131" s="13" t="str">
        <f t="array" ref="BV131">iferror(INDEX('Import from defimon'!$1:$100,MATCH(BV$1,'Import from defimon'!$A:$A,0),MATCH($A131,'Import from defimon'!$1:$1,0)))</f>
        <v/>
      </c>
      <c r="BW131" s="13" t="str">
        <f t="array" ref="BW131">iferror(INDEX('Import from defimon'!$1:$100,MATCH(BW$1,'Import from defimon'!$A:$A,0),MATCH($A131,'Import from defimon'!$1:$1,0)))</f>
        <v/>
      </c>
      <c r="BX131" s="13" t="str">
        <f t="array" ref="BX131">iferror(INDEX('Import from defimon'!$1:$100,MATCH(BX$1,'Import from defimon'!$A:$A,0),MATCH($A131,'Import from defimon'!$1:$1,0)))</f>
        <v/>
      </c>
      <c r="BY131" s="13" t="str">
        <f t="array" ref="BY131">iferror(INDEX('Import from defimon'!$1:$100,MATCH(BY$1,'Import from defimon'!$A:$A,0),MATCH($A131,'Import from defimon'!$1:$1,0)))</f>
        <v/>
      </c>
      <c r="BZ131" s="13" t="str">
        <f t="array" ref="BZ131">iferror(INDEX('Import from defimon'!$1:$100,MATCH(BZ$1,'Import from defimon'!$A:$A,0),MATCH($A131,'Import from defimon'!$1:$1,0)))</f>
        <v/>
      </c>
      <c r="CA131" s="13" t="str">
        <f t="array" ref="CA131">iferror(INDEX('Import from defimon'!$1:$100,MATCH(CA$1,'Import from defimon'!$A:$A,0),MATCH($A131,'Import from defimon'!$1:$1,0)))</f>
        <v/>
      </c>
      <c r="CB131" s="13" t="str">
        <f t="array" ref="CB131">iferror(INDEX('Import from defimon'!$1:$100,MATCH(CB$1,'Import from defimon'!$A:$A,0),MATCH($A131,'Import from defimon'!$1:$1,0)))</f>
        <v/>
      </c>
      <c r="CC131" s="13" t="str">
        <f t="array" ref="CC131">iferror(INDEX('Import from defimon'!$1:$100,MATCH(CC$1,'Import from defimon'!$A:$A,0),MATCH($A131,'Import from defimon'!$1:$1,0)))</f>
        <v/>
      </c>
      <c r="CD131" s="13" t="str">
        <f t="array" ref="CD131">iferror(INDEX('Import from defimon'!$1:$100,MATCH(CD$1,'Import from defimon'!$A:$A,0),MATCH($A131,'Import from defimon'!$1:$1,0)))</f>
        <v/>
      </c>
      <c r="CE131" s="13" t="str">
        <f t="array" ref="CE131">iferror(INDEX('Import from defimon'!$1:$100,MATCH(CE$1,'Import from defimon'!$A:$A,0),MATCH($A131,'Import from defimon'!$1:$1,0)))</f>
        <v/>
      </c>
      <c r="CF131" s="13" t="str">
        <f t="array" ref="CF131">iferror(INDEX('Import from defimon'!$1:$100,MATCH(CF$1,'Import from defimon'!$A:$A,0),MATCH($A131,'Import from defimon'!$1:$1,0)))</f>
        <v/>
      </c>
      <c r="CH131" s="13" t="str">
        <f t="array" ref="CH131">iferror(INDEX('Import from defimon'!$1:$100,MATCH(CH$1,'Import from defimon'!$A:$A,0),MATCH($A131,'Import from defimon'!$1:$1,0)))</f>
        <v/>
      </c>
      <c r="CI131" s="13" t="str">
        <f t="array" ref="CI131">iferror(INDEX('Import from defimon'!$1:$100,MATCH(CI$1,'Import from defimon'!$A:$A,0),MATCH($A131,'Import from defimon'!$1:$1,0)))</f>
        <v/>
      </c>
      <c r="CJ131" s="13" t="str">
        <f t="array" ref="CJ131">iferror(INDEX('Import from defimon'!$1:$100,MATCH(CJ$1,'Import from defimon'!$A:$A,0),MATCH($A131,'Import from defimon'!$1:$1,0)))</f>
        <v/>
      </c>
      <c r="CQ131" s="13" t="str">
        <f t="array" ref="CQ131">iferror(INDEX('Import from defimon'!$1:$100,MATCH(CQ$1,'Import from defimon'!$A:$A,0),MATCH($A131,'Import from defimon'!$1:$1,0)))</f>
        <v/>
      </c>
      <c r="CR131" s="13" t="str">
        <f t="array" ref="CR131">iferror(INDEX('Import from defimon'!$1:$100,MATCH(CR$1,'Import from defimon'!$A:$A,0),MATCH($A131,'Import from defimon'!$1:$1,0)))</f>
        <v/>
      </c>
      <c r="CS131" s="13" t="str">
        <f t="array" ref="CS131">iferror(INDEX('Import from defimon'!$1:$100,MATCH(CS$1,'Import from defimon'!$A:$A,0),MATCH($A131,'Import from defimon'!$1:$1,0)))</f>
        <v/>
      </c>
    </row>
    <row r="132" ht="15.75" customHeight="1">
      <c r="AL132" s="13" t="str">
        <f>iferror(VLOOKUP($A132,EAM!H$2:I$14,2,FALSE))</f>
        <v/>
      </c>
      <c r="AN132" s="18"/>
      <c r="AT132" s="13" t="str">
        <f t="array" ref="AT132">iferror(INDEX('Import from defimon'!$1:$100,MATCH(AT$1,'Import from defimon'!$A:$A,0),MATCH($A132,'Import from defimon'!$1:$1,0)))</f>
        <v/>
      </c>
      <c r="BA132" s="13" t="str">
        <f t="array" ref="BA132">iferror(INDEX('Import from defimon'!$1:$100,MATCH(BA$1,'Import from defimon'!$A:$A,0),MATCH($A132,'Import from defimon'!$1:$1,0)))</f>
        <v/>
      </c>
      <c r="BC132" s="13" t="str">
        <f t="array" ref="BC132">iferror(INDEX('Import from defimon'!$1:$100,MATCH(BC$1,'Import from defimon'!$A:$A,0),MATCH($A132,'Import from defimon'!$1:$1,0)))</f>
        <v/>
      </c>
      <c r="BD132" s="13" t="str">
        <f t="array" ref="BD132">iferror(INDEX('Import from defimon'!$1:$100,MATCH(BD$1,'Import from defimon'!$A:$A,0),MATCH($A132,'Import from defimon'!$1:$1,0)))</f>
        <v/>
      </c>
      <c r="BE132" s="13" t="str">
        <f t="array" ref="BE132">iferror(INDEX('Import from defimon'!$1:$100,MATCH(BE$1,'Import from defimon'!$A:$A,0),MATCH($A132,'Import from defimon'!$1:$1,0)))</f>
        <v/>
      </c>
      <c r="BF132" s="13" t="str">
        <f t="array" ref="BF132">iferror(INDEX('Import from defimon'!$1:$100,MATCH(BF$1,'Import from defimon'!$A:$A,0),MATCH($A132,'Import from defimon'!$1:$1,0)))</f>
        <v/>
      </c>
      <c r="BG132" s="13" t="str">
        <f t="array" ref="BG132">iferror(INDEX('Import from defimon'!$1:$100,MATCH(BG$1,'Import from defimon'!$A:$A,0),MATCH($A132,'Import from defimon'!$1:$1,0)))</f>
        <v/>
      </c>
      <c r="BH132" s="13" t="str">
        <f t="array" ref="BH132">iferror(INDEX('Import from defimon'!$1:$100,MATCH(BH$1,'Import from defimon'!$A:$A,0),MATCH($A132,'Import from defimon'!$1:$1,0)))</f>
        <v/>
      </c>
      <c r="BI132" s="13" t="str">
        <f t="array" ref="BI132">iferror(INDEX('Import from defimon'!$1:$100,MATCH(BI$1,'Import from defimon'!$A:$A,0),MATCH($A132,'Import from defimon'!$1:$1,0)))</f>
        <v/>
      </c>
      <c r="BJ132" s="13" t="str">
        <f t="array" ref="BJ132">iferror(INDEX('Import from defimon'!$1:$100,MATCH(BJ$1,'Import from defimon'!$A:$A,0),MATCH($A132,'Import from defimon'!$1:$1,0)))</f>
        <v/>
      </c>
      <c r="BK132" s="13" t="str">
        <f t="array" ref="BK132">iferror(INDEX('Import from defimon'!$1:$100,MATCH(BK$1,'Import from defimon'!$A:$A,0),MATCH($A132,'Import from defimon'!$1:$1,0)))</f>
        <v/>
      </c>
      <c r="BL132" s="13" t="str">
        <f t="array" ref="BL132">iferror(INDEX('Import from defimon'!$1:$100,MATCH(BL$1,'Import from defimon'!$A:$A,0),MATCH($A132,'Import from defimon'!$1:$1,0)))</f>
        <v/>
      </c>
      <c r="BN132" s="13" t="str">
        <f t="array" ref="BN132">iferror(INDEX('Import from defimon'!$1:$100,MATCH(BN$1,'Import from defimon'!$A:$A,0),MATCH($A132,'Import from defimon'!$1:$1,0)))</f>
        <v/>
      </c>
      <c r="BO132" s="13" t="str">
        <f t="array" ref="BO132">iferror(INDEX('Import from defimon'!$1:$100,MATCH(BO$1,'Import from defimon'!$A:$A,0),MATCH($A132,'Import from defimon'!$1:$1,0)))</f>
        <v/>
      </c>
      <c r="BP132" s="13" t="str">
        <f t="array" ref="BP132">iferror(INDEX('Import from defimon'!$1:$100,MATCH(BP$1,'Import from defimon'!$A:$A,0),MATCH($A132,'Import from defimon'!$1:$1,0)))</f>
        <v/>
      </c>
      <c r="BS132" s="13" t="str">
        <f t="array" ref="BS132">iferror(INDEX('Import from defimon'!$1:$100,MATCH(BS$1,'Import from defimon'!$A:$A,0),MATCH($A132,'Import from defimon'!$1:$1,0)))</f>
        <v/>
      </c>
      <c r="BT132" s="13" t="str">
        <f t="array" ref="BT132">iferror(INDEX('Import from defimon'!$1:$100,MATCH(BT$1,'Import from defimon'!$A:$A,0),MATCH($A132,'Import from defimon'!$1:$1,0)))</f>
        <v/>
      </c>
      <c r="BU132" s="13" t="str">
        <f t="array" ref="BU132">iferror(INDEX('Import from defimon'!$1:$100,MATCH(BU$1,'Import from defimon'!$A:$A,0),MATCH($A132,'Import from defimon'!$1:$1,0)))</f>
        <v/>
      </c>
      <c r="BV132" s="13" t="str">
        <f t="array" ref="BV132">iferror(INDEX('Import from defimon'!$1:$100,MATCH(BV$1,'Import from defimon'!$A:$A,0),MATCH($A132,'Import from defimon'!$1:$1,0)))</f>
        <v/>
      </c>
      <c r="BW132" s="13" t="str">
        <f t="array" ref="BW132">iferror(INDEX('Import from defimon'!$1:$100,MATCH(BW$1,'Import from defimon'!$A:$A,0),MATCH($A132,'Import from defimon'!$1:$1,0)))</f>
        <v/>
      </c>
      <c r="BX132" s="13" t="str">
        <f t="array" ref="BX132">iferror(INDEX('Import from defimon'!$1:$100,MATCH(BX$1,'Import from defimon'!$A:$A,0),MATCH($A132,'Import from defimon'!$1:$1,0)))</f>
        <v/>
      </c>
      <c r="BY132" s="13" t="str">
        <f t="array" ref="BY132">iferror(INDEX('Import from defimon'!$1:$100,MATCH(BY$1,'Import from defimon'!$A:$A,0),MATCH($A132,'Import from defimon'!$1:$1,0)))</f>
        <v/>
      </c>
      <c r="BZ132" s="13" t="str">
        <f t="array" ref="BZ132">iferror(INDEX('Import from defimon'!$1:$100,MATCH(BZ$1,'Import from defimon'!$A:$A,0),MATCH($A132,'Import from defimon'!$1:$1,0)))</f>
        <v/>
      </c>
      <c r="CA132" s="13" t="str">
        <f t="array" ref="CA132">iferror(INDEX('Import from defimon'!$1:$100,MATCH(CA$1,'Import from defimon'!$A:$A,0),MATCH($A132,'Import from defimon'!$1:$1,0)))</f>
        <v/>
      </c>
      <c r="CB132" s="13" t="str">
        <f t="array" ref="CB132">iferror(INDEX('Import from defimon'!$1:$100,MATCH(CB$1,'Import from defimon'!$A:$A,0),MATCH($A132,'Import from defimon'!$1:$1,0)))</f>
        <v/>
      </c>
      <c r="CC132" s="13" t="str">
        <f t="array" ref="CC132">iferror(INDEX('Import from defimon'!$1:$100,MATCH(CC$1,'Import from defimon'!$A:$A,0),MATCH($A132,'Import from defimon'!$1:$1,0)))</f>
        <v/>
      </c>
      <c r="CD132" s="13" t="str">
        <f t="array" ref="CD132">iferror(INDEX('Import from defimon'!$1:$100,MATCH(CD$1,'Import from defimon'!$A:$A,0),MATCH($A132,'Import from defimon'!$1:$1,0)))</f>
        <v/>
      </c>
      <c r="CE132" s="13" t="str">
        <f t="array" ref="CE132">iferror(INDEX('Import from defimon'!$1:$100,MATCH(CE$1,'Import from defimon'!$A:$A,0),MATCH($A132,'Import from defimon'!$1:$1,0)))</f>
        <v/>
      </c>
      <c r="CF132" s="13" t="str">
        <f t="array" ref="CF132">iferror(INDEX('Import from defimon'!$1:$100,MATCH(CF$1,'Import from defimon'!$A:$A,0),MATCH($A132,'Import from defimon'!$1:$1,0)))</f>
        <v/>
      </c>
      <c r="CH132" s="13" t="str">
        <f t="array" ref="CH132">iferror(INDEX('Import from defimon'!$1:$100,MATCH(CH$1,'Import from defimon'!$A:$A,0),MATCH($A132,'Import from defimon'!$1:$1,0)))</f>
        <v/>
      </c>
      <c r="CI132" s="13" t="str">
        <f t="array" ref="CI132">iferror(INDEX('Import from defimon'!$1:$100,MATCH(CI$1,'Import from defimon'!$A:$A,0),MATCH($A132,'Import from defimon'!$1:$1,0)))</f>
        <v/>
      </c>
      <c r="CJ132" s="13" t="str">
        <f t="array" ref="CJ132">iferror(INDEX('Import from defimon'!$1:$100,MATCH(CJ$1,'Import from defimon'!$A:$A,0),MATCH($A132,'Import from defimon'!$1:$1,0)))</f>
        <v/>
      </c>
      <c r="CQ132" s="13" t="str">
        <f t="array" ref="CQ132">iferror(INDEX('Import from defimon'!$1:$100,MATCH(CQ$1,'Import from defimon'!$A:$A,0),MATCH($A132,'Import from defimon'!$1:$1,0)))</f>
        <v/>
      </c>
      <c r="CR132" s="13" t="str">
        <f t="array" ref="CR132">iferror(INDEX('Import from defimon'!$1:$100,MATCH(CR$1,'Import from defimon'!$A:$A,0),MATCH($A132,'Import from defimon'!$1:$1,0)))</f>
        <v/>
      </c>
      <c r="CS132" s="13" t="str">
        <f t="array" ref="CS132">iferror(INDEX('Import from defimon'!$1:$100,MATCH(CS$1,'Import from defimon'!$A:$A,0),MATCH($A132,'Import from defimon'!$1:$1,0)))</f>
        <v/>
      </c>
    </row>
    <row r="133" ht="15.75" customHeight="1">
      <c r="AL133" s="13" t="str">
        <f>iferror(VLOOKUP($A133,EAM!H$2:I$14,2,FALSE))</f>
        <v/>
      </c>
      <c r="AN133" s="19"/>
      <c r="AT133" s="13" t="str">
        <f t="array" ref="AT133">iferror(INDEX('Import from defimon'!$1:$100,MATCH(AT$1,'Import from defimon'!$A:$A,0),MATCH($A133,'Import from defimon'!$1:$1,0)))</f>
        <v/>
      </c>
      <c r="BA133" s="13" t="str">
        <f t="array" ref="BA133">iferror(INDEX('Import from defimon'!$1:$100,MATCH(BA$1,'Import from defimon'!$A:$A,0),MATCH($A133,'Import from defimon'!$1:$1,0)))</f>
        <v/>
      </c>
      <c r="BC133" s="13" t="str">
        <f t="array" ref="BC133">iferror(INDEX('Import from defimon'!$1:$100,MATCH(BC$1,'Import from defimon'!$A:$A,0),MATCH($A133,'Import from defimon'!$1:$1,0)))</f>
        <v/>
      </c>
      <c r="BD133" s="13" t="str">
        <f t="array" ref="BD133">iferror(INDEX('Import from defimon'!$1:$100,MATCH(BD$1,'Import from defimon'!$A:$A,0),MATCH($A133,'Import from defimon'!$1:$1,0)))</f>
        <v/>
      </c>
      <c r="BE133" s="13" t="str">
        <f t="array" ref="BE133">iferror(INDEX('Import from defimon'!$1:$100,MATCH(BE$1,'Import from defimon'!$A:$A,0),MATCH($A133,'Import from defimon'!$1:$1,0)))</f>
        <v/>
      </c>
      <c r="BF133" s="13" t="str">
        <f t="array" ref="BF133">iferror(INDEX('Import from defimon'!$1:$100,MATCH(BF$1,'Import from defimon'!$A:$A,0),MATCH($A133,'Import from defimon'!$1:$1,0)))</f>
        <v/>
      </c>
      <c r="BG133" s="13" t="str">
        <f t="array" ref="BG133">iferror(INDEX('Import from defimon'!$1:$100,MATCH(BG$1,'Import from defimon'!$A:$A,0),MATCH($A133,'Import from defimon'!$1:$1,0)))</f>
        <v/>
      </c>
      <c r="BH133" s="13" t="str">
        <f t="array" ref="BH133">iferror(INDEX('Import from defimon'!$1:$100,MATCH(BH$1,'Import from defimon'!$A:$A,0),MATCH($A133,'Import from defimon'!$1:$1,0)))</f>
        <v/>
      </c>
      <c r="BI133" s="13" t="str">
        <f t="array" ref="BI133">iferror(INDEX('Import from defimon'!$1:$100,MATCH(BI$1,'Import from defimon'!$A:$A,0),MATCH($A133,'Import from defimon'!$1:$1,0)))</f>
        <v/>
      </c>
      <c r="BJ133" s="13" t="str">
        <f t="array" ref="BJ133">iferror(INDEX('Import from defimon'!$1:$100,MATCH(BJ$1,'Import from defimon'!$A:$A,0),MATCH($A133,'Import from defimon'!$1:$1,0)))</f>
        <v/>
      </c>
      <c r="BK133" s="13" t="str">
        <f t="array" ref="BK133">iferror(INDEX('Import from defimon'!$1:$100,MATCH(BK$1,'Import from defimon'!$A:$A,0),MATCH($A133,'Import from defimon'!$1:$1,0)))</f>
        <v/>
      </c>
      <c r="BL133" s="13" t="str">
        <f t="array" ref="BL133">iferror(INDEX('Import from defimon'!$1:$100,MATCH(BL$1,'Import from defimon'!$A:$A,0),MATCH($A133,'Import from defimon'!$1:$1,0)))</f>
        <v/>
      </c>
      <c r="BN133" s="13" t="str">
        <f t="array" ref="BN133">iferror(INDEX('Import from defimon'!$1:$100,MATCH(BN$1,'Import from defimon'!$A:$A,0),MATCH($A133,'Import from defimon'!$1:$1,0)))</f>
        <v/>
      </c>
      <c r="BO133" s="13" t="str">
        <f t="array" ref="BO133">iferror(INDEX('Import from defimon'!$1:$100,MATCH(BO$1,'Import from defimon'!$A:$A,0),MATCH($A133,'Import from defimon'!$1:$1,0)))</f>
        <v/>
      </c>
      <c r="BP133" s="13" t="str">
        <f t="array" ref="BP133">iferror(INDEX('Import from defimon'!$1:$100,MATCH(BP$1,'Import from defimon'!$A:$A,0),MATCH($A133,'Import from defimon'!$1:$1,0)))</f>
        <v/>
      </c>
      <c r="BS133" s="13" t="str">
        <f t="array" ref="BS133">iferror(INDEX('Import from defimon'!$1:$100,MATCH(BS$1,'Import from defimon'!$A:$A,0),MATCH($A133,'Import from defimon'!$1:$1,0)))</f>
        <v/>
      </c>
      <c r="BT133" s="13" t="str">
        <f t="array" ref="BT133">iferror(INDEX('Import from defimon'!$1:$100,MATCH(BT$1,'Import from defimon'!$A:$A,0),MATCH($A133,'Import from defimon'!$1:$1,0)))</f>
        <v/>
      </c>
      <c r="BU133" s="13" t="str">
        <f t="array" ref="BU133">iferror(INDEX('Import from defimon'!$1:$100,MATCH(BU$1,'Import from defimon'!$A:$A,0),MATCH($A133,'Import from defimon'!$1:$1,0)))</f>
        <v/>
      </c>
      <c r="BV133" s="13" t="str">
        <f t="array" ref="BV133">iferror(INDEX('Import from defimon'!$1:$100,MATCH(BV$1,'Import from defimon'!$A:$A,0),MATCH($A133,'Import from defimon'!$1:$1,0)))</f>
        <v/>
      </c>
      <c r="BW133" s="13" t="str">
        <f t="array" ref="BW133">iferror(INDEX('Import from defimon'!$1:$100,MATCH(BW$1,'Import from defimon'!$A:$A,0),MATCH($A133,'Import from defimon'!$1:$1,0)))</f>
        <v/>
      </c>
      <c r="BX133" s="13" t="str">
        <f t="array" ref="BX133">iferror(INDEX('Import from defimon'!$1:$100,MATCH(BX$1,'Import from defimon'!$A:$A,0),MATCH($A133,'Import from defimon'!$1:$1,0)))</f>
        <v/>
      </c>
      <c r="BY133" s="13" t="str">
        <f t="array" ref="BY133">iferror(INDEX('Import from defimon'!$1:$100,MATCH(BY$1,'Import from defimon'!$A:$A,0),MATCH($A133,'Import from defimon'!$1:$1,0)))</f>
        <v/>
      </c>
      <c r="BZ133" s="13" t="str">
        <f t="array" ref="BZ133">iferror(INDEX('Import from defimon'!$1:$100,MATCH(BZ$1,'Import from defimon'!$A:$A,0),MATCH($A133,'Import from defimon'!$1:$1,0)))</f>
        <v/>
      </c>
      <c r="CA133" s="13" t="str">
        <f t="array" ref="CA133">iferror(INDEX('Import from defimon'!$1:$100,MATCH(CA$1,'Import from defimon'!$A:$A,0),MATCH($A133,'Import from defimon'!$1:$1,0)))</f>
        <v/>
      </c>
      <c r="CB133" s="13" t="str">
        <f t="array" ref="CB133">iferror(INDEX('Import from defimon'!$1:$100,MATCH(CB$1,'Import from defimon'!$A:$A,0),MATCH($A133,'Import from defimon'!$1:$1,0)))</f>
        <v/>
      </c>
      <c r="CC133" s="13" t="str">
        <f t="array" ref="CC133">iferror(INDEX('Import from defimon'!$1:$100,MATCH(CC$1,'Import from defimon'!$A:$A,0),MATCH($A133,'Import from defimon'!$1:$1,0)))</f>
        <v/>
      </c>
      <c r="CD133" s="13" t="str">
        <f t="array" ref="CD133">iferror(INDEX('Import from defimon'!$1:$100,MATCH(CD$1,'Import from defimon'!$A:$A,0),MATCH($A133,'Import from defimon'!$1:$1,0)))</f>
        <v/>
      </c>
      <c r="CE133" s="13" t="str">
        <f t="array" ref="CE133">iferror(INDEX('Import from defimon'!$1:$100,MATCH(CE$1,'Import from defimon'!$A:$A,0),MATCH($A133,'Import from defimon'!$1:$1,0)))</f>
        <v/>
      </c>
      <c r="CF133" s="13" t="str">
        <f t="array" ref="CF133">iferror(INDEX('Import from defimon'!$1:$100,MATCH(CF$1,'Import from defimon'!$A:$A,0),MATCH($A133,'Import from defimon'!$1:$1,0)))</f>
        <v/>
      </c>
      <c r="CH133" s="13" t="str">
        <f t="array" ref="CH133">iferror(INDEX('Import from defimon'!$1:$100,MATCH(CH$1,'Import from defimon'!$A:$A,0),MATCH($A133,'Import from defimon'!$1:$1,0)))</f>
        <v/>
      </c>
      <c r="CI133" s="13" t="str">
        <f t="array" ref="CI133">iferror(INDEX('Import from defimon'!$1:$100,MATCH(CI$1,'Import from defimon'!$A:$A,0),MATCH($A133,'Import from defimon'!$1:$1,0)))</f>
        <v/>
      </c>
      <c r="CJ133" s="13" t="str">
        <f t="array" ref="CJ133">iferror(INDEX('Import from defimon'!$1:$100,MATCH(CJ$1,'Import from defimon'!$A:$A,0),MATCH($A133,'Import from defimon'!$1:$1,0)))</f>
        <v/>
      </c>
      <c r="CQ133" s="13" t="str">
        <f t="array" ref="CQ133">iferror(INDEX('Import from defimon'!$1:$100,MATCH(CQ$1,'Import from defimon'!$A:$A,0),MATCH($A133,'Import from defimon'!$1:$1,0)))</f>
        <v/>
      </c>
      <c r="CR133" s="13" t="str">
        <f t="array" ref="CR133">iferror(INDEX('Import from defimon'!$1:$100,MATCH(CR$1,'Import from defimon'!$A:$A,0),MATCH($A133,'Import from defimon'!$1:$1,0)))</f>
        <v/>
      </c>
      <c r="CS133" s="13" t="str">
        <f t="array" ref="CS133">iferror(INDEX('Import from defimon'!$1:$100,MATCH(CS$1,'Import from defimon'!$A:$A,0),MATCH($A133,'Import from defimon'!$1:$1,0)))</f>
        <v/>
      </c>
    </row>
    <row r="134" ht="15.75" customHeight="1">
      <c r="AL134" s="13" t="str">
        <f>iferror(VLOOKUP($A134,EAM!H$2:I$14,2,FALSE))</f>
        <v/>
      </c>
      <c r="AN134" s="18"/>
      <c r="AT134" s="13" t="str">
        <f t="array" ref="AT134">iferror(INDEX('Import from defimon'!$1:$100,MATCH(AT$1,'Import from defimon'!$A:$A,0),MATCH($A134,'Import from defimon'!$1:$1,0)))</f>
        <v/>
      </c>
      <c r="BA134" s="13" t="str">
        <f t="array" ref="BA134">iferror(INDEX('Import from defimon'!$1:$100,MATCH(BA$1,'Import from defimon'!$A:$A,0),MATCH($A134,'Import from defimon'!$1:$1,0)))</f>
        <v/>
      </c>
      <c r="BC134" s="13" t="str">
        <f t="array" ref="BC134">iferror(INDEX('Import from defimon'!$1:$100,MATCH(BC$1,'Import from defimon'!$A:$A,0),MATCH($A134,'Import from defimon'!$1:$1,0)))</f>
        <v/>
      </c>
      <c r="BD134" s="13" t="str">
        <f t="array" ref="BD134">iferror(INDEX('Import from defimon'!$1:$100,MATCH(BD$1,'Import from defimon'!$A:$A,0),MATCH($A134,'Import from defimon'!$1:$1,0)))</f>
        <v/>
      </c>
      <c r="BE134" s="13" t="str">
        <f t="array" ref="BE134">iferror(INDEX('Import from defimon'!$1:$100,MATCH(BE$1,'Import from defimon'!$A:$A,0),MATCH($A134,'Import from defimon'!$1:$1,0)))</f>
        <v/>
      </c>
      <c r="BF134" s="13" t="str">
        <f t="array" ref="BF134">iferror(INDEX('Import from defimon'!$1:$100,MATCH(BF$1,'Import from defimon'!$A:$A,0),MATCH($A134,'Import from defimon'!$1:$1,0)))</f>
        <v/>
      </c>
      <c r="BG134" s="13" t="str">
        <f t="array" ref="BG134">iferror(INDEX('Import from defimon'!$1:$100,MATCH(BG$1,'Import from defimon'!$A:$A,0),MATCH($A134,'Import from defimon'!$1:$1,0)))</f>
        <v/>
      </c>
      <c r="BH134" s="13" t="str">
        <f t="array" ref="BH134">iferror(INDEX('Import from defimon'!$1:$100,MATCH(BH$1,'Import from defimon'!$A:$A,0),MATCH($A134,'Import from defimon'!$1:$1,0)))</f>
        <v/>
      </c>
      <c r="BI134" s="13" t="str">
        <f t="array" ref="BI134">iferror(INDEX('Import from defimon'!$1:$100,MATCH(BI$1,'Import from defimon'!$A:$A,0),MATCH($A134,'Import from defimon'!$1:$1,0)))</f>
        <v/>
      </c>
      <c r="BJ134" s="13" t="str">
        <f t="array" ref="BJ134">iferror(INDEX('Import from defimon'!$1:$100,MATCH(BJ$1,'Import from defimon'!$A:$A,0),MATCH($A134,'Import from defimon'!$1:$1,0)))</f>
        <v/>
      </c>
      <c r="BK134" s="13" t="str">
        <f t="array" ref="BK134">iferror(INDEX('Import from defimon'!$1:$100,MATCH(BK$1,'Import from defimon'!$A:$A,0),MATCH($A134,'Import from defimon'!$1:$1,0)))</f>
        <v/>
      </c>
      <c r="BL134" s="13" t="str">
        <f t="array" ref="BL134">iferror(INDEX('Import from defimon'!$1:$100,MATCH(BL$1,'Import from defimon'!$A:$A,0),MATCH($A134,'Import from defimon'!$1:$1,0)))</f>
        <v/>
      </c>
      <c r="BN134" s="13" t="str">
        <f t="array" ref="BN134">iferror(INDEX('Import from defimon'!$1:$100,MATCH(BN$1,'Import from defimon'!$A:$A,0),MATCH($A134,'Import from defimon'!$1:$1,0)))</f>
        <v/>
      </c>
      <c r="BO134" s="13" t="str">
        <f t="array" ref="BO134">iferror(INDEX('Import from defimon'!$1:$100,MATCH(BO$1,'Import from defimon'!$A:$A,0),MATCH($A134,'Import from defimon'!$1:$1,0)))</f>
        <v/>
      </c>
      <c r="BP134" s="13" t="str">
        <f t="array" ref="BP134">iferror(INDEX('Import from defimon'!$1:$100,MATCH(BP$1,'Import from defimon'!$A:$A,0),MATCH($A134,'Import from defimon'!$1:$1,0)))</f>
        <v/>
      </c>
      <c r="BS134" s="13" t="str">
        <f t="array" ref="BS134">iferror(INDEX('Import from defimon'!$1:$100,MATCH(BS$1,'Import from defimon'!$A:$A,0),MATCH($A134,'Import from defimon'!$1:$1,0)))</f>
        <v/>
      </c>
      <c r="BT134" s="13" t="str">
        <f t="array" ref="BT134">iferror(INDEX('Import from defimon'!$1:$100,MATCH(BT$1,'Import from defimon'!$A:$A,0),MATCH($A134,'Import from defimon'!$1:$1,0)))</f>
        <v/>
      </c>
      <c r="BU134" s="13" t="str">
        <f t="array" ref="BU134">iferror(INDEX('Import from defimon'!$1:$100,MATCH(BU$1,'Import from defimon'!$A:$A,0),MATCH($A134,'Import from defimon'!$1:$1,0)))</f>
        <v/>
      </c>
      <c r="BV134" s="13" t="str">
        <f t="array" ref="BV134">iferror(INDEX('Import from defimon'!$1:$100,MATCH(BV$1,'Import from defimon'!$A:$A,0),MATCH($A134,'Import from defimon'!$1:$1,0)))</f>
        <v/>
      </c>
      <c r="BW134" s="13" t="str">
        <f t="array" ref="BW134">iferror(INDEX('Import from defimon'!$1:$100,MATCH(BW$1,'Import from defimon'!$A:$A,0),MATCH($A134,'Import from defimon'!$1:$1,0)))</f>
        <v/>
      </c>
      <c r="BX134" s="13" t="str">
        <f t="array" ref="BX134">iferror(INDEX('Import from defimon'!$1:$100,MATCH(BX$1,'Import from defimon'!$A:$A,0),MATCH($A134,'Import from defimon'!$1:$1,0)))</f>
        <v/>
      </c>
      <c r="BY134" s="13" t="str">
        <f t="array" ref="BY134">iferror(INDEX('Import from defimon'!$1:$100,MATCH(BY$1,'Import from defimon'!$A:$A,0),MATCH($A134,'Import from defimon'!$1:$1,0)))</f>
        <v/>
      </c>
      <c r="BZ134" s="13" t="str">
        <f t="array" ref="BZ134">iferror(INDEX('Import from defimon'!$1:$100,MATCH(BZ$1,'Import from defimon'!$A:$A,0),MATCH($A134,'Import from defimon'!$1:$1,0)))</f>
        <v/>
      </c>
      <c r="CA134" s="13" t="str">
        <f t="array" ref="CA134">iferror(INDEX('Import from defimon'!$1:$100,MATCH(CA$1,'Import from defimon'!$A:$A,0),MATCH($A134,'Import from defimon'!$1:$1,0)))</f>
        <v/>
      </c>
      <c r="CB134" s="13" t="str">
        <f t="array" ref="CB134">iferror(INDEX('Import from defimon'!$1:$100,MATCH(CB$1,'Import from defimon'!$A:$A,0),MATCH($A134,'Import from defimon'!$1:$1,0)))</f>
        <v/>
      </c>
      <c r="CC134" s="13" t="str">
        <f t="array" ref="CC134">iferror(INDEX('Import from defimon'!$1:$100,MATCH(CC$1,'Import from defimon'!$A:$A,0),MATCH($A134,'Import from defimon'!$1:$1,0)))</f>
        <v/>
      </c>
      <c r="CD134" s="13" t="str">
        <f t="array" ref="CD134">iferror(INDEX('Import from defimon'!$1:$100,MATCH(CD$1,'Import from defimon'!$A:$A,0),MATCH($A134,'Import from defimon'!$1:$1,0)))</f>
        <v/>
      </c>
      <c r="CE134" s="13" t="str">
        <f t="array" ref="CE134">iferror(INDEX('Import from defimon'!$1:$100,MATCH(CE$1,'Import from defimon'!$A:$A,0),MATCH($A134,'Import from defimon'!$1:$1,0)))</f>
        <v/>
      </c>
      <c r="CF134" s="13" t="str">
        <f t="array" ref="CF134">iferror(INDEX('Import from defimon'!$1:$100,MATCH(CF$1,'Import from defimon'!$A:$A,0),MATCH($A134,'Import from defimon'!$1:$1,0)))</f>
        <v/>
      </c>
      <c r="CH134" s="13" t="str">
        <f t="array" ref="CH134">iferror(INDEX('Import from defimon'!$1:$100,MATCH(CH$1,'Import from defimon'!$A:$A,0),MATCH($A134,'Import from defimon'!$1:$1,0)))</f>
        <v/>
      </c>
      <c r="CI134" s="13" t="str">
        <f t="array" ref="CI134">iferror(INDEX('Import from defimon'!$1:$100,MATCH(CI$1,'Import from defimon'!$A:$A,0),MATCH($A134,'Import from defimon'!$1:$1,0)))</f>
        <v/>
      </c>
      <c r="CJ134" s="13" t="str">
        <f t="array" ref="CJ134">iferror(INDEX('Import from defimon'!$1:$100,MATCH(CJ$1,'Import from defimon'!$A:$A,0),MATCH($A134,'Import from defimon'!$1:$1,0)))</f>
        <v/>
      </c>
      <c r="CQ134" s="13" t="str">
        <f t="array" ref="CQ134">iferror(INDEX('Import from defimon'!$1:$100,MATCH(CQ$1,'Import from defimon'!$A:$A,0),MATCH($A134,'Import from defimon'!$1:$1,0)))</f>
        <v/>
      </c>
      <c r="CR134" s="13" t="str">
        <f t="array" ref="CR134">iferror(INDEX('Import from defimon'!$1:$100,MATCH(CR$1,'Import from defimon'!$A:$A,0),MATCH($A134,'Import from defimon'!$1:$1,0)))</f>
        <v/>
      </c>
      <c r="CS134" s="13" t="str">
        <f t="array" ref="CS134">iferror(INDEX('Import from defimon'!$1:$100,MATCH(CS$1,'Import from defimon'!$A:$A,0),MATCH($A134,'Import from defimon'!$1:$1,0)))</f>
        <v/>
      </c>
    </row>
    <row r="135" ht="15.75" customHeight="1">
      <c r="AL135" s="13" t="str">
        <f>iferror(VLOOKUP($A135,EAM!H$2:I$14,2,FALSE))</f>
        <v/>
      </c>
      <c r="AN135" s="18"/>
      <c r="AT135" s="13" t="str">
        <f t="array" ref="AT135">iferror(INDEX('Import from defimon'!$1:$100,MATCH(AT$1,'Import from defimon'!$A:$A,0),MATCH($A135,'Import from defimon'!$1:$1,0)))</f>
        <v/>
      </c>
      <c r="BA135" s="13" t="str">
        <f t="array" ref="BA135">iferror(INDEX('Import from defimon'!$1:$100,MATCH(BA$1,'Import from defimon'!$A:$A,0),MATCH($A135,'Import from defimon'!$1:$1,0)))</f>
        <v/>
      </c>
      <c r="BC135" s="13" t="str">
        <f t="array" ref="BC135">iferror(INDEX('Import from defimon'!$1:$100,MATCH(BC$1,'Import from defimon'!$A:$A,0),MATCH($A135,'Import from defimon'!$1:$1,0)))</f>
        <v/>
      </c>
      <c r="BD135" s="13" t="str">
        <f t="array" ref="BD135">iferror(INDEX('Import from defimon'!$1:$100,MATCH(BD$1,'Import from defimon'!$A:$A,0),MATCH($A135,'Import from defimon'!$1:$1,0)))</f>
        <v/>
      </c>
      <c r="BE135" s="13" t="str">
        <f t="array" ref="BE135">iferror(INDEX('Import from defimon'!$1:$100,MATCH(BE$1,'Import from defimon'!$A:$A,0),MATCH($A135,'Import from defimon'!$1:$1,0)))</f>
        <v/>
      </c>
      <c r="BF135" s="13" t="str">
        <f t="array" ref="BF135">iferror(INDEX('Import from defimon'!$1:$100,MATCH(BF$1,'Import from defimon'!$A:$A,0),MATCH($A135,'Import from defimon'!$1:$1,0)))</f>
        <v/>
      </c>
      <c r="BG135" s="13" t="str">
        <f t="array" ref="BG135">iferror(INDEX('Import from defimon'!$1:$100,MATCH(BG$1,'Import from defimon'!$A:$A,0),MATCH($A135,'Import from defimon'!$1:$1,0)))</f>
        <v/>
      </c>
      <c r="BH135" s="13" t="str">
        <f t="array" ref="BH135">iferror(INDEX('Import from defimon'!$1:$100,MATCH(BH$1,'Import from defimon'!$A:$A,0),MATCH($A135,'Import from defimon'!$1:$1,0)))</f>
        <v/>
      </c>
      <c r="BI135" s="13" t="str">
        <f t="array" ref="BI135">iferror(INDEX('Import from defimon'!$1:$100,MATCH(BI$1,'Import from defimon'!$A:$A,0),MATCH($A135,'Import from defimon'!$1:$1,0)))</f>
        <v/>
      </c>
      <c r="BJ135" s="13" t="str">
        <f t="array" ref="BJ135">iferror(INDEX('Import from defimon'!$1:$100,MATCH(BJ$1,'Import from defimon'!$A:$A,0),MATCH($A135,'Import from defimon'!$1:$1,0)))</f>
        <v/>
      </c>
      <c r="BK135" s="13" t="str">
        <f t="array" ref="BK135">iferror(INDEX('Import from defimon'!$1:$100,MATCH(BK$1,'Import from defimon'!$A:$A,0),MATCH($A135,'Import from defimon'!$1:$1,0)))</f>
        <v/>
      </c>
      <c r="BL135" s="13" t="str">
        <f t="array" ref="BL135">iferror(INDEX('Import from defimon'!$1:$100,MATCH(BL$1,'Import from defimon'!$A:$A,0),MATCH($A135,'Import from defimon'!$1:$1,0)))</f>
        <v/>
      </c>
      <c r="BN135" s="13" t="str">
        <f t="array" ref="BN135">iferror(INDEX('Import from defimon'!$1:$100,MATCH(BN$1,'Import from defimon'!$A:$A,0),MATCH($A135,'Import from defimon'!$1:$1,0)))</f>
        <v/>
      </c>
      <c r="BO135" s="13" t="str">
        <f t="array" ref="BO135">iferror(INDEX('Import from defimon'!$1:$100,MATCH(BO$1,'Import from defimon'!$A:$A,0),MATCH($A135,'Import from defimon'!$1:$1,0)))</f>
        <v/>
      </c>
      <c r="BP135" s="13" t="str">
        <f t="array" ref="BP135">iferror(INDEX('Import from defimon'!$1:$100,MATCH(BP$1,'Import from defimon'!$A:$A,0),MATCH($A135,'Import from defimon'!$1:$1,0)))</f>
        <v/>
      </c>
      <c r="BS135" s="13" t="str">
        <f t="array" ref="BS135">iferror(INDEX('Import from defimon'!$1:$100,MATCH(BS$1,'Import from defimon'!$A:$A,0),MATCH($A135,'Import from defimon'!$1:$1,0)))</f>
        <v/>
      </c>
      <c r="BT135" s="13" t="str">
        <f t="array" ref="BT135">iferror(INDEX('Import from defimon'!$1:$100,MATCH(BT$1,'Import from defimon'!$A:$A,0),MATCH($A135,'Import from defimon'!$1:$1,0)))</f>
        <v/>
      </c>
      <c r="BU135" s="13" t="str">
        <f t="array" ref="BU135">iferror(INDEX('Import from defimon'!$1:$100,MATCH(BU$1,'Import from defimon'!$A:$A,0),MATCH($A135,'Import from defimon'!$1:$1,0)))</f>
        <v/>
      </c>
      <c r="BV135" s="13" t="str">
        <f t="array" ref="BV135">iferror(INDEX('Import from defimon'!$1:$100,MATCH(BV$1,'Import from defimon'!$A:$A,0),MATCH($A135,'Import from defimon'!$1:$1,0)))</f>
        <v/>
      </c>
      <c r="BW135" s="13" t="str">
        <f t="array" ref="BW135">iferror(INDEX('Import from defimon'!$1:$100,MATCH(BW$1,'Import from defimon'!$A:$A,0),MATCH($A135,'Import from defimon'!$1:$1,0)))</f>
        <v/>
      </c>
      <c r="BX135" s="13" t="str">
        <f t="array" ref="BX135">iferror(INDEX('Import from defimon'!$1:$100,MATCH(BX$1,'Import from defimon'!$A:$A,0),MATCH($A135,'Import from defimon'!$1:$1,0)))</f>
        <v/>
      </c>
      <c r="BY135" s="13" t="str">
        <f t="array" ref="BY135">iferror(INDEX('Import from defimon'!$1:$100,MATCH(BY$1,'Import from defimon'!$A:$A,0),MATCH($A135,'Import from defimon'!$1:$1,0)))</f>
        <v/>
      </c>
      <c r="BZ135" s="13" t="str">
        <f t="array" ref="BZ135">iferror(INDEX('Import from defimon'!$1:$100,MATCH(BZ$1,'Import from defimon'!$A:$A,0),MATCH($A135,'Import from defimon'!$1:$1,0)))</f>
        <v/>
      </c>
      <c r="CA135" s="13" t="str">
        <f t="array" ref="CA135">iferror(INDEX('Import from defimon'!$1:$100,MATCH(CA$1,'Import from defimon'!$A:$A,0),MATCH($A135,'Import from defimon'!$1:$1,0)))</f>
        <v/>
      </c>
      <c r="CB135" s="13" t="str">
        <f t="array" ref="CB135">iferror(INDEX('Import from defimon'!$1:$100,MATCH(CB$1,'Import from defimon'!$A:$A,0),MATCH($A135,'Import from defimon'!$1:$1,0)))</f>
        <v/>
      </c>
      <c r="CC135" s="13" t="str">
        <f t="array" ref="CC135">iferror(INDEX('Import from defimon'!$1:$100,MATCH(CC$1,'Import from defimon'!$A:$A,0),MATCH($A135,'Import from defimon'!$1:$1,0)))</f>
        <v/>
      </c>
      <c r="CD135" s="13" t="str">
        <f t="array" ref="CD135">iferror(INDEX('Import from defimon'!$1:$100,MATCH(CD$1,'Import from defimon'!$A:$A,0),MATCH($A135,'Import from defimon'!$1:$1,0)))</f>
        <v/>
      </c>
      <c r="CE135" s="13" t="str">
        <f t="array" ref="CE135">iferror(INDEX('Import from defimon'!$1:$100,MATCH(CE$1,'Import from defimon'!$A:$A,0),MATCH($A135,'Import from defimon'!$1:$1,0)))</f>
        <v/>
      </c>
      <c r="CF135" s="13" t="str">
        <f t="array" ref="CF135">iferror(INDEX('Import from defimon'!$1:$100,MATCH(CF$1,'Import from defimon'!$A:$A,0),MATCH($A135,'Import from defimon'!$1:$1,0)))</f>
        <v/>
      </c>
      <c r="CH135" s="13" t="str">
        <f t="array" ref="CH135">iferror(INDEX('Import from defimon'!$1:$100,MATCH(CH$1,'Import from defimon'!$A:$A,0),MATCH($A135,'Import from defimon'!$1:$1,0)))</f>
        <v/>
      </c>
      <c r="CI135" s="13" t="str">
        <f t="array" ref="CI135">iferror(INDEX('Import from defimon'!$1:$100,MATCH(CI$1,'Import from defimon'!$A:$A,0),MATCH($A135,'Import from defimon'!$1:$1,0)))</f>
        <v/>
      </c>
      <c r="CJ135" s="13" t="str">
        <f t="array" ref="CJ135">iferror(INDEX('Import from defimon'!$1:$100,MATCH(CJ$1,'Import from defimon'!$A:$A,0),MATCH($A135,'Import from defimon'!$1:$1,0)))</f>
        <v/>
      </c>
      <c r="CQ135" s="13" t="str">
        <f t="array" ref="CQ135">iferror(INDEX('Import from defimon'!$1:$100,MATCH(CQ$1,'Import from defimon'!$A:$A,0),MATCH($A135,'Import from defimon'!$1:$1,0)))</f>
        <v/>
      </c>
      <c r="CR135" s="13" t="str">
        <f t="array" ref="CR135">iferror(INDEX('Import from defimon'!$1:$100,MATCH(CR$1,'Import from defimon'!$A:$A,0),MATCH($A135,'Import from defimon'!$1:$1,0)))</f>
        <v/>
      </c>
      <c r="CS135" s="13" t="str">
        <f t="array" ref="CS135">iferror(INDEX('Import from defimon'!$1:$100,MATCH(CS$1,'Import from defimon'!$A:$A,0),MATCH($A135,'Import from defimon'!$1:$1,0)))</f>
        <v/>
      </c>
    </row>
    <row r="136" ht="15.75" customHeight="1">
      <c r="AL136" s="13" t="str">
        <f>iferror(VLOOKUP($A136,EAM!H$2:I$14,2,FALSE))</f>
        <v/>
      </c>
      <c r="AN136" s="18"/>
      <c r="AT136" s="13" t="str">
        <f t="array" ref="AT136">iferror(INDEX('Import from defimon'!$1:$100,MATCH(AT$1,'Import from defimon'!$A:$A,0),MATCH($A136,'Import from defimon'!$1:$1,0)))</f>
        <v/>
      </c>
      <c r="BA136" s="13" t="str">
        <f t="array" ref="BA136">iferror(INDEX('Import from defimon'!$1:$100,MATCH(BA$1,'Import from defimon'!$A:$A,0),MATCH($A136,'Import from defimon'!$1:$1,0)))</f>
        <v/>
      </c>
      <c r="BC136" s="13" t="str">
        <f t="array" ref="BC136">iferror(INDEX('Import from defimon'!$1:$100,MATCH(BC$1,'Import from defimon'!$A:$A,0),MATCH($A136,'Import from defimon'!$1:$1,0)))</f>
        <v/>
      </c>
      <c r="BD136" s="13" t="str">
        <f t="array" ref="BD136">iferror(INDEX('Import from defimon'!$1:$100,MATCH(BD$1,'Import from defimon'!$A:$A,0),MATCH($A136,'Import from defimon'!$1:$1,0)))</f>
        <v/>
      </c>
      <c r="BE136" s="13" t="str">
        <f t="array" ref="BE136">iferror(INDEX('Import from defimon'!$1:$100,MATCH(BE$1,'Import from defimon'!$A:$A,0),MATCH($A136,'Import from defimon'!$1:$1,0)))</f>
        <v/>
      </c>
      <c r="BF136" s="13" t="str">
        <f t="array" ref="BF136">iferror(INDEX('Import from defimon'!$1:$100,MATCH(BF$1,'Import from defimon'!$A:$A,0),MATCH($A136,'Import from defimon'!$1:$1,0)))</f>
        <v/>
      </c>
      <c r="BG136" s="13" t="str">
        <f t="array" ref="BG136">iferror(INDEX('Import from defimon'!$1:$100,MATCH(BG$1,'Import from defimon'!$A:$A,0),MATCH($A136,'Import from defimon'!$1:$1,0)))</f>
        <v/>
      </c>
      <c r="BH136" s="13" t="str">
        <f t="array" ref="BH136">iferror(INDEX('Import from defimon'!$1:$100,MATCH(BH$1,'Import from defimon'!$A:$A,0),MATCH($A136,'Import from defimon'!$1:$1,0)))</f>
        <v/>
      </c>
      <c r="BI136" s="13" t="str">
        <f t="array" ref="BI136">iferror(INDEX('Import from defimon'!$1:$100,MATCH(BI$1,'Import from defimon'!$A:$A,0),MATCH($A136,'Import from defimon'!$1:$1,0)))</f>
        <v/>
      </c>
      <c r="BJ136" s="13" t="str">
        <f t="array" ref="BJ136">iferror(INDEX('Import from defimon'!$1:$100,MATCH(BJ$1,'Import from defimon'!$A:$A,0),MATCH($A136,'Import from defimon'!$1:$1,0)))</f>
        <v/>
      </c>
      <c r="BK136" s="13" t="str">
        <f t="array" ref="BK136">iferror(INDEX('Import from defimon'!$1:$100,MATCH(BK$1,'Import from defimon'!$A:$A,0),MATCH($A136,'Import from defimon'!$1:$1,0)))</f>
        <v/>
      </c>
      <c r="BL136" s="13" t="str">
        <f t="array" ref="BL136">iferror(INDEX('Import from defimon'!$1:$100,MATCH(BL$1,'Import from defimon'!$A:$A,0),MATCH($A136,'Import from defimon'!$1:$1,0)))</f>
        <v/>
      </c>
      <c r="BN136" s="13" t="str">
        <f t="array" ref="BN136">iferror(INDEX('Import from defimon'!$1:$100,MATCH(BN$1,'Import from defimon'!$A:$A,0),MATCH($A136,'Import from defimon'!$1:$1,0)))</f>
        <v/>
      </c>
      <c r="BO136" s="13" t="str">
        <f t="array" ref="BO136">iferror(INDEX('Import from defimon'!$1:$100,MATCH(BO$1,'Import from defimon'!$A:$A,0),MATCH($A136,'Import from defimon'!$1:$1,0)))</f>
        <v/>
      </c>
      <c r="BP136" s="13" t="str">
        <f t="array" ref="BP136">iferror(INDEX('Import from defimon'!$1:$100,MATCH(BP$1,'Import from defimon'!$A:$A,0),MATCH($A136,'Import from defimon'!$1:$1,0)))</f>
        <v/>
      </c>
      <c r="BS136" s="13" t="str">
        <f t="array" ref="BS136">iferror(INDEX('Import from defimon'!$1:$100,MATCH(BS$1,'Import from defimon'!$A:$A,0),MATCH($A136,'Import from defimon'!$1:$1,0)))</f>
        <v/>
      </c>
      <c r="BT136" s="13" t="str">
        <f t="array" ref="BT136">iferror(INDEX('Import from defimon'!$1:$100,MATCH(BT$1,'Import from defimon'!$A:$A,0),MATCH($A136,'Import from defimon'!$1:$1,0)))</f>
        <v/>
      </c>
      <c r="BU136" s="13" t="str">
        <f t="array" ref="BU136">iferror(INDEX('Import from defimon'!$1:$100,MATCH(BU$1,'Import from defimon'!$A:$A,0),MATCH($A136,'Import from defimon'!$1:$1,0)))</f>
        <v/>
      </c>
      <c r="BV136" s="13" t="str">
        <f t="array" ref="BV136">iferror(INDEX('Import from defimon'!$1:$100,MATCH(BV$1,'Import from defimon'!$A:$A,0),MATCH($A136,'Import from defimon'!$1:$1,0)))</f>
        <v/>
      </c>
      <c r="BW136" s="13" t="str">
        <f t="array" ref="BW136">iferror(INDEX('Import from defimon'!$1:$100,MATCH(BW$1,'Import from defimon'!$A:$A,0),MATCH($A136,'Import from defimon'!$1:$1,0)))</f>
        <v/>
      </c>
      <c r="BX136" s="13" t="str">
        <f t="array" ref="BX136">iferror(INDEX('Import from defimon'!$1:$100,MATCH(BX$1,'Import from defimon'!$A:$A,0),MATCH($A136,'Import from defimon'!$1:$1,0)))</f>
        <v/>
      </c>
      <c r="BY136" s="13" t="str">
        <f t="array" ref="BY136">iferror(INDEX('Import from defimon'!$1:$100,MATCH(BY$1,'Import from defimon'!$A:$A,0),MATCH($A136,'Import from defimon'!$1:$1,0)))</f>
        <v/>
      </c>
      <c r="BZ136" s="13" t="str">
        <f t="array" ref="BZ136">iferror(INDEX('Import from defimon'!$1:$100,MATCH(BZ$1,'Import from defimon'!$A:$A,0),MATCH($A136,'Import from defimon'!$1:$1,0)))</f>
        <v/>
      </c>
      <c r="CA136" s="13" t="str">
        <f t="array" ref="CA136">iferror(INDEX('Import from defimon'!$1:$100,MATCH(CA$1,'Import from defimon'!$A:$A,0),MATCH($A136,'Import from defimon'!$1:$1,0)))</f>
        <v/>
      </c>
      <c r="CB136" s="13" t="str">
        <f t="array" ref="CB136">iferror(INDEX('Import from defimon'!$1:$100,MATCH(CB$1,'Import from defimon'!$A:$A,0),MATCH($A136,'Import from defimon'!$1:$1,0)))</f>
        <v/>
      </c>
      <c r="CC136" s="13" t="str">
        <f t="array" ref="CC136">iferror(INDEX('Import from defimon'!$1:$100,MATCH(CC$1,'Import from defimon'!$A:$A,0),MATCH($A136,'Import from defimon'!$1:$1,0)))</f>
        <v/>
      </c>
      <c r="CD136" s="13" t="str">
        <f t="array" ref="CD136">iferror(INDEX('Import from defimon'!$1:$100,MATCH(CD$1,'Import from defimon'!$A:$A,0),MATCH($A136,'Import from defimon'!$1:$1,0)))</f>
        <v/>
      </c>
      <c r="CE136" s="13" t="str">
        <f t="array" ref="CE136">iferror(INDEX('Import from defimon'!$1:$100,MATCH(CE$1,'Import from defimon'!$A:$A,0),MATCH($A136,'Import from defimon'!$1:$1,0)))</f>
        <v/>
      </c>
      <c r="CF136" s="13" t="str">
        <f t="array" ref="CF136">iferror(INDEX('Import from defimon'!$1:$100,MATCH(CF$1,'Import from defimon'!$A:$A,0),MATCH($A136,'Import from defimon'!$1:$1,0)))</f>
        <v/>
      </c>
      <c r="CH136" s="13" t="str">
        <f t="array" ref="CH136">iferror(INDEX('Import from defimon'!$1:$100,MATCH(CH$1,'Import from defimon'!$A:$A,0),MATCH($A136,'Import from defimon'!$1:$1,0)))</f>
        <v/>
      </c>
      <c r="CI136" s="13" t="str">
        <f t="array" ref="CI136">iferror(INDEX('Import from defimon'!$1:$100,MATCH(CI$1,'Import from defimon'!$A:$A,0),MATCH($A136,'Import from defimon'!$1:$1,0)))</f>
        <v/>
      </c>
      <c r="CJ136" s="13" t="str">
        <f t="array" ref="CJ136">iferror(INDEX('Import from defimon'!$1:$100,MATCH(CJ$1,'Import from defimon'!$A:$A,0),MATCH($A136,'Import from defimon'!$1:$1,0)))</f>
        <v/>
      </c>
      <c r="CQ136" s="13" t="str">
        <f t="array" ref="CQ136">iferror(INDEX('Import from defimon'!$1:$100,MATCH(CQ$1,'Import from defimon'!$A:$A,0),MATCH($A136,'Import from defimon'!$1:$1,0)))</f>
        <v/>
      </c>
      <c r="CR136" s="13" t="str">
        <f t="array" ref="CR136">iferror(INDEX('Import from defimon'!$1:$100,MATCH(CR$1,'Import from defimon'!$A:$A,0),MATCH($A136,'Import from defimon'!$1:$1,0)))</f>
        <v/>
      </c>
      <c r="CS136" s="13" t="str">
        <f t="array" ref="CS136">iferror(INDEX('Import from defimon'!$1:$100,MATCH(CS$1,'Import from defimon'!$A:$A,0),MATCH($A136,'Import from defimon'!$1:$1,0)))</f>
        <v/>
      </c>
    </row>
    <row r="137" ht="15.75" customHeight="1">
      <c r="AL137" s="13" t="str">
        <f>iferror(VLOOKUP($A137,EAM!H$2:I$14,2,FALSE))</f>
        <v/>
      </c>
      <c r="AN137" s="18"/>
      <c r="AT137" s="13" t="str">
        <f t="array" ref="AT137">iferror(INDEX('Import from defimon'!$1:$100,MATCH(AT$1,'Import from defimon'!$A:$A,0),MATCH($A137,'Import from defimon'!$1:$1,0)))</f>
        <v/>
      </c>
      <c r="BA137" s="13" t="str">
        <f t="array" ref="BA137">iferror(INDEX('Import from defimon'!$1:$100,MATCH(BA$1,'Import from defimon'!$A:$A,0),MATCH($A137,'Import from defimon'!$1:$1,0)))</f>
        <v/>
      </c>
      <c r="BC137" s="13" t="str">
        <f t="array" ref="BC137">iferror(INDEX('Import from defimon'!$1:$100,MATCH(BC$1,'Import from defimon'!$A:$A,0),MATCH($A137,'Import from defimon'!$1:$1,0)))</f>
        <v/>
      </c>
      <c r="BD137" s="13" t="str">
        <f t="array" ref="BD137">iferror(INDEX('Import from defimon'!$1:$100,MATCH(BD$1,'Import from defimon'!$A:$A,0),MATCH($A137,'Import from defimon'!$1:$1,0)))</f>
        <v/>
      </c>
      <c r="BE137" s="13" t="str">
        <f t="array" ref="BE137">iferror(INDEX('Import from defimon'!$1:$100,MATCH(BE$1,'Import from defimon'!$A:$A,0),MATCH($A137,'Import from defimon'!$1:$1,0)))</f>
        <v/>
      </c>
      <c r="BF137" s="13" t="str">
        <f t="array" ref="BF137">iferror(INDEX('Import from defimon'!$1:$100,MATCH(BF$1,'Import from defimon'!$A:$A,0),MATCH($A137,'Import from defimon'!$1:$1,0)))</f>
        <v/>
      </c>
      <c r="BG137" s="13" t="str">
        <f t="array" ref="BG137">iferror(INDEX('Import from defimon'!$1:$100,MATCH(BG$1,'Import from defimon'!$A:$A,0),MATCH($A137,'Import from defimon'!$1:$1,0)))</f>
        <v/>
      </c>
      <c r="BH137" s="13" t="str">
        <f t="array" ref="BH137">iferror(INDEX('Import from defimon'!$1:$100,MATCH(BH$1,'Import from defimon'!$A:$A,0),MATCH($A137,'Import from defimon'!$1:$1,0)))</f>
        <v/>
      </c>
      <c r="BI137" s="13" t="str">
        <f t="array" ref="BI137">iferror(INDEX('Import from defimon'!$1:$100,MATCH(BI$1,'Import from defimon'!$A:$A,0),MATCH($A137,'Import from defimon'!$1:$1,0)))</f>
        <v/>
      </c>
      <c r="BJ137" s="13" t="str">
        <f t="array" ref="BJ137">iferror(INDEX('Import from defimon'!$1:$100,MATCH(BJ$1,'Import from defimon'!$A:$A,0),MATCH($A137,'Import from defimon'!$1:$1,0)))</f>
        <v/>
      </c>
      <c r="BK137" s="13" t="str">
        <f t="array" ref="BK137">iferror(INDEX('Import from defimon'!$1:$100,MATCH(BK$1,'Import from defimon'!$A:$A,0),MATCH($A137,'Import from defimon'!$1:$1,0)))</f>
        <v/>
      </c>
      <c r="BL137" s="13" t="str">
        <f t="array" ref="BL137">iferror(INDEX('Import from defimon'!$1:$100,MATCH(BL$1,'Import from defimon'!$A:$A,0),MATCH($A137,'Import from defimon'!$1:$1,0)))</f>
        <v/>
      </c>
      <c r="BN137" s="13" t="str">
        <f t="array" ref="BN137">iferror(INDEX('Import from defimon'!$1:$100,MATCH(BN$1,'Import from defimon'!$A:$A,0),MATCH($A137,'Import from defimon'!$1:$1,0)))</f>
        <v/>
      </c>
      <c r="BO137" s="13" t="str">
        <f t="array" ref="BO137">iferror(INDEX('Import from defimon'!$1:$100,MATCH(BO$1,'Import from defimon'!$A:$A,0),MATCH($A137,'Import from defimon'!$1:$1,0)))</f>
        <v/>
      </c>
      <c r="BP137" s="13" t="str">
        <f t="array" ref="BP137">iferror(INDEX('Import from defimon'!$1:$100,MATCH(BP$1,'Import from defimon'!$A:$A,0),MATCH($A137,'Import from defimon'!$1:$1,0)))</f>
        <v/>
      </c>
      <c r="BS137" s="13" t="str">
        <f t="array" ref="BS137">iferror(INDEX('Import from defimon'!$1:$100,MATCH(BS$1,'Import from defimon'!$A:$A,0),MATCH($A137,'Import from defimon'!$1:$1,0)))</f>
        <v/>
      </c>
      <c r="BT137" s="13" t="str">
        <f t="array" ref="BT137">iferror(INDEX('Import from defimon'!$1:$100,MATCH(BT$1,'Import from defimon'!$A:$A,0),MATCH($A137,'Import from defimon'!$1:$1,0)))</f>
        <v/>
      </c>
      <c r="BU137" s="13" t="str">
        <f t="array" ref="BU137">iferror(INDEX('Import from defimon'!$1:$100,MATCH(BU$1,'Import from defimon'!$A:$A,0),MATCH($A137,'Import from defimon'!$1:$1,0)))</f>
        <v/>
      </c>
      <c r="BV137" s="13" t="str">
        <f t="array" ref="BV137">iferror(INDEX('Import from defimon'!$1:$100,MATCH(BV$1,'Import from defimon'!$A:$A,0),MATCH($A137,'Import from defimon'!$1:$1,0)))</f>
        <v/>
      </c>
      <c r="BW137" s="13" t="str">
        <f t="array" ref="BW137">iferror(INDEX('Import from defimon'!$1:$100,MATCH(BW$1,'Import from defimon'!$A:$A,0),MATCH($A137,'Import from defimon'!$1:$1,0)))</f>
        <v/>
      </c>
      <c r="BX137" s="13" t="str">
        <f t="array" ref="BX137">iferror(INDEX('Import from defimon'!$1:$100,MATCH(BX$1,'Import from defimon'!$A:$A,0),MATCH($A137,'Import from defimon'!$1:$1,0)))</f>
        <v/>
      </c>
      <c r="BY137" s="13" t="str">
        <f t="array" ref="BY137">iferror(INDEX('Import from defimon'!$1:$100,MATCH(BY$1,'Import from defimon'!$A:$A,0),MATCH($A137,'Import from defimon'!$1:$1,0)))</f>
        <v/>
      </c>
      <c r="BZ137" s="13" t="str">
        <f t="array" ref="BZ137">iferror(INDEX('Import from defimon'!$1:$100,MATCH(BZ$1,'Import from defimon'!$A:$A,0),MATCH($A137,'Import from defimon'!$1:$1,0)))</f>
        <v/>
      </c>
      <c r="CA137" s="13" t="str">
        <f t="array" ref="CA137">iferror(INDEX('Import from defimon'!$1:$100,MATCH(CA$1,'Import from defimon'!$A:$A,0),MATCH($A137,'Import from defimon'!$1:$1,0)))</f>
        <v/>
      </c>
      <c r="CB137" s="13" t="str">
        <f t="array" ref="CB137">iferror(INDEX('Import from defimon'!$1:$100,MATCH(CB$1,'Import from defimon'!$A:$A,0),MATCH($A137,'Import from defimon'!$1:$1,0)))</f>
        <v/>
      </c>
      <c r="CC137" s="13" t="str">
        <f t="array" ref="CC137">iferror(INDEX('Import from defimon'!$1:$100,MATCH(CC$1,'Import from defimon'!$A:$A,0),MATCH($A137,'Import from defimon'!$1:$1,0)))</f>
        <v/>
      </c>
      <c r="CD137" s="13" t="str">
        <f t="array" ref="CD137">iferror(INDEX('Import from defimon'!$1:$100,MATCH(CD$1,'Import from defimon'!$A:$A,0),MATCH($A137,'Import from defimon'!$1:$1,0)))</f>
        <v/>
      </c>
      <c r="CE137" s="13" t="str">
        <f t="array" ref="CE137">iferror(INDEX('Import from defimon'!$1:$100,MATCH(CE$1,'Import from defimon'!$A:$A,0),MATCH($A137,'Import from defimon'!$1:$1,0)))</f>
        <v/>
      </c>
      <c r="CF137" s="13" t="str">
        <f t="array" ref="CF137">iferror(INDEX('Import from defimon'!$1:$100,MATCH(CF$1,'Import from defimon'!$A:$A,0),MATCH($A137,'Import from defimon'!$1:$1,0)))</f>
        <v/>
      </c>
      <c r="CH137" s="13" t="str">
        <f t="array" ref="CH137">iferror(INDEX('Import from defimon'!$1:$100,MATCH(CH$1,'Import from defimon'!$A:$A,0),MATCH($A137,'Import from defimon'!$1:$1,0)))</f>
        <v/>
      </c>
      <c r="CI137" s="13" t="str">
        <f t="array" ref="CI137">iferror(INDEX('Import from defimon'!$1:$100,MATCH(CI$1,'Import from defimon'!$A:$A,0),MATCH($A137,'Import from defimon'!$1:$1,0)))</f>
        <v/>
      </c>
      <c r="CJ137" s="13" t="str">
        <f t="array" ref="CJ137">iferror(INDEX('Import from defimon'!$1:$100,MATCH(CJ$1,'Import from defimon'!$A:$A,0),MATCH($A137,'Import from defimon'!$1:$1,0)))</f>
        <v/>
      </c>
      <c r="CQ137" s="13" t="str">
        <f t="array" ref="CQ137">iferror(INDEX('Import from defimon'!$1:$100,MATCH(CQ$1,'Import from defimon'!$A:$A,0),MATCH($A137,'Import from defimon'!$1:$1,0)))</f>
        <v/>
      </c>
      <c r="CR137" s="13" t="str">
        <f t="array" ref="CR137">iferror(INDEX('Import from defimon'!$1:$100,MATCH(CR$1,'Import from defimon'!$A:$A,0),MATCH($A137,'Import from defimon'!$1:$1,0)))</f>
        <v/>
      </c>
      <c r="CS137" s="13" t="str">
        <f t="array" ref="CS137">iferror(INDEX('Import from defimon'!$1:$100,MATCH(CS$1,'Import from defimon'!$A:$A,0),MATCH($A137,'Import from defimon'!$1:$1,0)))</f>
        <v/>
      </c>
    </row>
    <row r="138" ht="15.75" customHeight="1">
      <c r="AL138" s="13" t="str">
        <f>iferror(VLOOKUP($A138,EAM!H$2:I$14,2,FALSE))</f>
        <v/>
      </c>
      <c r="AN138" s="19"/>
      <c r="AT138" s="13" t="str">
        <f t="array" ref="AT138">iferror(INDEX('Import from defimon'!$1:$100,MATCH(AT$1,'Import from defimon'!$A:$A,0),MATCH($A138,'Import from defimon'!$1:$1,0)))</f>
        <v/>
      </c>
      <c r="BA138" s="13" t="str">
        <f t="array" ref="BA138">iferror(INDEX('Import from defimon'!$1:$100,MATCH(BA$1,'Import from defimon'!$A:$A,0),MATCH($A138,'Import from defimon'!$1:$1,0)))</f>
        <v/>
      </c>
      <c r="BC138" s="13" t="str">
        <f t="array" ref="BC138">iferror(INDEX('Import from defimon'!$1:$100,MATCH(BC$1,'Import from defimon'!$A:$A,0),MATCH($A138,'Import from defimon'!$1:$1,0)))</f>
        <v/>
      </c>
      <c r="BD138" s="13" t="str">
        <f t="array" ref="BD138">iferror(INDEX('Import from defimon'!$1:$100,MATCH(BD$1,'Import from defimon'!$A:$A,0),MATCH($A138,'Import from defimon'!$1:$1,0)))</f>
        <v/>
      </c>
      <c r="BE138" s="13" t="str">
        <f t="array" ref="BE138">iferror(INDEX('Import from defimon'!$1:$100,MATCH(BE$1,'Import from defimon'!$A:$A,0),MATCH($A138,'Import from defimon'!$1:$1,0)))</f>
        <v/>
      </c>
      <c r="BF138" s="13" t="str">
        <f t="array" ref="BF138">iferror(INDEX('Import from defimon'!$1:$100,MATCH(BF$1,'Import from defimon'!$A:$A,0),MATCH($A138,'Import from defimon'!$1:$1,0)))</f>
        <v/>
      </c>
      <c r="BG138" s="13" t="str">
        <f t="array" ref="BG138">iferror(INDEX('Import from defimon'!$1:$100,MATCH(BG$1,'Import from defimon'!$A:$A,0),MATCH($A138,'Import from defimon'!$1:$1,0)))</f>
        <v/>
      </c>
      <c r="BH138" s="13" t="str">
        <f t="array" ref="BH138">iferror(INDEX('Import from defimon'!$1:$100,MATCH(BH$1,'Import from defimon'!$A:$A,0),MATCH($A138,'Import from defimon'!$1:$1,0)))</f>
        <v/>
      </c>
      <c r="BI138" s="13" t="str">
        <f t="array" ref="BI138">iferror(INDEX('Import from defimon'!$1:$100,MATCH(BI$1,'Import from defimon'!$A:$A,0),MATCH($A138,'Import from defimon'!$1:$1,0)))</f>
        <v/>
      </c>
      <c r="BJ138" s="13" t="str">
        <f t="array" ref="BJ138">iferror(INDEX('Import from defimon'!$1:$100,MATCH(BJ$1,'Import from defimon'!$A:$A,0),MATCH($A138,'Import from defimon'!$1:$1,0)))</f>
        <v/>
      </c>
      <c r="BK138" s="13" t="str">
        <f t="array" ref="BK138">iferror(INDEX('Import from defimon'!$1:$100,MATCH(BK$1,'Import from defimon'!$A:$A,0),MATCH($A138,'Import from defimon'!$1:$1,0)))</f>
        <v/>
      </c>
      <c r="BL138" s="13" t="str">
        <f t="array" ref="BL138">iferror(INDEX('Import from defimon'!$1:$100,MATCH(BL$1,'Import from defimon'!$A:$A,0),MATCH($A138,'Import from defimon'!$1:$1,0)))</f>
        <v/>
      </c>
      <c r="BN138" s="13" t="str">
        <f t="array" ref="BN138">iferror(INDEX('Import from defimon'!$1:$100,MATCH(BN$1,'Import from defimon'!$A:$A,0),MATCH($A138,'Import from defimon'!$1:$1,0)))</f>
        <v/>
      </c>
      <c r="BO138" s="13" t="str">
        <f t="array" ref="BO138">iferror(INDEX('Import from defimon'!$1:$100,MATCH(BO$1,'Import from defimon'!$A:$A,0),MATCH($A138,'Import from defimon'!$1:$1,0)))</f>
        <v/>
      </c>
      <c r="BP138" s="13" t="str">
        <f t="array" ref="BP138">iferror(INDEX('Import from defimon'!$1:$100,MATCH(BP$1,'Import from defimon'!$A:$A,0),MATCH($A138,'Import from defimon'!$1:$1,0)))</f>
        <v/>
      </c>
      <c r="BS138" s="13" t="str">
        <f t="array" ref="BS138">iferror(INDEX('Import from defimon'!$1:$100,MATCH(BS$1,'Import from defimon'!$A:$A,0),MATCH($A138,'Import from defimon'!$1:$1,0)))</f>
        <v/>
      </c>
      <c r="BT138" s="13" t="str">
        <f t="array" ref="BT138">iferror(INDEX('Import from defimon'!$1:$100,MATCH(BT$1,'Import from defimon'!$A:$A,0),MATCH($A138,'Import from defimon'!$1:$1,0)))</f>
        <v/>
      </c>
      <c r="BU138" s="13" t="str">
        <f t="array" ref="BU138">iferror(INDEX('Import from defimon'!$1:$100,MATCH(BU$1,'Import from defimon'!$A:$A,0),MATCH($A138,'Import from defimon'!$1:$1,0)))</f>
        <v/>
      </c>
      <c r="BV138" s="13" t="str">
        <f t="array" ref="BV138">iferror(INDEX('Import from defimon'!$1:$100,MATCH(BV$1,'Import from defimon'!$A:$A,0),MATCH($A138,'Import from defimon'!$1:$1,0)))</f>
        <v/>
      </c>
      <c r="BW138" s="13" t="str">
        <f t="array" ref="BW138">iferror(INDEX('Import from defimon'!$1:$100,MATCH(BW$1,'Import from defimon'!$A:$A,0),MATCH($A138,'Import from defimon'!$1:$1,0)))</f>
        <v/>
      </c>
      <c r="BX138" s="13" t="str">
        <f t="array" ref="BX138">iferror(INDEX('Import from defimon'!$1:$100,MATCH(BX$1,'Import from defimon'!$A:$A,0),MATCH($A138,'Import from defimon'!$1:$1,0)))</f>
        <v/>
      </c>
      <c r="BY138" s="13" t="str">
        <f t="array" ref="BY138">iferror(INDEX('Import from defimon'!$1:$100,MATCH(BY$1,'Import from defimon'!$A:$A,0),MATCH($A138,'Import from defimon'!$1:$1,0)))</f>
        <v/>
      </c>
      <c r="BZ138" s="13" t="str">
        <f t="array" ref="BZ138">iferror(INDEX('Import from defimon'!$1:$100,MATCH(BZ$1,'Import from defimon'!$A:$A,0),MATCH($A138,'Import from defimon'!$1:$1,0)))</f>
        <v/>
      </c>
      <c r="CA138" s="13" t="str">
        <f t="array" ref="CA138">iferror(INDEX('Import from defimon'!$1:$100,MATCH(CA$1,'Import from defimon'!$A:$A,0),MATCH($A138,'Import from defimon'!$1:$1,0)))</f>
        <v/>
      </c>
      <c r="CB138" s="13" t="str">
        <f t="array" ref="CB138">iferror(INDEX('Import from defimon'!$1:$100,MATCH(CB$1,'Import from defimon'!$A:$A,0),MATCH($A138,'Import from defimon'!$1:$1,0)))</f>
        <v/>
      </c>
      <c r="CC138" s="13" t="str">
        <f t="array" ref="CC138">iferror(INDEX('Import from defimon'!$1:$100,MATCH(CC$1,'Import from defimon'!$A:$A,0),MATCH($A138,'Import from defimon'!$1:$1,0)))</f>
        <v/>
      </c>
      <c r="CD138" s="13" t="str">
        <f t="array" ref="CD138">iferror(INDEX('Import from defimon'!$1:$100,MATCH(CD$1,'Import from defimon'!$A:$A,0),MATCH($A138,'Import from defimon'!$1:$1,0)))</f>
        <v/>
      </c>
      <c r="CE138" s="13" t="str">
        <f t="array" ref="CE138">iferror(INDEX('Import from defimon'!$1:$100,MATCH(CE$1,'Import from defimon'!$A:$A,0),MATCH($A138,'Import from defimon'!$1:$1,0)))</f>
        <v/>
      </c>
      <c r="CF138" s="13" t="str">
        <f t="array" ref="CF138">iferror(INDEX('Import from defimon'!$1:$100,MATCH(CF$1,'Import from defimon'!$A:$A,0),MATCH($A138,'Import from defimon'!$1:$1,0)))</f>
        <v/>
      </c>
      <c r="CH138" s="13" t="str">
        <f t="array" ref="CH138">iferror(INDEX('Import from defimon'!$1:$100,MATCH(CH$1,'Import from defimon'!$A:$A,0),MATCH($A138,'Import from defimon'!$1:$1,0)))</f>
        <v/>
      </c>
      <c r="CI138" s="13" t="str">
        <f t="array" ref="CI138">iferror(INDEX('Import from defimon'!$1:$100,MATCH(CI$1,'Import from defimon'!$A:$A,0),MATCH($A138,'Import from defimon'!$1:$1,0)))</f>
        <v/>
      </c>
      <c r="CJ138" s="13" t="str">
        <f t="array" ref="CJ138">iferror(INDEX('Import from defimon'!$1:$100,MATCH(CJ$1,'Import from defimon'!$A:$A,0),MATCH($A138,'Import from defimon'!$1:$1,0)))</f>
        <v/>
      </c>
      <c r="CQ138" s="13" t="str">
        <f t="array" ref="CQ138">iferror(INDEX('Import from defimon'!$1:$100,MATCH(CQ$1,'Import from defimon'!$A:$A,0),MATCH($A138,'Import from defimon'!$1:$1,0)))</f>
        <v/>
      </c>
      <c r="CR138" s="13" t="str">
        <f t="array" ref="CR138">iferror(INDEX('Import from defimon'!$1:$100,MATCH(CR$1,'Import from defimon'!$A:$A,0),MATCH($A138,'Import from defimon'!$1:$1,0)))</f>
        <v/>
      </c>
      <c r="CS138" s="13" t="str">
        <f t="array" ref="CS138">iferror(INDEX('Import from defimon'!$1:$100,MATCH(CS$1,'Import from defimon'!$A:$A,0),MATCH($A138,'Import from defimon'!$1:$1,0)))</f>
        <v/>
      </c>
    </row>
    <row r="139" ht="15.75" customHeight="1">
      <c r="AL139" s="13" t="str">
        <f>iferror(VLOOKUP($A139,EAM!H$2:I$14,2,FALSE))</f>
        <v/>
      </c>
      <c r="AN139" s="18"/>
      <c r="AT139" s="13" t="str">
        <f t="array" ref="AT139">iferror(INDEX('Import from defimon'!$1:$100,MATCH(AT$1,'Import from defimon'!$A:$A,0),MATCH($A139,'Import from defimon'!$1:$1,0)))</f>
        <v/>
      </c>
      <c r="BA139" s="13" t="str">
        <f t="array" ref="BA139">iferror(INDEX('Import from defimon'!$1:$100,MATCH(BA$1,'Import from defimon'!$A:$A,0),MATCH($A139,'Import from defimon'!$1:$1,0)))</f>
        <v/>
      </c>
      <c r="BC139" s="13" t="str">
        <f t="array" ref="BC139">iferror(INDEX('Import from defimon'!$1:$100,MATCH(BC$1,'Import from defimon'!$A:$A,0),MATCH($A139,'Import from defimon'!$1:$1,0)))</f>
        <v/>
      </c>
      <c r="BD139" s="13" t="str">
        <f t="array" ref="BD139">iferror(INDEX('Import from defimon'!$1:$100,MATCH(BD$1,'Import from defimon'!$A:$A,0),MATCH($A139,'Import from defimon'!$1:$1,0)))</f>
        <v/>
      </c>
      <c r="BE139" s="13" t="str">
        <f t="array" ref="BE139">iferror(INDEX('Import from defimon'!$1:$100,MATCH(BE$1,'Import from defimon'!$A:$A,0),MATCH($A139,'Import from defimon'!$1:$1,0)))</f>
        <v/>
      </c>
      <c r="BF139" s="13" t="str">
        <f t="array" ref="BF139">iferror(INDEX('Import from defimon'!$1:$100,MATCH(BF$1,'Import from defimon'!$A:$A,0),MATCH($A139,'Import from defimon'!$1:$1,0)))</f>
        <v/>
      </c>
      <c r="BG139" s="13" t="str">
        <f t="array" ref="BG139">iferror(INDEX('Import from defimon'!$1:$100,MATCH(BG$1,'Import from defimon'!$A:$A,0),MATCH($A139,'Import from defimon'!$1:$1,0)))</f>
        <v/>
      </c>
      <c r="BH139" s="13" t="str">
        <f t="array" ref="BH139">iferror(INDEX('Import from defimon'!$1:$100,MATCH(BH$1,'Import from defimon'!$A:$A,0),MATCH($A139,'Import from defimon'!$1:$1,0)))</f>
        <v/>
      </c>
      <c r="BI139" s="13" t="str">
        <f t="array" ref="BI139">iferror(INDEX('Import from defimon'!$1:$100,MATCH(BI$1,'Import from defimon'!$A:$A,0),MATCH($A139,'Import from defimon'!$1:$1,0)))</f>
        <v/>
      </c>
      <c r="BJ139" s="13" t="str">
        <f t="array" ref="BJ139">iferror(INDEX('Import from defimon'!$1:$100,MATCH(BJ$1,'Import from defimon'!$A:$A,0),MATCH($A139,'Import from defimon'!$1:$1,0)))</f>
        <v/>
      </c>
      <c r="BK139" s="13" t="str">
        <f t="array" ref="BK139">iferror(INDEX('Import from defimon'!$1:$100,MATCH(BK$1,'Import from defimon'!$A:$A,0),MATCH($A139,'Import from defimon'!$1:$1,0)))</f>
        <v/>
      </c>
      <c r="BL139" s="13" t="str">
        <f t="array" ref="BL139">iferror(INDEX('Import from defimon'!$1:$100,MATCH(BL$1,'Import from defimon'!$A:$A,0),MATCH($A139,'Import from defimon'!$1:$1,0)))</f>
        <v/>
      </c>
      <c r="BN139" s="13" t="str">
        <f t="array" ref="BN139">iferror(INDEX('Import from defimon'!$1:$100,MATCH(BN$1,'Import from defimon'!$A:$A,0),MATCH($A139,'Import from defimon'!$1:$1,0)))</f>
        <v/>
      </c>
      <c r="BO139" s="13" t="str">
        <f t="array" ref="BO139">iferror(INDEX('Import from defimon'!$1:$100,MATCH(BO$1,'Import from defimon'!$A:$A,0),MATCH($A139,'Import from defimon'!$1:$1,0)))</f>
        <v/>
      </c>
      <c r="BP139" s="13" t="str">
        <f t="array" ref="BP139">iferror(INDEX('Import from defimon'!$1:$100,MATCH(BP$1,'Import from defimon'!$A:$A,0),MATCH($A139,'Import from defimon'!$1:$1,0)))</f>
        <v/>
      </c>
      <c r="BS139" s="13" t="str">
        <f t="array" ref="BS139">iferror(INDEX('Import from defimon'!$1:$100,MATCH(BS$1,'Import from defimon'!$A:$A,0),MATCH($A139,'Import from defimon'!$1:$1,0)))</f>
        <v/>
      </c>
      <c r="BT139" s="13" t="str">
        <f t="array" ref="BT139">iferror(INDEX('Import from defimon'!$1:$100,MATCH(BT$1,'Import from defimon'!$A:$A,0),MATCH($A139,'Import from defimon'!$1:$1,0)))</f>
        <v/>
      </c>
      <c r="BU139" s="13" t="str">
        <f t="array" ref="BU139">iferror(INDEX('Import from defimon'!$1:$100,MATCH(BU$1,'Import from defimon'!$A:$A,0),MATCH($A139,'Import from defimon'!$1:$1,0)))</f>
        <v/>
      </c>
      <c r="BV139" s="13" t="str">
        <f t="array" ref="BV139">iferror(INDEX('Import from defimon'!$1:$100,MATCH(BV$1,'Import from defimon'!$A:$A,0),MATCH($A139,'Import from defimon'!$1:$1,0)))</f>
        <v/>
      </c>
      <c r="BW139" s="13" t="str">
        <f t="array" ref="BW139">iferror(INDEX('Import from defimon'!$1:$100,MATCH(BW$1,'Import from defimon'!$A:$A,0),MATCH($A139,'Import from defimon'!$1:$1,0)))</f>
        <v/>
      </c>
      <c r="BX139" s="13" t="str">
        <f t="array" ref="BX139">iferror(INDEX('Import from defimon'!$1:$100,MATCH(BX$1,'Import from defimon'!$A:$A,0),MATCH($A139,'Import from defimon'!$1:$1,0)))</f>
        <v/>
      </c>
      <c r="BY139" s="13" t="str">
        <f t="array" ref="BY139">iferror(INDEX('Import from defimon'!$1:$100,MATCH(BY$1,'Import from defimon'!$A:$A,0),MATCH($A139,'Import from defimon'!$1:$1,0)))</f>
        <v/>
      </c>
      <c r="BZ139" s="13" t="str">
        <f t="array" ref="BZ139">iferror(INDEX('Import from defimon'!$1:$100,MATCH(BZ$1,'Import from defimon'!$A:$A,0),MATCH($A139,'Import from defimon'!$1:$1,0)))</f>
        <v/>
      </c>
      <c r="CA139" s="13" t="str">
        <f t="array" ref="CA139">iferror(INDEX('Import from defimon'!$1:$100,MATCH(CA$1,'Import from defimon'!$A:$A,0),MATCH($A139,'Import from defimon'!$1:$1,0)))</f>
        <v/>
      </c>
      <c r="CB139" s="13" t="str">
        <f t="array" ref="CB139">iferror(INDEX('Import from defimon'!$1:$100,MATCH(CB$1,'Import from defimon'!$A:$A,0),MATCH($A139,'Import from defimon'!$1:$1,0)))</f>
        <v/>
      </c>
      <c r="CC139" s="13" t="str">
        <f t="array" ref="CC139">iferror(INDEX('Import from defimon'!$1:$100,MATCH(CC$1,'Import from defimon'!$A:$A,0),MATCH($A139,'Import from defimon'!$1:$1,0)))</f>
        <v/>
      </c>
      <c r="CD139" s="13" t="str">
        <f t="array" ref="CD139">iferror(INDEX('Import from defimon'!$1:$100,MATCH(CD$1,'Import from defimon'!$A:$A,0),MATCH($A139,'Import from defimon'!$1:$1,0)))</f>
        <v/>
      </c>
      <c r="CE139" s="13" t="str">
        <f t="array" ref="CE139">iferror(INDEX('Import from defimon'!$1:$100,MATCH(CE$1,'Import from defimon'!$A:$A,0),MATCH($A139,'Import from defimon'!$1:$1,0)))</f>
        <v/>
      </c>
      <c r="CF139" s="13" t="str">
        <f t="array" ref="CF139">iferror(INDEX('Import from defimon'!$1:$100,MATCH(CF$1,'Import from defimon'!$A:$A,0),MATCH($A139,'Import from defimon'!$1:$1,0)))</f>
        <v/>
      </c>
      <c r="CH139" s="13" t="str">
        <f t="array" ref="CH139">iferror(INDEX('Import from defimon'!$1:$100,MATCH(CH$1,'Import from defimon'!$A:$A,0),MATCH($A139,'Import from defimon'!$1:$1,0)))</f>
        <v/>
      </c>
      <c r="CI139" s="13" t="str">
        <f t="array" ref="CI139">iferror(INDEX('Import from defimon'!$1:$100,MATCH(CI$1,'Import from defimon'!$A:$A,0),MATCH($A139,'Import from defimon'!$1:$1,0)))</f>
        <v/>
      </c>
      <c r="CJ139" s="13" t="str">
        <f t="array" ref="CJ139">iferror(INDEX('Import from defimon'!$1:$100,MATCH(CJ$1,'Import from defimon'!$A:$A,0),MATCH($A139,'Import from defimon'!$1:$1,0)))</f>
        <v/>
      </c>
      <c r="CQ139" s="13" t="str">
        <f t="array" ref="CQ139">iferror(INDEX('Import from defimon'!$1:$100,MATCH(CQ$1,'Import from defimon'!$A:$A,0),MATCH($A139,'Import from defimon'!$1:$1,0)))</f>
        <v/>
      </c>
      <c r="CR139" s="13" t="str">
        <f t="array" ref="CR139">iferror(INDEX('Import from defimon'!$1:$100,MATCH(CR$1,'Import from defimon'!$A:$A,0),MATCH($A139,'Import from defimon'!$1:$1,0)))</f>
        <v/>
      </c>
      <c r="CS139" s="13" t="str">
        <f t="array" ref="CS139">iferror(INDEX('Import from defimon'!$1:$100,MATCH(CS$1,'Import from defimon'!$A:$A,0),MATCH($A139,'Import from defimon'!$1:$1,0)))</f>
        <v/>
      </c>
    </row>
    <row r="140" ht="15.75" customHeight="1">
      <c r="AL140" s="13" t="str">
        <f>iferror(VLOOKUP($A140,EAM!H$2:I$14,2,FALSE))</f>
        <v/>
      </c>
      <c r="AN140" s="18"/>
      <c r="AT140" s="13" t="str">
        <f t="array" ref="AT140">iferror(INDEX('Import from defimon'!$1:$100,MATCH(AT$1,'Import from defimon'!$A:$A,0),MATCH($A140,'Import from defimon'!$1:$1,0)))</f>
        <v/>
      </c>
      <c r="BA140" s="13" t="str">
        <f t="array" ref="BA140">iferror(INDEX('Import from defimon'!$1:$100,MATCH(BA$1,'Import from defimon'!$A:$A,0),MATCH($A140,'Import from defimon'!$1:$1,0)))</f>
        <v/>
      </c>
      <c r="BC140" s="13" t="str">
        <f t="array" ref="BC140">iferror(INDEX('Import from defimon'!$1:$100,MATCH(BC$1,'Import from defimon'!$A:$A,0),MATCH($A140,'Import from defimon'!$1:$1,0)))</f>
        <v/>
      </c>
      <c r="BD140" s="13" t="str">
        <f t="array" ref="BD140">iferror(INDEX('Import from defimon'!$1:$100,MATCH(BD$1,'Import from defimon'!$A:$A,0),MATCH($A140,'Import from defimon'!$1:$1,0)))</f>
        <v/>
      </c>
      <c r="BE140" s="13" t="str">
        <f t="array" ref="BE140">iferror(INDEX('Import from defimon'!$1:$100,MATCH(BE$1,'Import from defimon'!$A:$A,0),MATCH($A140,'Import from defimon'!$1:$1,0)))</f>
        <v/>
      </c>
      <c r="BF140" s="13" t="str">
        <f t="array" ref="BF140">iferror(INDEX('Import from defimon'!$1:$100,MATCH(BF$1,'Import from defimon'!$A:$A,0),MATCH($A140,'Import from defimon'!$1:$1,0)))</f>
        <v/>
      </c>
      <c r="BG140" s="13" t="str">
        <f t="array" ref="BG140">iferror(INDEX('Import from defimon'!$1:$100,MATCH(BG$1,'Import from defimon'!$A:$A,0),MATCH($A140,'Import from defimon'!$1:$1,0)))</f>
        <v/>
      </c>
      <c r="BH140" s="13" t="str">
        <f t="array" ref="BH140">iferror(INDEX('Import from defimon'!$1:$100,MATCH(BH$1,'Import from defimon'!$A:$A,0),MATCH($A140,'Import from defimon'!$1:$1,0)))</f>
        <v/>
      </c>
      <c r="BI140" s="13" t="str">
        <f t="array" ref="BI140">iferror(INDEX('Import from defimon'!$1:$100,MATCH(BI$1,'Import from defimon'!$A:$A,0),MATCH($A140,'Import from defimon'!$1:$1,0)))</f>
        <v/>
      </c>
      <c r="BJ140" s="13" t="str">
        <f t="array" ref="BJ140">iferror(INDEX('Import from defimon'!$1:$100,MATCH(BJ$1,'Import from defimon'!$A:$A,0),MATCH($A140,'Import from defimon'!$1:$1,0)))</f>
        <v/>
      </c>
      <c r="BK140" s="13" t="str">
        <f t="array" ref="BK140">iferror(INDEX('Import from defimon'!$1:$100,MATCH(BK$1,'Import from defimon'!$A:$A,0),MATCH($A140,'Import from defimon'!$1:$1,0)))</f>
        <v/>
      </c>
      <c r="BL140" s="13" t="str">
        <f t="array" ref="BL140">iferror(INDEX('Import from defimon'!$1:$100,MATCH(BL$1,'Import from defimon'!$A:$A,0),MATCH($A140,'Import from defimon'!$1:$1,0)))</f>
        <v/>
      </c>
      <c r="BN140" s="13" t="str">
        <f t="array" ref="BN140">iferror(INDEX('Import from defimon'!$1:$100,MATCH(BN$1,'Import from defimon'!$A:$A,0),MATCH($A140,'Import from defimon'!$1:$1,0)))</f>
        <v/>
      </c>
      <c r="BO140" s="13" t="str">
        <f t="array" ref="BO140">iferror(INDEX('Import from defimon'!$1:$100,MATCH(BO$1,'Import from defimon'!$A:$A,0),MATCH($A140,'Import from defimon'!$1:$1,0)))</f>
        <v/>
      </c>
      <c r="BP140" s="13" t="str">
        <f t="array" ref="BP140">iferror(INDEX('Import from defimon'!$1:$100,MATCH(BP$1,'Import from defimon'!$A:$A,0),MATCH($A140,'Import from defimon'!$1:$1,0)))</f>
        <v/>
      </c>
      <c r="BS140" s="13" t="str">
        <f t="array" ref="BS140">iferror(INDEX('Import from defimon'!$1:$100,MATCH(BS$1,'Import from defimon'!$A:$A,0),MATCH($A140,'Import from defimon'!$1:$1,0)))</f>
        <v/>
      </c>
      <c r="BT140" s="13" t="str">
        <f t="array" ref="BT140">iferror(INDEX('Import from defimon'!$1:$100,MATCH(BT$1,'Import from defimon'!$A:$A,0),MATCH($A140,'Import from defimon'!$1:$1,0)))</f>
        <v/>
      </c>
      <c r="BU140" s="13" t="str">
        <f t="array" ref="BU140">iferror(INDEX('Import from defimon'!$1:$100,MATCH(BU$1,'Import from defimon'!$A:$A,0),MATCH($A140,'Import from defimon'!$1:$1,0)))</f>
        <v/>
      </c>
      <c r="BV140" s="13" t="str">
        <f t="array" ref="BV140">iferror(INDEX('Import from defimon'!$1:$100,MATCH(BV$1,'Import from defimon'!$A:$A,0),MATCH($A140,'Import from defimon'!$1:$1,0)))</f>
        <v/>
      </c>
      <c r="BW140" s="13" t="str">
        <f t="array" ref="BW140">iferror(INDEX('Import from defimon'!$1:$100,MATCH(BW$1,'Import from defimon'!$A:$A,0),MATCH($A140,'Import from defimon'!$1:$1,0)))</f>
        <v/>
      </c>
      <c r="BX140" s="13" t="str">
        <f t="array" ref="BX140">iferror(INDEX('Import from defimon'!$1:$100,MATCH(BX$1,'Import from defimon'!$A:$A,0),MATCH($A140,'Import from defimon'!$1:$1,0)))</f>
        <v/>
      </c>
      <c r="BY140" s="13" t="str">
        <f t="array" ref="BY140">iferror(INDEX('Import from defimon'!$1:$100,MATCH(BY$1,'Import from defimon'!$A:$A,0),MATCH($A140,'Import from defimon'!$1:$1,0)))</f>
        <v/>
      </c>
      <c r="BZ140" s="13" t="str">
        <f t="array" ref="BZ140">iferror(INDEX('Import from defimon'!$1:$100,MATCH(BZ$1,'Import from defimon'!$A:$A,0),MATCH($A140,'Import from defimon'!$1:$1,0)))</f>
        <v/>
      </c>
      <c r="CA140" s="13" t="str">
        <f t="array" ref="CA140">iferror(INDEX('Import from defimon'!$1:$100,MATCH(CA$1,'Import from defimon'!$A:$A,0),MATCH($A140,'Import from defimon'!$1:$1,0)))</f>
        <v/>
      </c>
      <c r="CB140" s="13" t="str">
        <f t="array" ref="CB140">iferror(INDEX('Import from defimon'!$1:$100,MATCH(CB$1,'Import from defimon'!$A:$A,0),MATCH($A140,'Import from defimon'!$1:$1,0)))</f>
        <v/>
      </c>
      <c r="CC140" s="13" t="str">
        <f t="array" ref="CC140">iferror(INDEX('Import from defimon'!$1:$100,MATCH(CC$1,'Import from defimon'!$A:$A,0),MATCH($A140,'Import from defimon'!$1:$1,0)))</f>
        <v/>
      </c>
      <c r="CD140" s="13" t="str">
        <f t="array" ref="CD140">iferror(INDEX('Import from defimon'!$1:$100,MATCH(CD$1,'Import from defimon'!$A:$A,0),MATCH($A140,'Import from defimon'!$1:$1,0)))</f>
        <v/>
      </c>
      <c r="CE140" s="13" t="str">
        <f t="array" ref="CE140">iferror(INDEX('Import from defimon'!$1:$100,MATCH(CE$1,'Import from defimon'!$A:$A,0),MATCH($A140,'Import from defimon'!$1:$1,0)))</f>
        <v/>
      </c>
      <c r="CF140" s="13" t="str">
        <f t="array" ref="CF140">iferror(INDEX('Import from defimon'!$1:$100,MATCH(CF$1,'Import from defimon'!$A:$A,0),MATCH($A140,'Import from defimon'!$1:$1,0)))</f>
        <v/>
      </c>
      <c r="CH140" s="13" t="str">
        <f t="array" ref="CH140">iferror(INDEX('Import from defimon'!$1:$100,MATCH(CH$1,'Import from defimon'!$A:$A,0),MATCH($A140,'Import from defimon'!$1:$1,0)))</f>
        <v/>
      </c>
      <c r="CI140" s="13" t="str">
        <f t="array" ref="CI140">iferror(INDEX('Import from defimon'!$1:$100,MATCH(CI$1,'Import from defimon'!$A:$A,0),MATCH($A140,'Import from defimon'!$1:$1,0)))</f>
        <v/>
      </c>
      <c r="CJ140" s="13" t="str">
        <f t="array" ref="CJ140">iferror(INDEX('Import from defimon'!$1:$100,MATCH(CJ$1,'Import from defimon'!$A:$A,0),MATCH($A140,'Import from defimon'!$1:$1,0)))</f>
        <v/>
      </c>
      <c r="CQ140" s="13" t="str">
        <f t="array" ref="CQ140">iferror(INDEX('Import from defimon'!$1:$100,MATCH(CQ$1,'Import from defimon'!$A:$A,0),MATCH($A140,'Import from defimon'!$1:$1,0)))</f>
        <v/>
      </c>
      <c r="CR140" s="13" t="str">
        <f t="array" ref="CR140">iferror(INDEX('Import from defimon'!$1:$100,MATCH(CR$1,'Import from defimon'!$A:$A,0),MATCH($A140,'Import from defimon'!$1:$1,0)))</f>
        <v/>
      </c>
      <c r="CS140" s="13" t="str">
        <f t="array" ref="CS140">iferror(INDEX('Import from defimon'!$1:$100,MATCH(CS$1,'Import from defimon'!$A:$A,0),MATCH($A140,'Import from defimon'!$1:$1,0)))</f>
        <v/>
      </c>
    </row>
    <row r="141" ht="15.75" customHeight="1">
      <c r="AL141" s="13" t="str">
        <f>iferror(VLOOKUP($A141,EAM!H$2:I$14,2,FALSE))</f>
        <v/>
      </c>
      <c r="AN141" s="18"/>
      <c r="AT141" s="13" t="str">
        <f t="array" ref="AT141">iferror(INDEX('Import from defimon'!$1:$100,MATCH(AT$1,'Import from defimon'!$A:$A,0),MATCH($A141,'Import from defimon'!$1:$1,0)))</f>
        <v/>
      </c>
      <c r="BA141" s="13" t="str">
        <f t="array" ref="BA141">iferror(INDEX('Import from defimon'!$1:$100,MATCH(BA$1,'Import from defimon'!$A:$A,0),MATCH($A141,'Import from defimon'!$1:$1,0)))</f>
        <v/>
      </c>
      <c r="BC141" s="13" t="str">
        <f t="array" ref="BC141">iferror(INDEX('Import from defimon'!$1:$100,MATCH(BC$1,'Import from defimon'!$A:$A,0),MATCH($A141,'Import from defimon'!$1:$1,0)))</f>
        <v/>
      </c>
      <c r="BD141" s="13" t="str">
        <f t="array" ref="BD141">iferror(INDEX('Import from defimon'!$1:$100,MATCH(BD$1,'Import from defimon'!$A:$A,0),MATCH($A141,'Import from defimon'!$1:$1,0)))</f>
        <v/>
      </c>
      <c r="BE141" s="13" t="str">
        <f t="array" ref="BE141">iferror(INDEX('Import from defimon'!$1:$100,MATCH(BE$1,'Import from defimon'!$A:$A,0),MATCH($A141,'Import from defimon'!$1:$1,0)))</f>
        <v/>
      </c>
      <c r="BF141" s="13" t="str">
        <f t="array" ref="BF141">iferror(INDEX('Import from defimon'!$1:$100,MATCH(BF$1,'Import from defimon'!$A:$A,0),MATCH($A141,'Import from defimon'!$1:$1,0)))</f>
        <v/>
      </c>
      <c r="BG141" s="13" t="str">
        <f t="array" ref="BG141">iferror(INDEX('Import from defimon'!$1:$100,MATCH(BG$1,'Import from defimon'!$A:$A,0),MATCH($A141,'Import from defimon'!$1:$1,0)))</f>
        <v/>
      </c>
      <c r="BH141" s="13" t="str">
        <f t="array" ref="BH141">iferror(INDEX('Import from defimon'!$1:$100,MATCH(BH$1,'Import from defimon'!$A:$A,0),MATCH($A141,'Import from defimon'!$1:$1,0)))</f>
        <v/>
      </c>
      <c r="BI141" s="13" t="str">
        <f t="array" ref="BI141">iferror(INDEX('Import from defimon'!$1:$100,MATCH(BI$1,'Import from defimon'!$A:$A,0),MATCH($A141,'Import from defimon'!$1:$1,0)))</f>
        <v/>
      </c>
      <c r="BJ141" s="13" t="str">
        <f t="array" ref="BJ141">iferror(INDEX('Import from defimon'!$1:$100,MATCH(BJ$1,'Import from defimon'!$A:$A,0),MATCH($A141,'Import from defimon'!$1:$1,0)))</f>
        <v/>
      </c>
      <c r="BK141" s="13" t="str">
        <f t="array" ref="BK141">iferror(INDEX('Import from defimon'!$1:$100,MATCH(BK$1,'Import from defimon'!$A:$A,0),MATCH($A141,'Import from defimon'!$1:$1,0)))</f>
        <v/>
      </c>
      <c r="BL141" s="13" t="str">
        <f t="array" ref="BL141">iferror(INDEX('Import from defimon'!$1:$100,MATCH(BL$1,'Import from defimon'!$A:$A,0),MATCH($A141,'Import from defimon'!$1:$1,0)))</f>
        <v/>
      </c>
      <c r="BN141" s="13" t="str">
        <f t="array" ref="BN141">iferror(INDEX('Import from defimon'!$1:$100,MATCH(BN$1,'Import from defimon'!$A:$A,0),MATCH($A141,'Import from defimon'!$1:$1,0)))</f>
        <v/>
      </c>
      <c r="BO141" s="13" t="str">
        <f t="array" ref="BO141">iferror(INDEX('Import from defimon'!$1:$100,MATCH(BO$1,'Import from defimon'!$A:$A,0),MATCH($A141,'Import from defimon'!$1:$1,0)))</f>
        <v/>
      </c>
      <c r="BP141" s="13" t="str">
        <f t="array" ref="BP141">iferror(INDEX('Import from defimon'!$1:$100,MATCH(BP$1,'Import from defimon'!$A:$A,0),MATCH($A141,'Import from defimon'!$1:$1,0)))</f>
        <v/>
      </c>
      <c r="BS141" s="13" t="str">
        <f t="array" ref="BS141">iferror(INDEX('Import from defimon'!$1:$100,MATCH(BS$1,'Import from defimon'!$A:$A,0),MATCH($A141,'Import from defimon'!$1:$1,0)))</f>
        <v/>
      </c>
      <c r="BT141" s="13" t="str">
        <f t="array" ref="BT141">iferror(INDEX('Import from defimon'!$1:$100,MATCH(BT$1,'Import from defimon'!$A:$A,0),MATCH($A141,'Import from defimon'!$1:$1,0)))</f>
        <v/>
      </c>
      <c r="BU141" s="13" t="str">
        <f t="array" ref="BU141">iferror(INDEX('Import from defimon'!$1:$100,MATCH(BU$1,'Import from defimon'!$A:$A,0),MATCH($A141,'Import from defimon'!$1:$1,0)))</f>
        <v/>
      </c>
      <c r="BV141" s="13" t="str">
        <f t="array" ref="BV141">iferror(INDEX('Import from defimon'!$1:$100,MATCH(BV$1,'Import from defimon'!$A:$A,0),MATCH($A141,'Import from defimon'!$1:$1,0)))</f>
        <v/>
      </c>
      <c r="BW141" s="13" t="str">
        <f t="array" ref="BW141">iferror(INDEX('Import from defimon'!$1:$100,MATCH(BW$1,'Import from defimon'!$A:$A,0),MATCH($A141,'Import from defimon'!$1:$1,0)))</f>
        <v/>
      </c>
      <c r="BX141" s="13" t="str">
        <f t="array" ref="BX141">iferror(INDEX('Import from defimon'!$1:$100,MATCH(BX$1,'Import from defimon'!$A:$A,0),MATCH($A141,'Import from defimon'!$1:$1,0)))</f>
        <v/>
      </c>
      <c r="BY141" s="13" t="str">
        <f t="array" ref="BY141">iferror(INDEX('Import from defimon'!$1:$100,MATCH(BY$1,'Import from defimon'!$A:$A,0),MATCH($A141,'Import from defimon'!$1:$1,0)))</f>
        <v/>
      </c>
      <c r="BZ141" s="13" t="str">
        <f t="array" ref="BZ141">iferror(INDEX('Import from defimon'!$1:$100,MATCH(BZ$1,'Import from defimon'!$A:$A,0),MATCH($A141,'Import from defimon'!$1:$1,0)))</f>
        <v/>
      </c>
      <c r="CA141" s="13" t="str">
        <f t="array" ref="CA141">iferror(INDEX('Import from defimon'!$1:$100,MATCH(CA$1,'Import from defimon'!$A:$A,0),MATCH($A141,'Import from defimon'!$1:$1,0)))</f>
        <v/>
      </c>
      <c r="CB141" s="13" t="str">
        <f t="array" ref="CB141">iferror(INDEX('Import from defimon'!$1:$100,MATCH(CB$1,'Import from defimon'!$A:$A,0),MATCH($A141,'Import from defimon'!$1:$1,0)))</f>
        <v/>
      </c>
      <c r="CC141" s="13" t="str">
        <f t="array" ref="CC141">iferror(INDEX('Import from defimon'!$1:$100,MATCH(CC$1,'Import from defimon'!$A:$A,0),MATCH($A141,'Import from defimon'!$1:$1,0)))</f>
        <v/>
      </c>
      <c r="CD141" s="13" t="str">
        <f t="array" ref="CD141">iferror(INDEX('Import from defimon'!$1:$100,MATCH(CD$1,'Import from defimon'!$A:$A,0),MATCH($A141,'Import from defimon'!$1:$1,0)))</f>
        <v/>
      </c>
      <c r="CE141" s="13" t="str">
        <f t="array" ref="CE141">iferror(INDEX('Import from defimon'!$1:$100,MATCH(CE$1,'Import from defimon'!$A:$A,0),MATCH($A141,'Import from defimon'!$1:$1,0)))</f>
        <v/>
      </c>
      <c r="CF141" s="13" t="str">
        <f t="array" ref="CF141">iferror(INDEX('Import from defimon'!$1:$100,MATCH(CF$1,'Import from defimon'!$A:$A,0),MATCH($A141,'Import from defimon'!$1:$1,0)))</f>
        <v/>
      </c>
      <c r="CH141" s="13" t="str">
        <f t="array" ref="CH141">iferror(INDEX('Import from defimon'!$1:$100,MATCH(CH$1,'Import from defimon'!$A:$A,0),MATCH($A141,'Import from defimon'!$1:$1,0)))</f>
        <v/>
      </c>
      <c r="CI141" s="13" t="str">
        <f t="array" ref="CI141">iferror(INDEX('Import from defimon'!$1:$100,MATCH(CI$1,'Import from defimon'!$A:$A,0),MATCH($A141,'Import from defimon'!$1:$1,0)))</f>
        <v/>
      </c>
      <c r="CJ141" s="13" t="str">
        <f t="array" ref="CJ141">iferror(INDEX('Import from defimon'!$1:$100,MATCH(CJ$1,'Import from defimon'!$A:$A,0),MATCH($A141,'Import from defimon'!$1:$1,0)))</f>
        <v/>
      </c>
      <c r="CQ141" s="13" t="str">
        <f t="array" ref="CQ141">iferror(INDEX('Import from defimon'!$1:$100,MATCH(CQ$1,'Import from defimon'!$A:$A,0),MATCH($A141,'Import from defimon'!$1:$1,0)))</f>
        <v/>
      </c>
      <c r="CR141" s="13" t="str">
        <f t="array" ref="CR141">iferror(INDEX('Import from defimon'!$1:$100,MATCH(CR$1,'Import from defimon'!$A:$A,0),MATCH($A141,'Import from defimon'!$1:$1,0)))</f>
        <v/>
      </c>
      <c r="CS141" s="13" t="str">
        <f t="array" ref="CS141">iferror(INDEX('Import from defimon'!$1:$100,MATCH(CS$1,'Import from defimon'!$A:$A,0),MATCH($A141,'Import from defimon'!$1:$1,0)))</f>
        <v/>
      </c>
    </row>
    <row r="142" ht="15.75" customHeight="1">
      <c r="AL142" s="13" t="str">
        <f>iferror(VLOOKUP($A142,EAM!H$2:I$14,2,FALSE))</f>
        <v/>
      </c>
      <c r="AN142" s="18"/>
      <c r="AT142" s="13" t="str">
        <f t="array" ref="AT142">iferror(INDEX('Import from defimon'!$1:$100,MATCH(AT$1,'Import from defimon'!$A:$A,0),MATCH($A142,'Import from defimon'!$1:$1,0)))</f>
        <v/>
      </c>
      <c r="BA142" s="13" t="str">
        <f t="array" ref="BA142">iferror(INDEX('Import from defimon'!$1:$100,MATCH(BA$1,'Import from defimon'!$A:$A,0),MATCH($A142,'Import from defimon'!$1:$1,0)))</f>
        <v/>
      </c>
      <c r="BC142" s="13" t="str">
        <f t="array" ref="BC142">iferror(INDEX('Import from defimon'!$1:$100,MATCH(BC$1,'Import from defimon'!$A:$A,0),MATCH($A142,'Import from defimon'!$1:$1,0)))</f>
        <v/>
      </c>
      <c r="BD142" s="13" t="str">
        <f t="array" ref="BD142">iferror(INDEX('Import from defimon'!$1:$100,MATCH(BD$1,'Import from defimon'!$A:$A,0),MATCH($A142,'Import from defimon'!$1:$1,0)))</f>
        <v/>
      </c>
      <c r="BE142" s="13" t="str">
        <f t="array" ref="BE142">iferror(INDEX('Import from defimon'!$1:$100,MATCH(BE$1,'Import from defimon'!$A:$A,0),MATCH($A142,'Import from defimon'!$1:$1,0)))</f>
        <v/>
      </c>
      <c r="BF142" s="13" t="str">
        <f t="array" ref="BF142">iferror(INDEX('Import from defimon'!$1:$100,MATCH(BF$1,'Import from defimon'!$A:$A,0),MATCH($A142,'Import from defimon'!$1:$1,0)))</f>
        <v/>
      </c>
      <c r="BG142" s="13" t="str">
        <f t="array" ref="BG142">iferror(INDEX('Import from defimon'!$1:$100,MATCH(BG$1,'Import from defimon'!$A:$A,0),MATCH($A142,'Import from defimon'!$1:$1,0)))</f>
        <v/>
      </c>
      <c r="BH142" s="13" t="str">
        <f t="array" ref="BH142">iferror(INDEX('Import from defimon'!$1:$100,MATCH(BH$1,'Import from defimon'!$A:$A,0),MATCH($A142,'Import from defimon'!$1:$1,0)))</f>
        <v/>
      </c>
      <c r="BI142" s="13" t="str">
        <f t="array" ref="BI142">iferror(INDEX('Import from defimon'!$1:$100,MATCH(BI$1,'Import from defimon'!$A:$A,0),MATCH($A142,'Import from defimon'!$1:$1,0)))</f>
        <v/>
      </c>
      <c r="BJ142" s="13" t="str">
        <f t="array" ref="BJ142">iferror(INDEX('Import from defimon'!$1:$100,MATCH(BJ$1,'Import from defimon'!$A:$A,0),MATCH($A142,'Import from defimon'!$1:$1,0)))</f>
        <v/>
      </c>
      <c r="BK142" s="13" t="str">
        <f t="array" ref="BK142">iferror(INDEX('Import from defimon'!$1:$100,MATCH(BK$1,'Import from defimon'!$A:$A,0),MATCH($A142,'Import from defimon'!$1:$1,0)))</f>
        <v/>
      </c>
      <c r="BL142" s="13" t="str">
        <f t="array" ref="BL142">iferror(INDEX('Import from defimon'!$1:$100,MATCH(BL$1,'Import from defimon'!$A:$A,0),MATCH($A142,'Import from defimon'!$1:$1,0)))</f>
        <v/>
      </c>
      <c r="BN142" s="13" t="str">
        <f t="array" ref="BN142">iferror(INDEX('Import from defimon'!$1:$100,MATCH(BN$1,'Import from defimon'!$A:$A,0),MATCH($A142,'Import from defimon'!$1:$1,0)))</f>
        <v/>
      </c>
      <c r="BO142" s="13" t="str">
        <f t="array" ref="BO142">iferror(INDEX('Import from defimon'!$1:$100,MATCH(BO$1,'Import from defimon'!$A:$A,0),MATCH($A142,'Import from defimon'!$1:$1,0)))</f>
        <v/>
      </c>
      <c r="BP142" s="13" t="str">
        <f t="array" ref="BP142">iferror(INDEX('Import from defimon'!$1:$100,MATCH(BP$1,'Import from defimon'!$A:$A,0),MATCH($A142,'Import from defimon'!$1:$1,0)))</f>
        <v/>
      </c>
      <c r="BS142" s="13" t="str">
        <f t="array" ref="BS142">iferror(INDEX('Import from defimon'!$1:$100,MATCH(BS$1,'Import from defimon'!$A:$A,0),MATCH($A142,'Import from defimon'!$1:$1,0)))</f>
        <v/>
      </c>
      <c r="BT142" s="13" t="str">
        <f t="array" ref="BT142">iferror(INDEX('Import from defimon'!$1:$100,MATCH(BT$1,'Import from defimon'!$A:$A,0),MATCH($A142,'Import from defimon'!$1:$1,0)))</f>
        <v/>
      </c>
      <c r="BU142" s="13" t="str">
        <f t="array" ref="BU142">iferror(INDEX('Import from defimon'!$1:$100,MATCH(BU$1,'Import from defimon'!$A:$A,0),MATCH($A142,'Import from defimon'!$1:$1,0)))</f>
        <v/>
      </c>
      <c r="BV142" s="13" t="str">
        <f t="array" ref="BV142">iferror(INDEX('Import from defimon'!$1:$100,MATCH(BV$1,'Import from defimon'!$A:$A,0),MATCH($A142,'Import from defimon'!$1:$1,0)))</f>
        <v/>
      </c>
      <c r="BW142" s="13" t="str">
        <f t="array" ref="BW142">iferror(INDEX('Import from defimon'!$1:$100,MATCH(BW$1,'Import from defimon'!$A:$A,0),MATCH($A142,'Import from defimon'!$1:$1,0)))</f>
        <v/>
      </c>
      <c r="BX142" s="13" t="str">
        <f t="array" ref="BX142">iferror(INDEX('Import from defimon'!$1:$100,MATCH(BX$1,'Import from defimon'!$A:$A,0),MATCH($A142,'Import from defimon'!$1:$1,0)))</f>
        <v/>
      </c>
      <c r="BY142" s="13" t="str">
        <f t="array" ref="BY142">iferror(INDEX('Import from defimon'!$1:$100,MATCH(BY$1,'Import from defimon'!$A:$A,0),MATCH($A142,'Import from defimon'!$1:$1,0)))</f>
        <v/>
      </c>
      <c r="BZ142" s="13" t="str">
        <f t="array" ref="BZ142">iferror(INDEX('Import from defimon'!$1:$100,MATCH(BZ$1,'Import from defimon'!$A:$A,0),MATCH($A142,'Import from defimon'!$1:$1,0)))</f>
        <v/>
      </c>
      <c r="CA142" s="13" t="str">
        <f t="array" ref="CA142">iferror(INDEX('Import from defimon'!$1:$100,MATCH(CA$1,'Import from defimon'!$A:$A,0),MATCH($A142,'Import from defimon'!$1:$1,0)))</f>
        <v/>
      </c>
      <c r="CB142" s="13" t="str">
        <f t="array" ref="CB142">iferror(INDEX('Import from defimon'!$1:$100,MATCH(CB$1,'Import from defimon'!$A:$A,0),MATCH($A142,'Import from defimon'!$1:$1,0)))</f>
        <v/>
      </c>
      <c r="CC142" s="13" t="str">
        <f t="array" ref="CC142">iferror(INDEX('Import from defimon'!$1:$100,MATCH(CC$1,'Import from defimon'!$A:$A,0),MATCH($A142,'Import from defimon'!$1:$1,0)))</f>
        <v/>
      </c>
      <c r="CD142" s="13" t="str">
        <f t="array" ref="CD142">iferror(INDEX('Import from defimon'!$1:$100,MATCH(CD$1,'Import from defimon'!$A:$A,0),MATCH($A142,'Import from defimon'!$1:$1,0)))</f>
        <v/>
      </c>
      <c r="CE142" s="13" t="str">
        <f t="array" ref="CE142">iferror(INDEX('Import from defimon'!$1:$100,MATCH(CE$1,'Import from defimon'!$A:$A,0),MATCH($A142,'Import from defimon'!$1:$1,0)))</f>
        <v/>
      </c>
      <c r="CF142" s="13" t="str">
        <f t="array" ref="CF142">iferror(INDEX('Import from defimon'!$1:$100,MATCH(CF$1,'Import from defimon'!$A:$A,0),MATCH($A142,'Import from defimon'!$1:$1,0)))</f>
        <v/>
      </c>
      <c r="CH142" s="13" t="str">
        <f t="array" ref="CH142">iferror(INDEX('Import from defimon'!$1:$100,MATCH(CH$1,'Import from defimon'!$A:$A,0),MATCH($A142,'Import from defimon'!$1:$1,0)))</f>
        <v/>
      </c>
      <c r="CI142" s="13" t="str">
        <f t="array" ref="CI142">iferror(INDEX('Import from defimon'!$1:$100,MATCH(CI$1,'Import from defimon'!$A:$A,0),MATCH($A142,'Import from defimon'!$1:$1,0)))</f>
        <v/>
      </c>
      <c r="CJ142" s="13" t="str">
        <f t="array" ref="CJ142">iferror(INDEX('Import from defimon'!$1:$100,MATCH(CJ$1,'Import from defimon'!$A:$A,0),MATCH($A142,'Import from defimon'!$1:$1,0)))</f>
        <v/>
      </c>
      <c r="CQ142" s="13" t="str">
        <f t="array" ref="CQ142">iferror(INDEX('Import from defimon'!$1:$100,MATCH(CQ$1,'Import from defimon'!$A:$A,0),MATCH($A142,'Import from defimon'!$1:$1,0)))</f>
        <v/>
      </c>
      <c r="CR142" s="13" t="str">
        <f t="array" ref="CR142">iferror(INDEX('Import from defimon'!$1:$100,MATCH(CR$1,'Import from defimon'!$A:$A,0),MATCH($A142,'Import from defimon'!$1:$1,0)))</f>
        <v/>
      </c>
      <c r="CS142" s="13" t="str">
        <f t="array" ref="CS142">iferror(INDEX('Import from defimon'!$1:$100,MATCH(CS$1,'Import from defimon'!$A:$A,0),MATCH($A142,'Import from defimon'!$1:$1,0)))</f>
        <v/>
      </c>
    </row>
    <row r="143" ht="15.75" customHeight="1">
      <c r="AL143" s="13" t="str">
        <f>iferror(VLOOKUP($A143,EAM!H$2:I$14,2))</f>
        <v/>
      </c>
      <c r="AN143" s="18"/>
      <c r="AT143" s="13" t="str">
        <f t="array" ref="AT143">iferror(INDEX('Import from defimon'!$1:$100,MATCH(AT$1,'Import from defimon'!$A:$A,0),MATCH($A143,'Import from defimon'!$1:$1,0)))</f>
        <v/>
      </c>
      <c r="BA143" s="13" t="str">
        <f t="array" ref="BA143">iferror(INDEX('Import from defimon'!$1:$100,MATCH(BA$1,'Import from defimon'!$A:$A,0),MATCH($A143,'Import from defimon'!$1:$1,0)))</f>
        <v/>
      </c>
      <c r="BC143" s="13" t="str">
        <f t="array" ref="BC143">iferror(INDEX('Import from defimon'!$1:$100,MATCH(BC$1,'Import from defimon'!$A:$A,0),MATCH($A143,'Import from defimon'!$1:$1,0)))</f>
        <v/>
      </c>
      <c r="BD143" s="13" t="str">
        <f t="array" ref="BD143">iferror(INDEX('Import from defimon'!$1:$100,MATCH(BD$1,'Import from defimon'!$A:$A,0),MATCH($A143,'Import from defimon'!$1:$1,0)))</f>
        <v/>
      </c>
      <c r="BE143" s="13" t="str">
        <f t="array" ref="BE143">iferror(INDEX('Import from defimon'!$1:$100,MATCH(BE$1,'Import from defimon'!$A:$A,0),MATCH($A143,'Import from defimon'!$1:$1,0)))</f>
        <v/>
      </c>
      <c r="BF143" s="13" t="str">
        <f t="array" ref="BF143">iferror(INDEX('Import from defimon'!$1:$100,MATCH(BF$1,'Import from defimon'!$A:$A,0),MATCH($A143,'Import from defimon'!$1:$1,0)))</f>
        <v/>
      </c>
      <c r="BG143" s="13" t="str">
        <f t="array" ref="BG143">iferror(INDEX('Import from defimon'!$1:$100,MATCH(BG$1,'Import from defimon'!$A:$A,0),MATCH($A143,'Import from defimon'!$1:$1,0)))</f>
        <v/>
      </c>
      <c r="BH143" s="13" t="str">
        <f t="array" ref="BH143">iferror(INDEX('Import from defimon'!$1:$100,MATCH(BH$1,'Import from defimon'!$A:$A,0),MATCH($A143,'Import from defimon'!$1:$1,0)))</f>
        <v/>
      </c>
      <c r="BI143" s="13" t="str">
        <f t="array" ref="BI143">iferror(INDEX('Import from defimon'!$1:$100,MATCH(BI$1,'Import from defimon'!$A:$A,0),MATCH($A143,'Import from defimon'!$1:$1,0)))</f>
        <v/>
      </c>
      <c r="BJ143" s="13" t="str">
        <f t="array" ref="BJ143">iferror(INDEX('Import from defimon'!$1:$100,MATCH(BJ$1,'Import from defimon'!$A:$A,0),MATCH($A143,'Import from defimon'!$1:$1,0)))</f>
        <v/>
      </c>
      <c r="BK143" s="13" t="str">
        <f t="array" ref="BK143">iferror(INDEX('Import from defimon'!$1:$100,MATCH(BK$1,'Import from defimon'!$A:$A,0),MATCH($A143,'Import from defimon'!$1:$1,0)))</f>
        <v/>
      </c>
      <c r="BL143" s="13" t="str">
        <f t="array" ref="BL143">iferror(INDEX('Import from defimon'!$1:$100,MATCH(BL$1,'Import from defimon'!$A:$A,0),MATCH($A143,'Import from defimon'!$1:$1,0)))</f>
        <v/>
      </c>
      <c r="BN143" s="13" t="str">
        <f t="array" ref="BN143">iferror(INDEX('Import from defimon'!$1:$100,MATCH(BN$1,'Import from defimon'!$A:$A,0),MATCH($A143,'Import from defimon'!$1:$1,0)))</f>
        <v/>
      </c>
      <c r="BO143" s="13" t="str">
        <f t="array" ref="BO143">iferror(INDEX('Import from defimon'!$1:$100,MATCH(BO$1,'Import from defimon'!$A:$A,0),MATCH($A143,'Import from defimon'!$1:$1,0)))</f>
        <v/>
      </c>
      <c r="BP143" s="13" t="str">
        <f t="array" ref="BP143">iferror(INDEX('Import from defimon'!$1:$100,MATCH(BP$1,'Import from defimon'!$A:$A,0),MATCH($A143,'Import from defimon'!$1:$1,0)))</f>
        <v/>
      </c>
      <c r="BS143" s="13" t="str">
        <f t="array" ref="BS143">iferror(INDEX('Import from defimon'!$1:$100,MATCH(BS$1,'Import from defimon'!$A:$A,0),MATCH($A143,'Import from defimon'!$1:$1,0)))</f>
        <v/>
      </c>
      <c r="BT143" s="13" t="str">
        <f t="array" ref="BT143">iferror(INDEX('Import from defimon'!$1:$100,MATCH(BT$1,'Import from defimon'!$A:$A,0),MATCH($A143,'Import from defimon'!$1:$1,0)))</f>
        <v/>
      </c>
      <c r="BU143" s="13" t="str">
        <f t="array" ref="BU143">iferror(INDEX('Import from defimon'!$1:$100,MATCH(BU$1,'Import from defimon'!$A:$A,0),MATCH($A143,'Import from defimon'!$1:$1,0)))</f>
        <v/>
      </c>
      <c r="BV143" s="13" t="str">
        <f t="array" ref="BV143">iferror(INDEX('Import from defimon'!$1:$100,MATCH(BV$1,'Import from defimon'!$A:$A,0),MATCH($A143,'Import from defimon'!$1:$1,0)))</f>
        <v/>
      </c>
      <c r="BW143" s="13" t="str">
        <f t="array" ref="BW143">iferror(INDEX('Import from defimon'!$1:$100,MATCH(BW$1,'Import from defimon'!$A:$A,0),MATCH($A143,'Import from defimon'!$1:$1,0)))</f>
        <v/>
      </c>
      <c r="BX143" s="13" t="str">
        <f t="array" ref="BX143">iferror(INDEX('Import from defimon'!$1:$100,MATCH(BX$1,'Import from defimon'!$A:$A,0),MATCH($A143,'Import from defimon'!$1:$1,0)))</f>
        <v/>
      </c>
      <c r="BY143" s="13" t="str">
        <f t="array" ref="BY143">iferror(INDEX('Import from defimon'!$1:$100,MATCH(BY$1,'Import from defimon'!$A:$A,0),MATCH($A143,'Import from defimon'!$1:$1,0)))</f>
        <v/>
      </c>
      <c r="BZ143" s="13" t="str">
        <f t="array" ref="BZ143">iferror(INDEX('Import from defimon'!$1:$100,MATCH(BZ$1,'Import from defimon'!$A:$A,0),MATCH($A143,'Import from defimon'!$1:$1,0)))</f>
        <v/>
      </c>
      <c r="CA143" s="13" t="str">
        <f t="array" ref="CA143">iferror(INDEX('Import from defimon'!$1:$100,MATCH(CA$1,'Import from defimon'!$A:$A,0),MATCH($A143,'Import from defimon'!$1:$1,0)))</f>
        <v/>
      </c>
      <c r="CB143" s="13" t="str">
        <f t="array" ref="CB143">iferror(INDEX('Import from defimon'!$1:$100,MATCH(CB$1,'Import from defimon'!$A:$A,0),MATCH($A143,'Import from defimon'!$1:$1,0)))</f>
        <v/>
      </c>
      <c r="CC143" s="13" t="str">
        <f t="array" ref="CC143">iferror(INDEX('Import from defimon'!$1:$100,MATCH(CC$1,'Import from defimon'!$A:$A,0),MATCH($A143,'Import from defimon'!$1:$1,0)))</f>
        <v/>
      </c>
      <c r="CD143" s="13" t="str">
        <f t="array" ref="CD143">iferror(INDEX('Import from defimon'!$1:$100,MATCH(CD$1,'Import from defimon'!$A:$A,0),MATCH($A143,'Import from defimon'!$1:$1,0)))</f>
        <v/>
      </c>
      <c r="CE143" s="13" t="str">
        <f t="array" ref="CE143">iferror(INDEX('Import from defimon'!$1:$100,MATCH(CE$1,'Import from defimon'!$A:$A,0),MATCH($A143,'Import from defimon'!$1:$1,0)))</f>
        <v/>
      </c>
      <c r="CF143" s="13" t="str">
        <f t="array" ref="CF143">iferror(INDEX('Import from defimon'!$1:$100,MATCH(CF$1,'Import from defimon'!$A:$A,0),MATCH($A143,'Import from defimon'!$1:$1,0)))</f>
        <v/>
      </c>
      <c r="CH143" s="13" t="str">
        <f t="array" ref="CH143">iferror(INDEX('Import from defimon'!$1:$100,MATCH(CH$1,'Import from defimon'!$A:$A,0),MATCH($A143,'Import from defimon'!$1:$1,0)))</f>
        <v/>
      </c>
      <c r="CI143" s="13" t="str">
        <f t="array" ref="CI143">iferror(INDEX('Import from defimon'!$1:$100,MATCH(CI$1,'Import from defimon'!$A:$A,0),MATCH($A143,'Import from defimon'!$1:$1,0)))</f>
        <v/>
      </c>
      <c r="CJ143" s="13" t="str">
        <f t="array" ref="CJ143">iferror(INDEX('Import from defimon'!$1:$100,MATCH(CJ$1,'Import from defimon'!$A:$A,0),MATCH($A143,'Import from defimon'!$1:$1,0)))</f>
        <v/>
      </c>
      <c r="CQ143" s="13" t="str">
        <f t="array" ref="CQ143">iferror(INDEX('Import from defimon'!$1:$100,MATCH(CQ$1,'Import from defimon'!$A:$A,0),MATCH($A143,'Import from defimon'!$1:$1,0)))</f>
        <v/>
      </c>
      <c r="CR143" s="13" t="str">
        <f t="array" ref="CR143">iferror(INDEX('Import from defimon'!$1:$100,MATCH(CR$1,'Import from defimon'!$A:$A,0),MATCH($A143,'Import from defimon'!$1:$1,0)))</f>
        <v/>
      </c>
      <c r="CS143" s="13" t="str">
        <f t="array" ref="CS143">iferror(INDEX('Import from defimon'!$1:$100,MATCH(CS$1,'Import from defimon'!$A:$A,0),MATCH($A143,'Import from defimon'!$1:$1,0)))</f>
        <v/>
      </c>
    </row>
    <row r="144" ht="15.75" customHeight="1">
      <c r="AL144" s="13" t="str">
        <f>iferror(VLOOKUP($A144,EAM!H$2:I$14,2))</f>
        <v/>
      </c>
      <c r="AN144" s="19"/>
      <c r="AT144" s="13" t="str">
        <f t="array" ref="AT144">iferror(INDEX('Import from defimon'!$1:$100,MATCH(AT$1,'Import from defimon'!$A:$A,0),MATCH($A144,'Import from defimon'!$1:$1,0)))</f>
        <v/>
      </c>
      <c r="BA144" s="13" t="str">
        <f t="array" ref="BA144">iferror(INDEX('Import from defimon'!$1:$100,MATCH(BA$1,'Import from defimon'!$A:$A,0),MATCH($A144,'Import from defimon'!$1:$1,0)))</f>
        <v/>
      </c>
      <c r="BC144" s="13" t="str">
        <f t="array" ref="BC144">iferror(INDEX('Import from defimon'!$1:$100,MATCH(BC$1,'Import from defimon'!$A:$A,0),MATCH($A144,'Import from defimon'!$1:$1,0)))</f>
        <v/>
      </c>
      <c r="BD144" s="13" t="str">
        <f t="array" ref="BD144">iferror(INDEX('Import from defimon'!$1:$100,MATCH(BD$1,'Import from defimon'!$A:$A,0),MATCH($A144,'Import from defimon'!$1:$1,0)))</f>
        <v/>
      </c>
      <c r="BE144" s="13" t="str">
        <f t="array" ref="BE144">iferror(INDEX('Import from defimon'!$1:$100,MATCH(BE$1,'Import from defimon'!$A:$A,0),MATCH($A144,'Import from defimon'!$1:$1,0)))</f>
        <v/>
      </c>
      <c r="BF144" s="13" t="str">
        <f t="array" ref="BF144">iferror(INDEX('Import from defimon'!$1:$100,MATCH(BF$1,'Import from defimon'!$A:$A,0),MATCH($A144,'Import from defimon'!$1:$1,0)))</f>
        <v/>
      </c>
      <c r="BG144" s="13" t="str">
        <f t="array" ref="BG144">iferror(INDEX('Import from defimon'!$1:$100,MATCH(BG$1,'Import from defimon'!$A:$A,0),MATCH($A144,'Import from defimon'!$1:$1,0)))</f>
        <v/>
      </c>
      <c r="BH144" s="13" t="str">
        <f t="array" ref="BH144">iferror(INDEX('Import from defimon'!$1:$100,MATCH(BH$1,'Import from defimon'!$A:$A,0),MATCH($A144,'Import from defimon'!$1:$1,0)))</f>
        <v/>
      </c>
      <c r="BI144" s="13" t="str">
        <f t="array" ref="BI144">iferror(INDEX('Import from defimon'!$1:$100,MATCH(BI$1,'Import from defimon'!$A:$A,0),MATCH($A144,'Import from defimon'!$1:$1,0)))</f>
        <v/>
      </c>
      <c r="BJ144" s="13" t="str">
        <f t="array" ref="BJ144">iferror(INDEX('Import from defimon'!$1:$100,MATCH(BJ$1,'Import from defimon'!$A:$A,0),MATCH($A144,'Import from defimon'!$1:$1,0)))</f>
        <v/>
      </c>
      <c r="BK144" s="13" t="str">
        <f t="array" ref="BK144">iferror(INDEX('Import from defimon'!$1:$100,MATCH(BK$1,'Import from defimon'!$A:$A,0),MATCH($A144,'Import from defimon'!$1:$1,0)))</f>
        <v/>
      </c>
      <c r="BL144" s="13" t="str">
        <f t="array" ref="BL144">iferror(INDEX('Import from defimon'!$1:$100,MATCH(BL$1,'Import from defimon'!$A:$A,0),MATCH($A144,'Import from defimon'!$1:$1,0)))</f>
        <v/>
      </c>
      <c r="BN144" s="13" t="str">
        <f t="array" ref="BN144">iferror(INDEX('Import from defimon'!$1:$100,MATCH(BN$1,'Import from defimon'!$A:$A,0),MATCH($A144,'Import from defimon'!$1:$1,0)))</f>
        <v/>
      </c>
      <c r="BO144" s="13" t="str">
        <f t="array" ref="BO144">iferror(INDEX('Import from defimon'!$1:$100,MATCH(BO$1,'Import from defimon'!$A:$A,0),MATCH($A144,'Import from defimon'!$1:$1,0)))</f>
        <v/>
      </c>
      <c r="BP144" s="13" t="str">
        <f t="array" ref="BP144">iferror(INDEX('Import from defimon'!$1:$100,MATCH(BP$1,'Import from defimon'!$A:$A,0),MATCH($A144,'Import from defimon'!$1:$1,0)))</f>
        <v/>
      </c>
      <c r="BS144" s="13" t="str">
        <f t="array" ref="BS144">iferror(INDEX('Import from defimon'!$1:$100,MATCH(BS$1,'Import from defimon'!$A:$A,0),MATCH($A144,'Import from defimon'!$1:$1,0)))</f>
        <v/>
      </c>
      <c r="BT144" s="13" t="str">
        <f t="array" ref="BT144">iferror(INDEX('Import from defimon'!$1:$100,MATCH(BT$1,'Import from defimon'!$A:$A,0),MATCH($A144,'Import from defimon'!$1:$1,0)))</f>
        <v/>
      </c>
      <c r="BU144" s="13" t="str">
        <f t="array" ref="BU144">iferror(INDEX('Import from defimon'!$1:$100,MATCH(BU$1,'Import from defimon'!$A:$A,0),MATCH($A144,'Import from defimon'!$1:$1,0)))</f>
        <v/>
      </c>
      <c r="BV144" s="13" t="str">
        <f t="array" ref="BV144">iferror(INDEX('Import from defimon'!$1:$100,MATCH(BV$1,'Import from defimon'!$A:$A,0),MATCH($A144,'Import from defimon'!$1:$1,0)))</f>
        <v/>
      </c>
      <c r="BW144" s="13" t="str">
        <f t="array" ref="BW144">iferror(INDEX('Import from defimon'!$1:$100,MATCH(BW$1,'Import from defimon'!$A:$A,0),MATCH($A144,'Import from defimon'!$1:$1,0)))</f>
        <v/>
      </c>
      <c r="BX144" s="13" t="str">
        <f t="array" ref="BX144">iferror(INDEX('Import from defimon'!$1:$100,MATCH(BX$1,'Import from defimon'!$A:$A,0),MATCH($A144,'Import from defimon'!$1:$1,0)))</f>
        <v/>
      </c>
      <c r="BY144" s="13" t="str">
        <f t="array" ref="BY144">iferror(INDEX('Import from defimon'!$1:$100,MATCH(BY$1,'Import from defimon'!$A:$A,0),MATCH($A144,'Import from defimon'!$1:$1,0)))</f>
        <v/>
      </c>
      <c r="BZ144" s="13" t="str">
        <f t="array" ref="BZ144">iferror(INDEX('Import from defimon'!$1:$100,MATCH(BZ$1,'Import from defimon'!$A:$A,0),MATCH($A144,'Import from defimon'!$1:$1,0)))</f>
        <v/>
      </c>
      <c r="CA144" s="13" t="str">
        <f t="array" ref="CA144">iferror(INDEX('Import from defimon'!$1:$100,MATCH(CA$1,'Import from defimon'!$A:$A,0),MATCH($A144,'Import from defimon'!$1:$1,0)))</f>
        <v/>
      </c>
      <c r="CB144" s="13" t="str">
        <f t="array" ref="CB144">iferror(INDEX('Import from defimon'!$1:$100,MATCH(CB$1,'Import from defimon'!$A:$A,0),MATCH($A144,'Import from defimon'!$1:$1,0)))</f>
        <v/>
      </c>
      <c r="CC144" s="13" t="str">
        <f t="array" ref="CC144">iferror(INDEX('Import from defimon'!$1:$100,MATCH(CC$1,'Import from defimon'!$A:$A,0),MATCH($A144,'Import from defimon'!$1:$1,0)))</f>
        <v/>
      </c>
      <c r="CD144" s="13" t="str">
        <f t="array" ref="CD144">iferror(INDEX('Import from defimon'!$1:$100,MATCH(CD$1,'Import from defimon'!$A:$A,0),MATCH($A144,'Import from defimon'!$1:$1,0)))</f>
        <v/>
      </c>
      <c r="CE144" s="13" t="str">
        <f t="array" ref="CE144">iferror(INDEX('Import from defimon'!$1:$100,MATCH(CE$1,'Import from defimon'!$A:$A,0),MATCH($A144,'Import from defimon'!$1:$1,0)))</f>
        <v/>
      </c>
      <c r="CF144" s="13" t="str">
        <f t="array" ref="CF144">iferror(INDEX('Import from defimon'!$1:$100,MATCH(CF$1,'Import from defimon'!$A:$A,0),MATCH($A144,'Import from defimon'!$1:$1,0)))</f>
        <v/>
      </c>
      <c r="CH144" s="13" t="str">
        <f t="array" ref="CH144">iferror(INDEX('Import from defimon'!$1:$100,MATCH(CH$1,'Import from defimon'!$A:$A,0),MATCH($A144,'Import from defimon'!$1:$1,0)))</f>
        <v/>
      </c>
      <c r="CI144" s="13" t="str">
        <f t="array" ref="CI144">iferror(INDEX('Import from defimon'!$1:$100,MATCH(CI$1,'Import from defimon'!$A:$A,0),MATCH($A144,'Import from defimon'!$1:$1,0)))</f>
        <v/>
      </c>
      <c r="CJ144" s="13" t="str">
        <f t="array" ref="CJ144">iferror(INDEX('Import from defimon'!$1:$100,MATCH(CJ$1,'Import from defimon'!$A:$A,0),MATCH($A144,'Import from defimon'!$1:$1,0)))</f>
        <v/>
      </c>
      <c r="CQ144" s="13" t="str">
        <f t="array" ref="CQ144">iferror(INDEX('Import from defimon'!$1:$100,MATCH(CQ$1,'Import from defimon'!$A:$A,0),MATCH($A144,'Import from defimon'!$1:$1,0)))</f>
        <v/>
      </c>
      <c r="CR144" s="13" t="str">
        <f t="array" ref="CR144">iferror(INDEX('Import from defimon'!$1:$100,MATCH(CR$1,'Import from defimon'!$A:$A,0),MATCH($A144,'Import from defimon'!$1:$1,0)))</f>
        <v/>
      </c>
      <c r="CS144" s="13" t="str">
        <f t="array" ref="CS144">iferror(INDEX('Import from defimon'!$1:$100,MATCH(CS$1,'Import from defimon'!$A:$A,0),MATCH($A144,'Import from defimon'!$1:$1,0)))</f>
        <v/>
      </c>
    </row>
    <row r="145" ht="15.75" customHeight="1">
      <c r="AL145" s="13" t="str">
        <f>iferror(VLOOKUP($A145,EAM!H$2:I$14,2))</f>
        <v/>
      </c>
      <c r="AN145" s="18"/>
    </row>
    <row r="146" ht="15.75" customHeight="1">
      <c r="AL146" s="13" t="str">
        <f>iferror(VLOOKUP($A146,EAM!H$2:I$14,2))</f>
        <v/>
      </c>
      <c r="AN146" s="18"/>
    </row>
    <row r="147" ht="15.75" customHeight="1">
      <c r="AL147" s="13" t="str">
        <f>iferror(VLOOKUP($A147,EAM!H$2:I$14,2))</f>
        <v/>
      </c>
      <c r="AN147" s="18"/>
    </row>
    <row r="148" ht="15.75" customHeight="1">
      <c r="AL148" s="13" t="str">
        <f>iferror(VLOOKUP($A148,EAM!H$2:I$14,2))</f>
        <v/>
      </c>
      <c r="AN148" s="18"/>
    </row>
    <row r="149" ht="15.75" customHeight="1">
      <c r="AL149" s="13" t="str">
        <f>iferror(VLOOKUP($A149,EAM!H$2:I$14,2))</f>
        <v/>
      </c>
      <c r="AN149" s="18"/>
    </row>
    <row r="150" ht="15.75" customHeight="1">
      <c r="AL150" s="13" t="str">
        <f>iferror(VLOOKUP($A150,EAM!H$2:I$14,2))</f>
        <v/>
      </c>
      <c r="AN150" s="19"/>
    </row>
    <row r="151" ht="15.75" customHeight="1">
      <c r="AL151" s="13" t="str">
        <f>iferror(VLOOKUP($A151,EAM!H$2:I$14,2))</f>
        <v/>
      </c>
      <c r="AN151" s="18"/>
    </row>
    <row r="152" ht="15.75" customHeight="1">
      <c r="AL152" s="13" t="str">
        <f>iferror(VLOOKUP($A152,EAM!H$2:I$14,2))</f>
        <v/>
      </c>
      <c r="AN152" s="18"/>
    </row>
    <row r="153" ht="15.75" customHeight="1">
      <c r="AL153" s="13" t="str">
        <f>iferror(VLOOKUP($A153,EAM!H$2:I$14,2))</f>
        <v/>
      </c>
      <c r="AN153" s="18"/>
    </row>
    <row r="154" ht="15.75" customHeight="1">
      <c r="AL154" s="13" t="str">
        <f>iferror(VLOOKUP($A154,EAM!H$2:I$14,2))</f>
        <v/>
      </c>
      <c r="AN154" s="18"/>
    </row>
    <row r="155" ht="15.75" customHeight="1">
      <c r="AL155" s="13" t="str">
        <f>iferror(VLOOKUP($A155,EAM!H$2:I$14,2))</f>
        <v/>
      </c>
      <c r="AN155" s="18"/>
    </row>
    <row r="156" ht="15.75" customHeight="1">
      <c r="AL156" s="13" t="str">
        <f>iferror(VLOOKUP($A156,EAM!H$2:I$14,2))</f>
        <v/>
      </c>
      <c r="AN156" s="19"/>
    </row>
    <row r="157" ht="15.75" customHeight="1">
      <c r="AL157" s="13" t="str">
        <f>iferror(VLOOKUP($A157,EAM!H$2:I$14,2))</f>
        <v/>
      </c>
      <c r="AN157" s="18"/>
    </row>
    <row r="158" ht="15.75" customHeight="1">
      <c r="AL158" s="13" t="str">
        <f>iferror(VLOOKUP($A158,EAM!H$2:I$14,2))</f>
        <v/>
      </c>
      <c r="AN158" s="18"/>
    </row>
    <row r="159" ht="15.75" customHeight="1">
      <c r="AL159" s="13" t="str">
        <f>iferror(VLOOKUP($A159,EAM!H$2:I$14,2))</f>
        <v/>
      </c>
      <c r="AN159" s="18"/>
    </row>
    <row r="160" ht="15.75" customHeight="1">
      <c r="AL160" s="13" t="str">
        <f>iferror(VLOOKUP($A160,EAM!H$2:I$14,2))</f>
        <v/>
      </c>
      <c r="AN160" s="18"/>
    </row>
    <row r="161" ht="15.75" customHeight="1">
      <c r="AL161" s="13" t="str">
        <f>iferror(VLOOKUP($A161,EAM!H$2:I$14,2))</f>
        <v/>
      </c>
      <c r="AN161" s="18"/>
    </row>
    <row r="162" ht="15.75" customHeight="1">
      <c r="AL162" s="13" t="str">
        <f>iferror(VLOOKUP($A162,EAM!H$2:I$14,2))</f>
        <v/>
      </c>
      <c r="AN162" s="18"/>
    </row>
    <row r="163" ht="15.75" customHeight="1">
      <c r="AL163" s="13" t="str">
        <f>iferror(VLOOKUP($A163,EAM!H$2:I$14,2))</f>
        <v/>
      </c>
      <c r="AN163" s="19"/>
    </row>
    <row r="164" ht="15.75" customHeight="1">
      <c r="AL164" s="13" t="str">
        <f>iferror(VLOOKUP($A164,EAM!H$2:I$14,2))</f>
        <v/>
      </c>
      <c r="AN164" s="18"/>
    </row>
    <row r="165" ht="15.75" customHeight="1">
      <c r="AL165" s="13" t="str">
        <f>iferror(VLOOKUP($A165,EAM!H$2:I$14,2))</f>
        <v/>
      </c>
      <c r="AN165" s="18"/>
    </row>
    <row r="166" ht="15.75" customHeight="1">
      <c r="AL166" s="13" t="str">
        <f>iferror(VLOOKUP($A166,EAM!H$2:I$14,2))</f>
        <v/>
      </c>
      <c r="AN166" s="18"/>
    </row>
    <row r="167" ht="15.75" customHeight="1">
      <c r="AL167" s="13" t="str">
        <f>iferror(VLOOKUP($A167,EAM!H$2:I$14,2))</f>
        <v/>
      </c>
      <c r="AN167" s="18"/>
    </row>
    <row r="168" ht="15.75" customHeight="1">
      <c r="AL168" s="13" t="str">
        <f>iferror(VLOOKUP($A168,EAM!H$2:I$14,2))</f>
        <v/>
      </c>
      <c r="AN168" s="18"/>
    </row>
    <row r="169" ht="15.75" customHeight="1">
      <c r="AL169" s="13" t="str">
        <f>iferror(VLOOKUP($A169,EAM!H$2:I$14,2))</f>
        <v/>
      </c>
      <c r="AN169" s="19"/>
    </row>
    <row r="170" ht="15.75" customHeight="1">
      <c r="AL170" s="13" t="str">
        <f>iferror(VLOOKUP($A170,EAM!H$2:I$14,2))</f>
        <v/>
      </c>
      <c r="AN170" s="18"/>
    </row>
    <row r="171" ht="15.75" customHeight="1">
      <c r="AL171" s="13" t="str">
        <f>iferror(VLOOKUP($A171,EAM!H$2:I$14,2))</f>
        <v/>
      </c>
      <c r="AN171" s="18"/>
    </row>
    <row r="172" ht="15.75" customHeight="1">
      <c r="AL172" s="13" t="str">
        <f>iferror(VLOOKUP($A172,EAM!H$2:I$14,2))</f>
        <v/>
      </c>
      <c r="AN172" s="18"/>
    </row>
    <row r="173" ht="15.75" customHeight="1">
      <c r="AL173" s="13" t="str">
        <f>iferror(VLOOKUP($A173,EAM!H$2:I$14,2))</f>
        <v/>
      </c>
      <c r="AN173" s="18"/>
    </row>
    <row r="174" ht="15.75" customHeight="1">
      <c r="AL174" s="13" t="str">
        <f>iferror(VLOOKUP($A174,EAM!H$2:I$14,2))</f>
        <v/>
      </c>
      <c r="AN174" s="19"/>
    </row>
    <row r="175" ht="15.75" customHeight="1">
      <c r="AL175" s="13" t="str">
        <f>iferror(VLOOKUP($A175,EAM!H$2:I$14,2))</f>
        <v/>
      </c>
      <c r="AN175" s="18"/>
    </row>
    <row r="176" ht="15.75" customHeight="1">
      <c r="AL176" s="13" t="str">
        <f>iferror(VLOOKUP($A176,EAM!H$2:I$14,2))</f>
        <v/>
      </c>
      <c r="AN176" s="18"/>
    </row>
    <row r="177" ht="15.75" customHeight="1">
      <c r="AL177" s="13" t="str">
        <f>iferror(VLOOKUP($A177,EAM!H$2:I$14,2))</f>
        <v/>
      </c>
      <c r="AN177" s="18"/>
    </row>
    <row r="178" ht="15.75" customHeight="1">
      <c r="AL178" s="13" t="str">
        <f>iferror(VLOOKUP($A178,EAM!H$2:I$14,2))</f>
        <v/>
      </c>
      <c r="AN178" s="18"/>
    </row>
    <row r="179" ht="15.75" customHeight="1">
      <c r="AL179" s="13" t="str">
        <f>iferror(VLOOKUP($A179,EAM!H$2:I$14,2))</f>
        <v/>
      </c>
      <c r="AN179" s="18"/>
    </row>
    <row r="180" ht="15.75" customHeight="1">
      <c r="AL180" s="13" t="str">
        <f>iferror(VLOOKUP($A180,EAM!H$2:I$14,2))</f>
        <v/>
      </c>
      <c r="AN180" s="19"/>
    </row>
    <row r="181" ht="15.75" customHeight="1">
      <c r="AL181" s="13" t="str">
        <f>iferror(VLOOKUP($A181,EAM!H$2:I$14,2))</f>
        <v/>
      </c>
      <c r="AN181" s="18"/>
    </row>
    <row r="182" ht="15.75" customHeight="1">
      <c r="AL182" s="13" t="str">
        <f>iferror(VLOOKUP($A182,EAM!H$2:I$14,2))</f>
        <v/>
      </c>
      <c r="AN182" s="18"/>
    </row>
    <row r="183" ht="15.75" customHeight="1">
      <c r="AL183" s="13" t="str">
        <f>iferror(VLOOKUP($A183,EAM!H$2:I$14,2))</f>
        <v/>
      </c>
      <c r="AN183" s="18"/>
    </row>
    <row r="184" ht="15.75" customHeight="1">
      <c r="AL184" s="13" t="str">
        <f>iferror(VLOOKUP($A184,EAM!H$2:I$14,2))</f>
        <v/>
      </c>
      <c r="AN184" s="18"/>
    </row>
    <row r="185" ht="15.75" customHeight="1">
      <c r="AL185" s="13" t="str">
        <f>iferror(VLOOKUP($A185,EAM!H$2:I$14,2))</f>
        <v/>
      </c>
      <c r="AN185" s="18"/>
    </row>
    <row r="186" ht="15.75" customHeight="1">
      <c r="AL186" s="13" t="str">
        <f>iferror(VLOOKUP($A186,EAM!H$2:I$14,2))</f>
        <v/>
      </c>
      <c r="AN186" s="19"/>
    </row>
    <row r="187" ht="15.75" customHeight="1">
      <c r="AL187" s="13" t="str">
        <f>iferror(VLOOKUP($A187,EAM!H$2:I$14,2))</f>
        <v/>
      </c>
      <c r="AN187" s="18"/>
    </row>
    <row r="188" ht="15.75" customHeight="1">
      <c r="AL188" s="13" t="str">
        <f>iferror(VLOOKUP($A188,EAM!H$2:I$14,2))</f>
        <v/>
      </c>
      <c r="AN188" s="18"/>
    </row>
    <row r="189" ht="15.75" customHeight="1">
      <c r="AL189" s="13" t="str">
        <f>iferror(VLOOKUP($A189,EAM!H$2:I$14,2))</f>
        <v/>
      </c>
      <c r="AN189" s="18"/>
    </row>
    <row r="190" ht="15.75" customHeight="1">
      <c r="AL190" s="13" t="str">
        <f>iferror(VLOOKUP($A190,EAM!H$2:I$14,2))</f>
        <v/>
      </c>
      <c r="AN190" s="18"/>
    </row>
    <row r="191" ht="15.75" customHeight="1">
      <c r="AL191" s="13" t="str">
        <f>iferror(VLOOKUP($A191,EAM!H$2:I$14,2))</f>
        <v/>
      </c>
      <c r="AN191" s="18"/>
    </row>
    <row r="192" ht="15.75" customHeight="1">
      <c r="AL192" s="13" t="str">
        <f>iferror(VLOOKUP($A192,EAM!H$2:I$14,2))</f>
        <v/>
      </c>
      <c r="AN192" s="18"/>
    </row>
    <row r="193" ht="15.75" customHeight="1">
      <c r="AL193" s="13" t="str">
        <f>iferror(VLOOKUP($A193,EAM!H$2:I$14,2))</f>
        <v/>
      </c>
      <c r="AN193" s="19"/>
    </row>
    <row r="194" ht="15.75" customHeight="1">
      <c r="AL194" s="13" t="str">
        <f>iferror(VLOOKUP($A194,EAM!H$2:I$14,2))</f>
        <v/>
      </c>
      <c r="AN194" s="18"/>
    </row>
    <row r="195" ht="15.75" customHeight="1">
      <c r="AL195" s="13" t="str">
        <f>iferror(VLOOKUP($A195,EAM!H$2:I$14,2))</f>
        <v/>
      </c>
      <c r="AN195" s="18"/>
    </row>
    <row r="196" ht="15.75" customHeight="1">
      <c r="AL196" s="13" t="str">
        <f>iferror(VLOOKUP($A196,EAM!H$2:I$14,2))</f>
        <v/>
      </c>
      <c r="AN196" s="18"/>
    </row>
    <row r="197" ht="15.75" customHeight="1">
      <c r="AL197" s="13" t="str">
        <f>iferror(VLOOKUP($A197,EAM!H$2:I$14,2))</f>
        <v/>
      </c>
      <c r="AN197" s="18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>
      <c r="AD1021" s="7" t="s">
        <v>265</v>
      </c>
    </row>
  </sheetData>
  <customSheetViews>
    <customSheetView guid="{4558648A-AC5D-4C7F-81B1-6EC982C5090B}" filter="1" showAutoFilter="1">
      <autoFilter ref="$A$3:$CT$101"/>
    </customSheetView>
  </customSheetViews>
  <conditionalFormatting sqref="AN6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5" width="9.75"/>
    <col customWidth="1" min="6" max="6" width="10.63"/>
    <col customWidth="1" min="7" max="7" width="8.25"/>
    <col customWidth="1" min="8" max="8" width="8.63"/>
    <col customWidth="1" min="9" max="9" width="13.88"/>
    <col customWidth="1" min="10" max="10" width="9.25"/>
    <col customWidth="1" min="11" max="11" width="9.13"/>
    <col customWidth="1" min="12" max="12" width="8.25"/>
    <col customWidth="1" min="13" max="13" width="6.38"/>
    <col customWidth="1" min="14" max="14" width="8.13"/>
    <col customWidth="1" min="15" max="23" width="7.75"/>
    <col customWidth="1" min="24" max="24" width="8.5"/>
    <col customWidth="1" min="25" max="25" width="8.63"/>
    <col customWidth="1" min="26" max="26" width="13.63"/>
    <col customWidth="1" min="27" max="27" width="12.38"/>
    <col customWidth="1" min="28" max="28" width="9.38"/>
    <col customWidth="1" min="29" max="29" width="12.25"/>
    <col customWidth="1" min="30" max="30" width="15.75"/>
    <col customWidth="1" min="31" max="31" width="18.38"/>
    <col customWidth="1" min="32" max="32" width="11.38"/>
    <col customWidth="1" min="33" max="33" width="12.38"/>
    <col customWidth="1" min="34" max="34" width="11.88"/>
    <col customWidth="1" min="35" max="35" width="11.75"/>
    <col customWidth="1" min="36" max="36" width="10.25"/>
    <col customWidth="1" min="37" max="37" width="10.0"/>
    <col customWidth="1" min="38" max="38" width="13.0"/>
    <col customWidth="1" min="39" max="39" width="12.25"/>
    <col customWidth="1" min="40" max="40" width="11.5"/>
    <col customWidth="1" min="41" max="41" width="6.38"/>
    <col customWidth="1" min="42" max="42" width="12.63"/>
    <col customWidth="1" min="43" max="43" width="11.63"/>
    <col customWidth="1" min="44" max="44" width="7.88"/>
    <col customWidth="1" min="45" max="45" width="12.0"/>
    <col customWidth="1" min="46" max="46" width="7.0"/>
    <col customWidth="1" min="47" max="47" width="6.38"/>
    <col customWidth="1" min="48" max="48" width="5.5"/>
    <col customWidth="1" min="49" max="49" width="16.38"/>
    <col customWidth="1" min="50" max="50" width="22.13"/>
    <col customWidth="1" min="51" max="51" width="6.88"/>
    <col customWidth="1" min="52" max="52" width="19.63"/>
    <col customWidth="1" min="53" max="53" width="19.75"/>
    <col customWidth="1" min="54" max="54" width="14.63"/>
    <col customWidth="1" min="55" max="56" width="9.63"/>
    <col customWidth="1" min="57" max="57" width="11.88"/>
    <col customWidth="1" min="58" max="58" width="16.25"/>
    <col customWidth="1" min="59" max="59" width="13.25"/>
    <col customWidth="1" min="60" max="60" width="19.5"/>
    <col customWidth="1" min="61" max="61" width="15.5"/>
    <col customWidth="1" min="62" max="62" width="17.0"/>
    <col customWidth="1" min="63" max="63" width="15.25"/>
    <col customWidth="1" min="64" max="64" width="15.5"/>
    <col customWidth="1" min="65" max="65" width="16.38"/>
    <col customWidth="1" min="66" max="68" width="14.13"/>
    <col customWidth="1" min="69" max="69" width="15.75"/>
    <col customWidth="1" min="70" max="70" width="16.13"/>
    <col customWidth="1" min="71" max="71" width="14.0"/>
    <col customWidth="1" min="72" max="72" width="15.63"/>
    <col customWidth="1" min="73" max="73" width="17.5"/>
    <col customWidth="1" min="74" max="74" width="16.38"/>
    <col customWidth="1" min="75" max="75" width="17.0"/>
    <col customWidth="1" min="76" max="76" width="16.5"/>
    <col customWidth="1" min="77" max="77" width="16.25"/>
    <col customWidth="1" min="78" max="78" width="16.63"/>
    <col customWidth="1" min="79" max="79" width="15.5"/>
    <col customWidth="1" min="80" max="80" width="16.13"/>
    <col customWidth="1" min="81" max="81" width="17.13"/>
    <col customWidth="1" min="82" max="82" width="15.0"/>
    <col customWidth="1" min="83" max="83" width="18.63"/>
    <col customWidth="1" min="84" max="84" width="14.13"/>
    <col customWidth="1" min="85" max="85" width="15.38"/>
    <col customWidth="1" min="86" max="86" width="16.88"/>
    <col customWidth="1" min="87" max="87" width="14.63"/>
    <col customWidth="1" min="88" max="88" width="14.0"/>
    <col customWidth="1" min="89" max="89" width="14.63"/>
    <col customWidth="1" min="90" max="90" width="20.0"/>
    <col customWidth="1" min="91" max="91" width="15.13"/>
    <col customWidth="1" min="92" max="92" width="16.25"/>
    <col customWidth="1" min="93" max="93" width="15.0"/>
    <col customWidth="1" min="94" max="94" width="25.5"/>
    <col customWidth="1" min="95" max="95" width="26.38"/>
    <col customWidth="1" min="96" max="96" width="22.0"/>
    <col customWidth="1" min="97" max="97" width="12.0"/>
    <col customWidth="1" min="98" max="98" width="16.0"/>
    <col customWidth="1" min="99" max="99" width="5.5"/>
    <col customWidth="1" min="100" max="100" width="14.25"/>
    <col customWidth="1" min="101" max="101" width="14.88"/>
    <col customWidth="1" min="102" max="102" width="15.38"/>
    <col customWidth="1" min="103" max="12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18</v>
      </c>
      <c r="P1" s="2" t="s">
        <v>266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267</v>
      </c>
      <c r="V1" s="2" t="s">
        <v>268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20" t="s">
        <v>29</v>
      </c>
      <c r="AC1" s="1" t="s">
        <v>31</v>
      </c>
      <c r="AD1" s="1" t="s">
        <v>23</v>
      </c>
      <c r="AE1" s="1" t="s">
        <v>32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33</v>
      </c>
      <c r="AL1" s="1" t="s">
        <v>274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21" t="s">
        <v>39</v>
      </c>
      <c r="AS1" s="1" t="s">
        <v>40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10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22" t="s">
        <v>55</v>
      </c>
      <c r="BI1" s="1" t="s">
        <v>56</v>
      </c>
      <c r="BJ1" s="1" t="s">
        <v>11</v>
      </c>
      <c r="BK1" s="2" t="s">
        <v>275</v>
      </c>
      <c r="BL1" s="1" t="s">
        <v>58</v>
      </c>
      <c r="BM1" s="1" t="s">
        <v>276</v>
      </c>
      <c r="BN1" s="22" t="s">
        <v>60</v>
      </c>
      <c r="BO1" s="22" t="s">
        <v>61</v>
      </c>
      <c r="BP1" s="1" t="s">
        <v>277</v>
      </c>
      <c r="BQ1" s="1" t="s">
        <v>63</v>
      </c>
      <c r="BR1" s="1" t="s">
        <v>64</v>
      </c>
      <c r="BS1" s="2" t="s">
        <v>278</v>
      </c>
      <c r="BT1" s="1" t="s">
        <v>66</v>
      </c>
      <c r="BU1" s="1" t="s">
        <v>279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105</v>
      </c>
      <c r="CA1" s="1" t="s">
        <v>73</v>
      </c>
      <c r="CB1" s="1" t="s">
        <v>280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281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236</v>
      </c>
      <c r="CV1" s="1" t="s">
        <v>94</v>
      </c>
      <c r="CW1" s="1" t="s">
        <v>95</v>
      </c>
      <c r="CX1" s="1" t="s">
        <v>96</v>
      </c>
      <c r="CY1" s="23" t="s">
        <v>97</v>
      </c>
      <c r="CZ1" s="24" t="s">
        <v>98</v>
      </c>
      <c r="DA1" s="24" t="s">
        <v>99</v>
      </c>
      <c r="DB1" s="24" t="s">
        <v>100</v>
      </c>
      <c r="DC1" s="24" t="s">
        <v>101</v>
      </c>
      <c r="DD1" s="24" t="s">
        <v>282</v>
      </c>
      <c r="DE1" s="24" t="s">
        <v>103</v>
      </c>
      <c r="DF1" s="24" t="s">
        <v>106</v>
      </c>
      <c r="DG1" s="24" t="s">
        <v>107</v>
      </c>
      <c r="DH1" s="25" t="s">
        <v>108</v>
      </c>
      <c r="DI1" s="25" t="s">
        <v>109</v>
      </c>
      <c r="DJ1" s="25" t="s">
        <v>110</v>
      </c>
      <c r="DK1" s="25" t="s">
        <v>283</v>
      </c>
      <c r="DL1" s="25" t="s">
        <v>284</v>
      </c>
      <c r="DM1" s="25" t="s">
        <v>285</v>
      </c>
      <c r="DN1" s="25" t="s">
        <v>286</v>
      </c>
      <c r="DO1" s="24" t="s">
        <v>287</v>
      </c>
      <c r="DP1" s="24" t="s">
        <v>112</v>
      </c>
      <c r="DQ1" s="24" t="s">
        <v>113</v>
      </c>
      <c r="DR1" s="24" t="s">
        <v>114</v>
      </c>
      <c r="DS1" s="26" t="s">
        <v>115</v>
      </c>
      <c r="DT1" s="24" t="s">
        <v>123</v>
      </c>
    </row>
    <row r="2">
      <c r="A2" s="7" t="s">
        <v>135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6</v>
      </c>
      <c r="G2" s="7" t="s">
        <v>7</v>
      </c>
      <c r="H2" s="7" t="s">
        <v>137</v>
      </c>
      <c r="I2" s="7" t="s">
        <v>9</v>
      </c>
      <c r="J2" s="7" t="s">
        <v>136</v>
      </c>
      <c r="K2" s="7" t="s">
        <v>138</v>
      </c>
      <c r="L2" s="7" t="s">
        <v>139</v>
      </c>
      <c r="M2" s="7" t="s">
        <v>139</v>
      </c>
      <c r="N2" s="7" t="s">
        <v>140</v>
      </c>
      <c r="O2" s="7" t="s">
        <v>140</v>
      </c>
      <c r="P2" s="7" t="s">
        <v>146</v>
      </c>
      <c r="Q2" s="7" t="s">
        <v>140</v>
      </c>
      <c r="R2" s="7" t="s">
        <v>140</v>
      </c>
      <c r="S2" s="7" t="s">
        <v>140</v>
      </c>
      <c r="T2" s="7" t="s">
        <v>140</v>
      </c>
      <c r="U2" s="7" t="s">
        <v>140</v>
      </c>
      <c r="V2" s="7" t="s">
        <v>140</v>
      </c>
      <c r="W2" s="7" t="s">
        <v>140</v>
      </c>
      <c r="X2" s="7" t="s">
        <v>140</v>
      </c>
      <c r="Y2" s="7" t="s">
        <v>140</v>
      </c>
      <c r="Z2" s="7" t="s">
        <v>140</v>
      </c>
      <c r="AA2" s="7" t="s">
        <v>140</v>
      </c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7" t="s">
        <v>140</v>
      </c>
      <c r="AH2" s="7" t="s">
        <v>140</v>
      </c>
      <c r="AI2" s="7" t="s">
        <v>140</v>
      </c>
      <c r="AJ2" s="7" t="s">
        <v>140</v>
      </c>
      <c r="AK2" s="7" t="s">
        <v>143</v>
      </c>
      <c r="AL2" s="7" t="s">
        <v>143</v>
      </c>
      <c r="AM2" s="7" t="s">
        <v>143</v>
      </c>
      <c r="AN2" s="7" t="s">
        <v>143</v>
      </c>
      <c r="AO2" s="7" t="s">
        <v>36</v>
      </c>
      <c r="AP2" s="7" t="s">
        <v>144</v>
      </c>
      <c r="AQ2" s="7" t="s">
        <v>145</v>
      </c>
      <c r="AR2" s="7" t="s">
        <v>140</v>
      </c>
      <c r="AS2" s="7" t="s">
        <v>140</v>
      </c>
      <c r="AT2" s="7" t="s">
        <v>140</v>
      </c>
      <c r="AU2" s="7" t="s">
        <v>140</v>
      </c>
      <c r="AV2" s="7" t="s">
        <v>140</v>
      </c>
      <c r="AW2" s="7" t="s">
        <v>146</v>
      </c>
      <c r="AX2" s="7" t="s">
        <v>146</v>
      </c>
      <c r="AY2" s="7" t="s">
        <v>146</v>
      </c>
      <c r="AZ2" s="8" t="s">
        <v>9</v>
      </c>
      <c r="BA2" s="7" t="s">
        <v>146</v>
      </c>
      <c r="BB2" s="7" t="s">
        <v>148</v>
      </c>
      <c r="BC2" s="7" t="s">
        <v>146</v>
      </c>
      <c r="BD2" s="7" t="s">
        <v>146</v>
      </c>
      <c r="BE2" s="7" t="s">
        <v>146</v>
      </c>
      <c r="BF2" s="7" t="s">
        <v>146</v>
      </c>
      <c r="BG2" s="7" t="s">
        <v>146</v>
      </c>
      <c r="BH2" s="7" t="s">
        <v>146</v>
      </c>
      <c r="BI2" s="7" t="s">
        <v>146</v>
      </c>
      <c r="BJ2" s="8" t="s">
        <v>9</v>
      </c>
      <c r="BK2" s="7" t="s">
        <v>146</v>
      </c>
      <c r="BL2" s="7" t="s">
        <v>146</v>
      </c>
      <c r="BM2" s="7" t="s">
        <v>146</v>
      </c>
      <c r="BN2" s="7" t="s">
        <v>146</v>
      </c>
      <c r="BO2" s="7" t="s">
        <v>146</v>
      </c>
      <c r="BP2" s="7" t="s">
        <v>146</v>
      </c>
      <c r="BQ2" s="7" t="s">
        <v>146</v>
      </c>
      <c r="BR2" s="7" t="s">
        <v>146</v>
      </c>
      <c r="BS2" s="7" t="s">
        <v>146</v>
      </c>
      <c r="BT2" s="7" t="s">
        <v>146</v>
      </c>
      <c r="BU2" s="7" t="s">
        <v>146</v>
      </c>
      <c r="BV2" s="7" t="s">
        <v>146</v>
      </c>
      <c r="BW2" s="7" t="s">
        <v>146</v>
      </c>
      <c r="BX2" s="7" t="s">
        <v>146</v>
      </c>
      <c r="BY2" s="7" t="s">
        <v>146</v>
      </c>
      <c r="BZ2" s="7" t="s">
        <v>146</v>
      </c>
      <c r="CA2" s="7" t="s">
        <v>146</v>
      </c>
      <c r="CB2" s="7" t="s">
        <v>146</v>
      </c>
      <c r="CC2" s="7" t="s">
        <v>146</v>
      </c>
      <c r="CD2" s="7" t="s">
        <v>146</v>
      </c>
      <c r="CE2" s="7" t="s">
        <v>146</v>
      </c>
      <c r="CF2" s="7" t="s">
        <v>146</v>
      </c>
      <c r="CG2" s="7" t="s">
        <v>146</v>
      </c>
      <c r="CH2" s="7" t="s">
        <v>146</v>
      </c>
      <c r="CI2" s="7" t="s">
        <v>146</v>
      </c>
      <c r="CJ2" s="7" t="s">
        <v>146</v>
      </c>
      <c r="CK2" s="7" t="s">
        <v>146</v>
      </c>
      <c r="CL2" s="7" t="s">
        <v>143</v>
      </c>
      <c r="CM2" s="7" t="s">
        <v>146</v>
      </c>
      <c r="CN2" s="7" t="s">
        <v>146</v>
      </c>
      <c r="CO2" s="7" t="s">
        <v>146</v>
      </c>
      <c r="CP2" s="7" t="s">
        <v>146</v>
      </c>
      <c r="CQ2" s="7" t="s">
        <v>146</v>
      </c>
      <c r="CR2" s="7" t="s">
        <v>146</v>
      </c>
      <c r="CS2" s="7" t="s">
        <v>146</v>
      </c>
      <c r="CT2" s="7" t="s">
        <v>146</v>
      </c>
      <c r="CU2" s="7" t="s">
        <v>146</v>
      </c>
      <c r="CV2" s="7" t="s">
        <v>146</v>
      </c>
      <c r="CW2" s="7" t="s">
        <v>146</v>
      </c>
      <c r="CX2" s="7" t="s">
        <v>146</v>
      </c>
      <c r="CY2" s="7" t="s">
        <v>146</v>
      </c>
      <c r="CZ2" s="7" t="s">
        <v>140</v>
      </c>
      <c r="DA2" s="7" t="s">
        <v>146</v>
      </c>
      <c r="DB2" s="7" t="s">
        <v>146</v>
      </c>
      <c r="DC2" s="7" t="s">
        <v>146</v>
      </c>
      <c r="DD2" s="7" t="s">
        <v>146</v>
      </c>
      <c r="DE2" s="7" t="s">
        <v>146</v>
      </c>
      <c r="DF2" s="7" t="s">
        <v>146</v>
      </c>
      <c r="DG2" s="7" t="s">
        <v>143</v>
      </c>
      <c r="DH2" s="7" t="s">
        <v>146</v>
      </c>
      <c r="DI2" s="7" t="s">
        <v>146</v>
      </c>
      <c r="DJ2" s="7" t="s">
        <v>146</v>
      </c>
      <c r="DK2" s="7" t="s">
        <v>146</v>
      </c>
      <c r="DL2" s="7" t="s">
        <v>146</v>
      </c>
      <c r="DM2" s="7" t="s">
        <v>146</v>
      </c>
      <c r="DN2" s="7" t="s">
        <v>146</v>
      </c>
      <c r="DO2" s="7" t="s">
        <v>143</v>
      </c>
      <c r="DP2" s="7" t="s">
        <v>146</v>
      </c>
      <c r="DQ2" s="7" t="s">
        <v>143</v>
      </c>
      <c r="DR2" s="7" t="s">
        <v>143</v>
      </c>
      <c r="DS2" s="7" t="s">
        <v>188</v>
      </c>
      <c r="DT2" s="7" t="s">
        <v>143</v>
      </c>
    </row>
    <row r="3">
      <c r="A3" s="7" t="s">
        <v>288</v>
      </c>
      <c r="B3" s="11" t="s">
        <v>152</v>
      </c>
      <c r="C3" s="11" t="s">
        <v>152</v>
      </c>
      <c r="D3" s="7">
        <v>1.0</v>
      </c>
      <c r="E3" s="11" t="s">
        <v>152</v>
      </c>
      <c r="F3" s="11" t="s">
        <v>152</v>
      </c>
      <c r="G3" s="7">
        <v>1.0</v>
      </c>
      <c r="H3" s="11" t="s">
        <v>153</v>
      </c>
      <c r="I3" s="11" t="s">
        <v>154</v>
      </c>
      <c r="J3" s="11" t="s">
        <v>154</v>
      </c>
      <c r="K3" s="11" t="s">
        <v>154</v>
      </c>
      <c r="L3" s="11" t="s">
        <v>154</v>
      </c>
      <c r="M3" s="11" t="s">
        <v>154</v>
      </c>
      <c r="N3" s="11" t="s">
        <v>153</v>
      </c>
      <c r="O3" s="11" t="s">
        <v>153</v>
      </c>
      <c r="P3" s="27">
        <v>2.0</v>
      </c>
      <c r="Q3" s="11" t="s">
        <v>153</v>
      </c>
      <c r="R3" s="11" t="s">
        <v>153</v>
      </c>
      <c r="S3" s="11" t="s">
        <v>153</v>
      </c>
      <c r="T3" s="11" t="s">
        <v>153</v>
      </c>
      <c r="U3" s="11" t="s">
        <v>153</v>
      </c>
      <c r="V3" s="11" t="s">
        <v>153</v>
      </c>
      <c r="W3" s="11" t="s">
        <v>153</v>
      </c>
      <c r="X3" s="11" t="s">
        <v>153</v>
      </c>
      <c r="Y3" s="11" t="s">
        <v>153</v>
      </c>
      <c r="Z3" s="11" t="s">
        <v>153</v>
      </c>
      <c r="AA3" s="11" t="s">
        <v>153</v>
      </c>
      <c r="AB3" s="7">
        <v>2.0</v>
      </c>
      <c r="AC3" s="11" t="s">
        <v>153</v>
      </c>
      <c r="AD3" s="11" t="s">
        <v>153</v>
      </c>
      <c r="AE3" s="11" t="s">
        <v>153</v>
      </c>
      <c r="AF3" s="11" t="s">
        <v>153</v>
      </c>
      <c r="AG3" s="11" t="s">
        <v>155</v>
      </c>
      <c r="AH3" s="11" t="s">
        <v>155</v>
      </c>
      <c r="AI3" s="11" t="s">
        <v>154</v>
      </c>
      <c r="AJ3" s="11" t="s">
        <v>154</v>
      </c>
      <c r="AK3" s="11" t="s">
        <v>154</v>
      </c>
      <c r="AL3" s="11" t="s">
        <v>154</v>
      </c>
      <c r="AM3" s="7">
        <v>2.0</v>
      </c>
      <c r="AN3" s="11" t="s">
        <v>154</v>
      </c>
      <c r="AO3" s="11" t="s">
        <v>154</v>
      </c>
      <c r="AP3" s="11" t="s">
        <v>153</v>
      </c>
      <c r="AQ3" s="11" t="s">
        <v>154</v>
      </c>
      <c r="AR3" s="7">
        <v>4.0</v>
      </c>
      <c r="AS3" s="11" t="s">
        <v>154</v>
      </c>
      <c r="AT3" s="11" t="s">
        <v>154</v>
      </c>
      <c r="AU3" s="11" t="s">
        <v>153</v>
      </c>
      <c r="AV3" s="11" t="s">
        <v>154</v>
      </c>
      <c r="AW3" s="11" t="s">
        <v>155</v>
      </c>
      <c r="AX3" s="11" t="s">
        <v>154</v>
      </c>
      <c r="AY3" s="11" t="s">
        <v>155</v>
      </c>
      <c r="AZ3" s="11" t="s">
        <v>154</v>
      </c>
      <c r="BA3" s="11" t="s">
        <v>155</v>
      </c>
      <c r="BB3" s="11" t="s">
        <v>152</v>
      </c>
      <c r="BC3" s="11" t="s">
        <v>154</v>
      </c>
      <c r="BD3" s="11" t="s">
        <v>154</v>
      </c>
      <c r="BE3" s="11" t="s">
        <v>155</v>
      </c>
      <c r="BF3" s="11" t="s">
        <v>155</v>
      </c>
      <c r="BG3" s="11" t="s">
        <v>154</v>
      </c>
      <c r="BH3" s="11" t="s">
        <v>155</v>
      </c>
      <c r="BI3" s="11" t="s">
        <v>155</v>
      </c>
      <c r="BJ3" s="11" t="s">
        <v>153</v>
      </c>
      <c r="BK3" s="11" t="s">
        <v>155</v>
      </c>
      <c r="BL3" s="11" t="s">
        <v>155</v>
      </c>
      <c r="BM3" s="11" t="s">
        <v>155</v>
      </c>
      <c r="BN3" s="11" t="s">
        <v>155</v>
      </c>
      <c r="BO3" s="11" t="s">
        <v>155</v>
      </c>
      <c r="BP3" s="11" t="s">
        <v>155</v>
      </c>
      <c r="BQ3" s="11" t="s">
        <v>155</v>
      </c>
      <c r="BR3" s="11" t="s">
        <v>155</v>
      </c>
      <c r="BS3" s="11" t="s">
        <v>155</v>
      </c>
      <c r="BT3" s="11" t="s">
        <v>155</v>
      </c>
      <c r="BU3" s="11" t="s">
        <v>155</v>
      </c>
      <c r="BV3" s="11" t="s">
        <v>155</v>
      </c>
      <c r="BW3" s="11" t="s">
        <v>155</v>
      </c>
      <c r="BX3" s="11" t="s">
        <v>155</v>
      </c>
      <c r="BY3" s="11" t="s">
        <v>155</v>
      </c>
      <c r="BZ3" s="11" t="s">
        <v>155</v>
      </c>
      <c r="CA3" s="11" t="s">
        <v>155</v>
      </c>
      <c r="CB3" s="11" t="s">
        <v>155</v>
      </c>
      <c r="CC3" s="11" t="s">
        <v>155</v>
      </c>
      <c r="CD3" s="11" t="s">
        <v>155</v>
      </c>
      <c r="CE3" s="11" t="s">
        <v>155</v>
      </c>
      <c r="CF3" s="11" t="s">
        <v>155</v>
      </c>
      <c r="CG3" s="11" t="s">
        <v>155</v>
      </c>
      <c r="CH3" s="11" t="s">
        <v>155</v>
      </c>
      <c r="CI3" s="11" t="s">
        <v>155</v>
      </c>
      <c r="CJ3" s="11" t="s">
        <v>155</v>
      </c>
      <c r="CK3" s="11" t="s">
        <v>155</v>
      </c>
      <c r="CL3" s="11" t="s">
        <v>154</v>
      </c>
      <c r="CM3" s="11" t="s">
        <v>155</v>
      </c>
      <c r="CN3" s="11" t="s">
        <v>155</v>
      </c>
      <c r="CO3" s="11" t="s">
        <v>155</v>
      </c>
      <c r="CP3" s="11" t="s">
        <v>155</v>
      </c>
      <c r="CQ3" s="11" t="s">
        <v>155</v>
      </c>
      <c r="CR3" s="11" t="s">
        <v>155</v>
      </c>
      <c r="CS3" s="11" t="s">
        <v>155</v>
      </c>
      <c r="CT3" s="11" t="s">
        <v>153</v>
      </c>
      <c r="CU3" s="11" t="s">
        <v>154</v>
      </c>
      <c r="CV3" s="11" t="s">
        <v>155</v>
      </c>
      <c r="CW3" s="11" t="s">
        <v>155</v>
      </c>
      <c r="CX3" s="11" t="s">
        <v>155</v>
      </c>
      <c r="CY3" s="11" t="s">
        <v>155</v>
      </c>
      <c r="CZ3" s="7">
        <v>5.0</v>
      </c>
      <c r="DA3" s="7">
        <v>2.0</v>
      </c>
      <c r="DB3" s="7">
        <v>2.0</v>
      </c>
      <c r="DC3" s="7">
        <v>2.0</v>
      </c>
      <c r="DD3" s="7">
        <v>2.0</v>
      </c>
      <c r="DE3" s="7">
        <v>2.0</v>
      </c>
      <c r="DF3" s="7">
        <v>2.0</v>
      </c>
      <c r="DG3" s="7">
        <v>5.0</v>
      </c>
      <c r="DH3" s="7">
        <v>2.0</v>
      </c>
      <c r="DI3" s="7">
        <v>5.0</v>
      </c>
      <c r="DJ3" s="7">
        <v>5.0</v>
      </c>
      <c r="DK3" s="7">
        <v>5.0</v>
      </c>
      <c r="DL3" s="7">
        <v>5.0</v>
      </c>
      <c r="DM3" s="7">
        <v>5.0</v>
      </c>
      <c r="DN3" s="7">
        <v>5.0</v>
      </c>
      <c r="DO3" s="7">
        <v>5.0</v>
      </c>
      <c r="DP3" s="7">
        <v>4.0</v>
      </c>
      <c r="DQ3" s="7">
        <v>2.0</v>
      </c>
      <c r="DR3" s="7">
        <v>2.0</v>
      </c>
      <c r="DS3" s="7">
        <v>5.0</v>
      </c>
      <c r="DT3" s="7">
        <v>2.0</v>
      </c>
    </row>
    <row r="4">
      <c r="A4" s="7" t="s">
        <v>157</v>
      </c>
      <c r="B4" s="7" t="s">
        <v>158</v>
      </c>
      <c r="C4" s="7" t="s">
        <v>158</v>
      </c>
      <c r="D4" s="7" t="s">
        <v>158</v>
      </c>
      <c r="E4" s="7" t="s">
        <v>158</v>
      </c>
      <c r="F4" s="7" t="s">
        <v>158</v>
      </c>
      <c r="G4" s="7" t="s">
        <v>158</v>
      </c>
      <c r="H4" s="7" t="s">
        <v>158</v>
      </c>
      <c r="I4" s="7" t="s">
        <v>158</v>
      </c>
      <c r="J4" s="7" t="s">
        <v>158</v>
      </c>
      <c r="K4" s="7" t="s">
        <v>158</v>
      </c>
      <c r="L4" s="7" t="s">
        <v>158</v>
      </c>
      <c r="M4" s="7" t="s">
        <v>158</v>
      </c>
      <c r="N4" s="7" t="s">
        <v>158</v>
      </c>
      <c r="O4" s="7" t="s">
        <v>158</v>
      </c>
      <c r="P4" s="7" t="s">
        <v>159</v>
      </c>
      <c r="Q4" s="7" t="s">
        <v>158</v>
      </c>
      <c r="R4" s="7" t="s">
        <v>158</v>
      </c>
      <c r="S4" s="7" t="s">
        <v>158</v>
      </c>
      <c r="T4" s="7" t="s">
        <v>158</v>
      </c>
      <c r="U4" s="7" t="s">
        <v>158</v>
      </c>
      <c r="V4" s="7" t="s">
        <v>158</v>
      </c>
      <c r="W4" s="7" t="s">
        <v>158</v>
      </c>
      <c r="X4" s="7" t="s">
        <v>158</v>
      </c>
      <c r="Y4" s="7" t="s">
        <v>158</v>
      </c>
      <c r="Z4" s="7" t="s">
        <v>158</v>
      </c>
      <c r="AA4" s="7" t="s">
        <v>158</v>
      </c>
      <c r="AB4" s="7" t="s">
        <v>158</v>
      </c>
      <c r="AC4" s="7" t="s">
        <v>158</v>
      </c>
      <c r="AD4" s="7" t="s">
        <v>158</v>
      </c>
      <c r="AE4" s="7" t="s">
        <v>158</v>
      </c>
      <c r="AF4" s="7" t="s">
        <v>158</v>
      </c>
      <c r="AG4" s="7" t="s">
        <v>158</v>
      </c>
      <c r="AH4" s="7" t="s">
        <v>158</v>
      </c>
      <c r="AI4" s="7" t="s">
        <v>158</v>
      </c>
      <c r="AJ4" s="7" t="s">
        <v>158</v>
      </c>
      <c r="AK4" s="7" t="s">
        <v>158</v>
      </c>
      <c r="AL4" s="7" t="s">
        <v>158</v>
      </c>
      <c r="AM4" s="7" t="s">
        <v>158</v>
      </c>
      <c r="AN4" s="7" t="s">
        <v>158</v>
      </c>
      <c r="AO4" s="7" t="s">
        <v>158</v>
      </c>
      <c r="AP4" s="7" t="s">
        <v>159</v>
      </c>
      <c r="AQ4" s="7" t="s">
        <v>158</v>
      </c>
      <c r="AR4" s="7" t="s">
        <v>158</v>
      </c>
      <c r="AS4" s="7" t="s">
        <v>158</v>
      </c>
      <c r="AT4" s="7" t="s">
        <v>158</v>
      </c>
      <c r="AU4" s="7" t="s">
        <v>158</v>
      </c>
      <c r="AV4" s="7" t="s">
        <v>158</v>
      </c>
      <c r="AW4" s="7" t="s">
        <v>160</v>
      </c>
      <c r="AX4" s="7" t="s">
        <v>159</v>
      </c>
      <c r="AY4" s="7" t="s">
        <v>159</v>
      </c>
      <c r="AZ4" s="7" t="s">
        <v>159</v>
      </c>
      <c r="BA4" s="7" t="s">
        <v>159</v>
      </c>
      <c r="BB4" s="7" t="s">
        <v>159</v>
      </c>
      <c r="BC4" s="7" t="s">
        <v>159</v>
      </c>
      <c r="BD4" s="7" t="s">
        <v>159</v>
      </c>
      <c r="BE4" s="7" t="s">
        <v>159</v>
      </c>
      <c r="BF4" s="7" t="s">
        <v>159</v>
      </c>
      <c r="BG4" s="7" t="s">
        <v>159</v>
      </c>
      <c r="BH4" s="7" t="s">
        <v>159</v>
      </c>
      <c r="BI4" s="7" t="s">
        <v>159</v>
      </c>
      <c r="BJ4" s="7" t="s">
        <v>159</v>
      </c>
      <c r="BK4" s="7" t="s">
        <v>159</v>
      </c>
      <c r="BL4" s="7" t="s">
        <v>159</v>
      </c>
      <c r="BM4" s="7" t="s">
        <v>159</v>
      </c>
      <c r="BN4" s="7" t="s">
        <v>159</v>
      </c>
      <c r="BO4" s="7" t="s">
        <v>159</v>
      </c>
      <c r="BP4" s="7" t="s">
        <v>159</v>
      </c>
      <c r="BQ4" s="7" t="s">
        <v>159</v>
      </c>
      <c r="BR4" s="7" t="s">
        <v>159</v>
      </c>
      <c r="BS4" s="7" t="s">
        <v>159</v>
      </c>
      <c r="BT4" s="7" t="s">
        <v>159</v>
      </c>
      <c r="BU4" s="7" t="s">
        <v>159</v>
      </c>
      <c r="BV4" s="7" t="s">
        <v>159</v>
      </c>
      <c r="BW4" s="7" t="s">
        <v>159</v>
      </c>
      <c r="BX4" s="7" t="s">
        <v>159</v>
      </c>
      <c r="BY4" s="7" t="s">
        <v>159</v>
      </c>
      <c r="BZ4" s="7" t="s">
        <v>159</v>
      </c>
      <c r="CA4" s="7" t="s">
        <v>159</v>
      </c>
      <c r="CB4" s="7" t="s">
        <v>159</v>
      </c>
      <c r="CC4" s="7" t="s">
        <v>159</v>
      </c>
      <c r="CD4" s="7" t="s">
        <v>159</v>
      </c>
      <c r="CE4" s="7" t="s">
        <v>159</v>
      </c>
      <c r="CF4" s="7" t="s">
        <v>159</v>
      </c>
      <c r="CG4" s="7" t="s">
        <v>159</v>
      </c>
      <c r="CH4" s="7" t="s">
        <v>159</v>
      </c>
      <c r="CI4" s="7" t="s">
        <v>159</v>
      </c>
      <c r="CJ4" s="7" t="s">
        <v>159</v>
      </c>
      <c r="CK4" s="7" t="s">
        <v>159</v>
      </c>
      <c r="CL4" s="7" t="s">
        <v>159</v>
      </c>
      <c r="CM4" s="7" t="s">
        <v>159</v>
      </c>
      <c r="CN4" s="7" t="s">
        <v>159</v>
      </c>
      <c r="CO4" s="7" t="s">
        <v>159</v>
      </c>
      <c r="CP4" s="7" t="s">
        <v>159</v>
      </c>
      <c r="CQ4" s="7" t="s">
        <v>159</v>
      </c>
      <c r="CR4" s="7" t="s">
        <v>159</v>
      </c>
      <c r="CS4" s="7" t="s">
        <v>159</v>
      </c>
      <c r="CT4" s="7" t="s">
        <v>159</v>
      </c>
      <c r="CU4" s="7" t="s">
        <v>159</v>
      </c>
      <c r="CV4" s="7" t="s">
        <v>159</v>
      </c>
      <c r="CW4" s="7" t="s">
        <v>159</v>
      </c>
      <c r="CX4" s="7" t="s">
        <v>159</v>
      </c>
      <c r="CY4" s="7" t="s">
        <v>159</v>
      </c>
      <c r="CZ4" s="7" t="s">
        <v>158</v>
      </c>
      <c r="DA4" s="7" t="s">
        <v>159</v>
      </c>
      <c r="DB4" s="7" t="s">
        <v>159</v>
      </c>
      <c r="DC4" s="7" t="s">
        <v>159</v>
      </c>
      <c r="DD4" s="7" t="s">
        <v>159</v>
      </c>
      <c r="DE4" s="7" t="s">
        <v>159</v>
      </c>
      <c r="DF4" s="7" t="s">
        <v>159</v>
      </c>
      <c r="DG4" s="7" t="s">
        <v>158</v>
      </c>
      <c r="DH4" s="7" t="s">
        <v>159</v>
      </c>
      <c r="DI4" s="7" t="s">
        <v>159</v>
      </c>
      <c r="DJ4" s="7" t="s">
        <v>159</v>
      </c>
      <c r="DK4" s="7" t="s">
        <v>159</v>
      </c>
      <c r="DL4" s="7" t="s">
        <v>159</v>
      </c>
      <c r="DM4" s="7" t="s">
        <v>159</v>
      </c>
      <c r="DN4" s="7" t="s">
        <v>159</v>
      </c>
      <c r="DO4" s="7" t="s">
        <v>158</v>
      </c>
      <c r="DP4" s="7" t="s">
        <v>159</v>
      </c>
      <c r="DQ4" s="7" t="s">
        <v>159</v>
      </c>
      <c r="DR4" s="7" t="s">
        <v>159</v>
      </c>
      <c r="DS4" s="7" t="s">
        <v>161</v>
      </c>
      <c r="DT4" s="7" t="s">
        <v>159</v>
      </c>
    </row>
    <row r="5">
      <c r="A5" s="11" t="s">
        <v>162</v>
      </c>
      <c r="B5" s="13"/>
      <c r="C5" s="13"/>
      <c r="D5" s="13"/>
      <c r="E5" s="13"/>
      <c r="F5" s="13"/>
      <c r="G5" s="13"/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</row>
    <row r="6">
      <c r="A6" s="11" t="s">
        <v>163</v>
      </c>
      <c r="B6" s="13"/>
      <c r="C6" s="13"/>
      <c r="D6" s="13"/>
      <c r="E6" s="13"/>
      <c r="F6" s="13"/>
      <c r="G6" s="13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</row>
    <row r="7">
      <c r="A7" s="11" t="s">
        <v>164</v>
      </c>
      <c r="B7" s="13"/>
      <c r="C7" s="13"/>
      <c r="D7" s="13"/>
      <c r="E7" s="13"/>
      <c r="F7" s="13"/>
      <c r="G7" s="13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</row>
    <row r="8">
      <c r="A8" s="11" t="s">
        <v>165</v>
      </c>
      <c r="B8" s="13"/>
      <c r="C8" s="13"/>
      <c r="D8" s="13"/>
      <c r="E8" s="13"/>
      <c r="F8" s="13"/>
      <c r="G8" s="13"/>
      <c r="H8" s="15"/>
      <c r="I8" s="13"/>
      <c r="J8" s="13"/>
      <c r="K8" s="28">
        <v>4.0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</row>
    <row r="9">
      <c r="A9" s="11" t="s">
        <v>166</v>
      </c>
      <c r="B9" s="13"/>
      <c r="C9" s="13"/>
      <c r="D9" s="13"/>
      <c r="E9" s="13"/>
      <c r="F9" s="13"/>
      <c r="G9" s="13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</row>
    <row r="10">
      <c r="A10" s="11" t="s">
        <v>168</v>
      </c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</row>
    <row r="11">
      <c r="A11" s="11" t="s">
        <v>169</v>
      </c>
      <c r="B11" s="13"/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</row>
    <row r="12">
      <c r="A12" s="11" t="s">
        <v>170</v>
      </c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</row>
    <row r="13">
      <c r="A13" s="11" t="s">
        <v>171</v>
      </c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</row>
    <row r="14">
      <c r="A14" s="11" t="s">
        <v>174</v>
      </c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</row>
    <row r="15">
      <c r="A15" s="11" t="s">
        <v>175</v>
      </c>
      <c r="B15" s="13"/>
      <c r="C15" s="13"/>
      <c r="D15" s="13"/>
      <c r="E15" s="13"/>
      <c r="F15" s="13"/>
      <c r="G15" s="13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</row>
    <row r="16">
      <c r="A16" s="11" t="s">
        <v>176</v>
      </c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</row>
    <row r="17">
      <c r="A17" s="11" t="s">
        <v>177</v>
      </c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</row>
    <row r="18">
      <c r="A18" s="11" t="s">
        <v>178</v>
      </c>
      <c r="B18" s="13"/>
      <c r="C18" s="13"/>
      <c r="D18" s="13"/>
      <c r="E18" s="13"/>
      <c r="F18" s="13"/>
      <c r="G18" s="13"/>
      <c r="H18" s="1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</row>
    <row r="19">
      <c r="A19" s="11" t="s">
        <v>179</v>
      </c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</row>
    <row r="20">
      <c r="A20" s="11" t="s">
        <v>181</v>
      </c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</row>
    <row r="21">
      <c r="A21" s="11" t="s">
        <v>182</v>
      </c>
      <c r="B21" s="13"/>
      <c r="C21" s="13"/>
      <c r="D21" s="13"/>
      <c r="E21" s="13"/>
      <c r="F21" s="13"/>
      <c r="G21" s="13"/>
      <c r="H21" s="1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</row>
    <row r="22">
      <c r="A22" s="11" t="s">
        <v>183</v>
      </c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</row>
    <row r="23" ht="15.75" customHeight="1">
      <c r="A23" s="11" t="s">
        <v>184</v>
      </c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3"/>
      <c r="N23" s="17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7">
        <v>0.02</v>
      </c>
      <c r="BL23" s="13"/>
      <c r="BM23" s="13"/>
      <c r="BN23" s="13"/>
      <c r="BO23" s="13"/>
      <c r="BP23" s="13"/>
      <c r="BQ23" s="13"/>
      <c r="BR23" s="13"/>
      <c r="BS23" s="13">
        <v>0.02</v>
      </c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7">
        <v>0.15</v>
      </c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</row>
    <row r="24" ht="15.75" customHeight="1">
      <c r="A24" s="11" t="s">
        <v>186</v>
      </c>
      <c r="B24" s="13"/>
      <c r="C24" s="13"/>
      <c r="D24" s="13"/>
      <c r="E24" s="13"/>
      <c r="F24" s="13"/>
      <c r="G24" s="13"/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</row>
    <row r="25" ht="15.75" customHeight="1">
      <c r="A25" s="11" t="s">
        <v>187</v>
      </c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</row>
    <row r="26" ht="15.75" customHeight="1">
      <c r="A26" s="11" t="s">
        <v>188</v>
      </c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</row>
    <row r="27" ht="15.75" customHeight="1">
      <c r="A27" s="11" t="s">
        <v>189</v>
      </c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</row>
    <row r="28" ht="15.75" customHeight="1">
      <c r="A28" s="11" t="s">
        <v>191</v>
      </c>
      <c r="B28" s="13"/>
      <c r="C28" s="13"/>
      <c r="D28" s="13"/>
      <c r="E28" s="13"/>
      <c r="F28" s="13"/>
      <c r="G28" s="13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</row>
    <row r="29" ht="15.75" customHeight="1">
      <c r="A29" s="11" t="s">
        <v>192</v>
      </c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</row>
    <row r="30" ht="15.75" customHeight="1">
      <c r="A30" s="11" t="s">
        <v>194</v>
      </c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</row>
    <row r="31" ht="15.75" customHeight="1">
      <c r="A31" s="11" t="s">
        <v>195</v>
      </c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</row>
    <row r="32" ht="15.75" customHeight="1">
      <c r="A32" s="11" t="s">
        <v>196</v>
      </c>
      <c r="B32" s="13"/>
      <c r="C32" s="13"/>
      <c r="D32" s="13"/>
      <c r="E32" s="13"/>
      <c r="F32" s="13"/>
      <c r="G32" s="13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</row>
    <row r="33" ht="15.75" customHeight="1">
      <c r="A33" s="11" t="s">
        <v>198</v>
      </c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</row>
    <row r="34" ht="15.75" customHeight="1">
      <c r="A34" s="11" t="s">
        <v>199</v>
      </c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</row>
    <row r="35" ht="15.75" customHeight="1">
      <c r="A35" s="11" t="s">
        <v>200</v>
      </c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3"/>
      <c r="N35" s="17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7">
        <v>0.15</v>
      </c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</row>
    <row r="36" ht="15.75" customHeight="1">
      <c r="A36" s="11" t="s">
        <v>201</v>
      </c>
      <c r="B36" s="13"/>
      <c r="C36" s="13"/>
      <c r="D36" s="13"/>
      <c r="E36" s="13"/>
      <c r="F36" s="13"/>
      <c r="G36" s="13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</row>
    <row r="37" ht="15.75" customHeight="1">
      <c r="A37" s="11" t="s">
        <v>202</v>
      </c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</row>
    <row r="38" ht="15.75" customHeight="1">
      <c r="A38" s="11" t="s">
        <v>204</v>
      </c>
      <c r="B38" s="13"/>
      <c r="C38" s="13"/>
      <c r="D38" s="13"/>
      <c r="E38" s="13"/>
      <c r="F38" s="13"/>
      <c r="G38" s="13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</row>
    <row r="39" ht="15.75" customHeight="1">
      <c r="A39" s="11" t="s">
        <v>206</v>
      </c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</row>
    <row r="40" ht="15.75" customHeight="1">
      <c r="A40" s="11" t="s">
        <v>207</v>
      </c>
      <c r="B40" s="13"/>
      <c r="C40" s="13"/>
      <c r="D40" s="13"/>
      <c r="E40" s="13"/>
      <c r="F40" s="13"/>
      <c r="G40" s="13"/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</row>
    <row r="41" ht="15.75" customHeight="1">
      <c r="A41" s="11" t="s">
        <v>208</v>
      </c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</row>
    <row r="42" ht="15.75" customHeight="1">
      <c r="A42" s="11" t="s">
        <v>209</v>
      </c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</row>
    <row r="43" ht="15.75" customHeight="1">
      <c r="A43" s="11" t="s">
        <v>210</v>
      </c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</row>
    <row r="44" ht="15.75" customHeight="1">
      <c r="A44" s="11" t="s">
        <v>211</v>
      </c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29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</row>
    <row r="45" ht="15.75" customHeight="1">
      <c r="A45" s="11" t="s">
        <v>213</v>
      </c>
      <c r="B45" s="13"/>
      <c r="C45" s="13"/>
      <c r="D45" s="13"/>
      <c r="E45" s="13"/>
      <c r="F45" s="13"/>
      <c r="G45" s="13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</row>
    <row r="46" ht="15.75" customHeight="1">
      <c r="A46" s="11" t="s">
        <v>214</v>
      </c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</row>
    <row r="47" ht="15.75" customHeight="1">
      <c r="A47" s="11" t="s">
        <v>215</v>
      </c>
      <c r="B47" s="13"/>
      <c r="C47" s="13"/>
      <c r="D47" s="13"/>
      <c r="E47" s="13"/>
      <c r="F47" s="13"/>
      <c r="G47" s="13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</row>
    <row r="48" ht="15.75" customHeight="1">
      <c r="A48" s="11" t="s">
        <v>216</v>
      </c>
      <c r="B48" s="13"/>
      <c r="C48" s="13"/>
      <c r="D48" s="13"/>
      <c r="E48" s="13"/>
      <c r="F48" s="13"/>
      <c r="G48" s="13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</row>
    <row r="49" ht="15.75" customHeight="1">
      <c r="A49" s="11" t="s">
        <v>217</v>
      </c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</row>
    <row r="50" ht="15.75" customHeight="1">
      <c r="A50" s="11" t="s">
        <v>218</v>
      </c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>
        <v>0.0</v>
      </c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</row>
    <row r="51" ht="15.75" customHeight="1">
      <c r="A51" s="11" t="s">
        <v>219</v>
      </c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</row>
    <row r="52" ht="15.75" customHeight="1">
      <c r="A52" s="11" t="s">
        <v>220</v>
      </c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</row>
    <row r="53" ht="15.75" customHeight="1">
      <c r="A53" s="11" t="s">
        <v>221</v>
      </c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</row>
    <row r="54" ht="15.75" customHeight="1">
      <c r="A54" s="11" t="s">
        <v>222</v>
      </c>
      <c r="B54" s="13"/>
      <c r="C54" s="13"/>
      <c r="D54" s="13"/>
      <c r="E54" s="13"/>
      <c r="F54" s="13"/>
      <c r="G54" s="13"/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</row>
    <row r="55" ht="15.75" customHeight="1">
      <c r="A55" s="11" t="s">
        <v>223</v>
      </c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</row>
    <row r="56" ht="15.75" customHeight="1">
      <c r="A56" s="11" t="s">
        <v>224</v>
      </c>
      <c r="B56" s="13"/>
      <c r="C56" s="13"/>
      <c r="D56" s="13"/>
      <c r="E56" s="13"/>
      <c r="F56" s="13"/>
      <c r="G56" s="13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</row>
    <row r="57" ht="15.75" customHeight="1">
      <c r="A57" s="11" t="s">
        <v>225</v>
      </c>
      <c r="B57" s="13"/>
      <c r="C57" s="13"/>
      <c r="D57" s="13"/>
      <c r="E57" s="13"/>
      <c r="F57" s="13"/>
      <c r="G57" s="13"/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</row>
    <row r="58" ht="15.75" customHeight="1">
      <c r="A58" s="11" t="s">
        <v>226</v>
      </c>
      <c r="B58" s="13"/>
      <c r="C58" s="13"/>
      <c r="D58" s="13"/>
      <c r="E58" s="13"/>
      <c r="F58" s="13"/>
      <c r="G58" s="13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</row>
    <row r="59" ht="15.75" customHeight="1">
      <c r="A59" s="11" t="s">
        <v>230</v>
      </c>
      <c r="B59" s="13"/>
      <c r="C59" s="13"/>
      <c r="D59" s="13"/>
      <c r="E59" s="13"/>
      <c r="F59" s="13"/>
      <c r="G59" s="13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</row>
    <row r="60" ht="15.75" customHeight="1">
      <c r="A60" s="11" t="s">
        <v>232</v>
      </c>
      <c r="B60" s="13"/>
      <c r="C60" s="13"/>
      <c r="D60" s="13"/>
      <c r="E60" s="13"/>
      <c r="F60" s="13"/>
      <c r="G60" s="13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</row>
    <row r="61" ht="15.75" customHeight="1">
      <c r="A61" s="11" t="s">
        <v>234</v>
      </c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</row>
    <row r="62" ht="15.75" customHeight="1">
      <c r="A62" s="11" t="s">
        <v>235</v>
      </c>
      <c r="B62" s="13"/>
      <c r="C62" s="13"/>
      <c r="D62" s="13"/>
      <c r="E62" s="13"/>
      <c r="F62" s="13"/>
      <c r="G62" s="13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</row>
    <row r="63" ht="15.75" customHeight="1">
      <c r="A63" s="11" t="s">
        <v>236</v>
      </c>
      <c r="B63" s="13"/>
      <c r="C63" s="13"/>
      <c r="D63" s="13"/>
      <c r="E63" s="13"/>
      <c r="F63" s="13"/>
      <c r="G63" s="13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</row>
    <row r="64" ht="15.75" customHeight="1">
      <c r="A64" s="11" t="s">
        <v>238</v>
      </c>
      <c r="B64" s="13"/>
      <c r="C64" s="13"/>
      <c r="D64" s="13"/>
      <c r="E64" s="13"/>
      <c r="F64" s="13"/>
      <c r="G64" s="13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</row>
    <row r="65" ht="15.75" customHeight="1">
      <c r="A65" s="11" t="s">
        <v>241</v>
      </c>
      <c r="B65" s="13"/>
      <c r="C65" s="13"/>
      <c r="D65" s="13"/>
      <c r="E65" s="13"/>
      <c r="F65" s="13"/>
      <c r="G65" s="13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</row>
    <row r="66" ht="15.75" customHeight="1">
      <c r="A66" s="11" t="s">
        <v>242</v>
      </c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</row>
    <row r="67" ht="15.75" customHeight="1">
      <c r="A67" s="11" t="s">
        <v>243</v>
      </c>
      <c r="B67" s="13"/>
      <c r="C67" s="13"/>
      <c r="D67" s="13"/>
      <c r="E67" s="13"/>
      <c r="F67" s="13"/>
      <c r="G67" s="13"/>
      <c r="H67" s="1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</row>
    <row r="68" ht="15.75" customHeight="1">
      <c r="A68" s="11" t="s">
        <v>244</v>
      </c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</row>
    <row r="69" ht="15.75" customHeight="1">
      <c r="A69" s="11" t="s">
        <v>245</v>
      </c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</row>
    <row r="70" ht="15.75" customHeight="1">
      <c r="A70" s="11" t="s">
        <v>246</v>
      </c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</row>
    <row r="71" ht="15.75" customHeight="1">
      <c r="A71" s="11" t="s">
        <v>248</v>
      </c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</row>
    <row r="72" ht="15.75" customHeight="1">
      <c r="A72" s="11" t="s">
        <v>249</v>
      </c>
      <c r="B72" s="13"/>
      <c r="C72" s="13"/>
      <c r="D72" s="13"/>
      <c r="E72" s="13"/>
      <c r="F72" s="13"/>
      <c r="G72" s="13"/>
      <c r="H72" s="1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</row>
    <row r="73" ht="15.75" customHeight="1">
      <c r="A73" s="11" t="s">
        <v>250</v>
      </c>
      <c r="B73" s="13"/>
      <c r="C73" s="13"/>
      <c r="D73" s="13"/>
      <c r="E73" s="13"/>
      <c r="F73" s="13"/>
      <c r="G73" s="13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</row>
    <row r="74" ht="15.75" customHeight="1">
      <c r="A74" s="11" t="s">
        <v>251</v>
      </c>
      <c r="B74" s="13"/>
      <c r="C74" s="13"/>
      <c r="D74" s="13"/>
      <c r="E74" s="13"/>
      <c r="F74" s="13"/>
      <c r="G74" s="13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</row>
    <row r="75" ht="15.75" customHeight="1">
      <c r="A75" s="11" t="s">
        <v>252</v>
      </c>
      <c r="B75" s="13"/>
      <c r="C75" s="13"/>
      <c r="D75" s="13"/>
      <c r="E75" s="13"/>
      <c r="F75" s="13"/>
      <c r="G75" s="13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</row>
    <row r="76" ht="15.75" customHeight="1">
      <c r="A76" s="11" t="s">
        <v>253</v>
      </c>
      <c r="B76" s="13"/>
      <c r="C76" s="13"/>
      <c r="D76" s="13"/>
      <c r="E76" s="13"/>
      <c r="F76" s="13"/>
      <c r="G76" s="13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>
        <v>0.15</v>
      </c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</row>
    <row r="77" ht="15.75" customHeight="1">
      <c r="A77" s="11" t="s">
        <v>254</v>
      </c>
      <c r="B77" s="13"/>
      <c r="C77" s="13"/>
      <c r="D77" s="13"/>
      <c r="E77" s="13"/>
      <c r="F77" s="13"/>
      <c r="G77" s="13"/>
      <c r="H77" s="1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</row>
    <row r="78" ht="15.75" customHeight="1">
      <c r="A78" s="11" t="s">
        <v>255</v>
      </c>
      <c r="B78" s="13"/>
      <c r="C78" s="13"/>
      <c r="D78" s="13"/>
      <c r="E78" s="13"/>
      <c r="F78" s="13"/>
      <c r="G78" s="13"/>
      <c r="H78" s="1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</row>
    <row r="79" ht="15.75" customHeight="1">
      <c r="A79" s="11" t="s">
        <v>256</v>
      </c>
      <c r="B79" s="13"/>
      <c r="C79" s="13"/>
      <c r="D79" s="13"/>
      <c r="E79" s="13"/>
      <c r="F79" s="13"/>
      <c r="G79" s="13"/>
      <c r="H79" s="1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</row>
    <row r="80" ht="15.75" customHeight="1">
      <c r="A80" s="11" t="s">
        <v>257</v>
      </c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</row>
    <row r="81" ht="15.75" customHeight="1">
      <c r="A81" s="11" t="s">
        <v>258</v>
      </c>
      <c r="B81" s="13"/>
      <c r="C81" s="13"/>
      <c r="D81" s="13"/>
      <c r="E81" s="13"/>
      <c r="F81" s="13"/>
      <c r="G81" s="13"/>
      <c r="H81" s="1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</row>
    <row r="82" ht="15.75" customHeight="1">
      <c r="A82" s="11" t="s">
        <v>260</v>
      </c>
      <c r="B82" s="13"/>
      <c r="C82" s="13"/>
      <c r="D82" s="13"/>
      <c r="E82" s="13"/>
      <c r="F82" s="13"/>
      <c r="G82" s="13"/>
      <c r="H82" s="1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</row>
    <row r="83" ht="15.75" customHeight="1">
      <c r="A83" s="11" t="s">
        <v>261</v>
      </c>
      <c r="B83" s="13"/>
      <c r="C83" s="13"/>
      <c r="D83" s="13"/>
      <c r="E83" s="13"/>
      <c r="F83" s="13"/>
      <c r="G83" s="13"/>
      <c r="H83" s="1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</row>
    <row r="84" ht="15.75" customHeight="1">
      <c r="A84" s="11" t="s">
        <v>262</v>
      </c>
      <c r="B84" s="13"/>
      <c r="C84" s="13"/>
      <c r="D84" s="13"/>
      <c r="E84" s="13"/>
      <c r="F84" s="13"/>
      <c r="G84" s="13"/>
      <c r="H84" s="1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</row>
    <row r="85" ht="15.75" customHeight="1">
      <c r="A85" s="11" t="s">
        <v>263</v>
      </c>
      <c r="B85" s="13"/>
      <c r="C85" s="13"/>
      <c r="D85" s="13"/>
      <c r="E85" s="13"/>
      <c r="F85" s="13"/>
      <c r="G85" s="13"/>
      <c r="H85" s="1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</row>
    <row r="86" ht="15.75" customHeight="1">
      <c r="AB86" s="13"/>
      <c r="AP86" s="13"/>
      <c r="AR86" s="13"/>
      <c r="AW86" s="13"/>
      <c r="BE86" s="13"/>
      <c r="BG86" s="13"/>
      <c r="BH86" s="13"/>
      <c r="BI86" s="13"/>
      <c r="BK86" s="13"/>
      <c r="BL86" s="13"/>
      <c r="BM86" s="13"/>
      <c r="BN86" s="13"/>
      <c r="BO86" s="13"/>
      <c r="BP86" s="13"/>
      <c r="BQ86" s="13"/>
      <c r="BS86" s="13"/>
      <c r="BT86" s="13"/>
      <c r="BU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M86" s="13"/>
      <c r="CN86" s="13"/>
      <c r="CO86" s="13"/>
      <c r="CV86" s="13"/>
      <c r="CW86" s="13"/>
      <c r="CX86" s="13"/>
    </row>
    <row r="87" ht="15.75" customHeight="1">
      <c r="AB87" s="13"/>
      <c r="AP87" s="13"/>
      <c r="AR87" s="13"/>
      <c r="AW87" s="13"/>
      <c r="BE87" s="13"/>
      <c r="BG87" s="13"/>
      <c r="BH87" s="13"/>
      <c r="BI87" s="13"/>
      <c r="BK87" s="13"/>
      <c r="BL87" s="13"/>
      <c r="BM87" s="13"/>
      <c r="BN87" s="13"/>
      <c r="BO87" s="13"/>
      <c r="BP87" s="13"/>
      <c r="BQ87" s="13"/>
      <c r="BS87" s="13"/>
      <c r="BT87" s="13"/>
      <c r="BU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M87" s="13"/>
      <c r="CN87" s="13"/>
      <c r="CO87" s="13"/>
      <c r="CV87" s="13"/>
      <c r="CW87" s="13"/>
      <c r="CX87" s="13"/>
    </row>
    <row r="88" ht="15.75" customHeight="1">
      <c r="AP88" s="13"/>
      <c r="AR88" s="13"/>
      <c r="AW88" s="13"/>
      <c r="BE88" s="13"/>
      <c r="BG88" s="13"/>
      <c r="BH88" s="13"/>
      <c r="BI88" s="13"/>
      <c r="BK88" s="13"/>
      <c r="BL88" s="13"/>
      <c r="BM88" s="13"/>
      <c r="BN88" s="13"/>
      <c r="BO88" s="13"/>
      <c r="BP88" s="13"/>
      <c r="BQ88" s="13"/>
      <c r="BS88" s="13"/>
      <c r="BT88" s="13"/>
      <c r="BU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M88" s="13"/>
      <c r="CN88" s="13"/>
      <c r="CO88" s="13"/>
      <c r="CV88" s="13"/>
      <c r="CW88" s="13"/>
      <c r="CX88" s="13"/>
    </row>
    <row r="89" ht="15.75" customHeight="1">
      <c r="AP89" s="13"/>
      <c r="AR89" s="13"/>
      <c r="AW89" s="13"/>
      <c r="BE89" s="13"/>
      <c r="BG89" s="13"/>
      <c r="BH89" s="13"/>
      <c r="BI89" s="13"/>
      <c r="BK89" s="13"/>
      <c r="BL89" s="13"/>
      <c r="BM89" s="13"/>
      <c r="BN89" s="13"/>
      <c r="BO89" s="13"/>
      <c r="BP89" s="13"/>
      <c r="BQ89" s="13"/>
      <c r="BS89" s="13"/>
      <c r="BT89" s="13"/>
      <c r="BU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M89" s="13"/>
      <c r="CN89" s="13"/>
      <c r="CO89" s="13"/>
      <c r="CV89" s="13"/>
      <c r="CW89" s="13"/>
      <c r="CX89" s="13"/>
    </row>
    <row r="90" ht="15.75" customHeight="1">
      <c r="A90" s="7" t="s">
        <v>264</v>
      </c>
    </row>
    <row r="91" ht="15.75" customHeight="1">
      <c r="AP91" s="13"/>
      <c r="AR91" s="18"/>
      <c r="AW91" s="13"/>
      <c r="BE91" s="13"/>
      <c r="BG91" s="13"/>
      <c r="BH91" s="13"/>
      <c r="BI91" s="13"/>
      <c r="BK91" s="13"/>
      <c r="BL91" s="13"/>
      <c r="BM91" s="13"/>
      <c r="BN91" s="13"/>
      <c r="BO91" s="13"/>
      <c r="BP91" s="13"/>
      <c r="BQ91" s="13"/>
      <c r="BS91" s="13"/>
      <c r="BT91" s="13"/>
      <c r="BU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M91" s="13"/>
      <c r="CN91" s="13"/>
      <c r="CO91" s="13"/>
      <c r="CV91" s="13"/>
      <c r="CW91" s="13"/>
      <c r="CX91" s="13"/>
    </row>
    <row r="92" ht="15.75" customHeight="1">
      <c r="AP92" s="13"/>
      <c r="AR92" s="18"/>
      <c r="AW92" s="13"/>
      <c r="BE92" s="13"/>
      <c r="BG92" s="13"/>
      <c r="BH92" s="13"/>
      <c r="BI92" s="13"/>
      <c r="BK92" s="13"/>
      <c r="BL92" s="13"/>
      <c r="BM92" s="13"/>
      <c r="BN92" s="13"/>
      <c r="BO92" s="13"/>
      <c r="BP92" s="13"/>
      <c r="BQ92" s="13"/>
      <c r="BS92" s="13"/>
      <c r="BT92" s="13"/>
      <c r="BU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M92" s="13"/>
      <c r="CN92" s="13"/>
      <c r="CO92" s="13"/>
      <c r="CV92" s="13"/>
      <c r="CW92" s="13"/>
      <c r="CX92" s="13"/>
    </row>
    <row r="93" ht="15.75" customHeight="1">
      <c r="AP93" s="13"/>
      <c r="AR93" s="18"/>
      <c r="AW93" s="13"/>
      <c r="BE93" s="13"/>
      <c r="BG93" s="13"/>
      <c r="BH93" s="13"/>
      <c r="BI93" s="13"/>
      <c r="BK93" s="13"/>
      <c r="BL93" s="13"/>
      <c r="BM93" s="13"/>
      <c r="BN93" s="13"/>
      <c r="BO93" s="13"/>
      <c r="BP93" s="13"/>
      <c r="BQ93" s="13"/>
      <c r="BS93" s="13"/>
      <c r="BT93" s="13"/>
      <c r="BU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M93" s="13"/>
      <c r="CN93" s="13"/>
      <c r="CO93" s="13"/>
      <c r="CV93" s="13"/>
      <c r="CW93" s="13"/>
      <c r="CX93" s="13"/>
    </row>
    <row r="94" ht="15.75" customHeight="1">
      <c r="AP94" s="13"/>
      <c r="AR94" s="18"/>
      <c r="AW94" s="13"/>
      <c r="BE94" s="13"/>
      <c r="BG94" s="13"/>
      <c r="BH94" s="13"/>
      <c r="BI94" s="13"/>
      <c r="BK94" s="13"/>
      <c r="BL94" s="13"/>
      <c r="BM94" s="13"/>
      <c r="BN94" s="13"/>
      <c r="BO94" s="13"/>
      <c r="BP94" s="13"/>
      <c r="BQ94" s="13"/>
      <c r="BS94" s="13"/>
      <c r="BT94" s="13"/>
      <c r="BU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M94" s="13"/>
      <c r="CN94" s="13"/>
      <c r="CO94" s="13"/>
      <c r="CV94" s="13"/>
      <c r="CW94" s="13"/>
      <c r="CX94" s="13"/>
    </row>
    <row r="95" ht="15.75" customHeight="1">
      <c r="AP95" s="13"/>
      <c r="AR95" s="19"/>
      <c r="AW95" s="13"/>
      <c r="BE95" s="13"/>
      <c r="BG95" s="13"/>
      <c r="BH95" s="13"/>
      <c r="BI95" s="13"/>
      <c r="BK95" s="13"/>
      <c r="BL95" s="13"/>
      <c r="BM95" s="13"/>
      <c r="BN95" s="13"/>
      <c r="BO95" s="13"/>
      <c r="BP95" s="13"/>
      <c r="BQ95" s="13"/>
      <c r="BS95" s="13"/>
      <c r="BT95" s="13"/>
      <c r="BU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M95" s="13"/>
      <c r="CN95" s="13"/>
      <c r="CO95" s="13"/>
      <c r="CV95" s="13"/>
      <c r="CW95" s="13"/>
      <c r="CX95" s="13"/>
    </row>
    <row r="96" ht="15.75" customHeight="1">
      <c r="AP96" s="13"/>
      <c r="AR96" s="18"/>
      <c r="AW96" s="13"/>
      <c r="BE96" s="13"/>
      <c r="BG96" s="13"/>
      <c r="BH96" s="13"/>
      <c r="BI96" s="13"/>
      <c r="BK96" s="13"/>
      <c r="BL96" s="13"/>
      <c r="BM96" s="13"/>
      <c r="BN96" s="13"/>
      <c r="BO96" s="13"/>
      <c r="BP96" s="13"/>
      <c r="BQ96" s="13"/>
      <c r="BS96" s="13"/>
      <c r="BT96" s="13"/>
      <c r="BU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M96" s="13"/>
      <c r="CN96" s="13"/>
      <c r="CO96" s="13"/>
      <c r="CV96" s="13"/>
      <c r="CW96" s="13"/>
      <c r="CX96" s="13"/>
    </row>
    <row r="97" ht="15.75" customHeight="1">
      <c r="AP97" s="13"/>
      <c r="AR97" s="18"/>
      <c r="AW97" s="13"/>
      <c r="BE97" s="13"/>
      <c r="BG97" s="13"/>
      <c r="BH97" s="13"/>
      <c r="BI97" s="13"/>
      <c r="BK97" s="13"/>
      <c r="BL97" s="13"/>
      <c r="BM97" s="13"/>
      <c r="BN97" s="13"/>
      <c r="BO97" s="13"/>
      <c r="BP97" s="13"/>
      <c r="BQ97" s="13"/>
      <c r="BS97" s="13"/>
      <c r="BT97" s="13"/>
      <c r="BU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M97" s="13"/>
      <c r="CN97" s="13"/>
      <c r="CO97" s="13"/>
      <c r="CV97" s="13"/>
      <c r="CW97" s="13"/>
      <c r="CX97" s="13"/>
    </row>
    <row r="98" ht="15.75" customHeight="1">
      <c r="AP98" s="13"/>
      <c r="AR98" s="18"/>
      <c r="AW98" s="13"/>
      <c r="BE98" s="13"/>
      <c r="BG98" s="13"/>
      <c r="BH98" s="13"/>
      <c r="BI98" s="13"/>
      <c r="BK98" s="13"/>
      <c r="BL98" s="13"/>
      <c r="BM98" s="13"/>
      <c r="BN98" s="13"/>
      <c r="BO98" s="13"/>
      <c r="BP98" s="13"/>
      <c r="BQ98" s="13"/>
      <c r="BS98" s="13"/>
      <c r="BT98" s="13"/>
      <c r="BU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M98" s="13"/>
      <c r="CN98" s="13"/>
      <c r="CO98" s="13"/>
      <c r="CV98" s="13"/>
      <c r="CW98" s="13"/>
      <c r="CX98" s="13"/>
    </row>
    <row r="99" ht="15.75" customHeight="1">
      <c r="AP99" s="13"/>
      <c r="AR99" s="18"/>
      <c r="AW99" s="13"/>
      <c r="BE99" s="13"/>
      <c r="BG99" s="13"/>
      <c r="BH99" s="13"/>
      <c r="BI99" s="13"/>
      <c r="BK99" s="13"/>
      <c r="BL99" s="13"/>
      <c r="BM99" s="13"/>
      <c r="BN99" s="13"/>
      <c r="BO99" s="13"/>
      <c r="BP99" s="13"/>
      <c r="BQ99" s="13"/>
      <c r="BS99" s="13"/>
      <c r="BT99" s="13"/>
      <c r="BU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M99" s="13"/>
      <c r="CN99" s="13"/>
      <c r="CO99" s="13"/>
      <c r="CV99" s="13"/>
      <c r="CW99" s="13"/>
      <c r="CX99" s="13"/>
    </row>
    <row r="100" ht="15.75" customHeight="1">
      <c r="AP100" s="13"/>
      <c r="AR100" s="18"/>
      <c r="AW100" s="13"/>
      <c r="BE100" s="13"/>
      <c r="BG100" s="13"/>
      <c r="BH100" s="13"/>
      <c r="BI100" s="13"/>
      <c r="BK100" s="13"/>
      <c r="BL100" s="13"/>
      <c r="BM100" s="13"/>
      <c r="BN100" s="13"/>
      <c r="BO100" s="13"/>
      <c r="BP100" s="13"/>
      <c r="BQ100" s="13"/>
      <c r="BS100" s="13"/>
      <c r="BT100" s="13"/>
      <c r="BU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M100" s="13"/>
      <c r="CN100" s="13"/>
      <c r="CO100" s="13"/>
      <c r="CV100" s="13"/>
      <c r="CW100" s="13"/>
      <c r="CX100" s="13"/>
    </row>
    <row r="101" ht="15.75" customHeight="1">
      <c r="AP101" s="13"/>
      <c r="AR101" s="19"/>
      <c r="AW101" s="13"/>
      <c r="BE101" s="13"/>
      <c r="BG101" s="13"/>
      <c r="BH101" s="13"/>
      <c r="BI101" s="13"/>
      <c r="BK101" s="13"/>
      <c r="BL101" s="13"/>
      <c r="BM101" s="13"/>
      <c r="BN101" s="13"/>
      <c r="BO101" s="13"/>
      <c r="BP101" s="13"/>
      <c r="BQ101" s="13"/>
      <c r="BS101" s="13"/>
      <c r="BT101" s="13"/>
      <c r="BU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M101" s="13"/>
      <c r="CN101" s="13"/>
      <c r="CO101" s="13"/>
      <c r="CV101" s="13"/>
      <c r="CW101" s="13"/>
      <c r="CX101" s="13"/>
    </row>
    <row r="102" ht="15.75" customHeight="1">
      <c r="AP102" s="13"/>
      <c r="AR102" s="18"/>
      <c r="AW102" s="13"/>
      <c r="BE102" s="13"/>
      <c r="BG102" s="13"/>
      <c r="BH102" s="13"/>
      <c r="BI102" s="13"/>
      <c r="BK102" s="13"/>
      <c r="BL102" s="13"/>
      <c r="BM102" s="13"/>
      <c r="BN102" s="13"/>
      <c r="BO102" s="13"/>
      <c r="BP102" s="13"/>
      <c r="BQ102" s="13"/>
      <c r="BS102" s="13"/>
      <c r="BT102" s="13"/>
      <c r="BU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M102" s="13"/>
      <c r="CN102" s="13"/>
      <c r="CO102" s="13"/>
      <c r="CV102" s="13"/>
      <c r="CW102" s="13"/>
      <c r="CX102" s="13"/>
    </row>
    <row r="103" ht="15.75" customHeight="1">
      <c r="AP103" s="13"/>
      <c r="AR103" s="18"/>
      <c r="AW103" s="13"/>
      <c r="BE103" s="13"/>
      <c r="BG103" s="13"/>
      <c r="BH103" s="13"/>
      <c r="BI103" s="13"/>
      <c r="BK103" s="13"/>
      <c r="BL103" s="13"/>
      <c r="BM103" s="13"/>
      <c r="BN103" s="13"/>
      <c r="BO103" s="13"/>
      <c r="BP103" s="13"/>
      <c r="BQ103" s="13"/>
      <c r="BS103" s="13"/>
      <c r="BT103" s="13"/>
      <c r="BU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M103" s="13"/>
      <c r="CN103" s="13"/>
      <c r="CO103" s="13"/>
      <c r="CV103" s="13"/>
      <c r="CW103" s="13"/>
      <c r="CX103" s="13"/>
    </row>
    <row r="104" ht="15.75" customHeight="1">
      <c r="AP104" s="13"/>
      <c r="AR104" s="18"/>
      <c r="AW104" s="13"/>
      <c r="BE104" s="13"/>
      <c r="BG104" s="13"/>
      <c r="BH104" s="13"/>
      <c r="BI104" s="13"/>
      <c r="BK104" s="13"/>
      <c r="BL104" s="13"/>
      <c r="BM104" s="13"/>
      <c r="BN104" s="13"/>
      <c r="BO104" s="13"/>
      <c r="BP104" s="13"/>
      <c r="BQ104" s="13"/>
      <c r="BS104" s="13"/>
      <c r="BT104" s="13"/>
      <c r="BU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M104" s="13"/>
      <c r="CN104" s="13"/>
      <c r="CO104" s="13"/>
      <c r="CV104" s="13"/>
      <c r="CW104" s="13"/>
      <c r="CX104" s="13"/>
    </row>
    <row r="105" ht="15.75" customHeight="1">
      <c r="AP105" s="13"/>
      <c r="AR105" s="18"/>
      <c r="AW105" s="13"/>
      <c r="BE105" s="13"/>
      <c r="BG105" s="13"/>
      <c r="BH105" s="13"/>
      <c r="BI105" s="13"/>
      <c r="BK105" s="13"/>
      <c r="BL105" s="13"/>
      <c r="BM105" s="13"/>
      <c r="BN105" s="13"/>
      <c r="BO105" s="13"/>
      <c r="BP105" s="13"/>
      <c r="BQ105" s="13"/>
      <c r="BS105" s="13"/>
      <c r="BT105" s="13"/>
      <c r="BU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M105" s="13"/>
      <c r="CN105" s="13"/>
      <c r="CO105" s="13"/>
      <c r="CV105" s="13"/>
      <c r="CW105" s="13"/>
      <c r="CX105" s="13"/>
    </row>
    <row r="106" ht="15.75" customHeight="1">
      <c r="AP106" s="13"/>
      <c r="AR106" s="18"/>
      <c r="AW106" s="13"/>
      <c r="BE106" s="13"/>
      <c r="BG106" s="13"/>
      <c r="BH106" s="13"/>
      <c r="BI106" s="13"/>
      <c r="BK106" s="13"/>
      <c r="BL106" s="13"/>
      <c r="BM106" s="13"/>
      <c r="BN106" s="13"/>
      <c r="BO106" s="13"/>
      <c r="BP106" s="13"/>
      <c r="BQ106" s="13"/>
      <c r="BS106" s="13"/>
      <c r="BT106" s="13"/>
      <c r="BU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M106" s="13"/>
      <c r="CN106" s="13"/>
      <c r="CO106" s="13"/>
      <c r="CV106" s="13"/>
      <c r="CW106" s="13"/>
      <c r="CX106" s="13"/>
    </row>
    <row r="107" ht="15.75" customHeight="1">
      <c r="AP107" s="13"/>
      <c r="AR107" s="19"/>
      <c r="AW107" s="13"/>
      <c r="BE107" s="13"/>
      <c r="BG107" s="13"/>
      <c r="BH107" s="13"/>
      <c r="BI107" s="13"/>
      <c r="BK107" s="13"/>
      <c r="BL107" s="13"/>
      <c r="BM107" s="13"/>
      <c r="BN107" s="13"/>
      <c r="BO107" s="13"/>
      <c r="BP107" s="13"/>
      <c r="BQ107" s="13"/>
      <c r="BS107" s="13"/>
      <c r="BT107" s="13"/>
      <c r="BU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M107" s="13"/>
      <c r="CN107" s="13"/>
      <c r="CO107" s="13"/>
      <c r="CV107" s="13"/>
      <c r="CW107" s="13"/>
      <c r="CX107" s="13"/>
    </row>
    <row r="108" ht="15.75" customHeight="1">
      <c r="AP108" s="13"/>
      <c r="AR108" s="18"/>
      <c r="AW108" s="13"/>
      <c r="BE108" s="13"/>
      <c r="BG108" s="13"/>
      <c r="BH108" s="13"/>
      <c r="BI108" s="13"/>
      <c r="BK108" s="13"/>
      <c r="BL108" s="13"/>
      <c r="BM108" s="13"/>
      <c r="BN108" s="13"/>
      <c r="BO108" s="13"/>
      <c r="BP108" s="13"/>
      <c r="BQ108" s="13"/>
      <c r="BS108" s="13"/>
      <c r="BT108" s="13"/>
      <c r="BU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M108" s="13"/>
      <c r="CN108" s="13"/>
      <c r="CO108" s="13"/>
      <c r="CV108" s="13"/>
      <c r="CW108" s="13"/>
      <c r="CX108" s="13"/>
    </row>
    <row r="109" ht="15.75" customHeight="1">
      <c r="AP109" s="13"/>
      <c r="AR109" s="18"/>
      <c r="AW109" s="13"/>
      <c r="BE109" s="13"/>
      <c r="BG109" s="13"/>
      <c r="BH109" s="13"/>
      <c r="BI109" s="13"/>
      <c r="BK109" s="13"/>
      <c r="BL109" s="13"/>
      <c r="BM109" s="13"/>
      <c r="BN109" s="13"/>
      <c r="BO109" s="13"/>
      <c r="BP109" s="13"/>
      <c r="BQ109" s="13"/>
      <c r="BS109" s="13"/>
      <c r="BT109" s="13"/>
      <c r="BU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M109" s="13"/>
      <c r="CN109" s="13"/>
      <c r="CO109" s="13"/>
      <c r="CV109" s="13"/>
      <c r="CW109" s="13"/>
      <c r="CX109" s="13"/>
    </row>
    <row r="110" ht="15.75" customHeight="1">
      <c r="AP110" s="13"/>
      <c r="AR110" s="18"/>
      <c r="AW110" s="13"/>
      <c r="BE110" s="13"/>
      <c r="BG110" s="13"/>
      <c r="BH110" s="13"/>
      <c r="BI110" s="13"/>
      <c r="BK110" s="13"/>
      <c r="BL110" s="13"/>
      <c r="BM110" s="13"/>
      <c r="BN110" s="13"/>
      <c r="BO110" s="13"/>
      <c r="BP110" s="13"/>
      <c r="BQ110" s="13"/>
      <c r="BS110" s="13"/>
      <c r="BT110" s="13"/>
      <c r="BU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M110" s="13"/>
      <c r="CN110" s="13"/>
      <c r="CO110" s="13"/>
      <c r="CV110" s="13"/>
      <c r="CW110" s="13"/>
      <c r="CX110" s="13"/>
    </row>
    <row r="111" ht="15.75" customHeight="1">
      <c r="AP111" s="13"/>
      <c r="AR111" s="18"/>
      <c r="AW111" s="13"/>
      <c r="BE111" s="13"/>
      <c r="BG111" s="13"/>
      <c r="BH111" s="13"/>
      <c r="BI111" s="13"/>
      <c r="BK111" s="13"/>
      <c r="BL111" s="13"/>
      <c r="BM111" s="13"/>
      <c r="BN111" s="13"/>
      <c r="BO111" s="13"/>
      <c r="BP111" s="13"/>
      <c r="BQ111" s="13"/>
      <c r="BS111" s="13"/>
      <c r="BT111" s="13"/>
      <c r="BU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M111" s="13"/>
      <c r="CN111" s="13"/>
      <c r="CO111" s="13"/>
      <c r="CV111" s="13"/>
      <c r="CW111" s="13"/>
      <c r="CX111" s="13"/>
    </row>
    <row r="112" ht="15.75" customHeight="1">
      <c r="AP112" s="13"/>
      <c r="AR112" s="18"/>
      <c r="AW112" s="13"/>
      <c r="BE112" s="13"/>
      <c r="BG112" s="13"/>
      <c r="BH112" s="13"/>
      <c r="BI112" s="13"/>
      <c r="BK112" s="13"/>
      <c r="BL112" s="13"/>
      <c r="BM112" s="13"/>
      <c r="BN112" s="13"/>
      <c r="BO112" s="13"/>
      <c r="BP112" s="13"/>
      <c r="BQ112" s="13"/>
      <c r="BS112" s="13"/>
      <c r="BT112" s="13"/>
      <c r="BU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M112" s="13"/>
      <c r="CN112" s="13"/>
      <c r="CO112" s="13"/>
      <c r="CV112" s="13"/>
      <c r="CW112" s="13"/>
      <c r="CX112" s="13"/>
    </row>
    <row r="113" ht="15.75" customHeight="1">
      <c r="AP113" s="13"/>
      <c r="AR113" s="18"/>
      <c r="AW113" s="13"/>
      <c r="BE113" s="13"/>
      <c r="BG113" s="13"/>
      <c r="BH113" s="13"/>
      <c r="BI113" s="13"/>
      <c r="BK113" s="13"/>
      <c r="BL113" s="13"/>
      <c r="BM113" s="13"/>
      <c r="BN113" s="13"/>
      <c r="BO113" s="13"/>
      <c r="BP113" s="13"/>
      <c r="BQ113" s="13"/>
      <c r="BS113" s="13"/>
      <c r="BT113" s="13"/>
      <c r="BU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M113" s="13"/>
      <c r="CN113" s="13"/>
      <c r="CO113" s="13"/>
      <c r="CV113" s="13"/>
      <c r="CW113" s="13"/>
      <c r="CX113" s="13"/>
    </row>
    <row r="114" ht="15.75" customHeight="1">
      <c r="AP114" s="13"/>
      <c r="AR114" s="19"/>
      <c r="AW114" s="13"/>
      <c r="BE114" s="13"/>
      <c r="BG114" s="13"/>
      <c r="BH114" s="13"/>
      <c r="BI114" s="13"/>
      <c r="BK114" s="13"/>
      <c r="BL114" s="13"/>
      <c r="BM114" s="13"/>
      <c r="BN114" s="13"/>
      <c r="BO114" s="13"/>
      <c r="BP114" s="13"/>
      <c r="BQ114" s="13"/>
      <c r="BS114" s="13"/>
      <c r="BT114" s="13"/>
      <c r="BU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M114" s="13"/>
      <c r="CN114" s="13"/>
      <c r="CO114" s="13"/>
      <c r="CV114" s="13"/>
      <c r="CW114" s="13"/>
      <c r="CX114" s="13"/>
    </row>
    <row r="115" ht="15.75" customHeight="1">
      <c r="AP115" s="13"/>
      <c r="AR115" s="18"/>
      <c r="AW115" s="13"/>
      <c r="BE115" s="13"/>
      <c r="BG115" s="13"/>
      <c r="BH115" s="13"/>
      <c r="BI115" s="13"/>
      <c r="BK115" s="13"/>
      <c r="BL115" s="13"/>
      <c r="BM115" s="13"/>
      <c r="BN115" s="13"/>
      <c r="BO115" s="13"/>
      <c r="BP115" s="13"/>
      <c r="BQ115" s="13"/>
      <c r="BS115" s="13"/>
      <c r="BT115" s="13"/>
      <c r="BU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M115" s="13"/>
      <c r="CN115" s="13"/>
      <c r="CO115" s="13"/>
      <c r="CV115" s="13"/>
      <c r="CW115" s="13"/>
      <c r="CX115" s="13"/>
    </row>
    <row r="116" ht="15.75" customHeight="1">
      <c r="AP116" s="13"/>
      <c r="AR116" s="18"/>
      <c r="AW116" s="13"/>
      <c r="BE116" s="13"/>
      <c r="BG116" s="13"/>
      <c r="BH116" s="13"/>
      <c r="BI116" s="13"/>
      <c r="BK116" s="13"/>
      <c r="BL116" s="13"/>
      <c r="BM116" s="13"/>
      <c r="BN116" s="13"/>
      <c r="BO116" s="13"/>
      <c r="BP116" s="13"/>
      <c r="BQ116" s="13"/>
      <c r="BS116" s="13"/>
      <c r="BT116" s="13"/>
      <c r="BU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M116" s="13"/>
      <c r="CN116" s="13"/>
      <c r="CO116" s="13"/>
      <c r="CV116" s="13"/>
      <c r="CW116" s="13"/>
      <c r="CX116" s="13"/>
    </row>
    <row r="117" ht="15.75" customHeight="1">
      <c r="AP117" s="13"/>
      <c r="AR117" s="18"/>
      <c r="AW117" s="13"/>
      <c r="BE117" s="13"/>
      <c r="BG117" s="13"/>
      <c r="BH117" s="13"/>
      <c r="BI117" s="13"/>
      <c r="BK117" s="13"/>
      <c r="BL117" s="13"/>
      <c r="BM117" s="13"/>
      <c r="BN117" s="13"/>
      <c r="BO117" s="13"/>
      <c r="BP117" s="13"/>
      <c r="BQ117" s="13"/>
      <c r="BS117" s="13"/>
      <c r="BT117" s="13"/>
      <c r="BU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M117" s="13"/>
      <c r="CN117" s="13"/>
      <c r="CO117" s="13"/>
      <c r="CV117" s="13"/>
      <c r="CW117" s="13"/>
      <c r="CX117" s="13"/>
    </row>
    <row r="118" ht="15.75" customHeight="1">
      <c r="AP118" s="13"/>
      <c r="AR118" s="18"/>
      <c r="AW118" s="13"/>
      <c r="BE118" s="13"/>
      <c r="BG118" s="13"/>
      <c r="BH118" s="13"/>
      <c r="BI118" s="13"/>
      <c r="BK118" s="13"/>
      <c r="BL118" s="13"/>
      <c r="BM118" s="13"/>
      <c r="BN118" s="13"/>
      <c r="BO118" s="13"/>
      <c r="BP118" s="13"/>
      <c r="BQ118" s="13"/>
      <c r="BS118" s="13"/>
      <c r="BT118" s="13"/>
      <c r="BU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M118" s="13"/>
      <c r="CN118" s="13"/>
      <c r="CO118" s="13"/>
      <c r="CV118" s="13"/>
      <c r="CW118" s="13"/>
      <c r="CX118" s="13"/>
    </row>
    <row r="119" ht="15.75" customHeight="1">
      <c r="AP119" s="13"/>
      <c r="AR119" s="19"/>
      <c r="AW119" s="13"/>
      <c r="BE119" s="13"/>
      <c r="BG119" s="13"/>
      <c r="BH119" s="13"/>
      <c r="BI119" s="13"/>
      <c r="BK119" s="13"/>
      <c r="BL119" s="13"/>
      <c r="BM119" s="13"/>
      <c r="BN119" s="13"/>
      <c r="BO119" s="13"/>
      <c r="BP119" s="13"/>
      <c r="BQ119" s="13"/>
      <c r="BS119" s="13"/>
      <c r="BT119" s="13"/>
      <c r="BU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M119" s="13"/>
      <c r="CN119" s="13"/>
      <c r="CO119" s="13"/>
      <c r="CV119" s="13"/>
      <c r="CW119" s="13"/>
      <c r="CX119" s="13"/>
    </row>
    <row r="120" ht="15.75" customHeight="1">
      <c r="AP120" s="13"/>
      <c r="AR120" s="18"/>
      <c r="AW120" s="13"/>
      <c r="BE120" s="13"/>
      <c r="BG120" s="13"/>
      <c r="BH120" s="13"/>
      <c r="BI120" s="13"/>
      <c r="BK120" s="13"/>
      <c r="BL120" s="13"/>
      <c r="BM120" s="13"/>
      <c r="BN120" s="13"/>
      <c r="BO120" s="13"/>
      <c r="BP120" s="13"/>
      <c r="BQ120" s="13"/>
      <c r="BS120" s="13"/>
      <c r="BT120" s="13"/>
      <c r="BU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M120" s="13"/>
      <c r="CN120" s="13"/>
      <c r="CO120" s="13"/>
      <c r="CV120" s="13"/>
      <c r="CW120" s="13"/>
      <c r="CX120" s="13"/>
    </row>
    <row r="121" ht="15.75" customHeight="1">
      <c r="AP121" s="13"/>
      <c r="AR121" s="18"/>
      <c r="AW121" s="13"/>
      <c r="BE121" s="13"/>
      <c r="BG121" s="13"/>
      <c r="BH121" s="13"/>
      <c r="BI121" s="13"/>
      <c r="BK121" s="13"/>
      <c r="BL121" s="13"/>
      <c r="BM121" s="13"/>
      <c r="BN121" s="13"/>
      <c r="BO121" s="13"/>
      <c r="BP121" s="13"/>
      <c r="BQ121" s="13"/>
      <c r="BS121" s="13"/>
      <c r="BT121" s="13"/>
      <c r="BU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M121" s="13"/>
      <c r="CN121" s="13"/>
      <c r="CO121" s="13"/>
      <c r="CV121" s="13"/>
      <c r="CW121" s="13"/>
      <c r="CX121" s="13"/>
    </row>
    <row r="122" ht="15.75" customHeight="1">
      <c r="AP122" s="13"/>
      <c r="AR122" s="18"/>
      <c r="AW122" s="13"/>
      <c r="BE122" s="13"/>
      <c r="BG122" s="13"/>
      <c r="BH122" s="13"/>
      <c r="BI122" s="13"/>
      <c r="BK122" s="13"/>
      <c r="BL122" s="13"/>
      <c r="BM122" s="13"/>
      <c r="BN122" s="13"/>
      <c r="BO122" s="13"/>
      <c r="BP122" s="13"/>
      <c r="BQ122" s="13"/>
      <c r="BS122" s="13"/>
      <c r="BT122" s="13"/>
      <c r="BU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M122" s="13"/>
      <c r="CN122" s="13"/>
      <c r="CO122" s="13"/>
      <c r="CV122" s="13"/>
      <c r="CW122" s="13"/>
      <c r="CX122" s="13"/>
    </row>
    <row r="123" ht="15.75" customHeight="1">
      <c r="AP123" s="13"/>
      <c r="AR123" s="18"/>
      <c r="AW123" s="13"/>
      <c r="BE123" s="13"/>
      <c r="BG123" s="13"/>
      <c r="BH123" s="13"/>
      <c r="BI123" s="13"/>
      <c r="BK123" s="13"/>
      <c r="BL123" s="13"/>
      <c r="BM123" s="13"/>
      <c r="BN123" s="13"/>
      <c r="BO123" s="13"/>
      <c r="BP123" s="13"/>
      <c r="BQ123" s="13"/>
      <c r="BS123" s="13"/>
      <c r="BT123" s="13"/>
      <c r="BU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M123" s="13"/>
      <c r="CN123" s="13"/>
      <c r="CO123" s="13"/>
      <c r="CV123" s="13"/>
      <c r="CW123" s="13"/>
      <c r="CX123" s="13"/>
    </row>
    <row r="124" ht="15.75" customHeight="1">
      <c r="AP124" s="13"/>
      <c r="AR124" s="18"/>
      <c r="AW124" s="13"/>
      <c r="BE124" s="13"/>
      <c r="BG124" s="13"/>
      <c r="BH124" s="13"/>
      <c r="BI124" s="13"/>
      <c r="BK124" s="13"/>
      <c r="BL124" s="13"/>
      <c r="BM124" s="13"/>
      <c r="BN124" s="13"/>
      <c r="BO124" s="13"/>
      <c r="BP124" s="13"/>
      <c r="BQ124" s="13"/>
      <c r="BS124" s="13"/>
      <c r="BT124" s="13"/>
      <c r="BU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M124" s="13"/>
      <c r="CN124" s="13"/>
      <c r="CO124" s="13"/>
      <c r="CV124" s="13"/>
      <c r="CW124" s="13"/>
      <c r="CX124" s="13"/>
    </row>
    <row r="125" ht="15.75" customHeight="1">
      <c r="AP125" s="13"/>
      <c r="AR125" s="19"/>
      <c r="AW125" s="13"/>
      <c r="BE125" s="13"/>
      <c r="BG125" s="13"/>
      <c r="BH125" s="13"/>
      <c r="BI125" s="13"/>
      <c r="BK125" s="13"/>
      <c r="BL125" s="13"/>
      <c r="BM125" s="13"/>
      <c r="BN125" s="13"/>
      <c r="BO125" s="13"/>
      <c r="BP125" s="13"/>
      <c r="BQ125" s="13"/>
      <c r="BS125" s="13"/>
      <c r="BT125" s="13"/>
      <c r="BU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M125" s="13"/>
      <c r="CN125" s="13"/>
      <c r="CO125" s="13"/>
      <c r="CV125" s="13"/>
      <c r="CW125" s="13"/>
      <c r="CX125" s="13"/>
    </row>
    <row r="126" ht="15.75" customHeight="1">
      <c r="AP126" s="13"/>
      <c r="AR126" s="18"/>
    </row>
    <row r="127" ht="15.75" customHeight="1">
      <c r="AP127" s="13"/>
      <c r="AR127" s="18"/>
    </row>
    <row r="128" ht="15.75" customHeight="1">
      <c r="AP128" s="13"/>
      <c r="AR128" s="18"/>
    </row>
    <row r="129" ht="15.75" customHeight="1">
      <c r="AP129" s="13"/>
      <c r="AR129" s="18"/>
    </row>
    <row r="130" ht="15.75" customHeight="1">
      <c r="AP130" s="13"/>
      <c r="AR130" s="18"/>
    </row>
    <row r="131" ht="15.75" customHeight="1">
      <c r="AP131" s="13"/>
      <c r="AR131" s="19"/>
    </row>
    <row r="132" ht="15.75" customHeight="1">
      <c r="AP132" s="13"/>
      <c r="AR132" s="18"/>
    </row>
    <row r="133" ht="15.75" customHeight="1">
      <c r="AP133" s="13"/>
      <c r="AR133" s="18"/>
    </row>
    <row r="134" ht="15.75" customHeight="1">
      <c r="AP134" s="13"/>
      <c r="AR134" s="18"/>
    </row>
    <row r="135" ht="15.75" customHeight="1">
      <c r="AP135" s="13"/>
      <c r="AR135" s="18"/>
    </row>
    <row r="136" ht="15.75" customHeight="1">
      <c r="AP136" s="13"/>
      <c r="AR136" s="18"/>
    </row>
    <row r="137" ht="15.75" customHeight="1">
      <c r="AP137" s="13"/>
      <c r="AR137" s="19"/>
    </row>
    <row r="138" ht="15.75" customHeight="1">
      <c r="AP138" s="13"/>
      <c r="AR138" s="18"/>
    </row>
    <row r="139" ht="15.75" customHeight="1">
      <c r="AP139" s="13"/>
      <c r="AR139" s="18"/>
    </row>
    <row r="140" ht="15.75" customHeight="1">
      <c r="AP140" s="13"/>
      <c r="AR140" s="18"/>
    </row>
    <row r="141" ht="15.75" customHeight="1">
      <c r="AP141" s="13"/>
      <c r="AR141" s="18"/>
    </row>
    <row r="142" ht="15.75" customHeight="1">
      <c r="AP142" s="13"/>
      <c r="AR142" s="18"/>
    </row>
    <row r="143" ht="15.75" customHeight="1">
      <c r="AP143" s="13"/>
      <c r="AR143" s="18"/>
    </row>
    <row r="144" ht="15.75" customHeight="1">
      <c r="AP144" s="13"/>
      <c r="AR144" s="19"/>
    </row>
    <row r="145" ht="15.75" customHeight="1">
      <c r="AP145" s="13"/>
      <c r="AR145" s="18"/>
    </row>
    <row r="146" ht="15.75" customHeight="1">
      <c r="AP146" s="13"/>
      <c r="AR146" s="18"/>
    </row>
    <row r="147" ht="15.75" customHeight="1">
      <c r="AP147" s="13"/>
      <c r="AR147" s="18"/>
    </row>
    <row r="148" ht="15.75" customHeight="1">
      <c r="AP148" s="13"/>
      <c r="AR148" s="18"/>
    </row>
    <row r="149" ht="15.75" customHeight="1">
      <c r="AP149" s="13"/>
      <c r="AR149" s="18"/>
    </row>
    <row r="150" ht="15.75" customHeight="1">
      <c r="AP150" s="13"/>
      <c r="AR150" s="19"/>
    </row>
    <row r="151" ht="15.75" customHeight="1">
      <c r="AP151" s="13"/>
      <c r="AR151" s="18"/>
    </row>
    <row r="152" ht="15.75" customHeight="1">
      <c r="AP152" s="13"/>
      <c r="AR152" s="18"/>
    </row>
    <row r="153" ht="15.75" customHeight="1">
      <c r="AP153" s="13"/>
      <c r="AR153" s="18"/>
    </row>
    <row r="154" ht="15.75" customHeight="1">
      <c r="AP154" s="13"/>
      <c r="AR154" s="18"/>
    </row>
    <row r="155" ht="15.75" customHeight="1">
      <c r="AP155" s="13"/>
      <c r="AR155" s="19"/>
    </row>
    <row r="156" ht="15.75" customHeight="1">
      <c r="AP156" s="13"/>
      <c r="AR156" s="18"/>
    </row>
    <row r="157" ht="15.75" customHeight="1">
      <c r="AP157" s="13"/>
      <c r="AR157" s="18"/>
    </row>
    <row r="158" ht="15.75" customHeight="1">
      <c r="AP158" s="13"/>
      <c r="AR158" s="18"/>
    </row>
    <row r="159" ht="15.75" customHeight="1">
      <c r="AP159" s="13"/>
      <c r="AR159" s="18"/>
    </row>
    <row r="160" ht="15.75" customHeight="1">
      <c r="AP160" s="13"/>
      <c r="AR160" s="18"/>
    </row>
    <row r="161" ht="15.75" customHeight="1">
      <c r="AP161" s="13"/>
      <c r="AR161" s="19"/>
    </row>
    <row r="162" ht="15.75" customHeight="1">
      <c r="AP162" s="13"/>
      <c r="AR162" s="18"/>
    </row>
    <row r="163" ht="15.75" customHeight="1">
      <c r="AP163" s="13"/>
      <c r="AR163" s="18"/>
    </row>
    <row r="164" ht="15.75" customHeight="1">
      <c r="AP164" s="13"/>
      <c r="AR164" s="18"/>
    </row>
    <row r="165" ht="15.75" customHeight="1">
      <c r="AP165" s="13"/>
      <c r="AR165" s="18"/>
    </row>
    <row r="166" ht="15.75" customHeight="1">
      <c r="AP166" s="13"/>
      <c r="AR166" s="18"/>
    </row>
    <row r="167" ht="15.75" customHeight="1">
      <c r="AP167" s="13"/>
      <c r="AR167" s="19"/>
    </row>
    <row r="168" ht="15.75" customHeight="1">
      <c r="AP168" s="13"/>
      <c r="AR168" s="18"/>
    </row>
    <row r="169" ht="15.75" customHeight="1">
      <c r="AP169" s="13"/>
      <c r="AR169" s="18"/>
    </row>
    <row r="170" ht="15.75" customHeight="1">
      <c r="AP170" s="13"/>
      <c r="AR170" s="18"/>
    </row>
    <row r="171" ht="15.75" customHeight="1">
      <c r="AP171" s="13"/>
      <c r="AR171" s="18"/>
    </row>
    <row r="172" ht="15.75" customHeight="1">
      <c r="AP172" s="13"/>
      <c r="AR172" s="18"/>
    </row>
    <row r="173" ht="15.75" customHeight="1">
      <c r="AP173" s="13"/>
      <c r="AR173" s="18"/>
    </row>
    <row r="174" ht="15.75" customHeight="1">
      <c r="AP174" s="13"/>
      <c r="AR174" s="19"/>
    </row>
    <row r="175" ht="15.75" customHeight="1">
      <c r="AP175" s="13"/>
      <c r="AR175" s="18"/>
    </row>
    <row r="176" ht="15.75" customHeight="1">
      <c r="AP176" s="13"/>
      <c r="AR176" s="18"/>
    </row>
    <row r="177" ht="15.75" customHeight="1">
      <c r="AP177" s="13"/>
      <c r="AR177" s="18"/>
    </row>
    <row r="178" ht="15.75" customHeight="1">
      <c r="AP178" s="13"/>
      <c r="AR178" s="18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ustomSheetViews>
    <customSheetView guid="{4558648A-AC5D-4C7F-81B1-6EC982C5090B}" filter="1" showAutoFilter="1">
      <autoFilter ref="$A$3:$CY$85"/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88"/>
  </cols>
  <sheetData>
    <row r="1">
      <c r="A1" s="30" t="s">
        <v>289</v>
      </c>
      <c r="B1" s="30" t="s">
        <v>290</v>
      </c>
      <c r="C1" s="30">
        <v>1.0</v>
      </c>
      <c r="D1" s="30">
        <v>2.0</v>
      </c>
      <c r="E1" s="30">
        <v>3.0</v>
      </c>
      <c r="F1" s="30">
        <v>4.0</v>
      </c>
      <c r="G1" s="30">
        <v>5.0</v>
      </c>
      <c r="H1" s="30">
        <v>6.0</v>
      </c>
      <c r="I1" s="30" t="s">
        <v>291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7">
        <v>1.0</v>
      </c>
      <c r="C2" s="7">
        <v>1.0</v>
      </c>
      <c r="I2" s="11" t="b">
        <f t="shared" ref="I2:I9" si="1">sum(C2:H2)=1</f>
        <v>1</v>
      </c>
    </row>
    <row r="3">
      <c r="A3" s="7">
        <v>2.0</v>
      </c>
      <c r="D3" s="7">
        <v>1.0</v>
      </c>
      <c r="I3" s="11" t="b">
        <f t="shared" si="1"/>
        <v>1</v>
      </c>
    </row>
    <row r="4">
      <c r="A4" s="7">
        <v>3.0</v>
      </c>
      <c r="E4" s="7">
        <v>1.0</v>
      </c>
      <c r="I4" s="11" t="b">
        <f t="shared" si="1"/>
        <v>1</v>
      </c>
    </row>
    <row r="5">
      <c r="A5" s="7">
        <v>4.0</v>
      </c>
      <c r="F5" s="7">
        <v>1.0</v>
      </c>
      <c r="I5" s="11" t="b">
        <f t="shared" si="1"/>
        <v>1</v>
      </c>
    </row>
    <row r="6">
      <c r="A6" s="7">
        <v>5.0</v>
      </c>
      <c r="B6" s="7" t="s">
        <v>292</v>
      </c>
      <c r="G6" s="7">
        <v>1.0</v>
      </c>
      <c r="I6" s="11" t="b">
        <f t="shared" si="1"/>
        <v>1</v>
      </c>
    </row>
    <row r="7">
      <c r="A7" s="7">
        <v>6.0</v>
      </c>
      <c r="B7" s="7" t="s">
        <v>293</v>
      </c>
      <c r="H7" s="7">
        <v>1.0</v>
      </c>
      <c r="I7" s="11" t="b">
        <f t="shared" si="1"/>
        <v>1</v>
      </c>
    </row>
    <row r="8">
      <c r="A8" s="7" t="s">
        <v>294</v>
      </c>
      <c r="C8" s="7">
        <v>0.0</v>
      </c>
      <c r="D8" s="7">
        <v>0.5</v>
      </c>
      <c r="E8" s="7">
        <v>0.5</v>
      </c>
      <c r="F8" s="7">
        <v>0.0</v>
      </c>
      <c r="G8" s="7">
        <v>0.0</v>
      </c>
      <c r="H8" s="7">
        <v>0.0</v>
      </c>
      <c r="I8" s="11" t="b">
        <f t="shared" si="1"/>
        <v>1</v>
      </c>
    </row>
    <row r="9">
      <c r="A9" s="7" t="s">
        <v>295</v>
      </c>
      <c r="C9" s="7">
        <v>0.1</v>
      </c>
      <c r="D9" s="7">
        <v>0.2</v>
      </c>
      <c r="H9" s="7">
        <v>0.7</v>
      </c>
      <c r="I9" s="11" t="b">
        <f t="shared" si="1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4" width="10.63"/>
    <col customWidth="1" min="5" max="5" width="13.88"/>
    <col customWidth="1" min="6" max="6" width="8.13"/>
    <col customWidth="1" min="7" max="7" width="7.75"/>
    <col customWidth="1" min="8" max="8" width="18.38"/>
    <col customWidth="1" min="9" max="9" width="11.38"/>
    <col customWidth="1" min="10" max="12" width="19.63"/>
  </cols>
  <sheetData>
    <row r="1">
      <c r="A1" s="1" t="s">
        <v>0</v>
      </c>
      <c r="B1" s="2" t="s">
        <v>156</v>
      </c>
      <c r="C1" s="2" t="s">
        <v>296</v>
      </c>
      <c r="D1" s="1" t="s">
        <v>6</v>
      </c>
      <c r="E1" s="1" t="s">
        <v>9</v>
      </c>
      <c r="F1" s="1" t="s">
        <v>16</v>
      </c>
      <c r="G1" s="1" t="s">
        <v>24</v>
      </c>
      <c r="H1" s="1" t="s">
        <v>32</v>
      </c>
      <c r="I1" s="2" t="s">
        <v>98</v>
      </c>
      <c r="J1" s="1" t="s">
        <v>10</v>
      </c>
      <c r="K1" s="3" t="s">
        <v>17</v>
      </c>
      <c r="L1" s="32" t="s">
        <v>11</v>
      </c>
    </row>
    <row r="2">
      <c r="A2" s="11" t="s">
        <v>162</v>
      </c>
      <c r="B2" s="13">
        <f>iferror(if(countif('COFA - live'!E:E,A2),VLOOKUP("stable",'COFA - live'!$A$1:$C$70,3,False),VLOOKUP(A2,'COFA - live'!$A$1:$C$70,3,False)))</f>
        <v>0.04</v>
      </c>
      <c r="C2" s="13"/>
      <c r="D2" s="13"/>
      <c r="E2" s="17">
        <v>0.0</v>
      </c>
      <c r="F2" s="13"/>
      <c r="G2" s="13"/>
      <c r="H2" s="13"/>
      <c r="I2" s="13"/>
      <c r="J2" s="13"/>
      <c r="K2" s="13">
        <v>0.0</v>
      </c>
      <c r="L2" s="13">
        <v>0.0</v>
      </c>
    </row>
    <row r="3">
      <c r="A3" s="11" t="s">
        <v>163</v>
      </c>
      <c r="B3" s="13" t="str">
        <f>iferror(if(countif('COFA - live'!E:E,A3),VLOOKUP("stable",'COFA - live'!$A$1:$C$70,3,False),VLOOKUP(A3,'COFA - live'!$A$1:$C$70,3,False)))</f>
        <v/>
      </c>
      <c r="C3" s="13"/>
      <c r="D3" s="13"/>
      <c r="E3" s="17">
        <v>0.0</v>
      </c>
      <c r="F3" s="13"/>
      <c r="G3" s="13"/>
      <c r="H3" s="13"/>
      <c r="I3" s="13"/>
      <c r="J3" s="13"/>
      <c r="K3" s="13">
        <v>0.0</v>
      </c>
      <c r="L3" s="13">
        <v>0.0</v>
      </c>
    </row>
    <row r="4">
      <c r="A4" s="11" t="s">
        <v>164</v>
      </c>
      <c r="B4" s="13">
        <f>iferror(if(countif('COFA - live'!E:E,A4),VLOOKUP("stable",'COFA - live'!$A$1:$C$70,3,False),VLOOKUP(A4,'COFA - live'!$A$1:$C$70,3,False)))</f>
        <v>0.0385</v>
      </c>
      <c r="C4" s="13"/>
      <c r="D4" s="13"/>
      <c r="E4" s="17">
        <v>0.0</v>
      </c>
      <c r="F4" s="13"/>
      <c r="G4" s="13"/>
      <c r="H4" s="13"/>
      <c r="I4" s="13"/>
      <c r="J4" s="13"/>
      <c r="K4" s="13">
        <v>0.0</v>
      </c>
      <c r="L4" s="13">
        <v>0.0</v>
      </c>
    </row>
    <row r="5">
      <c r="A5" s="11" t="s">
        <v>165</v>
      </c>
      <c r="B5" s="13">
        <f>iferror(if(countif('COFA - live'!E:E,A5),VLOOKUP("stable",'COFA - live'!$A$1:$C$70,3,False),VLOOKUP(A5,'COFA - live'!$A$1:$C$70,3,False)))</f>
        <v>0.0205</v>
      </c>
      <c r="C5" s="13"/>
      <c r="D5" s="13"/>
      <c r="E5" s="17">
        <v>0.0</v>
      </c>
      <c r="F5" s="13"/>
      <c r="G5" s="13"/>
      <c r="H5" s="13"/>
      <c r="I5" s="13"/>
      <c r="J5" s="13"/>
      <c r="K5" s="13">
        <v>0.0</v>
      </c>
      <c r="L5" s="13">
        <v>0.0</v>
      </c>
    </row>
    <row r="6">
      <c r="A6" s="11" t="s">
        <v>166</v>
      </c>
      <c r="B6" s="13" t="str">
        <f>iferror(if(countif('COFA - live'!E:E,A6),VLOOKUP("stable",'COFA - live'!$A$1:$C$70,3,False),VLOOKUP(A6,'COFA - live'!$A$1:$C$70,3,False)))</f>
        <v/>
      </c>
      <c r="C6" s="13"/>
      <c r="D6" s="13"/>
      <c r="E6" s="17">
        <v>0.0</v>
      </c>
      <c r="F6" s="13"/>
      <c r="G6" s="13"/>
      <c r="H6" s="13"/>
      <c r="I6" s="13"/>
      <c r="J6" s="13"/>
      <c r="K6" s="13">
        <v>0.0</v>
      </c>
      <c r="L6" s="13">
        <v>0.0</v>
      </c>
    </row>
    <row r="7">
      <c r="A7" s="11" t="s">
        <v>168</v>
      </c>
      <c r="B7" s="13" t="str">
        <f>iferror(if(countif('COFA - live'!E:E,A7),VLOOKUP("stable",'COFA - live'!$A$1:$C$70,3,False),VLOOKUP(A7,'COFA - live'!$A$1:$C$70,3,False)))</f>
        <v/>
      </c>
      <c r="C7" s="13"/>
      <c r="D7" s="13"/>
      <c r="E7" s="17">
        <v>0.0</v>
      </c>
      <c r="F7" s="13"/>
      <c r="G7" s="13"/>
      <c r="H7" s="13"/>
      <c r="I7" s="13"/>
      <c r="J7" s="13"/>
      <c r="K7" s="13">
        <v>0.0</v>
      </c>
      <c r="L7" s="13">
        <v>0.0</v>
      </c>
    </row>
    <row r="8">
      <c r="A8" s="11" t="s">
        <v>169</v>
      </c>
      <c r="B8" s="13" t="str">
        <f>iferror(if(countif('COFA - live'!E:E,A8),VLOOKUP("stable",'COFA - live'!$A$1:$C$70,3,False),VLOOKUP(A8,'COFA - live'!$A$1:$C$70,3,False)))</f>
        <v/>
      </c>
      <c r="C8" s="13"/>
      <c r="D8" s="13"/>
      <c r="E8" s="17">
        <v>0.0</v>
      </c>
      <c r="F8" s="13"/>
      <c r="G8" s="13"/>
      <c r="H8" s="13"/>
      <c r="I8" s="13"/>
      <c r="J8" s="13"/>
      <c r="K8" s="13">
        <v>0.0</v>
      </c>
      <c r="L8" s="13">
        <v>0.0</v>
      </c>
    </row>
    <row r="9">
      <c r="A9" s="11" t="s">
        <v>170</v>
      </c>
      <c r="B9" s="13" t="str">
        <f>iferror(if(countif('COFA - live'!E:E,A9),VLOOKUP("stable",'COFA - live'!$A$1:$C$70,3,False),VLOOKUP(A9,'COFA - live'!$A$1:$C$70,3,False)))</f>
        <v/>
      </c>
      <c r="C9" s="13"/>
      <c r="D9" s="13"/>
      <c r="E9" s="17">
        <v>0.0</v>
      </c>
      <c r="F9" s="13"/>
      <c r="G9" s="13"/>
      <c r="H9" s="13"/>
      <c r="I9" s="13"/>
      <c r="J9" s="13"/>
      <c r="K9" s="13">
        <v>0.0</v>
      </c>
      <c r="L9" s="13">
        <v>0.0</v>
      </c>
    </row>
    <row r="10">
      <c r="A10" s="11" t="s">
        <v>171</v>
      </c>
      <c r="B10" s="13" t="str">
        <f>iferror(if(countif('COFA - live'!E:E,A10),VLOOKUP("stable",'COFA - live'!$A$1:$C$70,3,False),VLOOKUP(A10,'COFA - live'!$A$1:$C$70,3,False)))</f>
        <v/>
      </c>
      <c r="C10" s="13"/>
      <c r="D10" s="13"/>
      <c r="E10" s="17">
        <v>0.0</v>
      </c>
      <c r="F10" s="13"/>
      <c r="G10" s="13"/>
      <c r="H10" s="13"/>
      <c r="I10" s="13"/>
      <c r="J10" s="13"/>
      <c r="K10" s="13">
        <v>0.0</v>
      </c>
      <c r="L10" s="13">
        <v>0.0</v>
      </c>
    </row>
    <row r="11">
      <c r="A11" s="11" t="s">
        <v>174</v>
      </c>
      <c r="B11" s="13" t="str">
        <f>iferror(if(countif('COFA - live'!E:E,A11),VLOOKUP("stable",'COFA - live'!$A$1:$C$70,3,False),VLOOKUP(A11,'COFA - live'!$A$1:$C$70,3,False)))</f>
        <v/>
      </c>
      <c r="C11" s="13"/>
      <c r="D11" s="13"/>
      <c r="E11" s="17">
        <v>0.0</v>
      </c>
      <c r="F11" s="13"/>
      <c r="G11" s="13"/>
      <c r="H11" s="13"/>
      <c r="I11" s="13"/>
      <c r="J11" s="13"/>
      <c r="K11" s="13">
        <v>0.0</v>
      </c>
      <c r="L11" s="13">
        <v>0.0</v>
      </c>
    </row>
    <row r="12">
      <c r="A12" s="11" t="s">
        <v>175</v>
      </c>
      <c r="B12" s="13" t="str">
        <f>iferror(if(countif('COFA - live'!E:E,A12),VLOOKUP("stable",'COFA - live'!$A$1:$C$70,3,False),VLOOKUP(A12,'COFA - live'!$A$1:$C$70,3,False)))</f>
        <v/>
      </c>
      <c r="C12" s="13"/>
      <c r="D12" s="13"/>
      <c r="E12" s="17">
        <v>0.0</v>
      </c>
      <c r="F12" s="13"/>
      <c r="G12" s="13"/>
      <c r="H12" s="13"/>
      <c r="I12" s="13"/>
      <c r="J12" s="13"/>
      <c r="K12" s="13">
        <v>0.0</v>
      </c>
      <c r="L12" s="13">
        <v>0.0</v>
      </c>
    </row>
    <row r="13">
      <c r="A13" s="11" t="s">
        <v>176</v>
      </c>
      <c r="B13" s="13">
        <f>iferror(if(countif('COFA - live'!E:E,A13),VLOOKUP("stable",'COFA - live'!$A$1:$C$70,3,False),VLOOKUP(A13,'COFA - live'!$A$1:$C$70,3,False)))</f>
        <v>0.0097</v>
      </c>
      <c r="C13" s="13"/>
      <c r="D13" s="13"/>
      <c r="E13" s="17">
        <v>0.0</v>
      </c>
      <c r="F13" s="13"/>
      <c r="G13" s="13"/>
      <c r="H13" s="13"/>
      <c r="I13" s="13"/>
      <c r="J13" s="13"/>
      <c r="K13" s="13">
        <v>0.0</v>
      </c>
      <c r="L13" s="13">
        <v>0.0</v>
      </c>
    </row>
    <row r="14">
      <c r="A14" s="11" t="s">
        <v>177</v>
      </c>
      <c r="B14" s="13">
        <f>iferror(if(countif('COFA - live'!E:E,A14),VLOOKUP("stable",'COFA - live'!$A$1:$C$70,3,False),VLOOKUP(A14,'COFA - live'!$A$1:$C$70,3,False)))</f>
        <v>0.0225</v>
      </c>
      <c r="C14" s="13"/>
      <c r="D14" s="13"/>
      <c r="E14" s="17">
        <v>0.0</v>
      </c>
      <c r="F14" s="13"/>
      <c r="G14" s="13"/>
      <c r="H14" s="13"/>
      <c r="I14" s="13"/>
      <c r="J14" s="13"/>
      <c r="K14" s="13">
        <v>0.0</v>
      </c>
      <c r="L14" s="13">
        <v>0.0</v>
      </c>
    </row>
    <row r="15">
      <c r="A15" s="11" t="s">
        <v>178</v>
      </c>
      <c r="B15" s="13">
        <f>iferror(if(countif('COFA - live'!E:E,A15),VLOOKUP("stable",'COFA - live'!$A$1:$C$70,3,False),VLOOKUP(A15,'COFA - live'!$A$1:$C$70,3,False)))</f>
        <v>0.0581</v>
      </c>
      <c r="C15" s="13"/>
      <c r="D15" s="13"/>
      <c r="E15" s="17">
        <v>0.0</v>
      </c>
      <c r="F15" s="13"/>
      <c r="G15" s="13"/>
      <c r="H15" s="13"/>
      <c r="I15" s="13"/>
      <c r="J15" s="13"/>
      <c r="K15" s="13">
        <v>0.0</v>
      </c>
      <c r="L15" s="13">
        <v>0.0</v>
      </c>
    </row>
    <row r="16">
      <c r="A16" s="11" t="s">
        <v>179</v>
      </c>
      <c r="B16" s="13">
        <f>iferror(if(countif('COFA - live'!E:E,A16),VLOOKUP("stable",'COFA - live'!$A$1:$C$70,3,False),VLOOKUP(A16,'COFA - live'!$A$1:$C$70,3,False)))</f>
        <v>0.0595</v>
      </c>
      <c r="C16" s="13"/>
      <c r="D16" s="13"/>
      <c r="E16" s="17">
        <v>0.0</v>
      </c>
      <c r="F16" s="13"/>
      <c r="G16" s="13"/>
      <c r="H16" s="13"/>
      <c r="I16" s="13"/>
      <c r="J16" s="13"/>
      <c r="K16" s="13">
        <v>0.0</v>
      </c>
      <c r="L16" s="13">
        <v>0.0</v>
      </c>
    </row>
    <row r="17">
      <c r="A17" s="11" t="s">
        <v>181</v>
      </c>
      <c r="B17" s="13" t="str">
        <f>iferror(if(countif('COFA - live'!E:E,A17),VLOOKUP("stable",'COFA - live'!$A$1:$C$70,3,False),VLOOKUP(A17,'COFA - live'!$A$1:$C$70,3,False)))</f>
        <v/>
      </c>
      <c r="C17" s="13"/>
      <c r="D17" s="13"/>
      <c r="E17" s="17">
        <v>0.0</v>
      </c>
      <c r="F17" s="13"/>
      <c r="G17" s="13"/>
      <c r="H17" s="13"/>
      <c r="I17" s="13"/>
      <c r="J17" s="13"/>
      <c r="K17" s="13">
        <v>0.0</v>
      </c>
      <c r="L17" s="13">
        <v>0.0</v>
      </c>
    </row>
    <row r="18">
      <c r="A18" s="11" t="s">
        <v>182</v>
      </c>
      <c r="B18" s="13" t="str">
        <f>iferror(if(countif('COFA - live'!E:E,A18),VLOOKUP("stable",'COFA - live'!$A$1:$C$70,3,False),VLOOKUP(A18,'COFA - live'!$A$1:$C$70,3,False)))</f>
        <v/>
      </c>
      <c r="C18" s="13"/>
      <c r="D18" s="13"/>
      <c r="E18" s="17">
        <v>0.0</v>
      </c>
      <c r="F18" s="13"/>
      <c r="G18" s="13"/>
      <c r="H18" s="13"/>
      <c r="I18" s="13"/>
      <c r="J18" s="13"/>
      <c r="K18" s="13">
        <v>0.0</v>
      </c>
      <c r="L18" s="13">
        <v>0.0</v>
      </c>
    </row>
    <row r="19">
      <c r="A19" s="11" t="s">
        <v>183</v>
      </c>
      <c r="B19" s="13">
        <f>iferror(if(countif('COFA - live'!E:E,A19),VLOOKUP("stable",'COFA - live'!$A$1:$C$70,3,False),VLOOKUP(A19,'COFA - live'!$A$1:$C$70,3,False)))</f>
        <v>0.0183</v>
      </c>
      <c r="C19" s="13"/>
      <c r="D19" s="13"/>
      <c r="E19" s="17">
        <v>0.0</v>
      </c>
      <c r="F19" s="13"/>
      <c r="G19" s="13"/>
      <c r="H19" s="13"/>
      <c r="I19" s="13"/>
      <c r="J19" s="13"/>
      <c r="K19" s="13">
        <v>0.0</v>
      </c>
      <c r="L19" s="13">
        <v>0.0</v>
      </c>
    </row>
    <row r="20" ht="15.75" customHeight="1">
      <c r="A20" s="11" t="s">
        <v>184</v>
      </c>
      <c r="B20" s="13">
        <f>iferror(if(countif('COFA - live'!E:E,A20),VLOOKUP("stable",'COFA - live'!$A$1:$C$70,3,False),VLOOKUP(A20,'COFA - live'!$A$1:$C$70,3,False)))</f>
        <v>0.0298</v>
      </c>
      <c r="C20" s="13"/>
      <c r="D20" s="13"/>
      <c r="E20" s="17">
        <v>0.0</v>
      </c>
      <c r="F20" s="13">
        <f>VLOOKUP("stable (USD)",'COFA - live'!$A$1:$C$102,3,False)</f>
        <v>0.0959</v>
      </c>
      <c r="G20" s="13"/>
      <c r="H20" s="13">
        <f>VLOOKUP("stable (USD)",'COFA - live'!$A$1:$C$102,3,False)</f>
        <v>0.0959</v>
      </c>
      <c r="I20" s="13">
        <f>VLOOKUP("stable (USD)",'COFA - live'!$A$1:$C$102,3,False)</f>
        <v>0.0959</v>
      </c>
      <c r="J20" s="13">
        <v>0.0</v>
      </c>
      <c r="K20" s="13">
        <v>0.0</v>
      </c>
      <c r="L20" s="13">
        <v>0.0</v>
      </c>
    </row>
    <row r="21" ht="15.75" customHeight="1">
      <c r="A21" s="33" t="s">
        <v>185</v>
      </c>
      <c r="B21" s="34">
        <f t="shared" ref="B21:L21" si="1">B20</f>
        <v>0.0298</v>
      </c>
      <c r="C21" s="34" t="str">
        <f t="shared" si="1"/>
        <v/>
      </c>
      <c r="D21" s="34" t="str">
        <f t="shared" si="1"/>
        <v/>
      </c>
      <c r="E21" s="34">
        <f t="shared" si="1"/>
        <v>0</v>
      </c>
      <c r="F21" s="34">
        <f t="shared" si="1"/>
        <v>0.0959</v>
      </c>
      <c r="G21" s="34" t="str">
        <f t="shared" si="1"/>
        <v/>
      </c>
      <c r="H21" s="34">
        <f t="shared" si="1"/>
        <v>0.0959</v>
      </c>
      <c r="I21" s="34">
        <f t="shared" si="1"/>
        <v>0.0959</v>
      </c>
      <c r="J21" s="34">
        <f t="shared" si="1"/>
        <v>0</v>
      </c>
      <c r="K21" s="34">
        <f t="shared" si="1"/>
        <v>0</v>
      </c>
      <c r="L21" s="34">
        <f t="shared" si="1"/>
        <v>0</v>
      </c>
    </row>
    <row r="22" ht="15.75" customHeight="1">
      <c r="A22" s="11" t="s">
        <v>186</v>
      </c>
      <c r="B22" s="13">
        <f>iferror(if(countif('COFA - live'!E:E,A22),VLOOKUP("stable",'COFA - live'!$A$1:$C$70,3,False),VLOOKUP(A22,'COFA - live'!$A$1:$C$70,3,False)))</f>
        <v>0</v>
      </c>
      <c r="C22" s="13"/>
      <c r="D22" s="13"/>
      <c r="E22" s="17">
        <v>0.0</v>
      </c>
      <c r="F22" s="13"/>
      <c r="G22" s="13"/>
      <c r="H22" s="13"/>
      <c r="I22" s="13"/>
      <c r="J22" s="13"/>
      <c r="K22" s="13">
        <v>0.0</v>
      </c>
      <c r="L22" s="13">
        <v>0.0</v>
      </c>
    </row>
    <row r="23" ht="15.75" customHeight="1">
      <c r="A23" s="11" t="s">
        <v>187</v>
      </c>
      <c r="B23" s="13" t="str">
        <f>iferror(if(countif('COFA - live'!E:E,A23),VLOOKUP("stable",'COFA - live'!$A$1:$C$70,3,False),VLOOKUP(A23,'COFA - live'!$A$1:$C$70,3,False)))</f>
        <v/>
      </c>
      <c r="C23" s="13"/>
      <c r="D23" s="13"/>
      <c r="E23" s="17">
        <v>0.0</v>
      </c>
      <c r="F23" s="13"/>
      <c r="G23" s="13"/>
      <c r="H23" s="13"/>
      <c r="I23" s="13"/>
      <c r="J23" s="13"/>
      <c r="K23" s="13">
        <v>0.0</v>
      </c>
      <c r="L23" s="13">
        <v>0.0</v>
      </c>
    </row>
    <row r="24" ht="15.75" customHeight="1">
      <c r="A24" s="11" t="s">
        <v>188</v>
      </c>
      <c r="B24" s="13">
        <f>iferror(if(countif('COFA - live'!E:E,A24),VLOOKUP("stable",'COFA - live'!$A$1:$C$70,3,False),VLOOKUP(A24,'COFA - live'!$A$1:$C$70,3,False)))</f>
        <v>0.0415</v>
      </c>
      <c r="C24" s="17"/>
      <c r="D24" s="17">
        <v>0.0</v>
      </c>
      <c r="E24" s="17">
        <v>0.0</v>
      </c>
      <c r="F24" s="13"/>
      <c r="G24" s="13">
        <v>0.0</v>
      </c>
      <c r="H24" s="13"/>
      <c r="I24" s="13"/>
      <c r="J24" s="13"/>
      <c r="K24" s="13">
        <v>0.0</v>
      </c>
      <c r="L24" s="13">
        <v>0.0</v>
      </c>
    </row>
    <row r="25" ht="15.75" customHeight="1">
      <c r="A25" s="11" t="s">
        <v>189</v>
      </c>
      <c r="B25" s="13">
        <f>iferror(if(countif('COFA - live'!E:E,A25),VLOOKUP("stable",'COFA - live'!$A$1:$C$70,3,False),VLOOKUP(A25,'COFA - live'!$A$1:$C$70,3,False)))</f>
        <v>0.0453</v>
      </c>
      <c r="C25" s="13"/>
      <c r="D25" s="13"/>
      <c r="E25" s="17">
        <v>0.0</v>
      </c>
      <c r="F25" s="13"/>
      <c r="G25" s="13"/>
      <c r="H25" s="13"/>
      <c r="I25" s="13"/>
      <c r="J25" s="13"/>
      <c r="K25" s="13">
        <v>0.0</v>
      </c>
      <c r="L25" s="13">
        <v>0.0</v>
      </c>
    </row>
    <row r="26" ht="15.75" customHeight="1">
      <c r="A26" s="11" t="s">
        <v>191</v>
      </c>
      <c r="B26" s="13" t="str">
        <f>iferror(if(countif('COFA - live'!E:E,A26),VLOOKUP("stable",'COFA - live'!$A$1:$C$70,3,False),VLOOKUP(A26,'COFA - live'!$A$1:$C$70,3,False)))</f>
        <v/>
      </c>
      <c r="C26" s="13"/>
      <c r="D26" s="13"/>
      <c r="E26" s="17">
        <v>0.0</v>
      </c>
      <c r="F26" s="13"/>
      <c r="G26" s="13"/>
      <c r="H26" s="13"/>
      <c r="I26" s="13"/>
      <c r="J26" s="13"/>
      <c r="K26" s="13">
        <v>0.0</v>
      </c>
      <c r="L26" s="13">
        <v>0.0</v>
      </c>
    </row>
    <row r="27" ht="15.75" customHeight="1">
      <c r="A27" s="11" t="s">
        <v>192</v>
      </c>
      <c r="B27" s="13" t="str">
        <f>iferror(if(countif('COFA - live'!E:E,A27),VLOOKUP("stable",'COFA - live'!$A$1:$C$70,3,False),VLOOKUP(A27,'COFA - live'!$A$1:$C$70,3,False)))</f>
        <v/>
      </c>
      <c r="C27" s="13"/>
      <c r="D27" s="13"/>
      <c r="E27" s="17">
        <v>0.0</v>
      </c>
      <c r="F27" s="13"/>
      <c r="G27" s="13"/>
      <c r="H27" s="13"/>
      <c r="I27" s="13"/>
      <c r="J27" s="13"/>
      <c r="K27" s="13">
        <v>0.0</v>
      </c>
      <c r="L27" s="13">
        <v>0.0</v>
      </c>
    </row>
    <row r="28" ht="15.75" customHeight="1">
      <c r="A28" s="11" t="s">
        <v>194</v>
      </c>
      <c r="B28" s="13">
        <f>iferror(if(countif('COFA - live'!E:E,A28),VLOOKUP("stable",'COFA - live'!$A$1:$C$70,3,False),VLOOKUP(A28,'COFA - live'!$A$1:$C$70,3,False)))</f>
        <v>0.041</v>
      </c>
      <c r="C28" s="13"/>
      <c r="D28" s="13"/>
      <c r="E28" s="17">
        <v>0.0</v>
      </c>
      <c r="F28" s="13"/>
      <c r="G28" s="13"/>
      <c r="H28" s="13"/>
      <c r="I28" s="13"/>
      <c r="J28" s="13"/>
      <c r="K28" s="13">
        <v>0.0</v>
      </c>
      <c r="L28" s="13">
        <v>0.0</v>
      </c>
    </row>
    <row r="29" ht="15.75" customHeight="1">
      <c r="A29" s="11" t="s">
        <v>195</v>
      </c>
      <c r="B29" s="13" t="str">
        <f>iferror(if(countif('COFA - live'!E:E,A29),VLOOKUP("stable",'COFA - live'!$A$1:$C$70,3,False),VLOOKUP(A29,'COFA - live'!$A$1:$C$70,3,False)))</f>
        <v/>
      </c>
      <c r="C29" s="13"/>
      <c r="D29" s="13"/>
      <c r="E29" s="17">
        <v>0.0</v>
      </c>
      <c r="F29" s="13"/>
      <c r="G29" s="13"/>
      <c r="H29" s="13"/>
      <c r="I29" s="13"/>
      <c r="J29" s="13"/>
      <c r="K29" s="13">
        <v>0.0</v>
      </c>
      <c r="L29" s="13">
        <v>0.0</v>
      </c>
    </row>
    <row r="30" ht="15.75" customHeight="1">
      <c r="A30" s="11" t="s">
        <v>196</v>
      </c>
      <c r="B30" s="13">
        <f>iferror(if(countif('COFA - live'!E:E,A30),VLOOKUP("stable",'COFA - live'!$A$1:$C$70,3,False),VLOOKUP(A30,'COFA - live'!$A$1:$C$70,3,False)))</f>
        <v>0.0668</v>
      </c>
      <c r="C30" s="13"/>
      <c r="D30" s="13"/>
      <c r="E30" s="17">
        <v>0.0</v>
      </c>
      <c r="F30" s="13"/>
      <c r="G30" s="13"/>
      <c r="H30" s="13"/>
      <c r="I30" s="13"/>
      <c r="J30" s="13"/>
      <c r="K30" s="13">
        <v>0.0</v>
      </c>
      <c r="L30" s="13">
        <v>0.0</v>
      </c>
    </row>
    <row r="31" ht="15.75" customHeight="1">
      <c r="A31" s="11" t="s">
        <v>198</v>
      </c>
      <c r="B31" s="13">
        <f>iferror(if(countif('COFA - live'!E:E,A31),VLOOKUP("stable",'COFA - live'!$A$1:$C$70,3,False),VLOOKUP(A31,'COFA - live'!$A$1:$C$70,3,False)))</f>
        <v>0.0288</v>
      </c>
      <c r="C31" s="13"/>
      <c r="D31" s="13"/>
      <c r="E31" s="17">
        <v>0.0</v>
      </c>
      <c r="F31" s="13"/>
      <c r="G31" s="13"/>
      <c r="H31" s="13"/>
      <c r="I31" s="13"/>
      <c r="J31" s="13"/>
      <c r="K31" s="13">
        <v>0.0</v>
      </c>
      <c r="L31" s="13">
        <v>0.0</v>
      </c>
    </row>
    <row r="32" ht="15.75" customHeight="1">
      <c r="A32" s="11" t="s">
        <v>199</v>
      </c>
      <c r="B32" s="13">
        <f>iferror(if(countif('COFA - live'!E:E,A32),VLOOKUP("stable",'COFA - live'!$A$1:$C$70,3,False),VLOOKUP(A32,'COFA - live'!$A$1:$C$70,3,False)))</f>
        <v>0.0298</v>
      </c>
      <c r="C32" s="13"/>
      <c r="D32" s="13"/>
      <c r="E32" s="17">
        <v>0.0</v>
      </c>
      <c r="F32" s="13"/>
      <c r="G32" s="13"/>
      <c r="H32" s="13"/>
      <c r="I32" s="13"/>
      <c r="J32" s="13"/>
      <c r="K32" s="13">
        <v>0.0</v>
      </c>
      <c r="L32" s="13">
        <v>0.0</v>
      </c>
    </row>
    <row r="33" ht="15.75" customHeight="1">
      <c r="A33" s="11" t="s">
        <v>200</v>
      </c>
      <c r="B33" s="13">
        <f>iferror(if(countif('COFA - live'!E:E,A33),VLOOKUP("stable",'COFA - live'!$A$1:$C$70,3,False),VLOOKUP(A33,'COFA - live'!$A$1:$C$70,3,False)))</f>
        <v>0.0384</v>
      </c>
      <c r="C33" s="13"/>
      <c r="D33" s="13"/>
      <c r="E33" s="17">
        <v>0.0</v>
      </c>
      <c r="F33" s="13" t="str">
        <f>VLOOKUP("stable",'COFA - live'!$A$1:$C$102,3,False)</f>
        <v>#N/A</v>
      </c>
      <c r="G33" s="13"/>
      <c r="H33" s="13" t="str">
        <f>VLOOKUP("stable",'COFA - live'!$A$1:$C$102,3,False)</f>
        <v>#N/A</v>
      </c>
      <c r="I33" s="13" t="str">
        <f>VLOOKUP("stable",'COFA - live'!$A$1:$C$102,3,False)</f>
        <v>#N/A</v>
      </c>
      <c r="J33" s="13">
        <v>0.0</v>
      </c>
      <c r="K33" s="13">
        <v>0.0</v>
      </c>
      <c r="L33" s="13">
        <v>0.0</v>
      </c>
    </row>
    <row r="34" ht="15.75" customHeight="1">
      <c r="A34" s="11" t="s">
        <v>201</v>
      </c>
      <c r="B34" s="13" t="str">
        <f>iferror(if(countif('COFA - live'!E:E,A34),VLOOKUP("stable",'COFA - live'!$A$1:$C$70,3,False),VLOOKUP(A34,'COFA - live'!$A$1:$C$70,3,False)))</f>
        <v/>
      </c>
      <c r="C34" s="13"/>
      <c r="D34" s="13"/>
      <c r="E34" s="17">
        <v>0.0</v>
      </c>
      <c r="F34" s="13"/>
      <c r="G34" s="13"/>
      <c r="H34" s="13"/>
      <c r="I34" s="13"/>
      <c r="J34" s="13"/>
      <c r="K34" s="13">
        <v>0.0</v>
      </c>
      <c r="L34" s="13">
        <v>0.0</v>
      </c>
    </row>
    <row r="35" ht="15.75" customHeight="1">
      <c r="A35" s="11" t="s">
        <v>202</v>
      </c>
      <c r="B35" s="13" t="str">
        <f>iferror(if(countif('COFA - live'!E:E,A35),VLOOKUP("stable",'COFA - live'!$A$1:$C$70,3,False),VLOOKUP(A35,'COFA - live'!$A$1:$C$70,3,False)))</f>
        <v/>
      </c>
      <c r="C35" s="13"/>
      <c r="D35" s="13"/>
      <c r="E35" s="17">
        <v>0.0</v>
      </c>
      <c r="F35" s="13"/>
      <c r="G35" s="13"/>
      <c r="H35" s="13"/>
      <c r="I35" s="13"/>
      <c r="J35" s="13"/>
      <c r="K35" s="13">
        <v>0.0</v>
      </c>
      <c r="L35" s="13">
        <v>0.0</v>
      </c>
    </row>
    <row r="36" ht="15.75" customHeight="1">
      <c r="A36" s="11" t="s">
        <v>204</v>
      </c>
      <c r="B36" s="13" t="str">
        <f>iferror(if(countif('COFA - live'!E:E,A36),VLOOKUP("stable",'COFA - live'!$A$1:$C$70,3,False),VLOOKUP(A36,'COFA - live'!$A$1:$C$70,3,False)))</f>
        <v/>
      </c>
      <c r="C36" s="13"/>
      <c r="D36" s="13"/>
      <c r="E36" s="17">
        <v>0.0</v>
      </c>
      <c r="F36" s="13"/>
      <c r="G36" s="13"/>
      <c r="H36" s="13"/>
      <c r="I36" s="13"/>
      <c r="J36" s="13"/>
      <c r="K36" s="13">
        <v>0.0</v>
      </c>
      <c r="L36" s="13">
        <v>0.0</v>
      </c>
    </row>
    <row r="37" ht="15.75" customHeight="1">
      <c r="A37" s="11" t="s">
        <v>206</v>
      </c>
      <c r="B37" s="13" t="str">
        <f>iferror(if(countif('COFA - live'!E:E,A37),VLOOKUP("stable",'COFA - live'!$A$1:$C$70,3,False),VLOOKUP(A37,'COFA - live'!$A$1:$C$70,3,False)))</f>
        <v/>
      </c>
      <c r="C37" s="13"/>
      <c r="D37" s="13"/>
      <c r="E37" s="17">
        <v>0.0</v>
      </c>
      <c r="F37" s="13"/>
      <c r="G37" s="13"/>
      <c r="H37" s="13"/>
      <c r="I37" s="13"/>
      <c r="J37" s="13"/>
      <c r="K37" s="13">
        <v>0.0</v>
      </c>
      <c r="L37" s="13">
        <v>0.0</v>
      </c>
    </row>
    <row r="38" ht="15.75" customHeight="1">
      <c r="A38" s="11" t="s">
        <v>207</v>
      </c>
      <c r="B38" s="13">
        <f>iferror(if(countif('COFA - live'!E:E,A38),VLOOKUP("stable",'COFA - live'!$A$1:$C$70,3,False),VLOOKUP(A38,'COFA - live'!$A$1:$C$70,3,False)))</f>
        <v>0.0048</v>
      </c>
      <c r="C38" s="13"/>
      <c r="D38" s="13"/>
      <c r="E38" s="17">
        <v>0.0</v>
      </c>
      <c r="F38" s="13"/>
      <c r="G38" s="13"/>
      <c r="H38" s="13"/>
      <c r="I38" s="13"/>
      <c r="J38" s="13"/>
      <c r="K38" s="13">
        <v>0.0</v>
      </c>
      <c r="L38" s="13">
        <v>0.0</v>
      </c>
    </row>
    <row r="39" ht="15.75" customHeight="1">
      <c r="A39" s="11" t="s">
        <v>208</v>
      </c>
      <c r="B39" s="13" t="str">
        <f>iferror(if(countif('COFA - live'!E:E,A39),VLOOKUP("stable",'COFA - live'!$A$1:$C$70,3,False),VLOOKUP(A39,'COFA - live'!$A$1:$C$70,3,False)))</f>
        <v/>
      </c>
      <c r="C39" s="13"/>
      <c r="D39" s="13"/>
      <c r="E39" s="17">
        <v>0.0</v>
      </c>
      <c r="F39" s="13"/>
      <c r="G39" s="13"/>
      <c r="H39" s="13"/>
      <c r="I39" s="13"/>
      <c r="J39" s="13"/>
      <c r="K39" s="13">
        <v>0.0</v>
      </c>
      <c r="L39" s="13">
        <v>0.0</v>
      </c>
    </row>
    <row r="40" ht="15.75" customHeight="1">
      <c r="A40" s="11" t="s">
        <v>209</v>
      </c>
      <c r="B40" s="13">
        <f>iferror(if(countif('COFA - live'!E:E,A40),VLOOKUP("stable",'COFA - live'!$A$1:$C$70,3,False),VLOOKUP(A40,'COFA - live'!$A$1:$C$70,3,False)))</f>
        <v>0.0251</v>
      </c>
      <c r="C40" s="13"/>
      <c r="D40" s="13"/>
      <c r="E40" s="17">
        <v>0.0</v>
      </c>
      <c r="F40" s="13"/>
      <c r="G40" s="13"/>
      <c r="H40" s="13"/>
      <c r="I40" s="13"/>
      <c r="J40" s="13"/>
      <c r="K40" s="13">
        <v>0.0</v>
      </c>
      <c r="L40" s="13">
        <v>0.0</v>
      </c>
    </row>
    <row r="41" ht="15.75" customHeight="1">
      <c r="A41" s="11" t="s">
        <v>210</v>
      </c>
      <c r="B41" s="13">
        <f>iferror(if(countif('COFA - live'!E:E,A41),VLOOKUP("stable",'COFA - live'!$A$1:$C$70,3,False),VLOOKUP(A41,'COFA - live'!$A$1:$C$70,3,False)))</f>
        <v>0</v>
      </c>
      <c r="C41" s="13"/>
      <c r="D41" s="13"/>
      <c r="E41" s="17">
        <v>0.0</v>
      </c>
      <c r="F41" s="13"/>
      <c r="G41" s="13"/>
      <c r="H41" s="13"/>
      <c r="I41" s="13"/>
      <c r="J41" s="13"/>
      <c r="K41" s="13">
        <v>0.0</v>
      </c>
      <c r="L41" s="13">
        <v>0.0</v>
      </c>
    </row>
    <row r="42" ht="15.75" customHeight="1">
      <c r="A42" s="11" t="s">
        <v>211</v>
      </c>
      <c r="B42" s="13" t="str">
        <f>iferror(if(countif('COFA - live'!E:E,A42),VLOOKUP("stable",'COFA - live'!$A$1:$C$70,3,False),VLOOKUP(A42,'COFA - live'!$A$1:$C$70,3,False)))</f>
        <v/>
      </c>
      <c r="C42" s="13"/>
      <c r="D42" s="13"/>
      <c r="E42" s="17">
        <v>0.0</v>
      </c>
      <c r="F42" s="13"/>
      <c r="G42" s="13"/>
      <c r="H42" s="13"/>
      <c r="I42" s="13"/>
      <c r="J42" s="13"/>
      <c r="K42" s="13">
        <v>0.0</v>
      </c>
      <c r="L42" s="13">
        <v>0.0</v>
      </c>
    </row>
    <row r="43" ht="15.75" customHeight="1">
      <c r="A43" s="11" t="s">
        <v>213</v>
      </c>
      <c r="B43" s="13">
        <f>iferror(if(countif('COFA - live'!E:E,A43),VLOOKUP("stable",'COFA - live'!$A$1:$C$70,3,False),VLOOKUP(A43,'COFA - live'!$A$1:$C$70,3,False)))</f>
        <v>0.0285</v>
      </c>
      <c r="C43" s="13"/>
      <c r="D43" s="13"/>
      <c r="E43" s="17">
        <v>0.0</v>
      </c>
      <c r="F43" s="13"/>
      <c r="G43" s="13"/>
      <c r="H43" s="13"/>
      <c r="I43" s="13"/>
      <c r="J43" s="13"/>
      <c r="K43" s="13">
        <v>0.0</v>
      </c>
      <c r="L43" s="13">
        <v>0.0</v>
      </c>
    </row>
    <row r="44" ht="15.75" customHeight="1">
      <c r="A44" s="11" t="s">
        <v>214</v>
      </c>
      <c r="B44" s="13">
        <f>iferror(if(countif('COFA - live'!E:E,A44),VLOOKUP("stable",'COFA - live'!$A$1:$C$70,3,False),VLOOKUP(A44,'COFA - live'!$A$1:$C$70,3,False)))</f>
        <v>0.0488</v>
      </c>
      <c r="C44" s="13"/>
      <c r="D44" s="13"/>
      <c r="E44" s="17">
        <v>0.0</v>
      </c>
      <c r="F44" s="13"/>
      <c r="G44" s="13"/>
      <c r="H44" s="13"/>
      <c r="I44" s="13"/>
      <c r="J44" s="13"/>
      <c r="K44" s="13">
        <v>0.0</v>
      </c>
      <c r="L44" s="13">
        <v>0.0</v>
      </c>
    </row>
    <row r="45" ht="15.75" customHeight="1">
      <c r="A45" s="11" t="s">
        <v>215</v>
      </c>
      <c r="B45" s="13" t="str">
        <f>iferror(if(countif('COFA - live'!E:E,A45),VLOOKUP("stable",'COFA - live'!$A$1:$C$70,3,False),VLOOKUP(A45,'COFA - live'!$A$1:$C$70,3,False)))</f>
        <v/>
      </c>
      <c r="C45" s="13"/>
      <c r="D45" s="13"/>
      <c r="E45" s="17">
        <v>0.0</v>
      </c>
      <c r="F45" s="13"/>
      <c r="G45" s="13"/>
      <c r="H45" s="13"/>
      <c r="I45" s="13"/>
      <c r="J45" s="13"/>
      <c r="K45" s="13">
        <v>0.0</v>
      </c>
      <c r="L45" s="13">
        <v>0.0</v>
      </c>
    </row>
    <row r="46" ht="15.75" customHeight="1">
      <c r="A46" s="11" t="s">
        <v>216</v>
      </c>
      <c r="B46" s="13" t="str">
        <f>iferror(if(countif('COFA - live'!E:E,A46),VLOOKUP("stable",'COFA - live'!$A$1:$C$70,3,False),VLOOKUP(A46,'COFA - live'!$A$1:$C$70,3,False)))</f>
        <v/>
      </c>
      <c r="C46" s="13"/>
      <c r="D46" s="13"/>
      <c r="E46" s="17">
        <v>0.0</v>
      </c>
      <c r="F46" s="13"/>
      <c r="G46" s="13"/>
      <c r="H46" s="13"/>
      <c r="I46" s="13"/>
      <c r="J46" s="13"/>
      <c r="K46" s="13">
        <v>0.0</v>
      </c>
      <c r="L46" s="13">
        <v>0.0</v>
      </c>
    </row>
    <row r="47" ht="15.75" customHeight="1">
      <c r="A47" s="11" t="s">
        <v>217</v>
      </c>
      <c r="B47" s="13">
        <f>iferror(if(countif('COFA - live'!E:E,A47),VLOOKUP("stable",'COFA - live'!$A$1:$C$70,3,False),VLOOKUP(A47,'COFA - live'!$A$1:$C$70,3,False)))</f>
        <v>0.0042</v>
      </c>
      <c r="C47" s="13"/>
      <c r="D47" s="13"/>
      <c r="E47" s="17">
        <v>0.0</v>
      </c>
      <c r="F47" s="13"/>
      <c r="G47" s="13"/>
      <c r="H47" s="13"/>
      <c r="I47" s="13"/>
      <c r="J47" s="13"/>
      <c r="K47" s="13">
        <v>0.0</v>
      </c>
      <c r="L47" s="13">
        <v>0.0</v>
      </c>
    </row>
    <row r="48" ht="15.75" customHeight="1">
      <c r="A48" s="11" t="s">
        <v>218</v>
      </c>
      <c r="B48" s="13">
        <f>iferror(if(countif('COFA - live'!E:E,A48),VLOOKUP("stable",'COFA - live'!$A$1:$C$70,3,False),VLOOKUP(A48,'COFA - live'!$A$1:$C$70,3,False)))</f>
        <v>0.0818</v>
      </c>
      <c r="C48" s="13"/>
      <c r="D48" s="13"/>
      <c r="E48" s="17">
        <v>0.0</v>
      </c>
      <c r="F48" s="13"/>
      <c r="G48" s="13"/>
      <c r="H48" s="13"/>
      <c r="I48" s="13"/>
      <c r="J48" s="13"/>
      <c r="K48" s="13">
        <v>0.0</v>
      </c>
      <c r="L48" s="13">
        <v>0.0</v>
      </c>
    </row>
    <row r="49" ht="15.75" customHeight="1">
      <c r="A49" s="11" t="s">
        <v>219</v>
      </c>
      <c r="B49" s="13" t="str">
        <f>iferror(if(countif('COFA - live'!E:E,A49),VLOOKUP("stable",'COFA - live'!$A$1:$C$70,3,False),VLOOKUP(A49,'COFA - live'!$A$1:$C$70,3,False)))</f>
        <v/>
      </c>
      <c r="C49" s="13"/>
      <c r="D49" s="13"/>
      <c r="E49" s="17">
        <v>0.0</v>
      </c>
      <c r="F49" s="13"/>
      <c r="G49" s="13"/>
      <c r="H49" s="13"/>
      <c r="I49" s="13"/>
      <c r="J49" s="13"/>
      <c r="K49" s="13">
        <v>0.0</v>
      </c>
      <c r="L49" s="13">
        <v>0.0</v>
      </c>
    </row>
    <row r="50" ht="15.75" customHeight="1">
      <c r="A50" s="11" t="s">
        <v>220</v>
      </c>
      <c r="B50" s="13" t="str">
        <f>iferror(if(countif('COFA - live'!E:E,A50),VLOOKUP("stable",'COFA - live'!$A$1:$C$70,3,False),VLOOKUP(A50,'COFA - live'!$A$1:$C$70,3,False)))</f>
        <v/>
      </c>
      <c r="C50" s="13"/>
      <c r="D50" s="13"/>
      <c r="E50" s="17">
        <v>0.0</v>
      </c>
      <c r="F50" s="13"/>
      <c r="G50" s="13"/>
      <c r="H50" s="13"/>
      <c r="I50" s="13"/>
      <c r="J50" s="13"/>
      <c r="K50" s="13">
        <v>0.0</v>
      </c>
      <c r="L50" s="13">
        <v>0.0</v>
      </c>
    </row>
    <row r="51" ht="15.75" customHeight="1">
      <c r="A51" s="11" t="s">
        <v>221</v>
      </c>
      <c r="B51" s="13">
        <f>iferror(if(countif('COFA - live'!E:E,A51),VLOOKUP("stable",'COFA - live'!$A$1:$C$70,3,False),VLOOKUP(A51,'COFA - live'!$A$1:$C$70,3,False)))</f>
        <v>0.0042</v>
      </c>
      <c r="C51" s="13"/>
      <c r="D51" s="13"/>
      <c r="E51" s="17">
        <v>0.0</v>
      </c>
      <c r="F51" s="13"/>
      <c r="G51" s="13"/>
      <c r="H51" s="13"/>
      <c r="I51" s="13"/>
      <c r="J51" s="13"/>
      <c r="K51" s="13">
        <v>0.0</v>
      </c>
      <c r="L51" s="13">
        <v>0.0</v>
      </c>
    </row>
    <row r="52" ht="15.75" customHeight="1">
      <c r="A52" s="11" t="s">
        <v>222</v>
      </c>
      <c r="B52" s="13" t="str">
        <f>iferror(if(countif('COFA - live'!E:E,A52),VLOOKUP("stable",'COFA - live'!$A$1:$C$70,3,False),VLOOKUP(A52,'COFA - live'!$A$1:$C$70,3,False)))</f>
        <v/>
      </c>
      <c r="C52" s="13"/>
      <c r="D52" s="13"/>
      <c r="E52" s="17">
        <v>0.0</v>
      </c>
      <c r="F52" s="13"/>
      <c r="G52" s="13"/>
      <c r="H52" s="13"/>
      <c r="I52" s="13"/>
      <c r="J52" s="13"/>
      <c r="K52" s="13">
        <v>0.0</v>
      </c>
      <c r="L52" s="13">
        <v>0.0</v>
      </c>
    </row>
    <row r="53" ht="15.75" customHeight="1">
      <c r="A53" s="11" t="s">
        <v>223</v>
      </c>
      <c r="B53" s="13">
        <f>iferror(if(countif('COFA - live'!E:E,A53),VLOOKUP("stable",'COFA - live'!$A$1:$C$70,3,False),VLOOKUP(A53,'COFA - live'!$A$1:$C$70,3,False)))</f>
        <v>0</v>
      </c>
      <c r="C53" s="13"/>
      <c r="D53" s="13"/>
      <c r="E53" s="17">
        <v>0.0</v>
      </c>
      <c r="F53" s="13"/>
      <c r="G53" s="13"/>
      <c r="H53" s="13"/>
      <c r="I53" s="13"/>
      <c r="J53" s="13"/>
      <c r="K53" s="13">
        <v>0.0</v>
      </c>
      <c r="L53" s="13">
        <v>0.0</v>
      </c>
    </row>
    <row r="54" ht="15.75" customHeight="1">
      <c r="A54" s="11" t="s">
        <v>224</v>
      </c>
      <c r="B54" s="13" t="str">
        <f>iferror(if(countif('COFA - live'!E:E,A54),VLOOKUP("stable",'COFA - live'!$A$1:$C$70,3,False),VLOOKUP(A54,'COFA - live'!$A$1:$C$70,3,False)))</f>
        <v/>
      </c>
      <c r="C54" s="13"/>
      <c r="D54" s="13"/>
      <c r="E54" s="17">
        <v>0.0</v>
      </c>
      <c r="F54" s="13"/>
      <c r="G54" s="13"/>
      <c r="H54" s="13"/>
      <c r="I54" s="13"/>
      <c r="J54" s="13"/>
      <c r="K54" s="13">
        <v>0.0</v>
      </c>
      <c r="L54" s="13">
        <v>0.0</v>
      </c>
    </row>
    <row r="55" ht="15.75" customHeight="1">
      <c r="A55" s="11" t="s">
        <v>225</v>
      </c>
      <c r="B55" s="13">
        <f>iferror(if(countif('COFA - live'!E:E,A55),VLOOKUP("stable",'COFA - live'!$A$1:$C$70,3,False),VLOOKUP(A55,'COFA - live'!$A$1:$C$70,3,False)))</f>
        <v>0.0526</v>
      </c>
      <c r="C55" s="13"/>
      <c r="D55" s="13"/>
      <c r="E55" s="17">
        <v>0.0</v>
      </c>
      <c r="F55" s="13"/>
      <c r="G55" s="13"/>
      <c r="H55" s="13"/>
      <c r="I55" s="13"/>
      <c r="J55" s="13"/>
      <c r="K55" s="13">
        <v>0.0</v>
      </c>
      <c r="L55" s="13">
        <v>0.0</v>
      </c>
    </row>
    <row r="56" ht="15.75" customHeight="1">
      <c r="A56" s="11" t="s">
        <v>226</v>
      </c>
      <c r="B56" s="13" t="str">
        <f>iferror(if(countif('COFA - live'!E:E,A56),VLOOKUP("stable",'COFA - live'!$A$1:$C$70,3,False),VLOOKUP(A56,'COFA - live'!$A$1:$C$70,3,False)))</f>
        <v/>
      </c>
      <c r="C56" s="13"/>
      <c r="D56" s="13"/>
      <c r="E56" s="17">
        <v>0.0</v>
      </c>
      <c r="F56" s="13"/>
      <c r="G56" s="13"/>
      <c r="H56" s="13"/>
      <c r="I56" s="13"/>
      <c r="J56" s="13"/>
      <c r="K56" s="13">
        <v>0.0</v>
      </c>
      <c r="L56" s="13">
        <v>0.0</v>
      </c>
    </row>
    <row r="57" ht="15.75" customHeight="1">
      <c r="A57" s="11" t="s">
        <v>230</v>
      </c>
      <c r="B57" s="13" t="str">
        <f>iferror(if(countif('COFA - live'!E:E,A57),VLOOKUP("stable",'COFA - live'!$A$1:$C$70,3,False),VLOOKUP(A57,'COFA - live'!$A$1:$C$70,3,False)))</f>
        <v/>
      </c>
      <c r="C57" s="13"/>
      <c r="D57" s="13"/>
      <c r="E57" s="17">
        <v>0.0</v>
      </c>
      <c r="F57" s="13"/>
      <c r="G57" s="13"/>
      <c r="H57" s="13"/>
      <c r="I57" s="13"/>
      <c r="J57" s="13"/>
      <c r="K57" s="13">
        <v>0.0</v>
      </c>
      <c r="L57" s="13">
        <v>0.0</v>
      </c>
    </row>
    <row r="58" ht="15.75" customHeight="1">
      <c r="A58" s="11" t="s">
        <v>232</v>
      </c>
      <c r="B58" s="13" t="str">
        <f>iferror(if(countif('COFA - live'!E:E,A58),VLOOKUP("stable",'COFA - live'!$A$1:$C$70,3,False),VLOOKUP(A58,'COFA - live'!$A$1:$C$70,3,False)))</f>
        <v/>
      </c>
      <c r="C58" s="13"/>
      <c r="D58" s="13"/>
      <c r="E58" s="17">
        <v>0.0</v>
      </c>
      <c r="F58" s="13"/>
      <c r="G58" s="13"/>
      <c r="H58" s="13"/>
      <c r="I58" s="13"/>
      <c r="J58" s="13"/>
      <c r="K58" s="13">
        <v>0.0</v>
      </c>
      <c r="L58" s="13">
        <v>0.0</v>
      </c>
    </row>
    <row r="59" ht="15.75" customHeight="1">
      <c r="A59" s="11" t="s">
        <v>234</v>
      </c>
      <c r="B59" s="13">
        <f>iferror(if(countif('COFA - live'!E:E,A59),VLOOKUP("stable",'COFA - live'!$A$1:$C$70,3,False),VLOOKUP(A59,'COFA - live'!$A$1:$C$70,3,False)))</f>
        <v>0</v>
      </c>
      <c r="C59" s="13"/>
      <c r="D59" s="13"/>
      <c r="E59" s="17">
        <v>0.0</v>
      </c>
      <c r="F59" s="13"/>
      <c r="G59" s="13"/>
      <c r="H59" s="13"/>
      <c r="I59" s="13"/>
      <c r="J59" s="13"/>
      <c r="K59" s="13">
        <v>0.0</v>
      </c>
      <c r="L59" s="13">
        <v>0.0</v>
      </c>
    </row>
    <row r="60" ht="15.75" customHeight="1">
      <c r="A60" s="11" t="s">
        <v>235</v>
      </c>
      <c r="B60" s="13">
        <f>iferror(if(countif('COFA - live'!E:E,A60),VLOOKUP("stable",'COFA - live'!$A$1:$C$70,3,False),VLOOKUP(A60,'COFA - live'!$A$1:$C$70,3,False)))</f>
        <v>0</v>
      </c>
      <c r="C60" s="13"/>
      <c r="D60" s="13"/>
      <c r="E60" s="17">
        <v>0.0</v>
      </c>
      <c r="F60" s="13"/>
      <c r="G60" s="13"/>
      <c r="H60" s="13"/>
      <c r="I60" s="13"/>
      <c r="J60" s="13"/>
      <c r="K60" s="13">
        <v>0.0</v>
      </c>
      <c r="L60" s="13">
        <v>0.0</v>
      </c>
    </row>
    <row r="61" ht="15.75" customHeight="1">
      <c r="A61" s="11" t="s">
        <v>236</v>
      </c>
      <c r="B61" s="13">
        <f>iferror(if(countif('COFA - live'!E:E,A61),VLOOKUP("stable",'COFA - live'!$A$1:$C$70,3,False),VLOOKUP(A61,'COFA - live'!$A$1:$C$70,3,False)))</f>
        <v>0.1339</v>
      </c>
      <c r="C61" s="13"/>
      <c r="D61" s="13"/>
      <c r="E61" s="17">
        <v>0.0</v>
      </c>
      <c r="F61" s="13"/>
      <c r="G61" s="13"/>
      <c r="H61" s="13"/>
      <c r="I61" s="13"/>
      <c r="J61" s="13"/>
      <c r="K61" s="13">
        <v>0.0</v>
      </c>
      <c r="L61" s="13">
        <v>0.0</v>
      </c>
    </row>
    <row r="62" ht="15.75" customHeight="1">
      <c r="A62" s="11" t="s">
        <v>238</v>
      </c>
      <c r="B62" s="13" t="str">
        <f>iferror(if(countif('COFA - live'!E:E,A62),VLOOKUP("stable",'COFA - live'!$A$1:$C$70,3,False),VLOOKUP(A62,'COFA - live'!$A$1:$C$70,3,False)))</f>
        <v/>
      </c>
      <c r="C62" s="13"/>
      <c r="D62" s="13"/>
      <c r="E62" s="17">
        <v>0.0</v>
      </c>
      <c r="F62" s="13"/>
      <c r="G62" s="13"/>
      <c r="H62" s="13"/>
      <c r="I62" s="13"/>
      <c r="J62" s="13"/>
      <c r="K62" s="13">
        <v>0.0</v>
      </c>
      <c r="L62" s="13">
        <v>0.0</v>
      </c>
    </row>
    <row r="63" ht="15.75" customHeight="1">
      <c r="A63" s="11" t="s">
        <v>241</v>
      </c>
      <c r="B63" s="13" t="str">
        <f>iferror(if(countif('COFA - live'!E:E,A63),VLOOKUP("stable",'COFA - live'!$A$1:$C$70,3,False),VLOOKUP(A63,'COFA - live'!$A$1:$C$70,3,False)))</f>
        <v/>
      </c>
      <c r="C63" s="13"/>
      <c r="D63" s="13"/>
      <c r="E63" s="17">
        <v>0.0</v>
      </c>
      <c r="F63" s="13"/>
      <c r="G63" s="13"/>
      <c r="H63" s="13"/>
      <c r="I63" s="13"/>
      <c r="J63" s="13"/>
      <c r="K63" s="13">
        <v>0.0</v>
      </c>
      <c r="L63" s="13">
        <v>0.0</v>
      </c>
    </row>
    <row r="64" ht="15.75" customHeight="1">
      <c r="A64" s="11" t="s">
        <v>242</v>
      </c>
      <c r="B64" s="13">
        <f>iferror(if(countif('COFA - live'!E:E,A64),VLOOKUP("stable",'COFA - live'!$A$1:$C$70,3,False),VLOOKUP(A64,'COFA - live'!$A$1:$C$70,3,False)))</f>
        <v>0.0396</v>
      </c>
      <c r="C64" s="13"/>
      <c r="D64" s="13"/>
      <c r="E64" s="17">
        <v>0.0</v>
      </c>
      <c r="F64" s="13"/>
      <c r="G64" s="13"/>
      <c r="H64" s="13"/>
      <c r="I64" s="13"/>
      <c r="J64" s="13"/>
      <c r="K64" s="13">
        <v>0.0</v>
      </c>
      <c r="L64" s="13">
        <v>0.0</v>
      </c>
    </row>
    <row r="65" ht="15.75" customHeight="1">
      <c r="A65" s="11" t="s">
        <v>243</v>
      </c>
      <c r="B65" s="13" t="str">
        <f>iferror(if(countif('COFA - live'!E:E,A65),VLOOKUP("stable",'COFA - live'!$A$1:$C$70,3,False),VLOOKUP(A65,'COFA - live'!$A$1:$C$70,3,False)))</f>
        <v/>
      </c>
      <c r="C65" s="13"/>
      <c r="D65" s="13"/>
      <c r="E65" s="17">
        <v>0.0</v>
      </c>
      <c r="F65" s="13"/>
      <c r="G65" s="13"/>
      <c r="H65" s="13"/>
      <c r="I65" s="13"/>
      <c r="J65" s="13"/>
      <c r="K65" s="13">
        <v>0.0</v>
      </c>
      <c r="L65" s="13">
        <v>0.0</v>
      </c>
    </row>
    <row r="66" ht="15.75" customHeight="1">
      <c r="A66" s="11" t="s">
        <v>244</v>
      </c>
      <c r="B66" s="13" t="str">
        <f>iferror(if(countif('COFA - live'!E:E,A66),VLOOKUP("stable",'COFA - live'!$A$1:$C$70,3,False),VLOOKUP(A66,'COFA - live'!$A$1:$C$70,3,False)))</f>
        <v/>
      </c>
      <c r="C66" s="13"/>
      <c r="D66" s="13"/>
      <c r="E66" s="17">
        <v>0.0</v>
      </c>
      <c r="F66" s="13"/>
      <c r="G66" s="13"/>
      <c r="H66" s="13"/>
      <c r="I66" s="13"/>
      <c r="J66" s="13"/>
      <c r="K66" s="13">
        <v>0.0</v>
      </c>
      <c r="L66" s="13">
        <v>0.0</v>
      </c>
    </row>
    <row r="67" ht="15.75" customHeight="1">
      <c r="A67" s="11" t="s">
        <v>245</v>
      </c>
      <c r="B67" s="13" t="str">
        <f>iferror(if(countif('COFA - live'!E:E,A67),VLOOKUP("stable",'COFA - live'!$A$1:$C$70,3,False),VLOOKUP(A67,'COFA - live'!$A$1:$C$70,3,False)))</f>
        <v/>
      </c>
      <c r="C67" s="13"/>
      <c r="D67" s="13"/>
      <c r="E67" s="17">
        <v>0.0</v>
      </c>
      <c r="F67" s="13"/>
      <c r="G67" s="13"/>
      <c r="H67" s="13"/>
      <c r="I67" s="13"/>
      <c r="J67" s="13"/>
      <c r="K67" s="13">
        <v>0.0</v>
      </c>
      <c r="L67" s="13">
        <v>0.0</v>
      </c>
    </row>
    <row r="68" ht="15.75" customHeight="1">
      <c r="A68" s="11" t="s">
        <v>246</v>
      </c>
      <c r="B68" s="13" t="str">
        <f>iferror(if(countif('COFA - live'!E:E,A68),VLOOKUP("stable",'COFA - live'!$A$1:$C$70,3,False),VLOOKUP(A68,'COFA - live'!$A$1:$C$70,3,False)))</f>
        <v/>
      </c>
      <c r="C68" s="13"/>
      <c r="D68" s="13"/>
      <c r="E68" s="17">
        <v>0.0</v>
      </c>
      <c r="F68" s="13"/>
      <c r="G68" s="13"/>
      <c r="H68" s="13"/>
      <c r="I68" s="13"/>
      <c r="J68" s="13"/>
      <c r="K68" s="13">
        <v>0.0</v>
      </c>
      <c r="L68" s="13">
        <v>0.0</v>
      </c>
    </row>
    <row r="69" ht="15.75" customHeight="1">
      <c r="A69" s="11" t="s">
        <v>248</v>
      </c>
      <c r="B69" s="13" t="str">
        <f>iferror(if(countif('COFA - live'!E:E,A69),VLOOKUP("stable",'COFA - live'!$A$1:$C$70,3,False),VLOOKUP(A69,'COFA - live'!$A$1:$C$70,3,False)))</f>
        <v/>
      </c>
      <c r="C69" s="13"/>
      <c r="D69" s="13"/>
      <c r="E69" s="17">
        <v>0.0</v>
      </c>
      <c r="F69" s="13"/>
      <c r="G69" s="13"/>
      <c r="H69" s="13"/>
      <c r="I69" s="13"/>
      <c r="J69" s="13"/>
      <c r="K69" s="13">
        <v>0.0</v>
      </c>
      <c r="L69" s="13">
        <v>0.0</v>
      </c>
    </row>
    <row r="70" ht="15.75" customHeight="1">
      <c r="A70" s="11" t="s">
        <v>249</v>
      </c>
      <c r="B70" s="13">
        <f>iferror(if(countif('COFA - live'!E:E,A70),VLOOKUP("stable",'COFA - live'!$A$1:$C$70,3,False),VLOOKUP(A70,'COFA - live'!$A$1:$C$70,3,False)))</f>
        <v>0.0093</v>
      </c>
      <c r="C70" s="13"/>
      <c r="D70" s="13"/>
      <c r="E70" s="17">
        <v>0.0</v>
      </c>
      <c r="F70" s="13"/>
      <c r="G70" s="13"/>
      <c r="H70" s="13"/>
      <c r="I70" s="13"/>
      <c r="J70" s="13"/>
      <c r="K70" s="13">
        <v>0.0</v>
      </c>
      <c r="L70" s="13">
        <v>0.0</v>
      </c>
    </row>
    <row r="71" ht="15.75" customHeight="1">
      <c r="A71" s="11" t="s">
        <v>250</v>
      </c>
      <c r="B71" s="13">
        <f>iferror(if(countif('COFA - live'!E:E,A71),VLOOKUP("stable",'COFA - live'!$A$1:$C$70,3,False),VLOOKUP(A71,'COFA - live'!$A$1:$C$70,3,False)))</f>
        <v>0.0228</v>
      </c>
      <c r="C71" s="13"/>
      <c r="D71" s="13"/>
      <c r="E71" s="17">
        <v>0.0</v>
      </c>
      <c r="F71" s="13"/>
      <c r="G71" s="13"/>
      <c r="H71" s="13"/>
      <c r="I71" s="13"/>
      <c r="J71" s="13"/>
      <c r="K71" s="13">
        <v>0.0</v>
      </c>
      <c r="L71" s="13">
        <v>0.0</v>
      </c>
    </row>
    <row r="72" ht="15.75" customHeight="1">
      <c r="A72" s="11" t="s">
        <v>251</v>
      </c>
      <c r="B72" s="13" t="str">
        <f>iferror(if(countif('COFA - live'!E:E,A72),VLOOKUP("stable",'COFA - live'!$A$1:$C$70,3,False),VLOOKUP(A72,'COFA - live'!$A$1:$C$70,3,False)))</f>
        <v/>
      </c>
      <c r="C72" s="13"/>
      <c r="D72" s="13"/>
      <c r="E72" s="17">
        <v>0.0</v>
      </c>
      <c r="F72" s="13"/>
      <c r="G72" s="13"/>
      <c r="H72" s="13"/>
      <c r="I72" s="13"/>
      <c r="J72" s="13"/>
      <c r="K72" s="13">
        <v>0.0</v>
      </c>
      <c r="L72" s="13">
        <v>0.0</v>
      </c>
    </row>
    <row r="73" ht="15.75" customHeight="1">
      <c r="A73" s="11" t="s">
        <v>252</v>
      </c>
      <c r="B73" s="13" t="str">
        <f>iferror(if(countif('COFA - live'!E:E,A73),VLOOKUP("stable",'COFA - live'!$A$1:$C$70,3,False),VLOOKUP(A73,'COFA - live'!$A$1:$C$70,3,False)))</f>
        <v/>
      </c>
      <c r="C73" s="13"/>
      <c r="D73" s="13"/>
      <c r="E73" s="17">
        <v>0.0</v>
      </c>
      <c r="F73" s="13"/>
      <c r="G73" s="13"/>
      <c r="H73" s="13"/>
      <c r="I73" s="13"/>
      <c r="J73" s="13"/>
      <c r="K73" s="13">
        <v>0.0</v>
      </c>
      <c r="L73" s="13">
        <v>0.0</v>
      </c>
    </row>
    <row r="74" ht="15.75" customHeight="1">
      <c r="A74" s="11" t="s">
        <v>253</v>
      </c>
      <c r="B74" s="13" t="str">
        <f>iferror(if(countif('COFA - live'!E:E,A74),VLOOKUP("stable",'COFA - live'!$A$1:$C$70,3,False),VLOOKUP(A74,'COFA - live'!$A$1:$C$70,3,False)))</f>
        <v/>
      </c>
      <c r="C74" s="13"/>
      <c r="D74" s="13"/>
      <c r="E74" s="17">
        <v>0.0</v>
      </c>
      <c r="F74" s="13"/>
      <c r="G74" s="13"/>
      <c r="H74" s="13"/>
      <c r="I74" s="13"/>
      <c r="J74" s="13"/>
      <c r="K74" s="13">
        <v>0.0</v>
      </c>
      <c r="L74" s="13">
        <v>0.0</v>
      </c>
    </row>
    <row r="75" ht="15.75" customHeight="1">
      <c r="A75" s="11" t="s">
        <v>254</v>
      </c>
      <c r="B75" s="13" t="str">
        <f>iferror(if(countif('COFA - live'!E:E,A75),VLOOKUP("stable",'COFA - live'!$A$1:$C$70,3,False),VLOOKUP(A75,'COFA - live'!$A$1:$C$70,3,False)))</f>
        <v/>
      </c>
      <c r="C75" s="13"/>
      <c r="D75" s="13"/>
      <c r="E75" s="17">
        <v>0.0</v>
      </c>
      <c r="F75" s="13"/>
      <c r="G75" s="13"/>
      <c r="H75" s="13"/>
      <c r="I75" s="13"/>
      <c r="J75" s="13"/>
      <c r="K75" s="13">
        <v>0.0</v>
      </c>
      <c r="L75" s="13">
        <v>0.0</v>
      </c>
    </row>
    <row r="76" ht="15.75" customHeight="1">
      <c r="A76" s="11" t="s">
        <v>255</v>
      </c>
      <c r="B76" s="13" t="str">
        <f>iferror(if(countif('COFA - live'!E:E,A76),VLOOKUP("stable",'COFA - live'!$A$1:$C$70,3,False),VLOOKUP(A76,'COFA - live'!$A$1:$C$70,3,False)))</f>
        <v/>
      </c>
      <c r="C76" s="13"/>
      <c r="D76" s="13"/>
      <c r="E76" s="17">
        <v>0.0</v>
      </c>
      <c r="F76" s="13"/>
      <c r="G76" s="13"/>
      <c r="H76" s="13"/>
      <c r="I76" s="13"/>
      <c r="J76" s="13"/>
      <c r="K76" s="13">
        <v>0.0</v>
      </c>
      <c r="L76" s="13">
        <v>0.0</v>
      </c>
    </row>
    <row r="77" ht="15.75" customHeight="1">
      <c r="A77" s="11" t="s">
        <v>256</v>
      </c>
      <c r="B77" s="13">
        <f>iferror(if(countif('COFA - live'!E:E,A77),VLOOKUP("stable",'COFA - live'!$A$1:$C$70,3,False),VLOOKUP(A77,'COFA - live'!$A$1:$C$70,3,False)))</f>
        <v>0.0554</v>
      </c>
      <c r="C77" s="13"/>
      <c r="D77" s="13"/>
      <c r="E77" s="17">
        <v>0.0</v>
      </c>
      <c r="F77" s="13"/>
      <c r="G77" s="13"/>
      <c r="H77" s="13"/>
      <c r="I77" s="13"/>
      <c r="J77" s="13"/>
      <c r="K77" s="13">
        <v>0.0</v>
      </c>
      <c r="L77" s="13">
        <v>0.0</v>
      </c>
    </row>
    <row r="78" ht="15.75" customHeight="1">
      <c r="A78" s="11" t="s">
        <v>257</v>
      </c>
      <c r="B78" s="13">
        <f>iferror(if(countif('COFA - live'!E:E,A78),VLOOKUP("stable",'COFA - live'!$A$1:$C$70,3,False),VLOOKUP(A78,'COFA - live'!$A$1:$C$70,3,False)))</f>
        <v>0.0091</v>
      </c>
      <c r="C78" s="13"/>
      <c r="D78" s="13"/>
      <c r="E78" s="17">
        <v>0.0</v>
      </c>
      <c r="F78" s="13"/>
      <c r="G78" s="13"/>
      <c r="H78" s="13"/>
      <c r="I78" s="13"/>
      <c r="J78" s="13"/>
      <c r="K78" s="13">
        <v>0.0</v>
      </c>
      <c r="L78" s="13">
        <v>0.0</v>
      </c>
    </row>
    <row r="79" ht="15.75" customHeight="1">
      <c r="A79" s="11" t="s">
        <v>258</v>
      </c>
      <c r="B79" s="13">
        <f>iferror(if(countif('COFA - live'!E:E,A79),VLOOKUP("stable",'COFA - live'!$A$1:$C$70,3,False),VLOOKUP(A79,'COFA - live'!$A$1:$C$70,3,False)))</f>
        <v>0.0127</v>
      </c>
      <c r="C79" s="13"/>
      <c r="D79" s="13"/>
      <c r="E79" s="17">
        <v>0.0</v>
      </c>
      <c r="F79" s="13"/>
      <c r="G79" s="13"/>
      <c r="H79" s="13"/>
      <c r="I79" s="13"/>
      <c r="J79" s="13"/>
      <c r="K79" s="13">
        <v>0.0</v>
      </c>
      <c r="L79" s="13">
        <v>0.0</v>
      </c>
    </row>
    <row r="80" ht="15.75" customHeight="1">
      <c r="A80" s="11" t="s">
        <v>260</v>
      </c>
      <c r="B80" s="13" t="str">
        <f>iferror(if(countif('COFA - live'!E:E,A80),VLOOKUP("stable",'COFA - live'!$A$1:$C$70,3,False),VLOOKUP(A80,'COFA - live'!$A$1:$C$70,3,False)))</f>
        <v/>
      </c>
      <c r="C80" s="13"/>
      <c r="D80" s="13"/>
      <c r="E80" s="17">
        <v>0.0</v>
      </c>
      <c r="F80" s="13"/>
      <c r="G80" s="13"/>
      <c r="H80" s="13"/>
      <c r="I80" s="13"/>
      <c r="J80" s="13"/>
      <c r="K80" s="13">
        <v>0.0</v>
      </c>
      <c r="L80" s="13">
        <v>0.0</v>
      </c>
    </row>
    <row r="81" ht="15.75" customHeight="1">
      <c r="A81" s="11" t="s">
        <v>261</v>
      </c>
      <c r="B81" s="13">
        <f>iferror(if(countif('COFA - live'!E:E,A81),VLOOKUP("stable",'COFA - live'!$A$1:$C$70,3,False),VLOOKUP(A81,'COFA - live'!$A$1:$C$70,3,False)))</f>
        <v>0.0155</v>
      </c>
      <c r="C81" s="13"/>
      <c r="D81" s="13"/>
      <c r="E81" s="17">
        <v>0.0</v>
      </c>
      <c r="F81" s="13"/>
      <c r="G81" s="13"/>
      <c r="H81" s="13"/>
      <c r="I81" s="13"/>
      <c r="J81" s="13"/>
      <c r="K81" s="13">
        <v>0.0</v>
      </c>
      <c r="L81" s="13">
        <v>0.0</v>
      </c>
    </row>
    <row r="82" ht="15.75" customHeight="1">
      <c r="A82" s="11" t="s">
        <v>262</v>
      </c>
      <c r="B82" s="13">
        <f>iferror(if(countif('COFA - live'!E:E,A82),VLOOKUP("stable",'COFA - live'!$A$1:$C$70,3,False),VLOOKUP(A82,'COFA - live'!$A$1:$C$70,3,False)))</f>
        <v>0.0169</v>
      </c>
      <c r="C82" s="13"/>
      <c r="D82" s="13"/>
      <c r="E82" s="17">
        <v>0.0</v>
      </c>
      <c r="F82" s="13"/>
      <c r="G82" s="13"/>
      <c r="H82" s="13"/>
      <c r="I82" s="13"/>
      <c r="J82" s="13"/>
      <c r="K82" s="13">
        <v>0.0</v>
      </c>
      <c r="L82" s="13">
        <v>0.0</v>
      </c>
    </row>
    <row r="83" ht="15.75" customHeight="1">
      <c r="A83" s="11" t="s">
        <v>263</v>
      </c>
      <c r="B83" s="13" t="str">
        <f>iferror(if(countif('COFA - live'!E:E,A83),VLOOKUP("stable",'COFA - live'!$A$1:$C$70,3,False),VLOOKUP(A83,'COFA - live'!$A$1:$C$70,3,False)))</f>
        <v/>
      </c>
      <c r="C83" s="13"/>
      <c r="D83" s="13"/>
      <c r="E83" s="17">
        <v>0.0</v>
      </c>
      <c r="F83" s="13"/>
      <c r="G83" s="13"/>
      <c r="H83" s="13"/>
      <c r="I83" s="13"/>
      <c r="J83" s="13"/>
      <c r="K83" s="13">
        <v>0.0</v>
      </c>
      <c r="L83" s="13">
        <v>0.0</v>
      </c>
    </row>
    <row r="84" ht="15.75" customHeight="1">
      <c r="A84" s="7" t="s">
        <v>297</v>
      </c>
      <c r="B84" s="13">
        <f>iferror(if(countif('COFA - live'!E:E,A84),VLOOKUP("stable",'COFA - live'!$A$1:$C$70,3,False),VLOOKUP(A84,'COFA - live'!$A$1:$C$70,3,False)))</f>
        <v>0.0959</v>
      </c>
      <c r="E84" s="17">
        <v>0.0</v>
      </c>
      <c r="K84" s="13">
        <v>0.0</v>
      </c>
      <c r="L84" s="13">
        <v>0.0</v>
      </c>
    </row>
    <row r="85" ht="15.75" customHeight="1">
      <c r="B85" s="13"/>
      <c r="K85" s="13">
        <v>0.0</v>
      </c>
      <c r="L85" s="13">
        <v>0.0</v>
      </c>
    </row>
    <row r="86" ht="15.75" customHeight="1">
      <c r="B86" s="13" t="str">
        <f>iferror(if(countif('COFA - live'!E:E,A86),VLOOKUP("stable",'COFA - live'!$A$1:$C$70,3,False),VLOOKUP(A86,'COFA - live'!$A$1:$C$70,3,False)))</f>
        <v/>
      </c>
      <c r="K86" s="13">
        <v>0.0</v>
      </c>
    </row>
    <row r="87" ht="15.75" customHeight="1">
      <c r="A87" s="7" t="s">
        <v>264</v>
      </c>
      <c r="B87" s="13" t="str">
        <f>iferror(if(countif('COFA - live'!E:E,A87),VLOOKUP("stable",'COFA - live'!$A$1:$C$70,3,False),VLOOKUP(A87,'COFA - live'!$A$1:$C$70,3,False)))</f>
        <v/>
      </c>
      <c r="D87" s="11">
        <f t="shared" ref="D87:J87" si="2">COUNT(D2:D79)</f>
        <v>1</v>
      </c>
      <c r="E87" s="11">
        <f t="shared" si="2"/>
        <v>78</v>
      </c>
      <c r="F87" s="11">
        <f t="shared" si="2"/>
        <v>2</v>
      </c>
      <c r="G87" s="11">
        <f t="shared" si="2"/>
        <v>1</v>
      </c>
      <c r="H87" s="11">
        <f t="shared" si="2"/>
        <v>2</v>
      </c>
      <c r="I87" s="11">
        <f t="shared" si="2"/>
        <v>2</v>
      </c>
      <c r="J87" s="11">
        <f t="shared" si="2"/>
        <v>3</v>
      </c>
      <c r="K87" s="13">
        <v>0.0</v>
      </c>
    </row>
    <row r="88" ht="15.75" customHeight="1">
      <c r="B88" s="13" t="str">
        <f>iferror(if(countif('COFA - live'!E:E,A88),VLOOKUP("stable",'COFA - live'!$A$1:$C$70,3,False),VLOOKUP(A88,'COFA - live'!$A$1:$C$70,3,False)))</f>
        <v/>
      </c>
      <c r="K88" s="13">
        <v>0.0</v>
      </c>
    </row>
    <row r="89" ht="15.75" customHeight="1">
      <c r="K89" s="13">
        <v>0.0</v>
      </c>
    </row>
    <row r="90" ht="15.75" customHeight="1">
      <c r="K90" s="13">
        <v>0.0</v>
      </c>
    </row>
    <row r="91" ht="15.75" customHeight="1">
      <c r="K91" s="13">
        <v>0.0</v>
      </c>
    </row>
    <row r="92" ht="15.75" customHeight="1">
      <c r="K92" s="13">
        <v>0.0</v>
      </c>
    </row>
    <row r="93" ht="15.75" customHeight="1">
      <c r="K93" s="13">
        <v>0.0</v>
      </c>
    </row>
    <row r="94" ht="15.75" customHeight="1">
      <c r="K94" s="13">
        <v>0.0</v>
      </c>
    </row>
    <row r="95" ht="15.75" customHeight="1">
      <c r="K95" s="13">
        <v>0.0</v>
      </c>
    </row>
    <row r="96" ht="15.75" customHeight="1">
      <c r="K96" s="13">
        <v>0.0</v>
      </c>
    </row>
    <row r="97" ht="15.75" customHeight="1">
      <c r="K97" s="13">
        <v>0.0</v>
      </c>
    </row>
    <row r="98" ht="15.75" customHeight="1">
      <c r="K98" s="13">
        <v>0.0</v>
      </c>
    </row>
    <row r="99" ht="15.75" customHeight="1">
      <c r="K99" s="13">
        <v>0.0</v>
      </c>
    </row>
    <row r="100" ht="15.75" customHeight="1">
      <c r="K100" s="13">
        <v>0.0</v>
      </c>
    </row>
    <row r="101" ht="15.75" customHeight="1">
      <c r="K101" s="13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38"/>
  </cols>
  <sheetData>
    <row r="1">
      <c r="A1" s="11" t="str">
        <f>IFERROR(__xludf.DUMMYFUNCTION("IMPORTRANGE(""https://docs.google.com/spreadsheets/d/1_R5XGAbKIAiF9dmTsF3tMbRMvAh_nv1cUh_NAjqTboc/edit#gid=0"",""COFA live!B2:D60"")"),"")</f>
        <v/>
      </c>
      <c r="B1" s="11" t="str">
        <f>IFERROR(__xludf.DUMMYFUNCTION("""COMPUTED_VALUE"""),"Cost of Funding (Firm View)")</f>
        <v>Cost of Funding (Firm View)</v>
      </c>
      <c r="C1" s="11"/>
    </row>
    <row r="2">
      <c r="A2" s="11" t="str">
        <f>IFERROR(__xludf.DUMMYFUNCTION("""COMPUTED_VALUE"""),"Coin")</f>
        <v>Coin</v>
      </c>
      <c r="B2" s="11" t="str">
        <f>IFERROR(__xludf.DUMMYFUNCTION("""COMPUTED_VALUE"""),"Excl. All Collateral")</f>
        <v>Excl. All Collateral</v>
      </c>
      <c r="C2" s="11" t="str">
        <f>IFERROR(__xludf.DUMMYFUNCTION("""COMPUTED_VALUE"""),"Incl. All Collateral")</f>
        <v>Incl. All Collateral</v>
      </c>
    </row>
    <row r="3">
      <c r="A3" s="11" t="str">
        <f>IFERROR(__xludf.DUMMYFUNCTION("""COMPUTED_VALUE"""),"CEL")</f>
        <v>CEL</v>
      </c>
      <c r="B3" s="35">
        <f>IFERROR(__xludf.DUMMYFUNCTION("""COMPUTED_VALUE"""),0.0493)</f>
        <v>0.0493</v>
      </c>
      <c r="C3" s="35">
        <f>IFERROR(__xludf.DUMMYFUNCTION("""COMPUTED_VALUE"""),0.0415)</f>
        <v>0.0415</v>
      </c>
    </row>
    <row r="4">
      <c r="A4" s="11" t="str">
        <f>IFERROR(__xludf.DUMMYFUNCTION("""COMPUTED_VALUE"""),"1INCH")</f>
        <v>1INCH</v>
      </c>
      <c r="B4" s="35">
        <f>IFERROR(__xludf.DUMMYFUNCTION("""COMPUTED_VALUE"""),0.0408)</f>
        <v>0.0408</v>
      </c>
      <c r="C4" s="35">
        <f>IFERROR(__xludf.DUMMYFUNCTION("""COMPUTED_VALUE"""),0.04)</f>
        <v>0.04</v>
      </c>
      <c r="E4" s="7" t="s">
        <v>298</v>
      </c>
    </row>
    <row r="5">
      <c r="A5" s="11" t="str">
        <f>IFERROR(__xludf.DUMMYFUNCTION("""COMPUTED_VALUE"""),"AAVE")</f>
        <v>AAVE</v>
      </c>
      <c r="B5" s="35">
        <f>IFERROR(__xludf.DUMMYFUNCTION("""COMPUTED_VALUE"""),0.0488)</f>
        <v>0.0488</v>
      </c>
      <c r="C5" s="35">
        <f>IFERROR(__xludf.DUMMYFUNCTION("""COMPUTED_VALUE"""),0.0385)</f>
        <v>0.0385</v>
      </c>
      <c r="E5" s="11" t="s">
        <v>187</v>
      </c>
    </row>
    <row r="6">
      <c r="A6" s="11" t="str">
        <f>IFERROR(__xludf.DUMMYFUNCTION("""COMPUTED_VALUE"""),"ADA")</f>
        <v>ADA</v>
      </c>
      <c r="B6" s="35">
        <f>IFERROR(__xludf.DUMMYFUNCTION("""COMPUTED_VALUE"""),0.0403)</f>
        <v>0.0403</v>
      </c>
      <c r="C6" s="35">
        <f>IFERROR(__xludf.DUMMYFUNCTION("""COMPUTED_VALUE"""),0.0205)</f>
        <v>0.0205</v>
      </c>
      <c r="E6" s="11" t="s">
        <v>206</v>
      </c>
    </row>
    <row r="7">
      <c r="A7" s="11" t="str">
        <f>IFERROR(__xludf.DUMMYFUNCTION("""COMPUTED_VALUE"""),"BAT")</f>
        <v>BAT</v>
      </c>
      <c r="B7" s="35">
        <f>IFERROR(__xludf.DUMMYFUNCTION("""COMPUTED_VALUE"""),0.0102)</f>
        <v>0.0102</v>
      </c>
      <c r="C7" s="35">
        <f>IFERROR(__xludf.DUMMYFUNCTION("""COMPUTED_VALUE"""),0.0097)</f>
        <v>0.0097</v>
      </c>
      <c r="E7" s="11" t="s">
        <v>219</v>
      </c>
    </row>
    <row r="8">
      <c r="A8" s="11" t="str">
        <f>IFERROR(__xludf.DUMMYFUNCTION("""COMPUTED_VALUE"""),"BCH")</f>
        <v>BCH</v>
      </c>
      <c r="B8" s="35">
        <f>IFERROR(__xludf.DUMMYFUNCTION("""COMPUTED_VALUE"""),0.0458)</f>
        <v>0.0458</v>
      </c>
      <c r="C8" s="35">
        <f>IFERROR(__xludf.DUMMYFUNCTION("""COMPUTED_VALUE"""),0.0225)</f>
        <v>0.0225</v>
      </c>
      <c r="E8" s="11" t="s">
        <v>224</v>
      </c>
    </row>
    <row r="9">
      <c r="A9" s="11" t="str">
        <f>IFERROR(__xludf.DUMMYFUNCTION("""COMPUTED_VALUE"""),"BNB")</f>
        <v>BNB</v>
      </c>
      <c r="B9" s="35">
        <f>IFERROR(__xludf.DUMMYFUNCTION("""COMPUTED_VALUE"""),0.0674)</f>
        <v>0.0674</v>
      </c>
      <c r="C9" s="35">
        <f>IFERROR(__xludf.DUMMYFUNCTION("""COMPUTED_VALUE"""),0.0581)</f>
        <v>0.0581</v>
      </c>
      <c r="E9" s="11" t="s">
        <v>243</v>
      </c>
    </row>
    <row r="10">
      <c r="A10" s="11" t="str">
        <f>IFERROR(__xludf.DUMMYFUNCTION("""COMPUTED_VALUE"""),"BNT")</f>
        <v>BNT</v>
      </c>
      <c r="B10" s="35">
        <f>IFERROR(__xludf.DUMMYFUNCTION("""COMPUTED_VALUE"""),0.0595)</f>
        <v>0.0595</v>
      </c>
      <c r="C10" s="35">
        <f>IFERROR(__xludf.DUMMYFUNCTION("""COMPUTED_VALUE"""),0.0595)</f>
        <v>0.0595</v>
      </c>
      <c r="E10" s="11" t="s">
        <v>244</v>
      </c>
    </row>
    <row r="11">
      <c r="A11" s="11" t="str">
        <f>IFERROR(__xludf.DUMMYFUNCTION("""COMPUTED_VALUE"""),"BSV")</f>
        <v>BSV</v>
      </c>
      <c r="B11" s="35">
        <f>IFERROR(__xludf.DUMMYFUNCTION("""COMPUTED_VALUE"""),0.0211)</f>
        <v>0.0211</v>
      </c>
      <c r="C11" s="35">
        <f>IFERROR(__xludf.DUMMYFUNCTION("""COMPUTED_VALUE"""),0.0183)</f>
        <v>0.0183</v>
      </c>
      <c r="E11" s="11" t="s">
        <v>245</v>
      </c>
    </row>
    <row r="12">
      <c r="A12" s="11" t="str">
        <f>IFERROR(__xludf.DUMMYFUNCTION("""COMPUTED_VALUE"""),"BTC")</f>
        <v>BTC</v>
      </c>
      <c r="B12" s="35">
        <f>IFERROR(__xludf.DUMMYFUNCTION("""COMPUTED_VALUE"""),0.04)</f>
        <v>0.04</v>
      </c>
      <c r="C12" s="35">
        <f>IFERROR(__xludf.DUMMYFUNCTION("""COMPUTED_VALUE"""),0.0298)</f>
        <v>0.0298</v>
      </c>
      <c r="E12" s="11" t="s">
        <v>246</v>
      </c>
    </row>
    <row r="13">
      <c r="A13" s="11" t="str">
        <f>IFERROR(__xludf.DUMMYFUNCTION("""COMPUTED_VALUE"""),"BTG")</f>
        <v>BTG</v>
      </c>
      <c r="B13" s="35">
        <f>IFERROR(__xludf.DUMMYFUNCTION("""COMPUTED_VALUE"""),0.0)</f>
        <v>0</v>
      </c>
      <c r="C13" s="35">
        <f>IFERROR(__xludf.DUMMYFUNCTION("""COMPUTED_VALUE"""),0.0)</f>
        <v>0</v>
      </c>
      <c r="E13" s="11" t="s">
        <v>248</v>
      </c>
    </row>
    <row r="14">
      <c r="A14" s="11" t="str">
        <f>IFERROR(__xludf.DUMMYFUNCTION("""COMPUTED_VALUE"""),"BUSD")</f>
        <v>BUSD</v>
      </c>
      <c r="B14" s="35">
        <f>IFERROR(__xludf.DUMMYFUNCTION("""COMPUTED_VALUE"""),0.0963)</f>
        <v>0.0963</v>
      </c>
      <c r="C14" s="35">
        <f>IFERROR(__xludf.DUMMYFUNCTION("""COMPUTED_VALUE"""),0.0963)</f>
        <v>0.0963</v>
      </c>
      <c r="E14" s="11" t="s">
        <v>252</v>
      </c>
    </row>
    <row r="15">
      <c r="A15" s="11" t="str">
        <f>IFERROR(__xludf.DUMMYFUNCTION("""COMPUTED_VALUE"""),"COMP")</f>
        <v>COMP</v>
      </c>
      <c r="B15" s="35">
        <f>IFERROR(__xludf.DUMMYFUNCTION("""COMPUTED_VALUE"""),0.0466)</f>
        <v>0.0466</v>
      </c>
      <c r="C15" s="35">
        <f>IFERROR(__xludf.DUMMYFUNCTION("""COMPUTED_VALUE"""),0.0453)</f>
        <v>0.0453</v>
      </c>
      <c r="E15" s="11" t="s">
        <v>253</v>
      </c>
    </row>
    <row r="16">
      <c r="A16" s="11" t="str">
        <f>IFERROR(__xludf.DUMMYFUNCTION("""COMPUTED_VALUE"""),"DASH")</f>
        <v>DASH</v>
      </c>
      <c r="B16" s="35">
        <f>IFERROR(__xludf.DUMMYFUNCTION("""COMPUTED_VALUE"""),0.0459)</f>
        <v>0.0459</v>
      </c>
      <c r="C16" s="35">
        <f>IFERROR(__xludf.DUMMYFUNCTION("""COMPUTED_VALUE"""),0.041)</f>
        <v>0.041</v>
      </c>
      <c r="E16" s="11" t="s">
        <v>255</v>
      </c>
    </row>
    <row r="17">
      <c r="A17" s="11" t="str">
        <f>IFERROR(__xludf.DUMMYFUNCTION("""COMPUTED_VALUE"""),"DOT")</f>
        <v>DOT</v>
      </c>
      <c r="B17" s="35">
        <f>IFERROR(__xludf.DUMMYFUNCTION("""COMPUTED_VALUE"""),0.0865)</f>
        <v>0.0865</v>
      </c>
      <c r="C17" s="35">
        <f>IFERROR(__xludf.DUMMYFUNCTION("""COMPUTED_VALUE"""),0.0668)</f>
        <v>0.0668</v>
      </c>
      <c r="E17" s="11" t="s">
        <v>263</v>
      </c>
    </row>
    <row r="18">
      <c r="A18" s="11" t="str">
        <f>IFERROR(__xludf.DUMMYFUNCTION("""COMPUTED_VALUE"""),"EOS")</f>
        <v>EOS</v>
      </c>
      <c r="B18" s="35">
        <f>IFERROR(__xludf.DUMMYFUNCTION("""COMPUTED_VALUE"""),0.0446)</f>
        <v>0.0446</v>
      </c>
      <c r="C18" s="35">
        <f>IFERROR(__xludf.DUMMYFUNCTION("""COMPUTED_VALUE"""),0.0288)</f>
        <v>0.0288</v>
      </c>
      <c r="E18" s="11" t="s">
        <v>299</v>
      </c>
    </row>
    <row r="19">
      <c r="A19" s="11" t="str">
        <f>IFERROR(__xludf.DUMMYFUNCTION("""COMPUTED_VALUE"""),"ETC")</f>
        <v>ETC</v>
      </c>
      <c r="B19" s="35">
        <f>IFERROR(__xludf.DUMMYFUNCTION("""COMPUTED_VALUE"""),0.03)</f>
        <v>0.03</v>
      </c>
      <c r="C19" s="35">
        <f>IFERROR(__xludf.DUMMYFUNCTION("""COMPUTED_VALUE"""),0.0298)</f>
        <v>0.0298</v>
      </c>
      <c r="E19" s="11" t="s">
        <v>251</v>
      </c>
    </row>
    <row r="20">
      <c r="A20" s="11" t="str">
        <f>IFERROR(__xludf.DUMMYFUNCTION("""COMPUTED_VALUE"""),"ETH")</f>
        <v>ETH</v>
      </c>
      <c r="B20" s="35">
        <f>IFERROR(__xludf.DUMMYFUNCTION("""COMPUTED_VALUE"""),0.0462)</f>
        <v>0.0462</v>
      </c>
      <c r="C20" s="35">
        <f>IFERROR(__xludf.DUMMYFUNCTION("""COMPUTED_VALUE"""),0.0384)</f>
        <v>0.0384</v>
      </c>
      <c r="E20" s="11" t="s">
        <v>215</v>
      </c>
    </row>
    <row r="21">
      <c r="A21" s="11" t="str">
        <f>IFERROR(__xludf.DUMMYFUNCTION("""COMPUTED_VALUE"""),"GUSD")</f>
        <v>GUSD</v>
      </c>
      <c r="B21" s="35">
        <f>IFERROR(__xludf.DUMMYFUNCTION("""COMPUTED_VALUE"""),0.0956)</f>
        <v>0.0956</v>
      </c>
      <c r="C21" s="35">
        <f>IFERROR(__xludf.DUMMYFUNCTION("""COMPUTED_VALUE"""),0.0954)</f>
        <v>0.0954</v>
      </c>
    </row>
    <row r="22">
      <c r="A22" s="11" t="str">
        <f>IFERROR(__xludf.DUMMYFUNCTION("""COMPUTED_VALUE"""),"KNC")</f>
        <v>KNC</v>
      </c>
      <c r="B22" s="35">
        <f>IFERROR(__xludf.DUMMYFUNCTION("""COMPUTED_VALUE"""),0.005)</f>
        <v>0.005</v>
      </c>
      <c r="C22" s="35">
        <f>IFERROR(__xludf.DUMMYFUNCTION("""COMPUTED_VALUE"""),0.0048)</f>
        <v>0.0048</v>
      </c>
    </row>
    <row r="23">
      <c r="A23" s="11" t="str">
        <f>IFERROR(__xludf.DUMMYFUNCTION("""COMPUTED_VALUE"""),"LINK")</f>
        <v>LINK</v>
      </c>
      <c r="B23" s="35">
        <f>IFERROR(__xludf.DUMMYFUNCTION("""COMPUTED_VALUE"""),0.0299)</f>
        <v>0.0299</v>
      </c>
      <c r="C23" s="35">
        <f>IFERROR(__xludf.DUMMYFUNCTION("""COMPUTED_VALUE"""),0.0251)</f>
        <v>0.0251</v>
      </c>
    </row>
    <row r="24">
      <c r="A24" s="11" t="str">
        <f>IFERROR(__xludf.DUMMYFUNCTION("""COMPUTED_VALUE"""),"LPT")</f>
        <v>LPT</v>
      </c>
      <c r="B24" s="35">
        <f>IFERROR(__xludf.DUMMYFUNCTION("""COMPUTED_VALUE"""),0.0)</f>
        <v>0</v>
      </c>
      <c r="C24" s="35">
        <f>IFERROR(__xludf.DUMMYFUNCTION("""COMPUTED_VALUE"""),0.0)</f>
        <v>0</v>
      </c>
    </row>
    <row r="25">
      <c r="A25" s="11" t="str">
        <f>IFERROR(__xludf.DUMMYFUNCTION("""COMPUTED_VALUE"""),"LTC")</f>
        <v>LTC</v>
      </c>
      <c r="B25" s="35">
        <f>IFERROR(__xludf.DUMMYFUNCTION("""COMPUTED_VALUE"""),0.0323)</f>
        <v>0.0323</v>
      </c>
      <c r="C25" s="35">
        <f>IFERROR(__xludf.DUMMYFUNCTION("""COMPUTED_VALUE"""),0.0285)</f>
        <v>0.0285</v>
      </c>
    </row>
    <row r="26">
      <c r="A26" s="11" t="str">
        <f>IFERROR(__xludf.DUMMYFUNCTION("""COMPUTED_VALUE"""),"LUNA")</f>
        <v>LUNA</v>
      </c>
      <c r="B26" s="35">
        <f>IFERROR(__xludf.DUMMYFUNCTION("""COMPUTED_VALUE"""),0.0498)</f>
        <v>0.0498</v>
      </c>
      <c r="C26" s="35">
        <f>IFERROR(__xludf.DUMMYFUNCTION("""COMPUTED_VALUE"""),0.0488)</f>
        <v>0.0488</v>
      </c>
    </row>
    <row r="27">
      <c r="A27" s="11" t="str">
        <f>IFERROR(__xludf.DUMMYFUNCTION("""COMPUTED_VALUE"""),"MANA")</f>
        <v>MANA</v>
      </c>
      <c r="B27" s="35">
        <f>IFERROR(__xludf.DUMMYFUNCTION("""COMPUTED_VALUE"""),0.0051)</f>
        <v>0.0051</v>
      </c>
      <c r="C27" s="35">
        <f>IFERROR(__xludf.DUMMYFUNCTION("""COMPUTED_VALUE"""),0.0042)</f>
        <v>0.0042</v>
      </c>
    </row>
    <row r="28">
      <c r="A28" s="11" t="str">
        <f>IFERROR(__xludf.DUMMYFUNCTION("""COMPUTED_VALUE"""),"MATIC")</f>
        <v>MATIC</v>
      </c>
      <c r="B28" s="35">
        <f>IFERROR(__xludf.DUMMYFUNCTION("""COMPUTED_VALUE"""),0.0885)</f>
        <v>0.0885</v>
      </c>
      <c r="C28" s="35">
        <f>IFERROR(__xludf.DUMMYFUNCTION("""COMPUTED_VALUE"""),0.0818)</f>
        <v>0.0818</v>
      </c>
    </row>
    <row r="29">
      <c r="A29" s="11" t="str">
        <f>IFERROR(__xludf.DUMMYFUNCTION("""COMPUTED_VALUE"""),"MCDAI")</f>
        <v>MCDAI</v>
      </c>
      <c r="B29" s="35">
        <f>IFERROR(__xludf.DUMMYFUNCTION("""COMPUTED_VALUE"""),0.0506)</f>
        <v>0.0506</v>
      </c>
      <c r="C29" s="35">
        <f>IFERROR(__xludf.DUMMYFUNCTION("""COMPUTED_VALUE"""),0.0505)</f>
        <v>0.0505</v>
      </c>
    </row>
    <row r="30">
      <c r="A30" s="11" t="str">
        <f>IFERROR(__xludf.DUMMYFUNCTION("""COMPUTED_VALUE"""),"OMG")</f>
        <v>OMG</v>
      </c>
      <c r="B30" s="35">
        <f>IFERROR(__xludf.DUMMYFUNCTION("""COMPUTED_VALUE"""),0.0051)</f>
        <v>0.0051</v>
      </c>
      <c r="C30" s="35">
        <f>IFERROR(__xludf.DUMMYFUNCTION("""COMPUTED_VALUE"""),0.0042)</f>
        <v>0.0042</v>
      </c>
    </row>
    <row r="31">
      <c r="A31" s="11" t="str">
        <f>IFERROR(__xludf.DUMMYFUNCTION("""COMPUTED_VALUE"""),"ORBS")</f>
        <v>ORBS</v>
      </c>
      <c r="B31" s="35">
        <f>IFERROR(__xludf.DUMMYFUNCTION("""COMPUTED_VALUE"""),0.0)</f>
        <v>0</v>
      </c>
      <c r="C31" s="35">
        <f>IFERROR(__xludf.DUMMYFUNCTION("""COMPUTED_VALUE"""),0.0)</f>
        <v>0</v>
      </c>
    </row>
    <row r="32">
      <c r="A32" s="11" t="str">
        <f>IFERROR(__xludf.DUMMYFUNCTION("""COMPUTED_VALUE"""),"PAX")</f>
        <v>PAX</v>
      </c>
      <c r="B32" s="35">
        <f>IFERROR(__xludf.DUMMYFUNCTION("""COMPUTED_VALUE"""),0.0921)</f>
        <v>0.0921</v>
      </c>
      <c r="C32" s="35">
        <f>IFERROR(__xludf.DUMMYFUNCTION("""COMPUTED_VALUE"""),0.0921)</f>
        <v>0.0921</v>
      </c>
    </row>
    <row r="33">
      <c r="A33" s="11" t="str">
        <f>IFERROR(__xludf.DUMMYFUNCTION("""COMPUTED_VALUE"""),"PAXG")</f>
        <v>PAXG</v>
      </c>
      <c r="B33" s="35">
        <f>IFERROR(__xludf.DUMMYFUNCTION("""COMPUTED_VALUE"""),0.0544)</f>
        <v>0.0544</v>
      </c>
      <c r="C33" s="35">
        <f>IFERROR(__xludf.DUMMYFUNCTION("""COMPUTED_VALUE"""),0.0526)</f>
        <v>0.0526</v>
      </c>
    </row>
    <row r="34">
      <c r="A34" s="11" t="str">
        <f>IFERROR(__xludf.DUMMYFUNCTION("""COMPUTED_VALUE"""),"SGA")</f>
        <v>SGA</v>
      </c>
      <c r="B34" s="35">
        <f>IFERROR(__xludf.DUMMYFUNCTION("""COMPUTED_VALUE"""),0.0)</f>
        <v>0</v>
      </c>
      <c r="C34" s="35">
        <f>IFERROR(__xludf.DUMMYFUNCTION("""COMPUTED_VALUE"""),0.0)</f>
        <v>0</v>
      </c>
    </row>
    <row r="35">
      <c r="A35" s="11" t="str">
        <f>IFERROR(__xludf.DUMMYFUNCTION("""COMPUTED_VALUE"""),"SGR")</f>
        <v>SGR</v>
      </c>
      <c r="B35" s="35">
        <f>IFERROR(__xludf.DUMMYFUNCTION("""COMPUTED_VALUE"""),0.0)</f>
        <v>0</v>
      </c>
      <c r="C35" s="35">
        <f>IFERROR(__xludf.DUMMYFUNCTION("""COMPUTED_VALUE"""),0.0)</f>
        <v>0</v>
      </c>
    </row>
    <row r="36">
      <c r="A36" s="11" t="str">
        <f>IFERROR(__xludf.DUMMYFUNCTION("""COMPUTED_VALUE"""),"SNX")</f>
        <v>SNX</v>
      </c>
      <c r="B36" s="35">
        <f>IFERROR(__xludf.DUMMYFUNCTION("""COMPUTED_VALUE"""),0.1365)</f>
        <v>0.1365</v>
      </c>
      <c r="C36" s="35">
        <f>IFERROR(__xludf.DUMMYFUNCTION("""COMPUTED_VALUE"""),0.1339)</f>
        <v>0.1339</v>
      </c>
    </row>
    <row r="37">
      <c r="A37" s="11" t="str">
        <f>IFERROR(__xludf.DUMMYFUNCTION("""COMPUTED_VALUE"""),"SUSHI")</f>
        <v>SUSHI</v>
      </c>
      <c r="B37" s="35">
        <f>IFERROR(__xludf.DUMMYFUNCTION("""COMPUTED_VALUE"""),0.041)</f>
        <v>0.041</v>
      </c>
      <c r="C37" s="35">
        <f>IFERROR(__xludf.DUMMYFUNCTION("""COMPUTED_VALUE"""),0.0396)</f>
        <v>0.0396</v>
      </c>
    </row>
    <row r="38">
      <c r="A38" s="11" t="str">
        <f>IFERROR(__xludf.DUMMYFUNCTION("""COMPUTED_VALUE"""),"TAUD")</f>
        <v>TAUD</v>
      </c>
      <c r="B38" s="35">
        <f>IFERROR(__xludf.DUMMYFUNCTION("""COMPUTED_VALUE"""),0.0975)</f>
        <v>0.0975</v>
      </c>
      <c r="C38" s="35">
        <f>IFERROR(__xludf.DUMMYFUNCTION("""COMPUTED_VALUE"""),0.0975)</f>
        <v>0.0975</v>
      </c>
    </row>
    <row r="39">
      <c r="A39" s="11" t="str">
        <f>IFERROR(__xludf.DUMMYFUNCTION("""COMPUTED_VALUE"""),"TCAD")</f>
        <v>TCAD</v>
      </c>
      <c r="B39" s="35">
        <f>IFERROR(__xludf.DUMMYFUNCTION("""COMPUTED_VALUE"""),0.1023)</f>
        <v>0.1023</v>
      </c>
      <c r="C39" s="35">
        <f>IFERROR(__xludf.DUMMYFUNCTION("""COMPUTED_VALUE"""),0.1023)</f>
        <v>0.1023</v>
      </c>
    </row>
    <row r="40">
      <c r="A40" s="11" t="str">
        <f>IFERROR(__xludf.DUMMYFUNCTION("""COMPUTED_VALUE"""),"TGBP")</f>
        <v>TGBP</v>
      </c>
      <c r="B40" s="35">
        <f>IFERROR(__xludf.DUMMYFUNCTION("""COMPUTED_VALUE"""),0.097)</f>
        <v>0.097</v>
      </c>
      <c r="C40" s="35">
        <f>IFERROR(__xludf.DUMMYFUNCTION("""COMPUTED_VALUE"""),0.097)</f>
        <v>0.097</v>
      </c>
    </row>
    <row r="41">
      <c r="A41" s="11" t="str">
        <f>IFERROR(__xludf.DUMMYFUNCTION("""COMPUTED_VALUE"""),"THKD")</f>
        <v>THKD</v>
      </c>
      <c r="B41" s="35">
        <f>IFERROR(__xludf.DUMMYFUNCTION("""COMPUTED_VALUE"""),0.0965)</f>
        <v>0.0965</v>
      </c>
      <c r="C41" s="35">
        <f>IFERROR(__xludf.DUMMYFUNCTION("""COMPUTED_VALUE"""),0.0965)</f>
        <v>0.0965</v>
      </c>
    </row>
    <row r="42">
      <c r="A42" s="11" t="str">
        <f>IFERROR(__xludf.DUMMYFUNCTION("""COMPUTED_VALUE"""),"TUSD")</f>
        <v>TUSD</v>
      </c>
      <c r="B42" s="35">
        <f>IFERROR(__xludf.DUMMYFUNCTION("""COMPUTED_VALUE"""),0.0928)</f>
        <v>0.0928</v>
      </c>
      <c r="C42" s="35">
        <f>IFERROR(__xludf.DUMMYFUNCTION("""COMPUTED_VALUE"""),0.0921)</f>
        <v>0.0921</v>
      </c>
    </row>
    <row r="43">
      <c r="A43" s="11" t="str">
        <f>IFERROR(__xludf.DUMMYFUNCTION("""COMPUTED_VALUE"""),"UMA")</f>
        <v>UMA</v>
      </c>
      <c r="B43" s="35">
        <f>IFERROR(__xludf.DUMMYFUNCTION("""COMPUTED_VALUE"""),0.0101)</f>
        <v>0.0101</v>
      </c>
      <c r="C43" s="35">
        <f>IFERROR(__xludf.DUMMYFUNCTION("""COMPUTED_VALUE"""),0.0093)</f>
        <v>0.0093</v>
      </c>
    </row>
    <row r="44">
      <c r="A44" s="11" t="str">
        <f>IFERROR(__xludf.DUMMYFUNCTION("""COMPUTED_VALUE"""),"UNI")</f>
        <v>UNI</v>
      </c>
      <c r="B44" s="35">
        <f>IFERROR(__xludf.DUMMYFUNCTION("""COMPUTED_VALUE"""),0.0254)</f>
        <v>0.0254</v>
      </c>
      <c r="C44" s="35">
        <f>IFERROR(__xludf.DUMMYFUNCTION("""COMPUTED_VALUE"""),0.0228)</f>
        <v>0.0228</v>
      </c>
    </row>
    <row r="45">
      <c r="A45" s="11" t="str">
        <f>IFERROR(__xludf.DUMMYFUNCTION("""COMPUTED_VALUE"""),"USDC")</f>
        <v>USDC</v>
      </c>
      <c r="B45" s="35">
        <f>IFERROR(__xludf.DUMMYFUNCTION("""COMPUTED_VALUE"""),0.0807)</f>
        <v>0.0807</v>
      </c>
      <c r="C45" s="35">
        <f>IFERROR(__xludf.DUMMYFUNCTION("""COMPUTED_VALUE"""),0.0753)</f>
        <v>0.0753</v>
      </c>
    </row>
    <row r="46">
      <c r="A46" s="11" t="str">
        <f>IFERROR(__xludf.DUMMYFUNCTION("""COMPUTED_VALUE"""),"USDT ERC20")</f>
        <v>USDT ERC20</v>
      </c>
      <c r="B46" s="35">
        <f>IFERROR(__xludf.DUMMYFUNCTION("""COMPUTED_VALUE"""),0.1221)</f>
        <v>0.1221</v>
      </c>
      <c r="C46" s="35">
        <f>IFERROR(__xludf.DUMMYFUNCTION("""COMPUTED_VALUE"""),0.1221)</f>
        <v>0.1221</v>
      </c>
    </row>
    <row r="47">
      <c r="A47" s="11" t="str">
        <f>IFERROR(__xludf.DUMMYFUNCTION("""COMPUTED_VALUE"""),"WDGLD")</f>
        <v>WDGLD</v>
      </c>
      <c r="B47" s="35">
        <f>IFERROR(__xludf.DUMMYFUNCTION("""COMPUTED_VALUE"""),0.054)</f>
        <v>0.054</v>
      </c>
      <c r="C47" s="35">
        <f>IFERROR(__xludf.DUMMYFUNCTION("""COMPUTED_VALUE"""),0.054)</f>
        <v>0.054</v>
      </c>
    </row>
    <row r="48">
      <c r="A48" s="11" t="str">
        <f>IFERROR(__xludf.DUMMYFUNCTION("""COMPUTED_VALUE"""),"XAUT")</f>
        <v>XAUT</v>
      </c>
      <c r="B48" s="35">
        <f>IFERROR(__xludf.DUMMYFUNCTION("""COMPUTED_VALUE"""),0.0554)</f>
        <v>0.0554</v>
      </c>
      <c r="C48" s="35">
        <f>IFERROR(__xludf.DUMMYFUNCTION("""COMPUTED_VALUE"""),0.0554)</f>
        <v>0.0554</v>
      </c>
    </row>
    <row r="49">
      <c r="A49" s="11" t="str">
        <f>IFERROR(__xludf.DUMMYFUNCTION("""COMPUTED_VALUE"""),"XLM")</f>
        <v>XLM</v>
      </c>
      <c r="B49" s="35">
        <f>IFERROR(__xludf.DUMMYFUNCTION("""COMPUTED_VALUE"""),0.0102)</f>
        <v>0.0102</v>
      </c>
      <c r="C49" s="35">
        <f>IFERROR(__xludf.DUMMYFUNCTION("""COMPUTED_VALUE"""),0.0091)</f>
        <v>0.0091</v>
      </c>
    </row>
    <row r="50">
      <c r="A50" s="11" t="str">
        <f>IFERROR(__xludf.DUMMYFUNCTION("""COMPUTED_VALUE"""),"XRP")</f>
        <v>XRP</v>
      </c>
      <c r="B50" s="35">
        <f>IFERROR(__xludf.DUMMYFUNCTION("""COMPUTED_VALUE"""),0.0175)</f>
        <v>0.0175</v>
      </c>
      <c r="C50" s="35">
        <f>IFERROR(__xludf.DUMMYFUNCTION("""COMPUTED_VALUE"""),0.0127)</f>
        <v>0.0127</v>
      </c>
    </row>
    <row r="51">
      <c r="A51" s="11" t="str">
        <f>IFERROR(__xludf.DUMMYFUNCTION("""COMPUTED_VALUE"""),"ZEC")</f>
        <v>ZEC</v>
      </c>
      <c r="B51" s="35">
        <f>IFERROR(__xludf.DUMMYFUNCTION("""COMPUTED_VALUE"""),0.0204)</f>
        <v>0.0204</v>
      </c>
      <c r="C51" s="35">
        <f>IFERROR(__xludf.DUMMYFUNCTION("""COMPUTED_VALUE"""),0.0155)</f>
        <v>0.0155</v>
      </c>
    </row>
    <row r="52">
      <c r="A52" s="11" t="str">
        <f>IFERROR(__xludf.DUMMYFUNCTION("""COMPUTED_VALUE"""),"ZRX")</f>
        <v>ZRX</v>
      </c>
      <c r="B52" s="35">
        <f>IFERROR(__xludf.DUMMYFUNCTION("""COMPUTED_VALUE"""),0.0178)</f>
        <v>0.0178</v>
      </c>
      <c r="C52" s="35">
        <f>IFERROR(__xludf.DUMMYFUNCTION("""COMPUTED_VALUE"""),0.0169)</f>
        <v>0.0169</v>
      </c>
    </row>
    <row r="53">
      <c r="A53" s="11" t="str">
        <f>IFERROR(__xludf.DUMMYFUNCTION("""COMPUTED_VALUE"""),"ZUSD")</f>
        <v>ZUSD</v>
      </c>
      <c r="B53" s="35">
        <f>IFERROR(__xludf.DUMMYFUNCTION("""COMPUTED_VALUE"""),0.0929)</f>
        <v>0.0929</v>
      </c>
      <c r="C53" s="35">
        <f>IFERROR(__xludf.DUMMYFUNCTION("""COMPUTED_VALUE"""),0.0929)</f>
        <v>0.0929</v>
      </c>
    </row>
    <row r="54">
      <c r="A54" s="11" t="str">
        <f>IFERROR(__xludf.DUMMYFUNCTION("""COMPUTED_VALUE"""),"Stable (USD)")</f>
        <v>Stable (USD)</v>
      </c>
      <c r="B54" s="35">
        <f>IFERROR(__xludf.DUMMYFUNCTION("""COMPUTED_VALUE"""),0.0985)</f>
        <v>0.0985</v>
      </c>
      <c r="C54" s="35">
        <f>IFERROR(__xludf.DUMMYFUNCTION("""COMPUTED_VALUE"""),0.0959)</f>
        <v>0.0959</v>
      </c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75"/>
  </cols>
  <sheetData>
    <row r="1">
      <c r="A1" s="36" t="s">
        <v>0</v>
      </c>
      <c r="B1" s="36" t="s">
        <v>300</v>
      </c>
      <c r="C1" s="36" t="s">
        <v>301</v>
      </c>
      <c r="D1" s="36" t="s">
        <v>302</v>
      </c>
      <c r="E1" s="37">
        <v>44550.0</v>
      </c>
    </row>
    <row r="2">
      <c r="A2" s="36" t="s">
        <v>250</v>
      </c>
      <c r="B2" s="38">
        <v>977708.87</v>
      </c>
      <c r="C2" s="39">
        <v>69087.90495</v>
      </c>
      <c r="D2" s="40">
        <v>0.0707</v>
      </c>
    </row>
    <row r="3">
      <c r="A3" s="36" t="s">
        <v>253</v>
      </c>
      <c r="B3" s="38">
        <v>4.31924E8</v>
      </c>
      <c r="C3" s="39">
        <v>3.7024635E7</v>
      </c>
      <c r="D3" s="40">
        <v>0.0857</v>
      </c>
    </row>
    <row r="4">
      <c r="A4" s="36" t="s">
        <v>252</v>
      </c>
      <c r="B4" s="38">
        <v>6.156375E8</v>
      </c>
      <c r="C4" s="38">
        <v>5.466721875E7</v>
      </c>
      <c r="D4" s="40">
        <v>0.0888</v>
      </c>
    </row>
    <row r="5">
      <c r="A5" s="36" t="s">
        <v>165</v>
      </c>
      <c r="B5" s="38">
        <v>6.3361559E7</v>
      </c>
      <c r="C5" s="39">
        <v>4735250.776</v>
      </c>
      <c r="D5" s="40">
        <v>0.0747</v>
      </c>
    </row>
    <row r="6">
      <c r="A6" s="36" t="s">
        <v>258</v>
      </c>
      <c r="B6" s="38">
        <v>1.926099252E8</v>
      </c>
      <c r="C6" s="39">
        <v>8897079.383</v>
      </c>
      <c r="D6" s="40">
        <v>0.0462</v>
      </c>
    </row>
    <row r="7">
      <c r="A7" s="36" t="s">
        <v>178</v>
      </c>
      <c r="B7" s="39">
        <v>58500.0</v>
      </c>
      <c r="C7" s="39">
        <v>4258.75</v>
      </c>
      <c r="D7" s="40">
        <v>0.0728</v>
      </c>
    </row>
    <row r="8">
      <c r="A8" s="36" t="s">
        <v>214</v>
      </c>
      <c r="B8" s="39">
        <v>34608.07</v>
      </c>
      <c r="C8" s="39">
        <v>2076.484225</v>
      </c>
      <c r="D8" s="40">
        <v>0.06</v>
      </c>
    </row>
    <row r="9">
      <c r="A9" s="36" t="s">
        <v>179</v>
      </c>
      <c r="B9" s="39">
        <v>2557740.95</v>
      </c>
      <c r="C9" s="39">
        <v>183041.8665</v>
      </c>
      <c r="D9" s="40">
        <v>0.0716</v>
      </c>
    </row>
    <row r="10">
      <c r="A10" s="36" t="s">
        <v>174</v>
      </c>
      <c r="B10" s="39">
        <v>20408.0</v>
      </c>
      <c r="C10" s="39">
        <v>11224.4</v>
      </c>
      <c r="D10" s="40">
        <v>0.55</v>
      </c>
    </row>
    <row r="11">
      <c r="A11" s="36" t="s">
        <v>184</v>
      </c>
      <c r="B11" s="39">
        <v>27992.59</v>
      </c>
      <c r="C11" s="39">
        <v>825.0001</v>
      </c>
      <c r="D11" s="40">
        <v>0.0295</v>
      </c>
    </row>
    <row r="12">
      <c r="A12" s="36" t="s">
        <v>207</v>
      </c>
      <c r="B12" s="39">
        <v>330000.0</v>
      </c>
      <c r="C12" s="39">
        <v>22650.0</v>
      </c>
      <c r="D12" s="40">
        <v>0.0686</v>
      </c>
    </row>
    <row r="13">
      <c r="A13" s="36" t="s">
        <v>218</v>
      </c>
      <c r="B13" s="39">
        <v>1.257011165E7</v>
      </c>
      <c r="C13" s="39">
        <v>993102.3066</v>
      </c>
      <c r="D13" s="40">
        <v>0.079</v>
      </c>
    </row>
    <row r="14">
      <c r="A14" s="36" t="s">
        <v>257</v>
      </c>
      <c r="B14" s="39">
        <v>4.65E7</v>
      </c>
      <c r="C14" s="39">
        <v>2340000.0</v>
      </c>
      <c r="D14" s="40">
        <v>0.0503</v>
      </c>
    </row>
    <row r="15">
      <c r="A15" s="36" t="s">
        <v>164</v>
      </c>
      <c r="B15" s="39">
        <v>19620.65</v>
      </c>
      <c r="C15" s="39">
        <v>1293.056875</v>
      </c>
      <c r="D15" s="40">
        <v>0.0659</v>
      </c>
    </row>
    <row r="16">
      <c r="A16" s="36" t="s">
        <v>200</v>
      </c>
      <c r="B16" s="39">
        <v>139020.15</v>
      </c>
      <c r="C16" s="39">
        <v>4932.089</v>
      </c>
      <c r="D16" s="40">
        <v>0.0355</v>
      </c>
    </row>
    <row r="17">
      <c r="A17" s="36" t="s">
        <v>221</v>
      </c>
      <c r="B17" s="39">
        <v>490000.0</v>
      </c>
      <c r="C17" s="39">
        <v>34020.0</v>
      </c>
      <c r="D17" s="40">
        <v>0.0694</v>
      </c>
    </row>
    <row r="18">
      <c r="A18" s="36" t="s">
        <v>176</v>
      </c>
      <c r="B18" s="39">
        <v>3980000.0</v>
      </c>
      <c r="C18" s="39">
        <v>254600.0</v>
      </c>
      <c r="D18" s="40">
        <v>0.064</v>
      </c>
    </row>
    <row r="19">
      <c r="A19" s="36" t="s">
        <v>198</v>
      </c>
      <c r="B19" s="39">
        <v>4577123.9</v>
      </c>
      <c r="C19" s="39">
        <v>294178.7004</v>
      </c>
      <c r="D19" s="40">
        <v>0.0643</v>
      </c>
    </row>
    <row r="20">
      <c r="A20" s="36" t="s">
        <v>251</v>
      </c>
      <c r="B20" s="39">
        <v>1.5E7</v>
      </c>
      <c r="C20" s="39">
        <v>1275000.0</v>
      </c>
      <c r="D20" s="40">
        <v>0.085</v>
      </c>
    </row>
    <row r="21">
      <c r="A21" s="36" t="s">
        <v>209</v>
      </c>
      <c r="B21" s="39">
        <v>485283.17</v>
      </c>
      <c r="C21" s="39">
        <v>26263.1636</v>
      </c>
      <c r="D21" s="40">
        <v>0.0541</v>
      </c>
    </row>
    <row r="22">
      <c r="A22" s="36" t="s">
        <v>213</v>
      </c>
      <c r="B22" s="39">
        <v>312628.72</v>
      </c>
      <c r="C22" s="39">
        <v>15899.00315</v>
      </c>
      <c r="D22" s="40">
        <v>0.0509</v>
      </c>
    </row>
    <row r="23">
      <c r="A23" s="36" t="s">
        <v>177</v>
      </c>
      <c r="B23" s="39">
        <v>71979.51</v>
      </c>
      <c r="C23" s="39">
        <v>2951.4652</v>
      </c>
      <c r="D23" s="40">
        <v>0.041</v>
      </c>
    </row>
    <row r="24">
      <c r="A24" s="36" t="s">
        <v>194</v>
      </c>
      <c r="B24" s="39">
        <v>14000.0</v>
      </c>
      <c r="C24" s="39">
        <v>595.0</v>
      </c>
      <c r="D24" s="40">
        <v>0.0425</v>
      </c>
    </row>
    <row r="25">
      <c r="A25" s="36" t="s">
        <v>196</v>
      </c>
      <c r="B25" s="39">
        <v>577277.78</v>
      </c>
      <c r="C25" s="39">
        <v>52172.2224</v>
      </c>
      <c r="D25" s="40">
        <v>0.0904</v>
      </c>
    </row>
    <row r="26">
      <c r="A26" s="36" t="s">
        <v>236</v>
      </c>
      <c r="B26" s="39">
        <v>290225.0</v>
      </c>
      <c r="C26" s="39">
        <v>41371.0</v>
      </c>
      <c r="D26" s="40">
        <v>0.1425</v>
      </c>
    </row>
    <row r="27">
      <c r="A27" s="36" t="s">
        <v>217</v>
      </c>
      <c r="B27" s="39">
        <v>0.0</v>
      </c>
      <c r="C27" s="39">
        <v>0.0</v>
      </c>
      <c r="D27" s="41" t="e">
        <v>#DIV/0!</v>
      </c>
    </row>
    <row r="28">
      <c r="A28" s="36" t="s">
        <v>262</v>
      </c>
      <c r="B28" s="39">
        <v>3500000.0</v>
      </c>
      <c r="C28" s="39">
        <v>195000.0</v>
      </c>
      <c r="D28" s="40">
        <v>0.0557</v>
      </c>
    </row>
    <row r="29">
      <c r="A29" s="36" t="s">
        <v>230</v>
      </c>
      <c r="B29" s="39">
        <v>803656.0</v>
      </c>
      <c r="C29" s="39">
        <v>75810.76</v>
      </c>
      <c r="D29" s="40">
        <v>0.0943</v>
      </c>
    </row>
    <row r="30">
      <c r="A30" s="36" t="s">
        <v>175</v>
      </c>
      <c r="B30" s="39">
        <v>11679.0</v>
      </c>
      <c r="C30" s="39">
        <v>1896.875</v>
      </c>
      <c r="D30" s="40">
        <v>0.1624</v>
      </c>
    </row>
    <row r="31">
      <c r="A31" s="36" t="s">
        <v>183</v>
      </c>
      <c r="B31" s="39">
        <v>0.0</v>
      </c>
      <c r="C31" s="39">
        <v>0.0</v>
      </c>
      <c r="D31" s="41" t="e">
        <v>#DIV/0!</v>
      </c>
    </row>
    <row r="32">
      <c r="A32" s="36" t="s">
        <v>204</v>
      </c>
      <c r="B32" s="39">
        <v>37267.25</v>
      </c>
      <c r="C32" s="39">
        <v>2002.53256</v>
      </c>
      <c r="D32" s="40">
        <v>0.0537</v>
      </c>
    </row>
    <row r="33">
      <c r="A33" s="36" t="s">
        <v>189</v>
      </c>
      <c r="B33" s="39">
        <v>9413.3</v>
      </c>
      <c r="C33" s="39">
        <v>663.0786</v>
      </c>
      <c r="D33" s="40">
        <v>0.0704</v>
      </c>
    </row>
    <row r="34">
      <c r="A34" s="36" t="s">
        <v>260</v>
      </c>
      <c r="B34" s="39">
        <v>50.86</v>
      </c>
      <c r="C34" s="39">
        <v>4.22775</v>
      </c>
      <c r="D34" s="40">
        <v>0.0831</v>
      </c>
    </row>
    <row r="35">
      <c r="A35" s="36" t="s">
        <v>185</v>
      </c>
      <c r="B35" s="39">
        <v>199.57</v>
      </c>
      <c r="C35" s="39">
        <v>1.9957</v>
      </c>
      <c r="D35" s="40">
        <v>0.01</v>
      </c>
    </row>
    <row r="36">
      <c r="A36" s="36" t="s">
        <v>249</v>
      </c>
      <c r="B36" s="39">
        <v>94795.65</v>
      </c>
      <c r="C36" s="39">
        <v>7080.978125</v>
      </c>
      <c r="D36" s="40">
        <v>0.0747</v>
      </c>
    </row>
    <row r="37">
      <c r="A37" s="36" t="s">
        <v>199</v>
      </c>
      <c r="B37" s="39">
        <v>55000.0</v>
      </c>
      <c r="C37" s="39">
        <v>2750.0</v>
      </c>
      <c r="D37" s="40">
        <v>0.05</v>
      </c>
    </row>
    <row r="38">
      <c r="A38" s="36" t="s">
        <v>248</v>
      </c>
      <c r="B38" s="39">
        <v>0.0</v>
      </c>
      <c r="C38" s="39">
        <v>0.0</v>
      </c>
      <c r="D38" s="41" t="e">
        <v>#DIV/0!</v>
      </c>
    </row>
    <row r="39">
      <c r="A39" s="36" t="s">
        <v>261</v>
      </c>
      <c r="B39" s="39">
        <v>24000.0</v>
      </c>
      <c r="C39" s="39">
        <v>925.5</v>
      </c>
      <c r="D39" s="40">
        <v>0.0386</v>
      </c>
    </row>
    <row r="40">
      <c r="A40" s="36" t="s">
        <v>242</v>
      </c>
      <c r="B40" s="39">
        <v>99482.76</v>
      </c>
      <c r="C40" s="39">
        <v>14653.4485</v>
      </c>
      <c r="D40" s="40">
        <v>0.1473</v>
      </c>
    </row>
    <row r="41">
      <c r="A41" s="36" t="s">
        <v>303</v>
      </c>
      <c r="B41" s="39">
        <v>0.0</v>
      </c>
      <c r="C41" s="39">
        <v>0.0</v>
      </c>
      <c r="D41" s="41" t="e">
        <v>#DIV/0!</v>
      </c>
    </row>
    <row r="42">
      <c r="A42" s="36" t="s">
        <v>188</v>
      </c>
      <c r="B42" s="39">
        <v>2000000.0</v>
      </c>
      <c r="C42" s="39">
        <v>0.0</v>
      </c>
      <c r="D42" s="40">
        <v>0.0</v>
      </c>
    </row>
    <row r="43">
      <c r="A43" s="36" t="s">
        <v>191</v>
      </c>
      <c r="B43" s="39">
        <v>946377.72</v>
      </c>
      <c r="C43" s="39">
        <v>119594.43</v>
      </c>
      <c r="D43" s="40">
        <v>0.1264</v>
      </c>
    </row>
    <row r="44">
      <c r="A44" s="36" t="s">
        <v>206</v>
      </c>
      <c r="B44" s="39">
        <v>0.0</v>
      </c>
      <c r="C44" s="39">
        <v>0.0</v>
      </c>
      <c r="D44" s="39" t="e">
        <v>#DIV/0!</v>
      </c>
    </row>
    <row r="45">
      <c r="A45" s="36" t="s">
        <v>225</v>
      </c>
      <c r="B45" s="39">
        <v>55.0</v>
      </c>
      <c r="C45" s="39">
        <v>2.475</v>
      </c>
      <c r="D45" s="40">
        <v>0.045</v>
      </c>
    </row>
    <row r="46">
      <c r="A46" s="36" t="s">
        <v>259</v>
      </c>
      <c r="B46" s="36">
        <v>200000.0</v>
      </c>
      <c r="C46" s="36">
        <v>12500.0</v>
      </c>
      <c r="D46" s="42">
        <v>0.0625</v>
      </c>
    </row>
    <row r="47">
      <c r="A47" s="43"/>
      <c r="B47" s="43"/>
      <c r="C47" s="43"/>
      <c r="D47" s="43"/>
    </row>
    <row r="48">
      <c r="A48" s="43"/>
      <c r="B48" s="43"/>
      <c r="C48" s="43"/>
      <c r="D48" s="43"/>
    </row>
    <row r="49">
      <c r="A49" s="43"/>
      <c r="B49" s="43"/>
      <c r="C49" s="43"/>
      <c r="D49" s="43"/>
    </row>
    <row r="50">
      <c r="A50" s="43"/>
      <c r="B50" s="43"/>
      <c r="C50" s="43"/>
      <c r="D50" s="43"/>
    </row>
    <row r="51">
      <c r="A51" s="43"/>
      <c r="B51" s="43"/>
      <c r="C51" s="43"/>
      <c r="D51" s="43"/>
    </row>
    <row r="52">
      <c r="A52" s="43"/>
      <c r="B52" s="43"/>
      <c r="C52" s="43"/>
      <c r="D52" s="43"/>
    </row>
    <row r="53">
      <c r="A53" s="43"/>
      <c r="B53" s="43"/>
      <c r="C53" s="43"/>
      <c r="D53" s="43"/>
    </row>
    <row r="54">
      <c r="A54" s="43"/>
      <c r="B54" s="43"/>
      <c r="C54" s="43"/>
      <c r="D54" s="43"/>
    </row>
    <row r="55">
      <c r="A55" s="43"/>
      <c r="B55" s="43"/>
      <c r="C55" s="43"/>
      <c r="D55" s="43"/>
    </row>
    <row r="56">
      <c r="A56" s="43"/>
      <c r="B56" s="43"/>
      <c r="C56" s="43"/>
      <c r="D56" s="43"/>
    </row>
    <row r="57">
      <c r="A57" s="43"/>
      <c r="B57" s="43"/>
      <c r="C57" s="43"/>
      <c r="D57" s="4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6" width="14.13"/>
  </cols>
  <sheetData>
    <row r="1">
      <c r="A1" s="44" t="s">
        <v>304</v>
      </c>
      <c r="C1" s="45"/>
      <c r="D1" s="46" t="s">
        <v>305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>
      <c r="A2" s="47" t="s">
        <v>306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>
      <c r="A3" s="48" t="s">
        <v>307</v>
      </c>
      <c r="B3" s="48" t="s">
        <v>308</v>
      </c>
      <c r="C3" s="45"/>
      <c r="D3" s="49" t="s">
        <v>309</v>
      </c>
      <c r="E3" s="49" t="s">
        <v>310</v>
      </c>
      <c r="F3" s="48" t="s">
        <v>308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>
      <c r="A4" s="50" t="s">
        <v>311</v>
      </c>
      <c r="B4" s="51">
        <v>0.0408</v>
      </c>
      <c r="C4" s="52"/>
      <c r="D4" s="53" t="s">
        <v>207</v>
      </c>
      <c r="E4" s="54">
        <v>1.37E-6</v>
      </c>
      <c r="F4" s="55">
        <f t="shared" ref="F4:F223" si="1">E4*24*365</f>
        <v>0.0120012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5">
      <c r="A5" s="50" t="s">
        <v>312</v>
      </c>
      <c r="B5" s="51">
        <v>0.0</v>
      </c>
      <c r="C5" s="52"/>
      <c r="D5" s="53" t="s">
        <v>250</v>
      </c>
      <c r="E5" s="56">
        <v>1.0E-6</v>
      </c>
      <c r="F5" s="55">
        <f t="shared" si="1"/>
        <v>0.00876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</row>
    <row r="6">
      <c r="A6" s="50" t="s">
        <v>183</v>
      </c>
      <c r="B6" s="51">
        <v>0.0489</v>
      </c>
      <c r="C6" s="52"/>
      <c r="D6" s="53" t="s">
        <v>236</v>
      </c>
      <c r="E6" s="54">
        <v>2.85E-6</v>
      </c>
      <c r="F6" s="55">
        <f t="shared" si="1"/>
        <v>0.024966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</row>
    <row r="7">
      <c r="A7" s="50" t="s">
        <v>184</v>
      </c>
      <c r="B7" s="51">
        <v>0.0</v>
      </c>
      <c r="C7" s="52"/>
      <c r="D7" s="53" t="s">
        <v>213</v>
      </c>
      <c r="E7" s="54">
        <v>5.7E-6</v>
      </c>
      <c r="F7" s="55">
        <f t="shared" si="1"/>
        <v>0.049932</v>
      </c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>
      <c r="A8" s="50" t="s">
        <v>186</v>
      </c>
      <c r="B8" s="51">
        <v>0.071</v>
      </c>
      <c r="C8" s="52"/>
      <c r="D8" s="53" t="s">
        <v>179</v>
      </c>
      <c r="E8" s="54">
        <v>2.85E-5</v>
      </c>
      <c r="F8" s="55">
        <f t="shared" si="1"/>
        <v>0.24966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>
      <c r="A9" s="50" t="s">
        <v>189</v>
      </c>
      <c r="B9" s="51">
        <v>0.2426</v>
      </c>
      <c r="C9" s="52"/>
      <c r="D9" s="53" t="s">
        <v>185</v>
      </c>
      <c r="E9" s="54">
        <v>1.0E-6</v>
      </c>
      <c r="F9" s="55">
        <f t="shared" si="1"/>
        <v>0.00876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>
      <c r="A10" s="50" t="s">
        <v>194</v>
      </c>
      <c r="B10" s="51">
        <v>0.0635</v>
      </c>
      <c r="C10" s="52"/>
      <c r="D10" s="53" t="s">
        <v>200</v>
      </c>
      <c r="E10" s="54">
        <v>1.14E-6</v>
      </c>
      <c r="F10" s="55">
        <f t="shared" si="1"/>
        <v>0.0099864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>
      <c r="A11" s="50" t="s">
        <v>198</v>
      </c>
      <c r="B11" s="51">
        <v>0.0662</v>
      </c>
      <c r="C11" s="52"/>
      <c r="D11" s="53" t="s">
        <v>184</v>
      </c>
      <c r="E11" s="54">
        <v>1.0E-6</v>
      </c>
      <c r="F11" s="55">
        <f t="shared" si="1"/>
        <v>0.00876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>
      <c r="A12" s="50" t="s">
        <v>199</v>
      </c>
      <c r="B12" s="51">
        <v>0.0236</v>
      </c>
      <c r="C12" s="52"/>
      <c r="D12" s="53" t="s">
        <v>207</v>
      </c>
      <c r="E12" s="54">
        <v>1.37E-6</v>
      </c>
      <c r="F12" s="55">
        <f t="shared" si="1"/>
        <v>0.0120012</v>
      </c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</row>
    <row r="13">
      <c r="A13" s="50" t="s">
        <v>200</v>
      </c>
      <c r="B13" s="51">
        <v>0.131</v>
      </c>
      <c r="C13" s="52"/>
      <c r="D13" s="53" t="s">
        <v>250</v>
      </c>
      <c r="E13" s="54">
        <v>1.0E-6</v>
      </c>
      <c r="F13" s="55">
        <f t="shared" si="1"/>
        <v>0.00876</v>
      </c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</row>
    <row r="14">
      <c r="A14" s="50" t="s">
        <v>209</v>
      </c>
      <c r="B14" s="51">
        <v>0.0555</v>
      </c>
      <c r="C14" s="52"/>
      <c r="D14" s="53" t="s">
        <v>236</v>
      </c>
      <c r="E14" s="54">
        <v>2.85E-6</v>
      </c>
      <c r="F14" s="55">
        <f t="shared" si="1"/>
        <v>0.024966</v>
      </c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>
      <c r="A15" s="50" t="s">
        <v>213</v>
      </c>
      <c r="B15" s="51">
        <v>0.0</v>
      </c>
      <c r="C15" s="52"/>
      <c r="D15" s="53" t="s">
        <v>213</v>
      </c>
      <c r="E15" s="54">
        <v>5.7E-6</v>
      </c>
      <c r="F15" s="55">
        <f t="shared" si="1"/>
        <v>0.049932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</row>
    <row r="16">
      <c r="A16" s="50" t="s">
        <v>214</v>
      </c>
      <c r="B16" s="51">
        <v>0.076</v>
      </c>
      <c r="C16" s="52"/>
      <c r="D16" s="53" t="s">
        <v>179</v>
      </c>
      <c r="E16" s="54">
        <v>2.85E-5</v>
      </c>
      <c r="F16" s="55">
        <f t="shared" si="1"/>
        <v>0.24966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>
      <c r="A17" s="50" t="s">
        <v>221</v>
      </c>
      <c r="B17" s="51">
        <v>0.4287</v>
      </c>
      <c r="C17" s="52"/>
      <c r="D17" s="53" t="s">
        <v>185</v>
      </c>
      <c r="E17" s="54">
        <v>1.0E-6</v>
      </c>
      <c r="F17" s="55">
        <f t="shared" si="1"/>
        <v>0.00876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>
      <c r="A18" s="50" t="s">
        <v>250</v>
      </c>
      <c r="B18" s="51">
        <v>0.0535</v>
      </c>
      <c r="C18" s="52"/>
      <c r="D18" s="53" t="s">
        <v>200</v>
      </c>
      <c r="E18" s="54">
        <v>1.14E-6</v>
      </c>
      <c r="F18" s="55">
        <f t="shared" si="1"/>
        <v>0.0099864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>
      <c r="A19" s="50" t="s">
        <v>251</v>
      </c>
      <c r="B19" s="51">
        <v>0.0659</v>
      </c>
      <c r="C19" s="52"/>
      <c r="D19" s="53" t="s">
        <v>184</v>
      </c>
      <c r="E19" s="54">
        <v>1.0E-6</v>
      </c>
      <c r="F19" s="55">
        <f t="shared" si="1"/>
        <v>0.00876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>
      <c r="A20" s="57" t="s">
        <v>253</v>
      </c>
      <c r="B20" s="51">
        <v>0.2313</v>
      </c>
      <c r="C20" s="57" t="s">
        <v>253</v>
      </c>
      <c r="D20" s="53" t="s">
        <v>207</v>
      </c>
      <c r="E20" s="54">
        <v>1.37E-6</v>
      </c>
      <c r="F20" s="55">
        <f t="shared" si="1"/>
        <v>0.0120012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  <row r="21">
      <c r="A21" s="50" t="s">
        <v>257</v>
      </c>
      <c r="B21" s="51">
        <v>0.0413</v>
      </c>
      <c r="C21" s="52"/>
      <c r="D21" s="53" t="s">
        <v>250</v>
      </c>
      <c r="E21" s="54">
        <v>1.0E-6</v>
      </c>
      <c r="F21" s="55">
        <f t="shared" si="1"/>
        <v>0.00876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>
      <c r="A22" s="50" t="s">
        <v>258</v>
      </c>
      <c r="B22" s="51">
        <v>0.0066</v>
      </c>
      <c r="C22" s="52"/>
      <c r="D22" s="53" t="s">
        <v>236</v>
      </c>
      <c r="E22" s="54">
        <v>2.85E-6</v>
      </c>
      <c r="F22" s="55">
        <f t="shared" si="1"/>
        <v>0.024966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>
      <c r="A23" s="50" t="s">
        <v>260</v>
      </c>
      <c r="B23" s="51">
        <v>0.0</v>
      </c>
      <c r="C23" s="52"/>
      <c r="D23" s="53" t="s">
        <v>213</v>
      </c>
      <c r="E23" s="54">
        <v>5.7E-6</v>
      </c>
      <c r="F23" s="55">
        <f t="shared" si="1"/>
        <v>0.049932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>
      <c r="A24" s="50" t="s">
        <v>261</v>
      </c>
      <c r="B24" s="51">
        <v>0.0</v>
      </c>
      <c r="C24" s="52"/>
      <c r="D24" s="53" t="s">
        <v>179</v>
      </c>
      <c r="E24" s="54">
        <v>2.85E-5</v>
      </c>
      <c r="F24" s="55">
        <f t="shared" si="1"/>
        <v>0.24966</v>
      </c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>
      <c r="A25" s="50" t="s">
        <v>262</v>
      </c>
      <c r="B25" s="51">
        <v>0.0486</v>
      </c>
      <c r="C25" s="45"/>
      <c r="D25" s="53" t="s">
        <v>185</v>
      </c>
      <c r="E25" s="54">
        <v>1.0E-6</v>
      </c>
      <c r="F25" s="55">
        <f t="shared" si="1"/>
        <v>0.00876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>
      <c r="A26" s="45"/>
      <c r="B26" s="45"/>
      <c r="C26" s="45"/>
      <c r="D26" s="53" t="s">
        <v>200</v>
      </c>
      <c r="E26" s="54">
        <v>1.37E-6</v>
      </c>
      <c r="F26" s="55">
        <f t="shared" si="1"/>
        <v>0.0120012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>
      <c r="A27" s="45"/>
      <c r="B27" s="45"/>
      <c r="C27" s="45"/>
      <c r="D27" s="53" t="s">
        <v>184</v>
      </c>
      <c r="E27" s="54">
        <v>1.0E-6</v>
      </c>
      <c r="F27" s="55">
        <f t="shared" si="1"/>
        <v>0.00876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>
      <c r="A28" s="45"/>
      <c r="B28" s="45"/>
      <c r="C28" s="45"/>
      <c r="D28" s="53" t="s">
        <v>207</v>
      </c>
      <c r="E28" s="54">
        <v>1.37E-6</v>
      </c>
      <c r="F28" s="55">
        <f t="shared" si="1"/>
        <v>0.0120012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>
      <c r="A29" s="45"/>
      <c r="B29" s="45"/>
      <c r="C29" s="45"/>
      <c r="D29" s="53" t="s">
        <v>250</v>
      </c>
      <c r="E29" s="56">
        <v>1.0E-6</v>
      </c>
      <c r="F29" s="55">
        <f t="shared" si="1"/>
        <v>0.00876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>
      <c r="A30" s="45"/>
      <c r="B30" s="45"/>
      <c r="C30" s="45"/>
      <c r="D30" s="53" t="s">
        <v>236</v>
      </c>
      <c r="E30" s="54">
        <v>2.85E-6</v>
      </c>
      <c r="F30" s="55">
        <f t="shared" si="1"/>
        <v>0.024966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>
      <c r="A31" s="45"/>
      <c r="B31" s="45"/>
      <c r="C31" s="45"/>
      <c r="D31" s="53" t="s">
        <v>213</v>
      </c>
      <c r="E31" s="54">
        <v>5.7E-6</v>
      </c>
      <c r="F31" s="55">
        <f t="shared" si="1"/>
        <v>0.049932</v>
      </c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>
      <c r="A32" s="45"/>
      <c r="B32" s="45"/>
      <c r="C32" s="45"/>
      <c r="D32" s="53" t="s">
        <v>179</v>
      </c>
      <c r="E32" s="54">
        <v>2.85E-5</v>
      </c>
      <c r="F32" s="55">
        <f t="shared" si="1"/>
        <v>0.24966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</row>
    <row r="33">
      <c r="A33" s="45"/>
      <c r="B33" s="45"/>
      <c r="C33" s="45"/>
      <c r="D33" s="53" t="s">
        <v>185</v>
      </c>
      <c r="E33" s="54">
        <v>1.0E-6</v>
      </c>
      <c r="F33" s="55">
        <f t="shared" si="1"/>
        <v>0.00876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</row>
    <row r="34">
      <c r="A34" s="45"/>
      <c r="B34" s="45"/>
      <c r="C34" s="45"/>
      <c r="D34" s="53" t="s">
        <v>200</v>
      </c>
      <c r="E34" s="54">
        <v>1.37E-6</v>
      </c>
      <c r="F34" s="55">
        <f t="shared" si="1"/>
        <v>0.0120012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>
      <c r="A35" s="45"/>
      <c r="B35" s="45"/>
      <c r="C35" s="45"/>
      <c r="D35" s="53" t="s">
        <v>184</v>
      </c>
      <c r="E35" s="54">
        <v>1.0E-6</v>
      </c>
      <c r="F35" s="55">
        <f t="shared" si="1"/>
        <v>0.00876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>
      <c r="A36" s="45"/>
      <c r="B36" s="45"/>
      <c r="C36" s="45"/>
      <c r="D36" s="53" t="s">
        <v>207</v>
      </c>
      <c r="E36" s="54">
        <v>1.37E-6</v>
      </c>
      <c r="F36" s="55">
        <f t="shared" si="1"/>
        <v>0.0120012</v>
      </c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>
      <c r="A37" s="45"/>
      <c r="B37" s="45"/>
      <c r="C37" s="45"/>
      <c r="D37" s="53" t="s">
        <v>250</v>
      </c>
      <c r="E37" s="54">
        <v>1.0E-6</v>
      </c>
      <c r="F37" s="55">
        <f t="shared" si="1"/>
        <v>0.00876</v>
      </c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>
      <c r="A38" s="45"/>
      <c r="B38" s="45"/>
      <c r="C38" s="45"/>
      <c r="D38" s="53" t="s">
        <v>236</v>
      </c>
      <c r="E38" s="54">
        <v>2.85E-6</v>
      </c>
      <c r="F38" s="55">
        <f t="shared" si="1"/>
        <v>0.024966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>
      <c r="A39" s="45"/>
      <c r="B39" s="45"/>
      <c r="C39" s="45"/>
      <c r="D39" s="53" t="s">
        <v>213</v>
      </c>
      <c r="E39" s="54">
        <v>5.7E-6</v>
      </c>
      <c r="F39" s="55">
        <f t="shared" si="1"/>
        <v>0.049932</v>
      </c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>
      <c r="A40" s="45"/>
      <c r="B40" s="45"/>
      <c r="C40" s="45"/>
      <c r="D40" s="53" t="s">
        <v>179</v>
      </c>
      <c r="E40" s="54">
        <v>2.85E-5</v>
      </c>
      <c r="F40" s="55">
        <f t="shared" si="1"/>
        <v>0.24966</v>
      </c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>
      <c r="A41" s="45"/>
      <c r="B41" s="45"/>
      <c r="C41" s="45"/>
      <c r="D41" s="53" t="s">
        <v>185</v>
      </c>
      <c r="E41" s="54">
        <v>1.0E-6</v>
      </c>
      <c r="F41" s="55">
        <f t="shared" si="1"/>
        <v>0.00876</v>
      </c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>
      <c r="A42" s="45"/>
      <c r="B42" s="45"/>
      <c r="C42" s="45"/>
      <c r="D42" s="53" t="s">
        <v>200</v>
      </c>
      <c r="E42" s="54">
        <v>1.37E-6</v>
      </c>
      <c r="F42" s="55">
        <f t="shared" si="1"/>
        <v>0.0120012</v>
      </c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  <row r="43">
      <c r="A43" s="45"/>
      <c r="B43" s="45"/>
      <c r="C43" s="45"/>
      <c r="D43" s="53" t="s">
        <v>184</v>
      </c>
      <c r="E43" s="54">
        <v>1.0E-6</v>
      </c>
      <c r="F43" s="55">
        <f t="shared" si="1"/>
        <v>0.00876</v>
      </c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</row>
    <row r="44">
      <c r="A44" s="45"/>
      <c r="B44" s="45"/>
      <c r="C44" s="45"/>
      <c r="D44" s="53" t="s">
        <v>207</v>
      </c>
      <c r="E44" s="54">
        <v>1.37E-6</v>
      </c>
      <c r="F44" s="55">
        <f t="shared" si="1"/>
        <v>0.0120012</v>
      </c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>
      <c r="A45" s="45"/>
      <c r="B45" s="45"/>
      <c r="C45" s="45"/>
      <c r="D45" s="53" t="s">
        <v>250</v>
      </c>
      <c r="E45" s="54">
        <v>1.0E-6</v>
      </c>
      <c r="F45" s="55">
        <f t="shared" si="1"/>
        <v>0.00876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>
      <c r="A46" s="45"/>
      <c r="B46" s="45"/>
      <c r="C46" s="45"/>
      <c r="D46" s="53" t="s">
        <v>236</v>
      </c>
      <c r="E46" s="54">
        <v>2.85E-6</v>
      </c>
      <c r="F46" s="55">
        <f t="shared" si="1"/>
        <v>0.024966</v>
      </c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>
      <c r="A47" s="45"/>
      <c r="B47" s="45"/>
      <c r="C47" s="45"/>
      <c r="D47" s="53" t="s">
        <v>213</v>
      </c>
      <c r="E47" s="54">
        <v>5.7E-6</v>
      </c>
      <c r="F47" s="55">
        <f t="shared" si="1"/>
        <v>0.049932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>
      <c r="A48" s="45"/>
      <c r="B48" s="45"/>
      <c r="C48" s="45"/>
      <c r="D48" s="53" t="s">
        <v>179</v>
      </c>
      <c r="E48" s="54">
        <v>2.85E-5</v>
      </c>
      <c r="F48" s="55">
        <f t="shared" si="1"/>
        <v>0.24966</v>
      </c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>
      <c r="A49" s="45"/>
      <c r="B49" s="45"/>
      <c r="C49" s="45"/>
      <c r="D49" s="53" t="s">
        <v>185</v>
      </c>
      <c r="E49" s="54">
        <v>1.0E-6</v>
      </c>
      <c r="F49" s="55">
        <f t="shared" si="1"/>
        <v>0.00876</v>
      </c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>
      <c r="A50" s="45"/>
      <c r="B50" s="45"/>
      <c r="C50" s="45"/>
      <c r="D50" s="53" t="s">
        <v>200</v>
      </c>
      <c r="E50" s="54">
        <v>1.37E-6</v>
      </c>
      <c r="F50" s="55">
        <f t="shared" si="1"/>
        <v>0.0120012</v>
      </c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>
      <c r="A51" s="45"/>
      <c r="B51" s="45"/>
      <c r="C51" s="45"/>
      <c r="D51" s="53" t="s">
        <v>184</v>
      </c>
      <c r="E51" s="54">
        <v>1.0E-6</v>
      </c>
      <c r="F51" s="55">
        <f t="shared" si="1"/>
        <v>0.00876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>
      <c r="A52" s="45"/>
      <c r="B52" s="45"/>
      <c r="C52" s="45"/>
      <c r="D52" s="53" t="s">
        <v>207</v>
      </c>
      <c r="E52" s="54">
        <v>1.37E-6</v>
      </c>
      <c r="F52" s="55">
        <f t="shared" si="1"/>
        <v>0.0120012</v>
      </c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>
      <c r="A53" s="45"/>
      <c r="B53" s="45"/>
      <c r="C53" s="45"/>
      <c r="D53" s="53" t="s">
        <v>250</v>
      </c>
      <c r="E53" s="54">
        <v>1.0E-6</v>
      </c>
      <c r="F53" s="55">
        <f t="shared" si="1"/>
        <v>0.00876</v>
      </c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>
      <c r="A54" s="45"/>
      <c r="B54" s="45"/>
      <c r="C54" s="45"/>
      <c r="D54" s="53" t="s">
        <v>236</v>
      </c>
      <c r="E54" s="54">
        <v>2.85E-6</v>
      </c>
      <c r="F54" s="55">
        <f t="shared" si="1"/>
        <v>0.024966</v>
      </c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  <row r="55">
      <c r="A55" s="45"/>
      <c r="B55" s="45"/>
      <c r="C55" s="45"/>
      <c r="D55" s="53" t="s">
        <v>213</v>
      </c>
      <c r="E55" s="54">
        <v>5.7E-6</v>
      </c>
      <c r="F55" s="55">
        <f t="shared" si="1"/>
        <v>0.049932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</row>
    <row r="56">
      <c r="A56" s="45"/>
      <c r="B56" s="45"/>
      <c r="C56" s="45"/>
      <c r="D56" s="53" t="s">
        <v>179</v>
      </c>
      <c r="E56" s="54">
        <v>2.85E-5</v>
      </c>
      <c r="F56" s="55">
        <f t="shared" si="1"/>
        <v>0.24966</v>
      </c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</row>
    <row r="57">
      <c r="A57" s="45"/>
      <c r="B57" s="45"/>
      <c r="C57" s="45"/>
      <c r="D57" s="53" t="s">
        <v>185</v>
      </c>
      <c r="E57" s="54">
        <v>1.0E-6</v>
      </c>
      <c r="F57" s="55">
        <f t="shared" si="1"/>
        <v>0.00876</v>
      </c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</row>
    <row r="58">
      <c r="A58" s="45"/>
      <c r="B58" s="45"/>
      <c r="C58" s="45"/>
      <c r="D58" s="53" t="s">
        <v>200</v>
      </c>
      <c r="E58" s="54">
        <v>1.14E-6</v>
      </c>
      <c r="F58" s="55">
        <f t="shared" si="1"/>
        <v>0.0099864</v>
      </c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</row>
    <row r="59">
      <c r="A59" s="45"/>
      <c r="B59" s="45"/>
      <c r="C59" s="45"/>
      <c r="D59" s="53" t="s">
        <v>184</v>
      </c>
      <c r="E59" s="54">
        <v>1.0E-6</v>
      </c>
      <c r="F59" s="55">
        <f t="shared" si="1"/>
        <v>0.00876</v>
      </c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</row>
    <row r="60">
      <c r="A60" s="45"/>
      <c r="B60" s="45"/>
      <c r="C60" s="45"/>
      <c r="D60" s="53" t="s">
        <v>207</v>
      </c>
      <c r="E60" s="54">
        <v>1.37E-6</v>
      </c>
      <c r="F60" s="55">
        <f t="shared" si="1"/>
        <v>0.0120012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</row>
    <row r="61">
      <c r="A61" s="45"/>
      <c r="B61" s="45"/>
      <c r="C61" s="45"/>
      <c r="D61" s="53" t="s">
        <v>250</v>
      </c>
      <c r="E61" s="54">
        <v>1.0E-6</v>
      </c>
      <c r="F61" s="55">
        <f t="shared" si="1"/>
        <v>0.00876</v>
      </c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</row>
    <row r="62">
      <c r="A62" s="45"/>
      <c r="B62" s="45"/>
      <c r="C62" s="45"/>
      <c r="D62" s="53" t="s">
        <v>236</v>
      </c>
      <c r="E62" s="54">
        <v>2.85E-6</v>
      </c>
      <c r="F62" s="55">
        <f t="shared" si="1"/>
        <v>0.024966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</row>
    <row r="63">
      <c r="A63" s="45"/>
      <c r="B63" s="45"/>
      <c r="C63" s="45"/>
      <c r="D63" s="53" t="s">
        <v>213</v>
      </c>
      <c r="E63" s="54">
        <v>5.71E-6</v>
      </c>
      <c r="F63" s="55">
        <f t="shared" si="1"/>
        <v>0.0500196</v>
      </c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</row>
    <row r="64">
      <c r="A64" s="45"/>
      <c r="B64" s="45"/>
      <c r="C64" s="45"/>
      <c r="D64" s="53" t="s">
        <v>179</v>
      </c>
      <c r="E64" s="54">
        <v>2.85E-5</v>
      </c>
      <c r="F64" s="55">
        <f t="shared" si="1"/>
        <v>0.24966</v>
      </c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</row>
    <row r="65">
      <c r="A65" s="45"/>
      <c r="B65" s="45"/>
      <c r="C65" s="45"/>
      <c r="D65" s="53" t="s">
        <v>185</v>
      </c>
      <c r="E65" s="54">
        <v>1.0E-6</v>
      </c>
      <c r="F65" s="55">
        <f t="shared" si="1"/>
        <v>0.00876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</row>
    <row r="66">
      <c r="A66" s="45"/>
      <c r="B66" s="45"/>
      <c r="C66" s="45"/>
      <c r="D66" s="53" t="s">
        <v>200</v>
      </c>
      <c r="E66" s="54">
        <v>1.14E-6</v>
      </c>
      <c r="F66" s="55">
        <f t="shared" si="1"/>
        <v>0.0099864</v>
      </c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</row>
    <row r="67">
      <c r="A67" s="45"/>
      <c r="B67" s="45"/>
      <c r="C67" s="45"/>
      <c r="D67" s="53" t="s">
        <v>184</v>
      </c>
      <c r="E67" s="54">
        <v>1.0E-6</v>
      </c>
      <c r="F67" s="55">
        <f t="shared" si="1"/>
        <v>0.00876</v>
      </c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</row>
    <row r="68">
      <c r="A68" s="45"/>
      <c r="B68" s="45"/>
      <c r="C68" s="45"/>
      <c r="D68" s="53" t="s">
        <v>207</v>
      </c>
      <c r="E68" s="54">
        <v>1.37E-6</v>
      </c>
      <c r="F68" s="55">
        <f t="shared" si="1"/>
        <v>0.0120012</v>
      </c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</row>
    <row r="69">
      <c r="A69" s="45"/>
      <c r="B69" s="45"/>
      <c r="C69" s="45"/>
      <c r="D69" s="53" t="s">
        <v>250</v>
      </c>
      <c r="E69" s="54">
        <v>1.0E-6</v>
      </c>
      <c r="F69" s="55">
        <f t="shared" si="1"/>
        <v>0.00876</v>
      </c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</row>
    <row r="70">
      <c r="A70" s="45"/>
      <c r="B70" s="45"/>
      <c r="C70" s="45"/>
      <c r="D70" s="53" t="s">
        <v>236</v>
      </c>
      <c r="E70" s="54">
        <v>2.85E-6</v>
      </c>
      <c r="F70" s="55">
        <f t="shared" si="1"/>
        <v>0.024966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</row>
    <row r="71">
      <c r="A71" s="45"/>
      <c r="B71" s="45"/>
      <c r="C71" s="45"/>
      <c r="D71" s="53" t="s">
        <v>213</v>
      </c>
      <c r="E71" s="54">
        <v>1.24E-5</v>
      </c>
      <c r="F71" s="55">
        <f t="shared" si="1"/>
        <v>0.108624</v>
      </c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</row>
    <row r="72">
      <c r="A72" s="45"/>
      <c r="B72" s="45"/>
      <c r="C72" s="45"/>
      <c r="D72" s="53" t="s">
        <v>179</v>
      </c>
      <c r="E72" s="54">
        <v>2.85E-5</v>
      </c>
      <c r="F72" s="55">
        <f t="shared" si="1"/>
        <v>0.24966</v>
      </c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</row>
    <row r="73">
      <c r="A73" s="45"/>
      <c r="B73" s="45"/>
      <c r="C73" s="45"/>
      <c r="D73" s="53" t="s">
        <v>185</v>
      </c>
      <c r="E73" s="54">
        <v>1.0E-6</v>
      </c>
      <c r="F73" s="55">
        <f t="shared" si="1"/>
        <v>0.00876</v>
      </c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</row>
    <row r="74">
      <c r="A74" s="45"/>
      <c r="B74" s="45"/>
      <c r="C74" s="45"/>
      <c r="D74" s="53" t="s">
        <v>200</v>
      </c>
      <c r="E74" s="54">
        <v>1.14E-6</v>
      </c>
      <c r="F74" s="55">
        <f t="shared" si="1"/>
        <v>0.0099864</v>
      </c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</row>
    <row r="75">
      <c r="A75" s="45"/>
      <c r="B75" s="45"/>
      <c r="C75" s="45"/>
      <c r="D75" s="53" t="s">
        <v>184</v>
      </c>
      <c r="E75" s="54">
        <v>1.0E-6</v>
      </c>
      <c r="F75" s="55">
        <f t="shared" si="1"/>
        <v>0.00876</v>
      </c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</row>
    <row r="76">
      <c r="A76" s="45"/>
      <c r="B76" s="45"/>
      <c r="C76" s="45"/>
      <c r="D76" s="53" t="s">
        <v>207</v>
      </c>
      <c r="E76" s="54">
        <v>1.37E-6</v>
      </c>
      <c r="F76" s="55">
        <f t="shared" si="1"/>
        <v>0.0120012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</row>
    <row r="77">
      <c r="A77" s="45"/>
      <c r="B77" s="45"/>
      <c r="C77" s="45"/>
      <c r="D77" s="53" t="s">
        <v>250</v>
      </c>
      <c r="E77" s="54">
        <v>1.0E-6</v>
      </c>
      <c r="F77" s="55">
        <f t="shared" si="1"/>
        <v>0.00876</v>
      </c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</row>
    <row r="78">
      <c r="A78" s="45"/>
      <c r="B78" s="45"/>
      <c r="C78" s="45"/>
      <c r="D78" s="53" t="s">
        <v>236</v>
      </c>
      <c r="E78" s="54">
        <v>2.85E-6</v>
      </c>
      <c r="F78" s="55">
        <f t="shared" si="1"/>
        <v>0.024966</v>
      </c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</row>
    <row r="79">
      <c r="A79" s="45"/>
      <c r="B79" s="45"/>
      <c r="C79" s="45"/>
      <c r="D79" s="53" t="s">
        <v>213</v>
      </c>
      <c r="E79" s="54">
        <v>1.24E-5</v>
      </c>
      <c r="F79" s="55">
        <f t="shared" si="1"/>
        <v>0.108624</v>
      </c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</row>
    <row r="80">
      <c r="A80" s="45"/>
      <c r="B80" s="45"/>
      <c r="C80" s="45"/>
      <c r="D80" s="53" t="s">
        <v>179</v>
      </c>
      <c r="E80" s="54">
        <v>2.85E-5</v>
      </c>
      <c r="F80" s="55">
        <f t="shared" si="1"/>
        <v>0.24966</v>
      </c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</row>
    <row r="81">
      <c r="A81" s="45"/>
      <c r="B81" s="45"/>
      <c r="C81" s="45"/>
      <c r="D81" s="53" t="s">
        <v>185</v>
      </c>
      <c r="E81" s="54">
        <v>1.0E-6</v>
      </c>
      <c r="F81" s="55">
        <f t="shared" si="1"/>
        <v>0.00876</v>
      </c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</row>
    <row r="82">
      <c r="A82" s="45"/>
      <c r="B82" s="45"/>
      <c r="C82" s="45"/>
      <c r="D82" s="53" t="s">
        <v>200</v>
      </c>
      <c r="E82" s="54">
        <v>1.14E-6</v>
      </c>
      <c r="F82" s="55">
        <f t="shared" si="1"/>
        <v>0.0099864</v>
      </c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</row>
    <row r="83">
      <c r="A83" s="45"/>
      <c r="B83" s="45"/>
      <c r="C83" s="45"/>
      <c r="D83" s="53" t="s">
        <v>184</v>
      </c>
      <c r="E83" s="54">
        <v>1.0E-6</v>
      </c>
      <c r="F83" s="55">
        <f t="shared" si="1"/>
        <v>0.00876</v>
      </c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</row>
    <row r="84">
      <c r="A84" s="45"/>
      <c r="B84" s="45"/>
      <c r="C84" s="45"/>
      <c r="D84" s="53" t="s">
        <v>207</v>
      </c>
      <c r="E84" s="54">
        <v>1.37E-6</v>
      </c>
      <c r="F84" s="55">
        <f t="shared" si="1"/>
        <v>0.0120012</v>
      </c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</row>
    <row r="85">
      <c r="A85" s="45"/>
      <c r="B85" s="45"/>
      <c r="C85" s="45"/>
      <c r="D85" s="53" t="s">
        <v>250</v>
      </c>
      <c r="E85" s="54">
        <v>1.0E-6</v>
      </c>
      <c r="F85" s="55">
        <f t="shared" si="1"/>
        <v>0.00876</v>
      </c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</row>
    <row r="86">
      <c r="A86" s="45"/>
      <c r="B86" s="45"/>
      <c r="C86" s="45"/>
      <c r="D86" s="53" t="s">
        <v>213</v>
      </c>
      <c r="E86" s="54">
        <v>1.24E-5</v>
      </c>
      <c r="F86" s="55">
        <f t="shared" si="1"/>
        <v>0.108624</v>
      </c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</row>
    <row r="87">
      <c r="A87" s="45"/>
      <c r="B87" s="45"/>
      <c r="C87" s="45"/>
      <c r="D87" s="53" t="s">
        <v>236</v>
      </c>
      <c r="E87" s="54">
        <v>2.85E-6</v>
      </c>
      <c r="F87" s="55">
        <f t="shared" si="1"/>
        <v>0.024966</v>
      </c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</row>
    <row r="88">
      <c r="A88" s="45"/>
      <c r="B88" s="45"/>
      <c r="C88" s="45"/>
      <c r="D88" s="53" t="s">
        <v>179</v>
      </c>
      <c r="E88" s="54">
        <v>2.85E-5</v>
      </c>
      <c r="F88" s="55">
        <f t="shared" si="1"/>
        <v>0.24966</v>
      </c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</row>
    <row r="89">
      <c r="A89" s="45"/>
      <c r="B89" s="45"/>
      <c r="C89" s="45"/>
      <c r="D89" s="53" t="s">
        <v>185</v>
      </c>
      <c r="E89" s="54">
        <v>1.0E-6</v>
      </c>
      <c r="F89" s="55">
        <f t="shared" si="1"/>
        <v>0.00876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</row>
    <row r="90">
      <c r="A90" s="45"/>
      <c r="B90" s="45"/>
      <c r="C90" s="45"/>
      <c r="D90" s="53" t="s">
        <v>200</v>
      </c>
      <c r="E90" s="54">
        <v>1.14E-6</v>
      </c>
      <c r="F90" s="55">
        <f t="shared" si="1"/>
        <v>0.0099864</v>
      </c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</row>
    <row r="91">
      <c r="A91" s="45"/>
      <c r="B91" s="45"/>
      <c r="C91" s="45"/>
      <c r="D91" s="53" t="s">
        <v>184</v>
      </c>
      <c r="E91" s="54">
        <v>1.0E-6</v>
      </c>
      <c r="F91" s="55">
        <f t="shared" si="1"/>
        <v>0.00876</v>
      </c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</row>
    <row r="92">
      <c r="A92" s="45"/>
      <c r="B92" s="45"/>
      <c r="C92" s="45"/>
      <c r="D92" s="53" t="s">
        <v>207</v>
      </c>
      <c r="E92" s="54">
        <v>1.37E-6</v>
      </c>
      <c r="F92" s="55">
        <f t="shared" si="1"/>
        <v>0.0120012</v>
      </c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</row>
    <row r="93">
      <c r="A93" s="45"/>
      <c r="B93" s="45"/>
      <c r="C93" s="45"/>
      <c r="D93" s="53" t="s">
        <v>250</v>
      </c>
      <c r="E93" s="54">
        <v>1.0E-6</v>
      </c>
      <c r="F93" s="55">
        <f t="shared" si="1"/>
        <v>0.00876</v>
      </c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</row>
    <row r="94">
      <c r="A94" s="45"/>
      <c r="B94" s="45"/>
      <c r="C94" s="45"/>
      <c r="D94" s="53" t="s">
        <v>236</v>
      </c>
      <c r="E94" s="54">
        <v>2.85E-6</v>
      </c>
      <c r="F94" s="55">
        <f t="shared" si="1"/>
        <v>0.024966</v>
      </c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</row>
    <row r="95">
      <c r="A95" s="45"/>
      <c r="B95" s="45"/>
      <c r="C95" s="45"/>
      <c r="D95" s="53" t="s">
        <v>213</v>
      </c>
      <c r="E95" s="54">
        <v>1.24E-5</v>
      </c>
      <c r="F95" s="55">
        <f t="shared" si="1"/>
        <v>0.108624</v>
      </c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</row>
    <row r="96">
      <c r="A96" s="45"/>
      <c r="B96" s="45"/>
      <c r="C96" s="45"/>
      <c r="D96" s="53" t="s">
        <v>179</v>
      </c>
      <c r="E96" s="54">
        <v>2.85E-5</v>
      </c>
      <c r="F96" s="55">
        <f t="shared" si="1"/>
        <v>0.24966</v>
      </c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</row>
    <row r="97">
      <c r="A97" s="45"/>
      <c r="B97" s="45"/>
      <c r="C97" s="45"/>
      <c r="D97" s="53" t="s">
        <v>185</v>
      </c>
      <c r="E97" s="54">
        <v>1.0E-6</v>
      </c>
      <c r="F97" s="55">
        <f t="shared" si="1"/>
        <v>0.00876</v>
      </c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</row>
    <row r="98">
      <c r="A98" s="45"/>
      <c r="B98" s="45"/>
      <c r="C98" s="45"/>
      <c r="D98" s="53" t="s">
        <v>200</v>
      </c>
      <c r="E98" s="54">
        <v>1.14E-6</v>
      </c>
      <c r="F98" s="55">
        <f t="shared" si="1"/>
        <v>0.0099864</v>
      </c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</row>
    <row r="99">
      <c r="A99" s="45"/>
      <c r="B99" s="45"/>
      <c r="C99" s="45"/>
      <c r="D99" s="53" t="s">
        <v>184</v>
      </c>
      <c r="E99" s="54">
        <v>1.0E-6</v>
      </c>
      <c r="F99" s="55">
        <f t="shared" si="1"/>
        <v>0.00876</v>
      </c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</row>
    <row r="100">
      <c r="A100" s="45"/>
      <c r="B100" s="45"/>
      <c r="C100" s="45"/>
      <c r="D100" s="53" t="s">
        <v>207</v>
      </c>
      <c r="E100" s="54">
        <v>1.37E-6</v>
      </c>
      <c r="F100" s="55">
        <f t="shared" si="1"/>
        <v>0.0120012</v>
      </c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</row>
    <row r="101">
      <c r="A101" s="45"/>
      <c r="B101" s="45"/>
      <c r="C101" s="45"/>
      <c r="D101" s="53" t="s">
        <v>250</v>
      </c>
      <c r="E101" s="54">
        <v>1.0E-6</v>
      </c>
      <c r="F101" s="55">
        <f t="shared" si="1"/>
        <v>0.00876</v>
      </c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</row>
    <row r="102">
      <c r="A102" s="45"/>
      <c r="B102" s="45"/>
      <c r="C102" s="45"/>
      <c r="D102" s="53" t="s">
        <v>236</v>
      </c>
      <c r="E102" s="54">
        <v>2.85E-6</v>
      </c>
      <c r="F102" s="55">
        <f t="shared" si="1"/>
        <v>0.024966</v>
      </c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</row>
    <row r="103">
      <c r="A103" s="45"/>
      <c r="B103" s="45"/>
      <c r="C103" s="45"/>
      <c r="D103" s="53" t="s">
        <v>213</v>
      </c>
      <c r="E103" s="54">
        <v>1.24E-5</v>
      </c>
      <c r="F103" s="55">
        <f t="shared" si="1"/>
        <v>0.108624</v>
      </c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</row>
    <row r="104">
      <c r="A104" s="45"/>
      <c r="B104" s="45"/>
      <c r="C104" s="45"/>
      <c r="D104" s="53" t="s">
        <v>179</v>
      </c>
      <c r="E104" s="54">
        <v>2.85E-5</v>
      </c>
      <c r="F104" s="55">
        <f t="shared" si="1"/>
        <v>0.24966</v>
      </c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</row>
    <row r="105">
      <c r="A105" s="45"/>
      <c r="B105" s="45"/>
      <c r="C105" s="45"/>
      <c r="D105" s="53" t="s">
        <v>185</v>
      </c>
      <c r="E105" s="54">
        <v>1.0E-6</v>
      </c>
      <c r="F105" s="55">
        <f t="shared" si="1"/>
        <v>0.00876</v>
      </c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</row>
    <row r="106">
      <c r="A106" s="45"/>
      <c r="B106" s="45"/>
      <c r="C106" s="45"/>
      <c r="D106" s="53" t="s">
        <v>200</v>
      </c>
      <c r="E106" s="54">
        <v>1.14E-6</v>
      </c>
      <c r="F106" s="55">
        <f t="shared" si="1"/>
        <v>0.0099864</v>
      </c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</row>
    <row r="107">
      <c r="A107" s="45"/>
      <c r="B107" s="45"/>
      <c r="C107" s="45"/>
      <c r="D107" s="53" t="s">
        <v>184</v>
      </c>
      <c r="E107" s="54">
        <v>1.0E-6</v>
      </c>
      <c r="F107" s="55">
        <f t="shared" si="1"/>
        <v>0.00876</v>
      </c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</row>
    <row r="108">
      <c r="A108" s="45"/>
      <c r="B108" s="45"/>
      <c r="C108" s="45"/>
      <c r="D108" s="53" t="s">
        <v>207</v>
      </c>
      <c r="E108" s="54">
        <v>1.37E-6</v>
      </c>
      <c r="F108" s="55">
        <f t="shared" si="1"/>
        <v>0.0120012</v>
      </c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</row>
    <row r="109">
      <c r="A109" s="45"/>
      <c r="B109" s="45"/>
      <c r="C109" s="45"/>
      <c r="D109" s="53" t="s">
        <v>250</v>
      </c>
      <c r="E109" s="54">
        <v>1.0E-6</v>
      </c>
      <c r="F109" s="55">
        <f t="shared" si="1"/>
        <v>0.00876</v>
      </c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</row>
    <row r="110">
      <c r="A110" s="45"/>
      <c r="B110" s="45"/>
      <c r="C110" s="45"/>
      <c r="D110" s="53" t="s">
        <v>236</v>
      </c>
      <c r="E110" s="54">
        <v>2.85E-6</v>
      </c>
      <c r="F110" s="55">
        <f t="shared" si="1"/>
        <v>0.024966</v>
      </c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</row>
    <row r="111">
      <c r="A111" s="45"/>
      <c r="B111" s="45"/>
      <c r="C111" s="45"/>
      <c r="D111" s="53" t="s">
        <v>213</v>
      </c>
      <c r="E111" s="54">
        <v>1.24E-5</v>
      </c>
      <c r="F111" s="55">
        <f t="shared" si="1"/>
        <v>0.108624</v>
      </c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</row>
    <row r="112">
      <c r="A112" s="45"/>
      <c r="B112" s="45"/>
      <c r="C112" s="45"/>
      <c r="D112" s="53" t="s">
        <v>179</v>
      </c>
      <c r="E112" s="54">
        <v>2.85E-5</v>
      </c>
      <c r="F112" s="55">
        <f t="shared" si="1"/>
        <v>0.24966</v>
      </c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</row>
    <row r="113">
      <c r="A113" s="45"/>
      <c r="B113" s="45"/>
      <c r="C113" s="45"/>
      <c r="D113" s="53" t="s">
        <v>185</v>
      </c>
      <c r="E113" s="54">
        <v>1.0E-6</v>
      </c>
      <c r="F113" s="55">
        <f t="shared" si="1"/>
        <v>0.00876</v>
      </c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</row>
    <row r="114">
      <c r="A114" s="45"/>
      <c r="B114" s="45"/>
      <c r="C114" s="45"/>
      <c r="D114" s="53" t="s">
        <v>200</v>
      </c>
      <c r="E114" s="54">
        <v>1.14E-6</v>
      </c>
      <c r="F114" s="55">
        <f t="shared" si="1"/>
        <v>0.0099864</v>
      </c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</row>
    <row r="115">
      <c r="A115" s="45"/>
      <c r="B115" s="45"/>
      <c r="C115" s="45"/>
      <c r="D115" s="53" t="s">
        <v>184</v>
      </c>
      <c r="E115" s="54">
        <v>1.0E-6</v>
      </c>
      <c r="F115" s="55">
        <f t="shared" si="1"/>
        <v>0.00876</v>
      </c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</row>
    <row r="116">
      <c r="A116" s="45"/>
      <c r="B116" s="45"/>
      <c r="C116" s="45"/>
      <c r="D116" s="53" t="s">
        <v>207</v>
      </c>
      <c r="E116" s="54">
        <v>1.37E-6</v>
      </c>
      <c r="F116" s="55">
        <f t="shared" si="1"/>
        <v>0.0120012</v>
      </c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</row>
    <row r="117">
      <c r="A117" s="45"/>
      <c r="B117" s="45"/>
      <c r="C117" s="45"/>
      <c r="D117" s="53" t="s">
        <v>250</v>
      </c>
      <c r="E117" s="54">
        <v>1.0E-6</v>
      </c>
      <c r="F117" s="55">
        <f t="shared" si="1"/>
        <v>0.00876</v>
      </c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</row>
    <row r="118">
      <c r="A118" s="45"/>
      <c r="B118" s="45"/>
      <c r="C118" s="45"/>
      <c r="D118" s="53" t="s">
        <v>236</v>
      </c>
      <c r="E118" s="54">
        <v>2.85E-6</v>
      </c>
      <c r="F118" s="55">
        <f t="shared" si="1"/>
        <v>0.024966</v>
      </c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</row>
    <row r="119">
      <c r="A119" s="45"/>
      <c r="B119" s="45"/>
      <c r="C119" s="45"/>
      <c r="D119" s="53" t="s">
        <v>213</v>
      </c>
      <c r="E119" s="54">
        <v>1.24E-5</v>
      </c>
      <c r="F119" s="55">
        <f t="shared" si="1"/>
        <v>0.108624</v>
      </c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</row>
    <row r="120">
      <c r="A120" s="45"/>
      <c r="B120" s="45"/>
      <c r="C120" s="45"/>
      <c r="D120" s="53" t="s">
        <v>179</v>
      </c>
      <c r="E120" s="54">
        <v>2.85E-5</v>
      </c>
      <c r="F120" s="55">
        <f t="shared" si="1"/>
        <v>0.24966</v>
      </c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</row>
    <row r="121">
      <c r="A121" s="45"/>
      <c r="B121" s="45"/>
      <c r="C121" s="45"/>
      <c r="D121" s="53" t="s">
        <v>185</v>
      </c>
      <c r="E121" s="54">
        <v>1.0E-6</v>
      </c>
      <c r="F121" s="55">
        <f t="shared" si="1"/>
        <v>0.00876</v>
      </c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</row>
    <row r="122">
      <c r="A122" s="45"/>
      <c r="B122" s="45"/>
      <c r="C122" s="45"/>
      <c r="D122" s="53" t="s">
        <v>200</v>
      </c>
      <c r="E122" s="54">
        <v>1.14E-6</v>
      </c>
      <c r="F122" s="55">
        <f t="shared" si="1"/>
        <v>0.0099864</v>
      </c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</row>
    <row r="123">
      <c r="A123" s="45"/>
      <c r="B123" s="45"/>
      <c r="C123" s="45"/>
      <c r="D123" s="53" t="s">
        <v>184</v>
      </c>
      <c r="E123" s="54">
        <v>1.0E-6</v>
      </c>
      <c r="F123" s="55">
        <f t="shared" si="1"/>
        <v>0.00876</v>
      </c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</row>
    <row r="124">
      <c r="A124" s="45"/>
      <c r="B124" s="45"/>
      <c r="C124" s="45"/>
      <c r="D124" s="53" t="s">
        <v>207</v>
      </c>
      <c r="E124" s="54">
        <v>1.37E-6</v>
      </c>
      <c r="F124" s="55">
        <f t="shared" si="1"/>
        <v>0.0120012</v>
      </c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</row>
    <row r="125">
      <c r="A125" s="45"/>
      <c r="B125" s="45"/>
      <c r="C125" s="45"/>
      <c r="D125" s="53" t="s">
        <v>250</v>
      </c>
      <c r="E125" s="54">
        <v>1.0E-6</v>
      </c>
      <c r="F125" s="55">
        <f t="shared" si="1"/>
        <v>0.00876</v>
      </c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</row>
    <row r="126">
      <c r="A126" s="45"/>
      <c r="B126" s="45"/>
      <c r="C126" s="45"/>
      <c r="D126" s="53" t="s">
        <v>213</v>
      </c>
      <c r="E126" s="54">
        <v>1.24E-5</v>
      </c>
      <c r="F126" s="55">
        <f t="shared" si="1"/>
        <v>0.108624</v>
      </c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</row>
    <row r="127">
      <c r="A127" s="45"/>
      <c r="B127" s="45"/>
      <c r="C127" s="45"/>
      <c r="D127" s="53" t="s">
        <v>236</v>
      </c>
      <c r="E127" s="54">
        <v>2.85E-6</v>
      </c>
      <c r="F127" s="55">
        <f t="shared" si="1"/>
        <v>0.024966</v>
      </c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</row>
    <row r="128">
      <c r="A128" s="45"/>
      <c r="B128" s="45"/>
      <c r="C128" s="45"/>
      <c r="D128" s="53" t="s">
        <v>179</v>
      </c>
      <c r="E128" s="54">
        <v>2.85E-5</v>
      </c>
      <c r="F128" s="55">
        <f t="shared" si="1"/>
        <v>0.24966</v>
      </c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</row>
    <row r="129">
      <c r="A129" s="45"/>
      <c r="B129" s="45"/>
      <c r="C129" s="45"/>
      <c r="D129" s="53" t="s">
        <v>185</v>
      </c>
      <c r="E129" s="54">
        <v>1.0E-6</v>
      </c>
      <c r="F129" s="55">
        <f t="shared" si="1"/>
        <v>0.00876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</row>
    <row r="130">
      <c r="A130" s="45"/>
      <c r="B130" s="45"/>
      <c r="C130" s="45"/>
      <c r="D130" s="53" t="s">
        <v>200</v>
      </c>
      <c r="E130" s="54">
        <v>1.14E-6</v>
      </c>
      <c r="F130" s="55">
        <f t="shared" si="1"/>
        <v>0.0099864</v>
      </c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</row>
    <row r="131">
      <c r="A131" s="45"/>
      <c r="B131" s="45"/>
      <c r="C131" s="45"/>
      <c r="D131" s="53" t="s">
        <v>184</v>
      </c>
      <c r="E131" s="54">
        <v>1.0E-6</v>
      </c>
      <c r="F131" s="55">
        <f t="shared" si="1"/>
        <v>0.00876</v>
      </c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</row>
    <row r="132">
      <c r="A132" s="45"/>
      <c r="B132" s="45"/>
      <c r="C132" s="45"/>
      <c r="D132" s="53" t="s">
        <v>207</v>
      </c>
      <c r="E132" s="54">
        <v>1.37E-6</v>
      </c>
      <c r="F132" s="55">
        <f t="shared" si="1"/>
        <v>0.0120012</v>
      </c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</row>
    <row r="133">
      <c r="A133" s="45"/>
      <c r="B133" s="45"/>
      <c r="C133" s="45"/>
      <c r="D133" s="53" t="s">
        <v>250</v>
      </c>
      <c r="E133" s="54">
        <v>1.0E-6</v>
      </c>
      <c r="F133" s="55">
        <f t="shared" si="1"/>
        <v>0.00876</v>
      </c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</row>
    <row r="134">
      <c r="A134" s="45"/>
      <c r="B134" s="45"/>
      <c r="C134" s="45"/>
      <c r="D134" s="53" t="s">
        <v>236</v>
      </c>
      <c r="E134" s="54">
        <v>2.85E-6</v>
      </c>
      <c r="F134" s="55">
        <f t="shared" si="1"/>
        <v>0.024966</v>
      </c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</row>
    <row r="135">
      <c r="A135" s="45"/>
      <c r="B135" s="45"/>
      <c r="C135" s="45"/>
      <c r="D135" s="53" t="s">
        <v>213</v>
      </c>
      <c r="E135" s="54">
        <v>1.24E-5</v>
      </c>
      <c r="F135" s="55">
        <f t="shared" si="1"/>
        <v>0.108624</v>
      </c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</row>
    <row r="136">
      <c r="A136" s="45"/>
      <c r="B136" s="45"/>
      <c r="C136" s="45"/>
      <c r="D136" s="53" t="s">
        <v>179</v>
      </c>
      <c r="E136" s="54">
        <v>2.85E-5</v>
      </c>
      <c r="F136" s="55">
        <f t="shared" si="1"/>
        <v>0.24966</v>
      </c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</row>
    <row r="137">
      <c r="A137" s="45"/>
      <c r="B137" s="45"/>
      <c r="C137" s="45"/>
      <c r="D137" s="53" t="s">
        <v>185</v>
      </c>
      <c r="E137" s="54">
        <v>1.0E-6</v>
      </c>
      <c r="F137" s="55">
        <f t="shared" si="1"/>
        <v>0.00876</v>
      </c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</row>
    <row r="138">
      <c r="A138" s="45"/>
      <c r="B138" s="45"/>
      <c r="C138" s="45"/>
      <c r="D138" s="53" t="s">
        <v>200</v>
      </c>
      <c r="E138" s="54">
        <v>1.14E-6</v>
      </c>
      <c r="F138" s="55">
        <f t="shared" si="1"/>
        <v>0.0099864</v>
      </c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</row>
    <row r="139">
      <c r="A139" s="45"/>
      <c r="B139" s="45"/>
      <c r="C139" s="45"/>
      <c r="D139" s="53" t="s">
        <v>184</v>
      </c>
      <c r="E139" s="54">
        <v>1.0E-6</v>
      </c>
      <c r="F139" s="55">
        <f t="shared" si="1"/>
        <v>0.00876</v>
      </c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</row>
    <row r="140">
      <c r="A140" s="45"/>
      <c r="B140" s="45"/>
      <c r="C140" s="45"/>
      <c r="D140" s="53" t="s">
        <v>207</v>
      </c>
      <c r="E140" s="54">
        <v>1.37E-6</v>
      </c>
      <c r="F140" s="55">
        <f t="shared" si="1"/>
        <v>0.0120012</v>
      </c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</row>
    <row r="141">
      <c r="A141" s="45"/>
      <c r="B141" s="45"/>
      <c r="C141" s="45"/>
      <c r="D141" s="53" t="s">
        <v>250</v>
      </c>
      <c r="E141" s="54">
        <v>1.0E-6</v>
      </c>
      <c r="F141" s="55">
        <f t="shared" si="1"/>
        <v>0.00876</v>
      </c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</row>
    <row r="142">
      <c r="A142" s="45"/>
      <c r="B142" s="45"/>
      <c r="C142" s="45"/>
      <c r="D142" s="53" t="s">
        <v>236</v>
      </c>
      <c r="E142" s="54">
        <v>2.85E-6</v>
      </c>
      <c r="F142" s="55">
        <f t="shared" si="1"/>
        <v>0.024966</v>
      </c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</row>
    <row r="143">
      <c r="A143" s="45"/>
      <c r="B143" s="45"/>
      <c r="C143" s="45"/>
      <c r="D143" s="53" t="s">
        <v>213</v>
      </c>
      <c r="E143" s="54">
        <v>1.24E-5</v>
      </c>
      <c r="F143" s="55">
        <f t="shared" si="1"/>
        <v>0.108624</v>
      </c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</row>
    <row r="144">
      <c r="A144" s="45"/>
      <c r="B144" s="45"/>
      <c r="C144" s="45"/>
      <c r="D144" s="53" t="s">
        <v>179</v>
      </c>
      <c r="E144" s="54">
        <v>2.85E-5</v>
      </c>
      <c r="F144" s="55">
        <f t="shared" si="1"/>
        <v>0.24966</v>
      </c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</row>
    <row r="145">
      <c r="A145" s="45"/>
      <c r="B145" s="45"/>
      <c r="C145" s="45"/>
      <c r="D145" s="53" t="s">
        <v>185</v>
      </c>
      <c r="E145" s="54">
        <v>1.0E-6</v>
      </c>
      <c r="F145" s="55">
        <f t="shared" si="1"/>
        <v>0.00876</v>
      </c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</row>
    <row r="146">
      <c r="A146" s="45"/>
      <c r="B146" s="45"/>
      <c r="C146" s="45"/>
      <c r="D146" s="53" t="s">
        <v>200</v>
      </c>
      <c r="E146" s="54">
        <v>1.14E-6</v>
      </c>
      <c r="F146" s="55">
        <f t="shared" si="1"/>
        <v>0.0099864</v>
      </c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</row>
    <row r="147">
      <c r="A147" s="45"/>
      <c r="B147" s="45"/>
      <c r="C147" s="45"/>
      <c r="D147" s="53" t="s">
        <v>184</v>
      </c>
      <c r="E147" s="54">
        <v>1.0E-6</v>
      </c>
      <c r="F147" s="55">
        <f t="shared" si="1"/>
        <v>0.00876</v>
      </c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</row>
    <row r="148">
      <c r="A148" s="45"/>
      <c r="B148" s="45"/>
      <c r="C148" s="45"/>
      <c r="D148" s="53" t="s">
        <v>207</v>
      </c>
      <c r="E148" s="54">
        <v>1.37E-6</v>
      </c>
      <c r="F148" s="55">
        <f t="shared" si="1"/>
        <v>0.0120012</v>
      </c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</row>
    <row r="149">
      <c r="A149" s="45"/>
      <c r="B149" s="45"/>
      <c r="C149" s="45"/>
      <c r="D149" s="53" t="s">
        <v>250</v>
      </c>
      <c r="E149" s="54">
        <v>1.0E-6</v>
      </c>
      <c r="F149" s="55">
        <f t="shared" si="1"/>
        <v>0.00876</v>
      </c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</row>
    <row r="150">
      <c r="A150" s="45"/>
      <c r="B150" s="45"/>
      <c r="C150" s="45"/>
      <c r="D150" s="53" t="s">
        <v>236</v>
      </c>
      <c r="E150" s="54">
        <v>2.85E-6</v>
      </c>
      <c r="F150" s="55">
        <f t="shared" si="1"/>
        <v>0.024966</v>
      </c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</row>
    <row r="151">
      <c r="A151" s="45"/>
      <c r="B151" s="45"/>
      <c r="C151" s="45"/>
      <c r="D151" s="53" t="s">
        <v>213</v>
      </c>
      <c r="E151" s="54">
        <v>1.24E-5</v>
      </c>
      <c r="F151" s="55">
        <f t="shared" si="1"/>
        <v>0.108624</v>
      </c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</row>
    <row r="152">
      <c r="A152" s="45"/>
      <c r="B152" s="45"/>
      <c r="C152" s="45"/>
      <c r="D152" s="53" t="s">
        <v>179</v>
      </c>
      <c r="E152" s="54">
        <v>2.85E-5</v>
      </c>
      <c r="F152" s="55">
        <f t="shared" si="1"/>
        <v>0.24966</v>
      </c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</row>
    <row r="153">
      <c r="A153" s="45"/>
      <c r="B153" s="45"/>
      <c r="C153" s="45"/>
      <c r="D153" s="53" t="s">
        <v>185</v>
      </c>
      <c r="E153" s="54">
        <v>1.0E-6</v>
      </c>
      <c r="F153" s="55">
        <f t="shared" si="1"/>
        <v>0.00876</v>
      </c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</row>
    <row r="154">
      <c r="A154" s="45"/>
      <c r="B154" s="45"/>
      <c r="C154" s="45"/>
      <c r="D154" s="53" t="s">
        <v>200</v>
      </c>
      <c r="E154" s="54">
        <v>1.14E-6</v>
      </c>
      <c r="F154" s="55">
        <f t="shared" si="1"/>
        <v>0.0099864</v>
      </c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</row>
    <row r="155">
      <c r="A155" s="45"/>
      <c r="B155" s="45"/>
      <c r="C155" s="45"/>
      <c r="D155" s="53" t="s">
        <v>184</v>
      </c>
      <c r="E155" s="56">
        <v>1.0E-6</v>
      </c>
      <c r="F155" s="55">
        <f t="shared" si="1"/>
        <v>0.00876</v>
      </c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</row>
    <row r="156">
      <c r="A156" s="45"/>
      <c r="B156" s="45"/>
      <c r="C156" s="45"/>
      <c r="D156" s="53" t="s">
        <v>207</v>
      </c>
      <c r="E156" s="54">
        <v>1.37E-6</v>
      </c>
      <c r="F156" s="55">
        <f t="shared" si="1"/>
        <v>0.0120012</v>
      </c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</row>
    <row r="157">
      <c r="A157" s="45"/>
      <c r="B157" s="45"/>
      <c r="C157" s="45"/>
      <c r="D157" s="53" t="s">
        <v>250</v>
      </c>
      <c r="E157" s="56">
        <v>1.0E-6</v>
      </c>
      <c r="F157" s="55">
        <f t="shared" si="1"/>
        <v>0.00876</v>
      </c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</row>
    <row r="158">
      <c r="A158" s="45"/>
      <c r="B158" s="45"/>
      <c r="C158" s="45"/>
      <c r="D158" s="53" t="s">
        <v>236</v>
      </c>
      <c r="E158" s="54">
        <v>2.85E-6</v>
      </c>
      <c r="F158" s="55">
        <f t="shared" si="1"/>
        <v>0.024966</v>
      </c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</row>
    <row r="159">
      <c r="A159" s="45"/>
      <c r="B159" s="45"/>
      <c r="C159" s="45"/>
      <c r="D159" s="53" t="s">
        <v>213</v>
      </c>
      <c r="E159" s="54">
        <v>1.24E-5</v>
      </c>
      <c r="F159" s="55">
        <f t="shared" si="1"/>
        <v>0.108624</v>
      </c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</row>
    <row r="160">
      <c r="A160" s="45"/>
      <c r="B160" s="45"/>
      <c r="C160" s="45"/>
      <c r="D160" s="53" t="s">
        <v>179</v>
      </c>
      <c r="E160" s="54">
        <v>2.85E-5</v>
      </c>
      <c r="F160" s="55">
        <f t="shared" si="1"/>
        <v>0.24966</v>
      </c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</row>
    <row r="161">
      <c r="A161" s="45"/>
      <c r="B161" s="45"/>
      <c r="C161" s="45"/>
      <c r="D161" s="53" t="s">
        <v>185</v>
      </c>
      <c r="E161" s="56">
        <v>1.0E-6</v>
      </c>
      <c r="F161" s="55">
        <f t="shared" si="1"/>
        <v>0.00876</v>
      </c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</row>
    <row r="162">
      <c r="A162" s="45"/>
      <c r="B162" s="45"/>
      <c r="C162" s="45"/>
      <c r="D162" s="53" t="s">
        <v>200</v>
      </c>
      <c r="E162" s="54">
        <v>1.14E-6</v>
      </c>
      <c r="F162" s="55">
        <f t="shared" si="1"/>
        <v>0.0099864</v>
      </c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</row>
    <row r="163">
      <c r="A163" s="45"/>
      <c r="B163" s="45"/>
      <c r="C163" s="45"/>
      <c r="D163" s="53" t="s">
        <v>184</v>
      </c>
      <c r="E163" s="56">
        <v>1.0E-6</v>
      </c>
      <c r="F163" s="55">
        <f t="shared" si="1"/>
        <v>0.00876</v>
      </c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</row>
    <row r="164">
      <c r="A164" s="45"/>
      <c r="B164" s="45"/>
      <c r="C164" s="45"/>
      <c r="D164" s="53" t="s">
        <v>207</v>
      </c>
      <c r="E164" s="54">
        <v>1.37E-6</v>
      </c>
      <c r="F164" s="55">
        <f t="shared" si="1"/>
        <v>0.0120012</v>
      </c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</row>
    <row r="165">
      <c r="A165" s="45"/>
      <c r="B165" s="45"/>
      <c r="C165" s="45"/>
      <c r="D165" s="53" t="s">
        <v>250</v>
      </c>
      <c r="E165" s="56">
        <v>1.0E-6</v>
      </c>
      <c r="F165" s="55">
        <f t="shared" si="1"/>
        <v>0.00876</v>
      </c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</row>
    <row r="166">
      <c r="A166" s="45"/>
      <c r="B166" s="45"/>
      <c r="C166" s="45"/>
      <c r="D166" s="53" t="s">
        <v>236</v>
      </c>
      <c r="E166" s="54">
        <v>2.85E-6</v>
      </c>
      <c r="F166" s="55">
        <f t="shared" si="1"/>
        <v>0.024966</v>
      </c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</row>
    <row r="167">
      <c r="A167" s="45"/>
      <c r="B167" s="45"/>
      <c r="C167" s="45"/>
      <c r="D167" s="53" t="s">
        <v>213</v>
      </c>
      <c r="E167" s="54">
        <v>1.24E-5</v>
      </c>
      <c r="F167" s="55">
        <f t="shared" si="1"/>
        <v>0.108624</v>
      </c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</row>
    <row r="168">
      <c r="A168" s="45"/>
      <c r="B168" s="45"/>
      <c r="C168" s="45"/>
      <c r="D168" s="53" t="s">
        <v>179</v>
      </c>
      <c r="E168" s="54">
        <v>2.85E-5</v>
      </c>
      <c r="F168" s="55">
        <f t="shared" si="1"/>
        <v>0.24966</v>
      </c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</row>
    <row r="169">
      <c r="A169" s="45"/>
      <c r="B169" s="45"/>
      <c r="C169" s="45"/>
      <c r="D169" s="53" t="s">
        <v>185</v>
      </c>
      <c r="E169" s="56">
        <v>1.0E-6</v>
      </c>
      <c r="F169" s="55">
        <f t="shared" si="1"/>
        <v>0.00876</v>
      </c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</row>
    <row r="170">
      <c r="A170" s="45"/>
      <c r="B170" s="45"/>
      <c r="C170" s="45"/>
      <c r="D170" s="53" t="s">
        <v>200</v>
      </c>
      <c r="E170" s="54">
        <v>1.14E-6</v>
      </c>
      <c r="F170" s="55">
        <f t="shared" si="1"/>
        <v>0.0099864</v>
      </c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</row>
    <row r="171">
      <c r="A171" s="45"/>
      <c r="B171" s="45"/>
      <c r="C171" s="45"/>
      <c r="D171" s="53" t="s">
        <v>184</v>
      </c>
      <c r="E171" s="56">
        <v>1.0E-6</v>
      </c>
      <c r="F171" s="55">
        <f t="shared" si="1"/>
        <v>0.00876</v>
      </c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</row>
    <row r="172">
      <c r="A172" s="45"/>
      <c r="B172" s="45"/>
      <c r="C172" s="45"/>
      <c r="D172" s="53" t="s">
        <v>207</v>
      </c>
      <c r="E172" s="54">
        <v>1.37E-6</v>
      </c>
      <c r="F172" s="55">
        <f t="shared" si="1"/>
        <v>0.0120012</v>
      </c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</row>
    <row r="173">
      <c r="A173" s="45"/>
      <c r="B173" s="45"/>
      <c r="C173" s="45"/>
      <c r="D173" s="53" t="s">
        <v>250</v>
      </c>
      <c r="E173" s="56">
        <v>1.0E-6</v>
      </c>
      <c r="F173" s="55">
        <f t="shared" si="1"/>
        <v>0.00876</v>
      </c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</row>
    <row r="174">
      <c r="A174" s="45"/>
      <c r="B174" s="45"/>
      <c r="C174" s="45"/>
      <c r="D174" s="53" t="s">
        <v>236</v>
      </c>
      <c r="E174" s="54">
        <v>2.85E-6</v>
      </c>
      <c r="F174" s="55">
        <f t="shared" si="1"/>
        <v>0.024966</v>
      </c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</row>
    <row r="175">
      <c r="A175" s="45"/>
      <c r="B175" s="45"/>
      <c r="C175" s="45"/>
      <c r="D175" s="53" t="s">
        <v>213</v>
      </c>
      <c r="E175" s="54">
        <v>1.24E-5</v>
      </c>
      <c r="F175" s="55">
        <f t="shared" si="1"/>
        <v>0.108624</v>
      </c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</row>
    <row r="176">
      <c r="A176" s="45"/>
      <c r="B176" s="45"/>
      <c r="C176" s="45"/>
      <c r="D176" s="53" t="s">
        <v>179</v>
      </c>
      <c r="E176" s="54">
        <v>2.85E-5</v>
      </c>
      <c r="F176" s="55">
        <f t="shared" si="1"/>
        <v>0.24966</v>
      </c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</row>
    <row r="177">
      <c r="A177" s="45"/>
      <c r="B177" s="45"/>
      <c r="C177" s="45"/>
      <c r="D177" s="53" t="s">
        <v>185</v>
      </c>
      <c r="E177" s="56">
        <v>1.0E-6</v>
      </c>
      <c r="F177" s="55">
        <f t="shared" si="1"/>
        <v>0.00876</v>
      </c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</row>
    <row r="178">
      <c r="A178" s="45"/>
      <c r="B178" s="45"/>
      <c r="C178" s="45"/>
      <c r="D178" s="53" t="s">
        <v>200</v>
      </c>
      <c r="E178" s="54">
        <v>1.14E-6</v>
      </c>
      <c r="F178" s="55">
        <f t="shared" si="1"/>
        <v>0.0099864</v>
      </c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</row>
    <row r="179">
      <c r="A179" s="45"/>
      <c r="B179" s="45"/>
      <c r="C179" s="45"/>
      <c r="D179" s="53" t="s">
        <v>184</v>
      </c>
      <c r="E179" s="56">
        <v>1.0E-6</v>
      </c>
      <c r="F179" s="55">
        <f t="shared" si="1"/>
        <v>0.00876</v>
      </c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</row>
    <row r="180">
      <c r="A180" s="45"/>
      <c r="B180" s="45"/>
      <c r="C180" s="45"/>
      <c r="D180" s="53" t="s">
        <v>207</v>
      </c>
      <c r="E180" s="54">
        <v>1.37E-6</v>
      </c>
      <c r="F180" s="55">
        <f t="shared" si="1"/>
        <v>0.0120012</v>
      </c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</row>
    <row r="181">
      <c r="A181" s="45"/>
      <c r="B181" s="45"/>
      <c r="C181" s="45"/>
      <c r="D181" s="53" t="s">
        <v>250</v>
      </c>
      <c r="E181" s="56">
        <v>1.0E-6</v>
      </c>
      <c r="F181" s="55">
        <f t="shared" si="1"/>
        <v>0.00876</v>
      </c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</row>
    <row r="182">
      <c r="A182" s="45"/>
      <c r="B182" s="45"/>
      <c r="C182" s="45"/>
      <c r="D182" s="53" t="s">
        <v>236</v>
      </c>
      <c r="E182" s="54">
        <v>2.85E-6</v>
      </c>
      <c r="F182" s="55">
        <f t="shared" si="1"/>
        <v>0.024966</v>
      </c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</row>
    <row r="183">
      <c r="A183" s="45"/>
      <c r="B183" s="45"/>
      <c r="C183" s="45"/>
      <c r="D183" s="53" t="s">
        <v>213</v>
      </c>
      <c r="E183" s="54">
        <v>1.24E-5</v>
      </c>
      <c r="F183" s="55">
        <f t="shared" si="1"/>
        <v>0.108624</v>
      </c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</row>
    <row r="184">
      <c r="A184" s="45"/>
      <c r="B184" s="45"/>
      <c r="C184" s="45"/>
      <c r="D184" s="53" t="s">
        <v>179</v>
      </c>
      <c r="E184" s="54">
        <v>2.85E-5</v>
      </c>
      <c r="F184" s="55">
        <f t="shared" si="1"/>
        <v>0.24966</v>
      </c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</row>
    <row r="185">
      <c r="A185" s="45"/>
      <c r="B185" s="45"/>
      <c r="C185" s="45"/>
      <c r="D185" s="53" t="s">
        <v>185</v>
      </c>
      <c r="E185" s="56">
        <v>1.0E-6</v>
      </c>
      <c r="F185" s="55">
        <f t="shared" si="1"/>
        <v>0.00876</v>
      </c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</row>
    <row r="186">
      <c r="A186" s="45"/>
      <c r="B186" s="45"/>
      <c r="C186" s="45"/>
      <c r="D186" s="53" t="s">
        <v>200</v>
      </c>
      <c r="E186" s="54">
        <v>1.14E-6</v>
      </c>
      <c r="F186" s="55">
        <f t="shared" si="1"/>
        <v>0.0099864</v>
      </c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</row>
    <row r="187">
      <c r="A187" s="45"/>
      <c r="B187" s="45"/>
      <c r="C187" s="45"/>
      <c r="D187" s="53" t="s">
        <v>184</v>
      </c>
      <c r="E187" s="56">
        <v>1.0E-6</v>
      </c>
      <c r="F187" s="55">
        <f t="shared" si="1"/>
        <v>0.00876</v>
      </c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</row>
    <row r="188">
      <c r="A188" s="45"/>
      <c r="B188" s="45"/>
      <c r="C188" s="45"/>
      <c r="D188" s="53" t="s">
        <v>207</v>
      </c>
      <c r="E188" s="54">
        <v>1.37E-6</v>
      </c>
      <c r="F188" s="55">
        <f t="shared" si="1"/>
        <v>0.0120012</v>
      </c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</row>
    <row r="189">
      <c r="A189" s="45"/>
      <c r="B189" s="45"/>
      <c r="C189" s="45"/>
      <c r="D189" s="53" t="s">
        <v>250</v>
      </c>
      <c r="E189" s="56">
        <v>1.0E-6</v>
      </c>
      <c r="F189" s="55">
        <f t="shared" si="1"/>
        <v>0.00876</v>
      </c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</row>
    <row r="190">
      <c r="A190" s="45"/>
      <c r="B190" s="45"/>
      <c r="C190" s="45"/>
      <c r="D190" s="53" t="s">
        <v>236</v>
      </c>
      <c r="E190" s="54">
        <v>2.85E-6</v>
      </c>
      <c r="F190" s="55">
        <f t="shared" si="1"/>
        <v>0.024966</v>
      </c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</row>
    <row r="191">
      <c r="A191" s="45"/>
      <c r="B191" s="45"/>
      <c r="C191" s="45"/>
      <c r="D191" s="53" t="s">
        <v>213</v>
      </c>
      <c r="E191" s="54">
        <v>3.53E-5</v>
      </c>
      <c r="F191" s="55">
        <f t="shared" si="1"/>
        <v>0.309228</v>
      </c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</row>
    <row r="192">
      <c r="A192" s="45"/>
      <c r="B192" s="45"/>
      <c r="C192" s="45"/>
      <c r="D192" s="53" t="s">
        <v>179</v>
      </c>
      <c r="E192" s="54">
        <v>2.85E-5</v>
      </c>
      <c r="F192" s="55">
        <f t="shared" si="1"/>
        <v>0.24966</v>
      </c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</row>
    <row r="193">
      <c r="A193" s="45"/>
      <c r="B193" s="45"/>
      <c r="C193" s="45"/>
      <c r="D193" s="53" t="s">
        <v>185</v>
      </c>
      <c r="E193" s="56">
        <v>1.0E-6</v>
      </c>
      <c r="F193" s="55">
        <f t="shared" si="1"/>
        <v>0.00876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</row>
    <row r="194">
      <c r="A194" s="45"/>
      <c r="B194" s="45"/>
      <c r="C194" s="45"/>
      <c r="D194" s="53" t="s">
        <v>200</v>
      </c>
      <c r="E194" s="54">
        <v>1.14E-6</v>
      </c>
      <c r="F194" s="55">
        <f t="shared" si="1"/>
        <v>0.0099864</v>
      </c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</row>
    <row r="195">
      <c r="A195" s="45"/>
      <c r="B195" s="45"/>
      <c r="C195" s="45"/>
      <c r="D195" s="53" t="s">
        <v>184</v>
      </c>
      <c r="E195" s="56">
        <v>1.0E-6</v>
      </c>
      <c r="F195" s="55">
        <f t="shared" si="1"/>
        <v>0.00876</v>
      </c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</row>
    <row r="196">
      <c r="A196" s="45"/>
      <c r="B196" s="45"/>
      <c r="C196" s="45"/>
      <c r="D196" s="53"/>
      <c r="E196" s="56"/>
      <c r="F196" s="55">
        <f t="shared" si="1"/>
        <v>0</v>
      </c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</row>
    <row r="197">
      <c r="A197" s="45"/>
      <c r="B197" s="45"/>
      <c r="C197" s="45"/>
      <c r="D197" s="53"/>
      <c r="E197" s="56"/>
      <c r="F197" s="55">
        <f t="shared" si="1"/>
        <v>0</v>
      </c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</row>
    <row r="198">
      <c r="A198" s="45"/>
      <c r="B198" s="45"/>
      <c r="C198" s="45"/>
      <c r="D198" s="53"/>
      <c r="E198" s="56"/>
      <c r="F198" s="55">
        <f t="shared" si="1"/>
        <v>0</v>
      </c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</row>
    <row r="199">
      <c r="A199" s="45"/>
      <c r="B199" s="45"/>
      <c r="C199" s="45"/>
      <c r="D199" s="53"/>
      <c r="E199" s="56"/>
      <c r="F199" s="55">
        <f t="shared" si="1"/>
        <v>0</v>
      </c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</row>
    <row r="200">
      <c r="A200" s="45"/>
      <c r="B200" s="45"/>
      <c r="C200" s="45"/>
      <c r="D200" s="53"/>
      <c r="E200" s="56"/>
      <c r="F200" s="55">
        <f t="shared" si="1"/>
        <v>0</v>
      </c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</row>
    <row r="201">
      <c r="A201" s="45"/>
      <c r="B201" s="45"/>
      <c r="C201" s="45"/>
      <c r="D201" s="53"/>
      <c r="E201" s="56"/>
      <c r="F201" s="55">
        <f t="shared" si="1"/>
        <v>0</v>
      </c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</row>
    <row r="202">
      <c r="A202" s="45"/>
      <c r="B202" s="45"/>
      <c r="C202" s="45"/>
      <c r="D202" s="53"/>
      <c r="E202" s="56"/>
      <c r="F202" s="55">
        <f t="shared" si="1"/>
        <v>0</v>
      </c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</row>
    <row r="203">
      <c r="A203" s="45"/>
      <c r="B203" s="45"/>
      <c r="C203" s="45"/>
      <c r="D203" s="53"/>
      <c r="E203" s="56"/>
      <c r="F203" s="55">
        <f t="shared" si="1"/>
        <v>0</v>
      </c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</row>
    <row r="204">
      <c r="A204" s="45"/>
      <c r="B204" s="45"/>
      <c r="C204" s="45"/>
      <c r="D204" s="53"/>
      <c r="E204" s="56"/>
      <c r="F204" s="55">
        <f t="shared" si="1"/>
        <v>0</v>
      </c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</row>
    <row r="205">
      <c r="A205" s="45"/>
      <c r="B205" s="45"/>
      <c r="C205" s="45"/>
      <c r="D205" s="53"/>
      <c r="E205" s="56"/>
      <c r="F205" s="55">
        <f t="shared" si="1"/>
        <v>0</v>
      </c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</row>
    <row r="206">
      <c r="A206" s="45"/>
      <c r="B206" s="45"/>
      <c r="C206" s="45"/>
      <c r="D206" s="58"/>
      <c r="E206" s="58"/>
      <c r="F206" s="55">
        <f t="shared" si="1"/>
        <v>0</v>
      </c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</row>
    <row r="207">
      <c r="A207" s="45"/>
      <c r="B207" s="45"/>
      <c r="C207" s="45"/>
      <c r="D207" s="58"/>
      <c r="E207" s="58"/>
      <c r="F207" s="55">
        <f t="shared" si="1"/>
        <v>0</v>
      </c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</row>
    <row r="208">
      <c r="A208" s="45"/>
      <c r="B208" s="45"/>
      <c r="C208" s="45"/>
      <c r="D208" s="58"/>
      <c r="E208" s="58"/>
      <c r="F208" s="55">
        <f t="shared" si="1"/>
        <v>0</v>
      </c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</row>
    <row r="209">
      <c r="A209" s="45"/>
      <c r="B209" s="45"/>
      <c r="C209" s="45"/>
      <c r="D209" s="58"/>
      <c r="E209" s="58"/>
      <c r="F209" s="55">
        <f t="shared" si="1"/>
        <v>0</v>
      </c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</row>
    <row r="210">
      <c r="A210" s="45"/>
      <c r="B210" s="45"/>
      <c r="C210" s="45"/>
      <c r="D210" s="58"/>
      <c r="E210" s="58"/>
      <c r="F210" s="55">
        <f t="shared" si="1"/>
        <v>0</v>
      </c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</row>
    <row r="211">
      <c r="A211" s="45"/>
      <c r="B211" s="45"/>
      <c r="C211" s="45"/>
      <c r="D211" s="58"/>
      <c r="E211" s="58"/>
      <c r="F211" s="55">
        <f t="shared" si="1"/>
        <v>0</v>
      </c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</row>
    <row r="212">
      <c r="A212" s="45"/>
      <c r="B212" s="45"/>
      <c r="C212" s="45"/>
      <c r="D212" s="58"/>
      <c r="E212" s="58"/>
      <c r="F212" s="55">
        <f t="shared" si="1"/>
        <v>0</v>
      </c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</row>
    <row r="213">
      <c r="A213" s="45"/>
      <c r="B213" s="45"/>
      <c r="C213" s="45"/>
      <c r="D213" s="58"/>
      <c r="E213" s="58"/>
      <c r="F213" s="55">
        <f t="shared" si="1"/>
        <v>0</v>
      </c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</row>
    <row r="214">
      <c r="A214" s="45"/>
      <c r="B214" s="45"/>
      <c r="C214" s="45"/>
      <c r="D214" s="58"/>
      <c r="E214" s="58"/>
      <c r="F214" s="55">
        <f t="shared" si="1"/>
        <v>0</v>
      </c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</row>
    <row r="215">
      <c r="A215" s="45"/>
      <c r="B215" s="45"/>
      <c r="C215" s="45"/>
      <c r="D215" s="58"/>
      <c r="E215" s="58"/>
      <c r="F215" s="55">
        <f t="shared" si="1"/>
        <v>0</v>
      </c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</row>
    <row r="216">
      <c r="A216" s="45"/>
      <c r="B216" s="45"/>
      <c r="C216" s="45"/>
      <c r="D216" s="58"/>
      <c r="E216" s="58"/>
      <c r="F216" s="55">
        <f t="shared" si="1"/>
        <v>0</v>
      </c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</row>
    <row r="217">
      <c r="A217" s="45"/>
      <c r="B217" s="45"/>
      <c r="C217" s="45"/>
      <c r="D217" s="58"/>
      <c r="E217" s="58"/>
      <c r="F217" s="55">
        <f t="shared" si="1"/>
        <v>0</v>
      </c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</row>
    <row r="218">
      <c r="A218" s="45"/>
      <c r="B218" s="45"/>
      <c r="C218" s="45"/>
      <c r="D218" s="58"/>
      <c r="E218" s="58"/>
      <c r="F218" s="55">
        <f t="shared" si="1"/>
        <v>0</v>
      </c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</row>
    <row r="219">
      <c r="A219" s="45"/>
      <c r="B219" s="45"/>
      <c r="C219" s="45"/>
      <c r="D219" s="58"/>
      <c r="E219" s="58"/>
      <c r="F219" s="55">
        <f t="shared" si="1"/>
        <v>0</v>
      </c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</row>
    <row r="220">
      <c r="A220" s="45"/>
      <c r="B220" s="45"/>
      <c r="C220" s="45"/>
      <c r="D220" s="58"/>
      <c r="E220" s="58"/>
      <c r="F220" s="55">
        <f t="shared" si="1"/>
        <v>0</v>
      </c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</row>
    <row r="221">
      <c r="A221" s="45"/>
      <c r="B221" s="45"/>
      <c r="C221" s="45"/>
      <c r="D221" s="58"/>
      <c r="E221" s="58"/>
      <c r="F221" s="55">
        <f t="shared" si="1"/>
        <v>0</v>
      </c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</row>
    <row r="222">
      <c r="A222" s="45"/>
      <c r="B222" s="45"/>
      <c r="C222" s="45"/>
      <c r="D222" s="58"/>
      <c r="E222" s="58"/>
      <c r="F222" s="55">
        <f t="shared" si="1"/>
        <v>0</v>
      </c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</row>
    <row r="223">
      <c r="A223" s="45"/>
      <c r="B223" s="45"/>
      <c r="C223" s="45"/>
      <c r="D223" s="58"/>
      <c r="E223" s="58"/>
      <c r="F223" s="55">
        <f t="shared" si="1"/>
        <v>0</v>
      </c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</row>
    <row r="224">
      <c r="A224" s="45"/>
      <c r="B224" s="45"/>
      <c r="C224" s="45"/>
      <c r="D224" s="58"/>
      <c r="E224" s="58"/>
      <c r="F224" s="59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</row>
    <row r="225">
      <c r="A225" s="45"/>
      <c r="B225" s="45"/>
      <c r="C225" s="45"/>
      <c r="D225" s="58"/>
      <c r="E225" s="58"/>
      <c r="F225" s="59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</row>
    <row r="226">
      <c r="A226" s="45"/>
      <c r="B226" s="45"/>
      <c r="C226" s="45"/>
      <c r="D226" s="58"/>
      <c r="E226" s="58"/>
      <c r="F226" s="59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</row>
    <row r="227">
      <c r="A227" s="45"/>
      <c r="B227" s="45"/>
      <c r="C227" s="45"/>
      <c r="D227" s="58"/>
      <c r="E227" s="58"/>
      <c r="F227" s="59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</row>
    <row r="228">
      <c r="A228" s="45"/>
      <c r="B228" s="45"/>
      <c r="C228" s="45"/>
      <c r="D228" s="58"/>
      <c r="E228" s="58"/>
      <c r="F228" s="59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</row>
    <row r="229">
      <c r="A229" s="45"/>
      <c r="B229" s="45"/>
      <c r="C229" s="45"/>
      <c r="D229" s="58"/>
      <c r="E229" s="58"/>
      <c r="F229" s="59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</row>
    <row r="230">
      <c r="A230" s="45"/>
      <c r="B230" s="45"/>
      <c r="C230" s="45"/>
      <c r="D230" s="58"/>
      <c r="E230" s="58"/>
      <c r="F230" s="59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</row>
    <row r="231">
      <c r="A231" s="45"/>
      <c r="B231" s="45"/>
      <c r="C231" s="45"/>
      <c r="D231" s="58"/>
      <c r="E231" s="58"/>
      <c r="F231" s="59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</row>
    <row r="232">
      <c r="A232" s="45"/>
      <c r="B232" s="45"/>
      <c r="C232" s="45"/>
      <c r="D232" s="58"/>
      <c r="E232" s="58"/>
      <c r="F232" s="59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</row>
    <row r="233">
      <c r="A233" s="45"/>
      <c r="B233" s="45"/>
      <c r="C233" s="45"/>
      <c r="D233" s="58"/>
      <c r="E233" s="58"/>
      <c r="F233" s="59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</row>
    <row r="234">
      <c r="A234" s="45"/>
      <c r="B234" s="45"/>
      <c r="C234" s="45"/>
      <c r="D234" s="58"/>
      <c r="E234" s="58"/>
      <c r="F234" s="59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</row>
    <row r="235">
      <c r="A235" s="45"/>
      <c r="B235" s="45"/>
      <c r="C235" s="45"/>
      <c r="D235" s="58"/>
      <c r="E235" s="58"/>
      <c r="F235" s="59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</row>
    <row r="236">
      <c r="A236" s="45"/>
      <c r="B236" s="45"/>
      <c r="C236" s="45"/>
      <c r="D236" s="58"/>
      <c r="E236" s="58"/>
      <c r="F236" s="59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</row>
    <row r="237">
      <c r="A237" s="45"/>
      <c r="B237" s="45"/>
      <c r="C237" s="45"/>
      <c r="D237" s="58"/>
      <c r="E237" s="58"/>
      <c r="F237" s="59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</row>
    <row r="238">
      <c r="A238" s="45"/>
      <c r="B238" s="45"/>
      <c r="C238" s="45"/>
      <c r="D238" s="58"/>
      <c r="E238" s="58"/>
      <c r="F238" s="59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</row>
    <row r="239">
      <c r="A239" s="45"/>
      <c r="B239" s="45"/>
      <c r="C239" s="45"/>
      <c r="D239" s="58"/>
      <c r="E239" s="58"/>
      <c r="F239" s="59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</row>
    <row r="240">
      <c r="A240" s="45"/>
      <c r="B240" s="45"/>
      <c r="C240" s="45"/>
      <c r="D240" s="58"/>
      <c r="E240" s="58"/>
      <c r="F240" s="59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</row>
    <row r="241">
      <c r="A241" s="45"/>
      <c r="B241" s="45"/>
      <c r="C241" s="45"/>
      <c r="D241" s="58"/>
      <c r="E241" s="58"/>
      <c r="F241" s="59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</row>
    <row r="242">
      <c r="A242" s="45"/>
      <c r="B242" s="45"/>
      <c r="C242" s="45"/>
      <c r="D242" s="58"/>
      <c r="E242" s="58"/>
      <c r="F242" s="59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</row>
    <row r="243">
      <c r="A243" s="45"/>
      <c r="B243" s="45"/>
      <c r="C243" s="45"/>
      <c r="D243" s="58"/>
      <c r="E243" s="58"/>
      <c r="F243" s="59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</row>
    <row r="244">
      <c r="A244" s="45"/>
      <c r="B244" s="45"/>
      <c r="C244" s="45"/>
      <c r="D244" s="58"/>
      <c r="E244" s="58"/>
      <c r="F244" s="59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</row>
    <row r="245">
      <c r="A245" s="45"/>
      <c r="B245" s="45"/>
      <c r="C245" s="45"/>
      <c r="D245" s="58"/>
      <c r="E245" s="58"/>
      <c r="F245" s="59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</row>
    <row r="246">
      <c r="A246" s="45"/>
      <c r="B246" s="45"/>
      <c r="C246" s="45"/>
      <c r="D246" s="58"/>
      <c r="E246" s="58"/>
      <c r="F246" s="59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</row>
    <row r="247">
      <c r="A247" s="45"/>
      <c r="B247" s="45"/>
      <c r="C247" s="45"/>
      <c r="D247" s="58"/>
      <c r="E247" s="58"/>
      <c r="F247" s="59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</row>
    <row r="248">
      <c r="A248" s="45"/>
      <c r="B248" s="45"/>
      <c r="C248" s="45"/>
      <c r="D248" s="58"/>
      <c r="E248" s="58"/>
      <c r="F248" s="59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</row>
    <row r="249">
      <c r="A249" s="45"/>
      <c r="B249" s="45"/>
      <c r="C249" s="45"/>
      <c r="D249" s="58"/>
      <c r="E249" s="58"/>
      <c r="F249" s="59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</row>
    <row r="250">
      <c r="A250" s="45"/>
      <c r="B250" s="45"/>
      <c r="C250" s="45"/>
      <c r="D250" s="58"/>
      <c r="E250" s="58"/>
      <c r="F250" s="59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</row>
    <row r="251">
      <c r="A251" s="45"/>
      <c r="B251" s="45"/>
      <c r="C251" s="45"/>
      <c r="D251" s="58"/>
      <c r="E251" s="58"/>
      <c r="F251" s="59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</row>
    <row r="252">
      <c r="A252" s="45"/>
      <c r="B252" s="45"/>
      <c r="C252" s="45"/>
      <c r="D252" s="58"/>
      <c r="E252" s="58"/>
      <c r="F252" s="59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</row>
    <row r="253">
      <c r="A253" s="45"/>
      <c r="B253" s="45"/>
      <c r="C253" s="45"/>
      <c r="D253" s="58"/>
      <c r="E253" s="58"/>
      <c r="F253" s="59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</row>
    <row r="254">
      <c r="A254" s="45"/>
      <c r="B254" s="45"/>
      <c r="C254" s="45"/>
      <c r="D254" s="58"/>
      <c r="E254" s="58"/>
      <c r="F254" s="59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</row>
    <row r="255">
      <c r="A255" s="45"/>
      <c r="B255" s="45"/>
      <c r="C255" s="45"/>
      <c r="D255" s="58"/>
      <c r="E255" s="58"/>
      <c r="F255" s="59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</row>
    <row r="256">
      <c r="A256" s="45"/>
      <c r="B256" s="45"/>
      <c r="C256" s="45"/>
      <c r="D256" s="58"/>
      <c r="E256" s="58"/>
      <c r="F256" s="59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</row>
    <row r="257">
      <c r="A257" s="45"/>
      <c r="B257" s="45"/>
      <c r="C257" s="45"/>
      <c r="D257" s="58"/>
      <c r="E257" s="58"/>
      <c r="F257" s="59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</row>
    <row r="258">
      <c r="A258" s="45"/>
      <c r="B258" s="45"/>
      <c r="C258" s="45"/>
      <c r="D258" s="58"/>
      <c r="E258" s="58"/>
      <c r="F258" s="59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</row>
    <row r="259">
      <c r="A259" s="45"/>
      <c r="B259" s="45"/>
      <c r="C259" s="45"/>
      <c r="D259" s="58"/>
      <c r="E259" s="58"/>
      <c r="F259" s="59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</row>
    <row r="260">
      <c r="A260" s="45"/>
      <c r="B260" s="45"/>
      <c r="C260" s="45"/>
      <c r="D260" s="58"/>
      <c r="E260" s="58"/>
      <c r="F260" s="59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</row>
    <row r="261">
      <c r="A261" s="45"/>
      <c r="B261" s="45"/>
      <c r="C261" s="45"/>
      <c r="D261" s="58"/>
      <c r="E261" s="58"/>
      <c r="F261" s="59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</row>
    <row r="262">
      <c r="A262" s="45"/>
      <c r="B262" s="45"/>
      <c r="C262" s="45"/>
      <c r="D262" s="58"/>
      <c r="E262" s="58"/>
      <c r="F262" s="59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</row>
    <row r="263">
      <c r="A263" s="45"/>
      <c r="B263" s="45"/>
      <c r="C263" s="45"/>
      <c r="D263" s="58"/>
      <c r="E263" s="58"/>
      <c r="F263" s="59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>
      <c r="A264" s="45"/>
      <c r="B264" s="45"/>
      <c r="C264" s="45"/>
      <c r="D264" s="58"/>
      <c r="E264" s="58"/>
      <c r="F264" s="59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</row>
    <row r="265">
      <c r="A265" s="45"/>
      <c r="B265" s="45"/>
      <c r="C265" s="45"/>
      <c r="D265" s="58"/>
      <c r="E265" s="58"/>
      <c r="F265" s="59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</row>
    <row r="266">
      <c r="A266" s="45"/>
      <c r="B266" s="45"/>
      <c r="C266" s="45"/>
      <c r="D266" s="58"/>
      <c r="E266" s="58"/>
      <c r="F266" s="59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</row>
    <row r="267">
      <c r="A267" s="45"/>
      <c r="B267" s="45"/>
      <c r="C267" s="45"/>
      <c r="D267" s="58"/>
      <c r="E267" s="58"/>
      <c r="F267" s="59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>
      <c r="A268" s="45"/>
      <c r="B268" s="45"/>
      <c r="C268" s="45"/>
      <c r="D268" s="58"/>
      <c r="E268" s="58"/>
      <c r="F268" s="59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</row>
    <row r="269">
      <c r="A269" s="45"/>
      <c r="B269" s="45"/>
      <c r="C269" s="45"/>
      <c r="D269" s="58"/>
      <c r="E269" s="58"/>
      <c r="F269" s="59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</row>
    <row r="270">
      <c r="A270" s="45"/>
      <c r="B270" s="45"/>
      <c r="C270" s="45"/>
      <c r="D270" s="58"/>
      <c r="E270" s="58"/>
      <c r="F270" s="59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</row>
    <row r="271">
      <c r="A271" s="45"/>
      <c r="B271" s="45"/>
      <c r="C271" s="45"/>
      <c r="D271" s="58"/>
      <c r="E271" s="58"/>
      <c r="F271" s="59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</row>
    <row r="272">
      <c r="A272" s="45"/>
      <c r="B272" s="45"/>
      <c r="C272" s="45"/>
      <c r="D272" s="58"/>
      <c r="E272" s="58"/>
      <c r="F272" s="59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</row>
    <row r="273">
      <c r="A273" s="45"/>
      <c r="B273" s="45"/>
      <c r="C273" s="45"/>
      <c r="D273" s="58"/>
      <c r="E273" s="58"/>
      <c r="F273" s="59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</row>
    <row r="274">
      <c r="A274" s="45"/>
      <c r="B274" s="45"/>
      <c r="C274" s="45"/>
      <c r="D274" s="58"/>
      <c r="E274" s="58"/>
      <c r="F274" s="59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</row>
    <row r="275">
      <c r="A275" s="45"/>
      <c r="B275" s="45"/>
      <c r="C275" s="45"/>
      <c r="D275" s="58"/>
      <c r="E275" s="58"/>
      <c r="F275" s="59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</row>
    <row r="276">
      <c r="A276" s="45"/>
      <c r="B276" s="45"/>
      <c r="C276" s="45"/>
      <c r="D276" s="58"/>
      <c r="E276" s="58"/>
      <c r="F276" s="59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</row>
    <row r="277">
      <c r="A277" s="45"/>
      <c r="B277" s="45"/>
      <c r="C277" s="45"/>
      <c r="D277" s="58"/>
      <c r="E277" s="58"/>
      <c r="F277" s="59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</row>
    <row r="278">
      <c r="A278" s="45"/>
      <c r="B278" s="45"/>
      <c r="C278" s="45"/>
      <c r="D278" s="58"/>
      <c r="E278" s="58"/>
      <c r="F278" s="59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</row>
    <row r="279">
      <c r="A279" s="45"/>
      <c r="B279" s="45"/>
      <c r="C279" s="45"/>
      <c r="D279" s="58"/>
      <c r="E279" s="58"/>
      <c r="F279" s="59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</row>
    <row r="280">
      <c r="A280" s="45"/>
      <c r="B280" s="45"/>
      <c r="C280" s="45"/>
      <c r="D280" s="58"/>
      <c r="E280" s="58"/>
      <c r="F280" s="59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</row>
    <row r="281">
      <c r="A281" s="45"/>
      <c r="B281" s="45"/>
      <c r="C281" s="45"/>
      <c r="D281" s="58"/>
      <c r="E281" s="58"/>
      <c r="F281" s="59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</row>
    <row r="282">
      <c r="A282" s="45"/>
      <c r="B282" s="45"/>
      <c r="C282" s="45"/>
      <c r="D282" s="58"/>
      <c r="E282" s="58"/>
      <c r="F282" s="59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</row>
    <row r="283">
      <c r="A283" s="45"/>
      <c r="B283" s="45"/>
      <c r="C283" s="45"/>
      <c r="D283" s="58"/>
      <c r="E283" s="58"/>
      <c r="F283" s="59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</row>
    <row r="284">
      <c r="A284" s="45"/>
      <c r="B284" s="45"/>
      <c r="C284" s="45"/>
      <c r="D284" s="58"/>
      <c r="E284" s="58"/>
      <c r="F284" s="59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</row>
    <row r="285">
      <c r="A285" s="45"/>
      <c r="B285" s="45"/>
      <c r="C285" s="45"/>
      <c r="D285" s="58"/>
      <c r="E285" s="58"/>
      <c r="F285" s="59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</row>
    <row r="286">
      <c r="A286" s="45"/>
      <c r="B286" s="45"/>
      <c r="C286" s="45"/>
      <c r="D286" s="58"/>
      <c r="E286" s="58"/>
      <c r="F286" s="59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</row>
    <row r="287">
      <c r="A287" s="45"/>
      <c r="B287" s="45"/>
      <c r="C287" s="45"/>
      <c r="D287" s="58"/>
      <c r="E287" s="58"/>
      <c r="F287" s="59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</row>
    <row r="288">
      <c r="A288" s="45"/>
      <c r="B288" s="45"/>
      <c r="C288" s="45"/>
      <c r="D288" s="58"/>
      <c r="E288" s="58"/>
      <c r="F288" s="59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</row>
    <row r="289">
      <c r="A289" s="45"/>
      <c r="B289" s="45"/>
      <c r="C289" s="45"/>
      <c r="D289" s="58"/>
      <c r="E289" s="58"/>
      <c r="F289" s="59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</row>
    <row r="290">
      <c r="A290" s="45"/>
      <c r="B290" s="45"/>
      <c r="C290" s="45"/>
      <c r="D290" s="58"/>
      <c r="E290" s="58"/>
      <c r="F290" s="59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</row>
    <row r="291">
      <c r="A291" s="45"/>
      <c r="B291" s="45"/>
      <c r="C291" s="45"/>
      <c r="D291" s="58"/>
      <c r="E291" s="58"/>
      <c r="F291" s="59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</row>
    <row r="292">
      <c r="A292" s="45"/>
      <c r="B292" s="45"/>
      <c r="C292" s="45"/>
      <c r="D292" s="58"/>
      <c r="E292" s="58"/>
      <c r="F292" s="59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</row>
    <row r="293">
      <c r="A293" s="45"/>
      <c r="B293" s="45"/>
      <c r="C293" s="45"/>
      <c r="D293" s="58"/>
      <c r="E293" s="58"/>
      <c r="F293" s="59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</row>
    <row r="294">
      <c r="A294" s="45"/>
      <c r="B294" s="45"/>
      <c r="C294" s="45"/>
      <c r="D294" s="58"/>
      <c r="E294" s="58"/>
      <c r="F294" s="59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</row>
    <row r="295">
      <c r="A295" s="45"/>
      <c r="B295" s="45"/>
      <c r="C295" s="45"/>
      <c r="D295" s="58"/>
      <c r="E295" s="58"/>
      <c r="F295" s="59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</row>
    <row r="296">
      <c r="A296" s="45"/>
      <c r="B296" s="45"/>
      <c r="C296" s="45"/>
      <c r="D296" s="58"/>
      <c r="E296" s="58"/>
      <c r="F296" s="59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</row>
    <row r="297">
      <c r="A297" s="45"/>
      <c r="B297" s="45"/>
      <c r="C297" s="45"/>
      <c r="D297" s="58"/>
      <c r="E297" s="58"/>
      <c r="F297" s="59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</row>
    <row r="298">
      <c r="A298" s="45"/>
      <c r="B298" s="45"/>
      <c r="C298" s="45"/>
      <c r="D298" s="58"/>
      <c r="E298" s="58"/>
      <c r="F298" s="59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</row>
    <row r="299">
      <c r="A299" s="45"/>
      <c r="B299" s="45"/>
      <c r="C299" s="45"/>
      <c r="D299" s="58"/>
      <c r="E299" s="58"/>
      <c r="F299" s="59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</row>
    <row r="300">
      <c r="A300" s="45"/>
      <c r="B300" s="45"/>
      <c r="C300" s="45"/>
      <c r="D300" s="58"/>
      <c r="E300" s="58"/>
      <c r="F300" s="59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</row>
    <row r="301">
      <c r="A301" s="45"/>
      <c r="B301" s="45"/>
      <c r="C301" s="45"/>
      <c r="D301" s="58"/>
      <c r="E301" s="58"/>
      <c r="F301" s="59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</row>
    <row r="302">
      <c r="A302" s="45"/>
      <c r="B302" s="45"/>
      <c r="C302" s="45"/>
      <c r="D302" s="58"/>
      <c r="E302" s="58"/>
      <c r="F302" s="59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</row>
    <row r="303">
      <c r="A303" s="45"/>
      <c r="B303" s="45"/>
      <c r="C303" s="45"/>
      <c r="D303" s="58"/>
      <c r="E303" s="58"/>
      <c r="F303" s="59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</row>
    <row r="304">
      <c r="A304" s="45"/>
      <c r="B304" s="45"/>
      <c r="C304" s="45"/>
      <c r="D304" s="58"/>
      <c r="E304" s="58"/>
      <c r="F304" s="59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</row>
    <row r="305">
      <c r="A305" s="45"/>
      <c r="B305" s="45"/>
      <c r="C305" s="45"/>
      <c r="D305" s="58"/>
      <c r="E305" s="58"/>
      <c r="F305" s="59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</row>
    <row r="306">
      <c r="A306" s="45"/>
      <c r="B306" s="45"/>
      <c r="C306" s="45"/>
      <c r="D306" s="58"/>
      <c r="E306" s="58"/>
      <c r="F306" s="59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</row>
    <row r="307">
      <c r="A307" s="45"/>
      <c r="B307" s="45"/>
      <c r="C307" s="45"/>
      <c r="D307" s="58"/>
      <c r="E307" s="58"/>
      <c r="F307" s="59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</row>
    <row r="308">
      <c r="A308" s="45"/>
      <c r="B308" s="45"/>
      <c r="C308" s="45"/>
      <c r="D308" s="58"/>
      <c r="E308" s="58"/>
      <c r="F308" s="59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</row>
    <row r="309">
      <c r="A309" s="45"/>
      <c r="B309" s="45"/>
      <c r="C309" s="45"/>
      <c r="D309" s="58"/>
      <c r="E309" s="58"/>
      <c r="F309" s="59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</row>
    <row r="310">
      <c r="A310" s="45"/>
      <c r="B310" s="45"/>
      <c r="C310" s="45"/>
      <c r="D310" s="58"/>
      <c r="E310" s="58"/>
      <c r="F310" s="59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</row>
    <row r="311">
      <c r="A311" s="45"/>
      <c r="B311" s="45"/>
      <c r="C311" s="45"/>
      <c r="D311" s="58"/>
      <c r="E311" s="58"/>
      <c r="F311" s="59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</row>
    <row r="312">
      <c r="A312" s="45"/>
      <c r="B312" s="45"/>
      <c r="C312" s="45"/>
      <c r="D312" s="58"/>
      <c r="E312" s="58"/>
      <c r="F312" s="59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</row>
    <row r="313">
      <c r="A313" s="45"/>
      <c r="B313" s="45"/>
      <c r="C313" s="45"/>
      <c r="D313" s="58"/>
      <c r="E313" s="58"/>
      <c r="F313" s="59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</row>
    <row r="314">
      <c r="A314" s="45"/>
      <c r="B314" s="45"/>
      <c r="C314" s="45"/>
      <c r="D314" s="58"/>
      <c r="E314" s="58"/>
      <c r="F314" s="59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</row>
    <row r="315">
      <c r="A315" s="45"/>
      <c r="B315" s="45"/>
      <c r="C315" s="45"/>
      <c r="D315" s="58"/>
      <c r="E315" s="58"/>
      <c r="F315" s="59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</row>
    <row r="316">
      <c r="A316" s="45"/>
      <c r="B316" s="45"/>
      <c r="C316" s="45"/>
      <c r="D316" s="58"/>
      <c r="E316" s="58"/>
      <c r="F316" s="59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</row>
    <row r="317">
      <c r="A317" s="45"/>
      <c r="B317" s="45"/>
      <c r="C317" s="45"/>
      <c r="D317" s="58"/>
      <c r="E317" s="58"/>
      <c r="F317" s="59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</row>
    <row r="318">
      <c r="A318" s="45"/>
      <c r="B318" s="45"/>
      <c r="C318" s="45"/>
      <c r="D318" s="58"/>
      <c r="E318" s="58"/>
      <c r="F318" s="59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</row>
    <row r="319">
      <c r="A319" s="45"/>
      <c r="B319" s="45"/>
      <c r="C319" s="45"/>
      <c r="D319" s="58"/>
      <c r="E319" s="58"/>
      <c r="F319" s="59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</row>
    <row r="320">
      <c r="A320" s="45"/>
      <c r="B320" s="45"/>
      <c r="C320" s="45"/>
      <c r="D320" s="58"/>
      <c r="E320" s="58"/>
      <c r="F320" s="59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</row>
    <row r="321">
      <c r="A321" s="45"/>
      <c r="B321" s="45"/>
      <c r="C321" s="45"/>
      <c r="D321" s="58"/>
      <c r="E321" s="58"/>
      <c r="F321" s="59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</row>
    <row r="322">
      <c r="A322" s="45"/>
      <c r="B322" s="45"/>
      <c r="C322" s="45"/>
      <c r="D322" s="58"/>
      <c r="E322" s="58"/>
      <c r="F322" s="59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</row>
    <row r="323">
      <c r="A323" s="45"/>
      <c r="B323" s="45"/>
      <c r="C323" s="45"/>
      <c r="D323" s="58"/>
      <c r="E323" s="58"/>
      <c r="F323" s="59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</row>
    <row r="324">
      <c r="A324" s="45"/>
      <c r="B324" s="45"/>
      <c r="C324" s="45"/>
      <c r="D324" s="58"/>
      <c r="E324" s="58"/>
      <c r="F324" s="59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</row>
    <row r="325">
      <c r="A325" s="45"/>
      <c r="B325" s="45"/>
      <c r="C325" s="45"/>
      <c r="D325" s="58"/>
      <c r="E325" s="58"/>
      <c r="F325" s="59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</row>
    <row r="326">
      <c r="A326" s="45"/>
      <c r="B326" s="45"/>
      <c r="C326" s="45"/>
      <c r="D326" s="58"/>
      <c r="E326" s="58"/>
      <c r="F326" s="59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</row>
    <row r="327">
      <c r="A327" s="45"/>
      <c r="B327" s="45"/>
      <c r="C327" s="45"/>
      <c r="D327" s="58"/>
      <c r="E327" s="58"/>
      <c r="F327" s="59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</row>
    <row r="328">
      <c r="A328" s="45"/>
      <c r="B328" s="45"/>
      <c r="C328" s="45"/>
      <c r="D328" s="58"/>
      <c r="E328" s="58"/>
      <c r="F328" s="59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</row>
    <row r="329">
      <c r="A329" s="45"/>
      <c r="B329" s="45"/>
      <c r="C329" s="45"/>
      <c r="D329" s="58"/>
      <c r="E329" s="58"/>
      <c r="F329" s="59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</row>
    <row r="330">
      <c r="A330" s="45"/>
      <c r="B330" s="45"/>
      <c r="C330" s="45"/>
      <c r="D330" s="58"/>
      <c r="E330" s="58"/>
      <c r="F330" s="59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</row>
    <row r="331">
      <c r="A331" s="45"/>
      <c r="B331" s="45"/>
      <c r="C331" s="45"/>
      <c r="D331" s="58"/>
      <c r="E331" s="58"/>
      <c r="F331" s="59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</row>
    <row r="332">
      <c r="A332" s="45"/>
      <c r="B332" s="45"/>
      <c r="C332" s="45"/>
      <c r="D332" s="58"/>
      <c r="E332" s="58"/>
      <c r="F332" s="59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</row>
    <row r="333">
      <c r="A333" s="45"/>
      <c r="B333" s="45"/>
      <c r="C333" s="45"/>
      <c r="D333" s="58"/>
      <c r="E333" s="58"/>
      <c r="F333" s="59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</row>
    <row r="334">
      <c r="A334" s="45"/>
      <c r="B334" s="45"/>
      <c r="C334" s="45"/>
      <c r="D334" s="58"/>
      <c r="E334" s="58"/>
      <c r="F334" s="59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</row>
    <row r="335">
      <c r="A335" s="45"/>
      <c r="B335" s="45"/>
      <c r="C335" s="45"/>
      <c r="D335" s="58"/>
      <c r="E335" s="58"/>
      <c r="F335" s="59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</row>
    <row r="336">
      <c r="A336" s="45"/>
      <c r="B336" s="45"/>
      <c r="C336" s="45"/>
      <c r="D336" s="58"/>
      <c r="E336" s="58"/>
      <c r="F336" s="59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</row>
    <row r="337">
      <c r="A337" s="45"/>
      <c r="B337" s="45"/>
      <c r="C337" s="45"/>
      <c r="D337" s="58"/>
      <c r="E337" s="58"/>
      <c r="F337" s="59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</row>
    <row r="338">
      <c r="A338" s="45"/>
      <c r="B338" s="45"/>
      <c r="C338" s="45"/>
      <c r="D338" s="58"/>
      <c r="E338" s="58"/>
      <c r="F338" s="59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</row>
    <row r="339">
      <c r="A339" s="45"/>
      <c r="B339" s="45"/>
      <c r="C339" s="45"/>
      <c r="D339" s="58"/>
      <c r="E339" s="58"/>
      <c r="F339" s="59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</row>
    <row r="340">
      <c r="A340" s="45"/>
      <c r="B340" s="45"/>
      <c r="C340" s="45"/>
      <c r="D340" s="58"/>
      <c r="E340" s="58"/>
      <c r="F340" s="59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</row>
    <row r="341">
      <c r="A341" s="45"/>
      <c r="B341" s="45"/>
      <c r="C341" s="45"/>
      <c r="D341" s="58"/>
      <c r="E341" s="58"/>
      <c r="F341" s="59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</row>
    <row r="342">
      <c r="A342" s="45"/>
      <c r="B342" s="45"/>
      <c r="C342" s="45"/>
      <c r="D342" s="58"/>
      <c r="E342" s="58"/>
      <c r="F342" s="59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</row>
    <row r="343">
      <c r="A343" s="45"/>
      <c r="B343" s="45"/>
      <c r="C343" s="45"/>
      <c r="D343" s="58"/>
      <c r="E343" s="58"/>
      <c r="F343" s="59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</row>
    <row r="344">
      <c r="A344" s="45"/>
      <c r="B344" s="45"/>
      <c r="C344" s="45"/>
      <c r="D344" s="58"/>
      <c r="E344" s="58"/>
      <c r="F344" s="59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</row>
    <row r="345">
      <c r="A345" s="45"/>
      <c r="B345" s="45"/>
      <c r="C345" s="45"/>
      <c r="D345" s="58"/>
      <c r="E345" s="58"/>
      <c r="F345" s="59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</row>
    <row r="346">
      <c r="A346" s="45"/>
      <c r="B346" s="45"/>
      <c r="C346" s="45"/>
      <c r="D346" s="58"/>
      <c r="E346" s="58"/>
      <c r="F346" s="59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</row>
    <row r="347">
      <c r="A347" s="45"/>
      <c r="B347" s="45"/>
      <c r="C347" s="45"/>
      <c r="D347" s="58"/>
      <c r="E347" s="58"/>
      <c r="F347" s="59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</row>
    <row r="348">
      <c r="A348" s="45"/>
      <c r="B348" s="45"/>
      <c r="C348" s="45"/>
      <c r="D348" s="58"/>
      <c r="E348" s="58"/>
      <c r="F348" s="59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</row>
    <row r="349">
      <c r="A349" s="45"/>
      <c r="B349" s="45"/>
      <c r="C349" s="45"/>
      <c r="D349" s="58"/>
      <c r="E349" s="58"/>
      <c r="F349" s="59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</row>
    <row r="350">
      <c r="A350" s="45"/>
      <c r="B350" s="45"/>
      <c r="C350" s="45"/>
      <c r="D350" s="58"/>
      <c r="E350" s="58"/>
      <c r="F350" s="59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</row>
    <row r="351">
      <c r="A351" s="45"/>
      <c r="B351" s="45"/>
      <c r="C351" s="45"/>
      <c r="D351" s="58"/>
      <c r="E351" s="58"/>
      <c r="F351" s="59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</row>
    <row r="352">
      <c r="A352" s="45"/>
      <c r="B352" s="45"/>
      <c r="C352" s="45"/>
      <c r="D352" s="58"/>
      <c r="E352" s="58"/>
      <c r="F352" s="59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</row>
    <row r="353">
      <c r="A353" s="45"/>
      <c r="B353" s="45"/>
      <c r="C353" s="45"/>
      <c r="D353" s="58"/>
      <c r="E353" s="58"/>
      <c r="F353" s="59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</row>
    <row r="354">
      <c r="A354" s="45"/>
      <c r="B354" s="45"/>
      <c r="C354" s="45"/>
      <c r="D354" s="58"/>
      <c r="E354" s="58"/>
      <c r="F354" s="59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</row>
    <row r="355">
      <c r="A355" s="45"/>
      <c r="B355" s="45"/>
      <c r="C355" s="45"/>
      <c r="D355" s="58"/>
      <c r="E355" s="58"/>
      <c r="F355" s="59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</row>
    <row r="356">
      <c r="A356" s="45"/>
      <c r="B356" s="45"/>
      <c r="C356" s="45"/>
      <c r="D356" s="58"/>
      <c r="E356" s="58"/>
      <c r="F356" s="59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</row>
    <row r="357">
      <c r="A357" s="45"/>
      <c r="B357" s="45"/>
      <c r="C357" s="45"/>
      <c r="D357" s="58"/>
      <c r="E357" s="58"/>
      <c r="F357" s="59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</row>
    <row r="358">
      <c r="A358" s="45"/>
      <c r="B358" s="45"/>
      <c r="C358" s="45"/>
      <c r="D358" s="58"/>
      <c r="E358" s="58"/>
      <c r="F358" s="59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</row>
    <row r="359">
      <c r="A359" s="45"/>
      <c r="B359" s="45"/>
      <c r="C359" s="45"/>
      <c r="D359" s="58"/>
      <c r="E359" s="58"/>
      <c r="F359" s="59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</row>
    <row r="360">
      <c r="A360" s="45"/>
      <c r="B360" s="45"/>
      <c r="C360" s="45"/>
      <c r="D360" s="58"/>
      <c r="E360" s="58"/>
      <c r="F360" s="59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</row>
    <row r="361">
      <c r="A361" s="45"/>
      <c r="B361" s="45"/>
      <c r="C361" s="45"/>
      <c r="D361" s="58"/>
      <c r="E361" s="58"/>
      <c r="F361" s="59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</row>
    <row r="362">
      <c r="A362" s="45"/>
      <c r="B362" s="45"/>
      <c r="C362" s="45"/>
      <c r="D362" s="58"/>
      <c r="E362" s="58"/>
      <c r="F362" s="59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</row>
    <row r="363">
      <c r="A363" s="45"/>
      <c r="B363" s="45"/>
      <c r="C363" s="45"/>
      <c r="D363" s="58"/>
      <c r="E363" s="58"/>
      <c r="F363" s="59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</row>
    <row r="364">
      <c r="A364" s="45"/>
      <c r="B364" s="45"/>
      <c r="C364" s="45"/>
      <c r="D364" s="58"/>
      <c r="E364" s="58"/>
      <c r="F364" s="59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</row>
    <row r="365">
      <c r="A365" s="45"/>
      <c r="B365" s="45"/>
      <c r="C365" s="45"/>
      <c r="D365" s="58"/>
      <c r="E365" s="58"/>
      <c r="F365" s="59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</row>
    <row r="366">
      <c r="A366" s="45"/>
      <c r="B366" s="45"/>
      <c r="C366" s="45"/>
      <c r="D366" s="58"/>
      <c r="E366" s="58"/>
      <c r="F366" s="59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</row>
    <row r="367">
      <c r="A367" s="45"/>
      <c r="B367" s="45"/>
      <c r="C367" s="45"/>
      <c r="D367" s="58"/>
      <c r="E367" s="58"/>
      <c r="F367" s="59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</row>
    <row r="368">
      <c r="A368" s="45"/>
      <c r="B368" s="45"/>
      <c r="C368" s="45"/>
      <c r="D368" s="58"/>
      <c r="E368" s="58"/>
      <c r="F368" s="59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</row>
    <row r="369">
      <c r="A369" s="45"/>
      <c r="B369" s="45"/>
      <c r="C369" s="45"/>
      <c r="D369" s="58"/>
      <c r="E369" s="58"/>
      <c r="F369" s="59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</row>
    <row r="370">
      <c r="A370" s="45"/>
      <c r="B370" s="45"/>
      <c r="C370" s="45"/>
      <c r="D370" s="58"/>
      <c r="E370" s="58"/>
      <c r="F370" s="59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</row>
    <row r="371">
      <c r="A371" s="45"/>
      <c r="B371" s="45"/>
      <c r="C371" s="45"/>
      <c r="D371" s="58"/>
      <c r="E371" s="58"/>
      <c r="F371" s="59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</row>
    <row r="372">
      <c r="A372" s="45"/>
      <c r="B372" s="45"/>
      <c r="C372" s="45"/>
      <c r="D372" s="58"/>
      <c r="E372" s="58"/>
      <c r="F372" s="59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</row>
    <row r="373">
      <c r="A373" s="45"/>
      <c r="B373" s="45"/>
      <c r="C373" s="45"/>
      <c r="D373" s="58"/>
      <c r="E373" s="58"/>
      <c r="F373" s="59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</row>
    <row r="374">
      <c r="A374" s="45"/>
      <c r="B374" s="45"/>
      <c r="C374" s="45"/>
      <c r="D374" s="58"/>
      <c r="E374" s="58"/>
      <c r="F374" s="59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</row>
    <row r="375">
      <c r="A375" s="45"/>
      <c r="B375" s="45"/>
      <c r="C375" s="45"/>
      <c r="D375" s="58"/>
      <c r="E375" s="58"/>
      <c r="F375" s="59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</row>
    <row r="376">
      <c r="A376" s="45"/>
      <c r="B376" s="45"/>
      <c r="C376" s="45"/>
      <c r="D376" s="58"/>
      <c r="E376" s="58"/>
      <c r="F376" s="59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</row>
    <row r="377">
      <c r="A377" s="45"/>
      <c r="B377" s="45"/>
      <c r="C377" s="45"/>
      <c r="D377" s="58"/>
      <c r="E377" s="58"/>
      <c r="F377" s="59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</row>
    <row r="378">
      <c r="A378" s="45"/>
      <c r="B378" s="45"/>
      <c r="C378" s="45"/>
      <c r="D378" s="58"/>
      <c r="E378" s="58"/>
      <c r="F378" s="59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</row>
    <row r="379">
      <c r="A379" s="45"/>
      <c r="B379" s="45"/>
      <c r="C379" s="45"/>
      <c r="D379" s="58"/>
      <c r="E379" s="58"/>
      <c r="F379" s="59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</row>
    <row r="380">
      <c r="A380" s="45"/>
      <c r="B380" s="45"/>
      <c r="C380" s="45"/>
      <c r="D380" s="58"/>
      <c r="E380" s="58"/>
      <c r="F380" s="59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</row>
    <row r="381">
      <c r="A381" s="45"/>
      <c r="B381" s="45"/>
      <c r="C381" s="45"/>
      <c r="D381" s="58"/>
      <c r="E381" s="58"/>
      <c r="F381" s="59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</row>
    <row r="382">
      <c r="A382" s="45"/>
      <c r="B382" s="45"/>
      <c r="C382" s="45"/>
      <c r="D382" s="58"/>
      <c r="E382" s="58"/>
      <c r="F382" s="59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</row>
    <row r="383">
      <c r="A383" s="45"/>
      <c r="B383" s="45"/>
      <c r="C383" s="45"/>
      <c r="D383" s="58"/>
      <c r="E383" s="58"/>
      <c r="F383" s="59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</row>
    <row r="384">
      <c r="A384" s="45"/>
      <c r="B384" s="45"/>
      <c r="C384" s="45"/>
      <c r="D384" s="58"/>
      <c r="E384" s="58"/>
      <c r="F384" s="59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</row>
    <row r="385">
      <c r="A385" s="45"/>
      <c r="B385" s="45"/>
      <c r="C385" s="45"/>
      <c r="D385" s="58"/>
      <c r="E385" s="58"/>
      <c r="F385" s="59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</row>
    <row r="386">
      <c r="A386" s="45"/>
      <c r="B386" s="45"/>
      <c r="C386" s="45"/>
      <c r="D386" s="58"/>
      <c r="E386" s="58"/>
      <c r="F386" s="59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</row>
    <row r="387">
      <c r="A387" s="45"/>
      <c r="B387" s="45"/>
      <c r="C387" s="45"/>
      <c r="D387" s="58"/>
      <c r="E387" s="58"/>
      <c r="F387" s="59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</row>
    <row r="388">
      <c r="A388" s="45"/>
      <c r="B388" s="45"/>
      <c r="C388" s="45"/>
      <c r="D388" s="58"/>
      <c r="E388" s="58"/>
      <c r="F388" s="59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</row>
    <row r="389">
      <c r="A389" s="45"/>
      <c r="B389" s="45"/>
      <c r="C389" s="45"/>
      <c r="D389" s="58"/>
      <c r="E389" s="58"/>
      <c r="F389" s="59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</row>
    <row r="390">
      <c r="A390" s="45"/>
      <c r="B390" s="45"/>
      <c r="C390" s="45"/>
      <c r="D390" s="58"/>
      <c r="E390" s="58"/>
      <c r="F390" s="59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</row>
    <row r="391">
      <c r="A391" s="45"/>
      <c r="B391" s="45"/>
      <c r="C391" s="45"/>
      <c r="D391" s="58"/>
      <c r="E391" s="58"/>
      <c r="F391" s="59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</row>
    <row r="392">
      <c r="A392" s="45"/>
      <c r="B392" s="45"/>
      <c r="C392" s="45"/>
      <c r="D392" s="58"/>
      <c r="E392" s="58"/>
      <c r="F392" s="59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</row>
    <row r="393">
      <c r="A393" s="45"/>
      <c r="B393" s="45"/>
      <c r="C393" s="45"/>
      <c r="D393" s="58"/>
      <c r="E393" s="58"/>
      <c r="F393" s="59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</row>
    <row r="394">
      <c r="A394" s="45"/>
      <c r="B394" s="45"/>
      <c r="C394" s="45"/>
      <c r="D394" s="58"/>
      <c r="E394" s="58"/>
      <c r="F394" s="59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</row>
    <row r="395">
      <c r="A395" s="45"/>
      <c r="B395" s="45"/>
      <c r="C395" s="45"/>
      <c r="D395" s="58"/>
      <c r="E395" s="58"/>
      <c r="F395" s="59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</row>
    <row r="396">
      <c r="A396" s="45"/>
      <c r="B396" s="45"/>
      <c r="C396" s="45"/>
      <c r="D396" s="58"/>
      <c r="E396" s="58"/>
      <c r="F396" s="59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</row>
    <row r="397">
      <c r="A397" s="45"/>
      <c r="B397" s="45"/>
      <c r="C397" s="45"/>
      <c r="D397" s="58"/>
      <c r="E397" s="58"/>
      <c r="F397" s="59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</row>
    <row r="398">
      <c r="A398" s="45"/>
      <c r="B398" s="45"/>
      <c r="C398" s="45"/>
      <c r="D398" s="58"/>
      <c r="E398" s="58"/>
      <c r="F398" s="59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</row>
    <row r="399">
      <c r="A399" s="45"/>
      <c r="B399" s="45"/>
      <c r="C399" s="45"/>
      <c r="D399" s="58"/>
      <c r="E399" s="58"/>
      <c r="F399" s="59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</row>
    <row r="400">
      <c r="A400" s="45"/>
      <c r="B400" s="45"/>
      <c r="C400" s="45"/>
      <c r="D400" s="58"/>
      <c r="E400" s="58"/>
      <c r="F400" s="59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</row>
    <row r="401">
      <c r="A401" s="45"/>
      <c r="B401" s="45"/>
      <c r="C401" s="45"/>
      <c r="D401" s="58"/>
      <c r="E401" s="58"/>
      <c r="F401" s="59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</row>
    <row r="402">
      <c r="A402" s="45"/>
      <c r="B402" s="45"/>
      <c r="C402" s="45"/>
      <c r="D402" s="58"/>
      <c r="E402" s="58"/>
      <c r="F402" s="59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</row>
    <row r="403">
      <c r="A403" s="45"/>
      <c r="B403" s="45"/>
      <c r="C403" s="45"/>
      <c r="D403" s="58"/>
      <c r="E403" s="58"/>
      <c r="F403" s="59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</row>
    <row r="404">
      <c r="A404" s="45"/>
      <c r="B404" s="45"/>
      <c r="C404" s="45"/>
      <c r="D404" s="58"/>
      <c r="E404" s="58"/>
      <c r="F404" s="59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</row>
    <row r="405">
      <c r="A405" s="45"/>
      <c r="B405" s="45"/>
      <c r="C405" s="45"/>
      <c r="D405" s="58"/>
      <c r="E405" s="58"/>
      <c r="F405" s="59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</row>
    <row r="406">
      <c r="A406" s="45"/>
      <c r="B406" s="45"/>
      <c r="C406" s="45"/>
      <c r="D406" s="58"/>
      <c r="E406" s="58"/>
      <c r="F406" s="59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</row>
    <row r="407">
      <c r="A407" s="45"/>
      <c r="B407" s="45"/>
      <c r="C407" s="45"/>
      <c r="D407" s="58"/>
      <c r="E407" s="58"/>
      <c r="F407" s="59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</row>
    <row r="408">
      <c r="A408" s="45"/>
      <c r="B408" s="45"/>
      <c r="C408" s="45"/>
      <c r="D408" s="58"/>
      <c r="E408" s="58"/>
      <c r="F408" s="59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</row>
    <row r="409">
      <c r="A409" s="45"/>
      <c r="B409" s="45"/>
      <c r="C409" s="45"/>
      <c r="D409" s="58"/>
      <c r="E409" s="58"/>
      <c r="F409" s="59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</row>
    <row r="410">
      <c r="A410" s="45"/>
      <c r="B410" s="45"/>
      <c r="C410" s="45"/>
      <c r="D410" s="58"/>
      <c r="E410" s="58"/>
      <c r="F410" s="59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</row>
    <row r="411">
      <c r="A411" s="45"/>
      <c r="B411" s="45"/>
      <c r="C411" s="45"/>
      <c r="D411" s="58"/>
      <c r="E411" s="58"/>
      <c r="F411" s="59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</row>
    <row r="412">
      <c r="A412" s="45"/>
      <c r="B412" s="45"/>
      <c r="C412" s="45"/>
      <c r="D412" s="58"/>
      <c r="E412" s="58"/>
      <c r="F412" s="59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</row>
    <row r="413">
      <c r="A413" s="45"/>
      <c r="B413" s="45"/>
      <c r="C413" s="45"/>
      <c r="D413" s="58"/>
      <c r="E413" s="58"/>
      <c r="F413" s="59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</row>
    <row r="414">
      <c r="A414" s="45"/>
      <c r="B414" s="45"/>
      <c r="C414" s="45"/>
      <c r="D414" s="58"/>
      <c r="E414" s="58"/>
      <c r="F414" s="59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</row>
    <row r="415">
      <c r="A415" s="45"/>
      <c r="B415" s="45"/>
      <c r="C415" s="45"/>
      <c r="D415" s="58"/>
      <c r="E415" s="58"/>
      <c r="F415" s="59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</row>
    <row r="416">
      <c r="A416" s="45"/>
      <c r="B416" s="45"/>
      <c r="C416" s="45"/>
      <c r="D416" s="58"/>
      <c r="E416" s="58"/>
      <c r="F416" s="59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</row>
    <row r="417">
      <c r="A417" s="45"/>
      <c r="B417" s="45"/>
      <c r="C417" s="45"/>
      <c r="D417" s="58"/>
      <c r="E417" s="58"/>
      <c r="F417" s="59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</row>
    <row r="418">
      <c r="A418" s="45"/>
      <c r="B418" s="45"/>
      <c r="C418" s="45"/>
      <c r="D418" s="58"/>
      <c r="E418" s="58"/>
      <c r="F418" s="59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</row>
    <row r="419">
      <c r="A419" s="45"/>
      <c r="B419" s="45"/>
      <c r="C419" s="45"/>
      <c r="D419" s="58"/>
      <c r="E419" s="58"/>
      <c r="F419" s="59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</row>
    <row r="420">
      <c r="A420" s="45"/>
      <c r="B420" s="45"/>
      <c r="C420" s="45"/>
      <c r="D420" s="58"/>
      <c r="E420" s="58"/>
      <c r="F420" s="59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</row>
    <row r="421">
      <c r="A421" s="45"/>
      <c r="B421" s="45"/>
      <c r="C421" s="45"/>
      <c r="D421" s="58"/>
      <c r="E421" s="58"/>
      <c r="F421" s="59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</row>
    <row r="422">
      <c r="A422" s="45"/>
      <c r="B422" s="45"/>
      <c r="C422" s="45"/>
      <c r="D422" s="58"/>
      <c r="E422" s="58"/>
      <c r="F422" s="59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</row>
    <row r="423">
      <c r="A423" s="45"/>
      <c r="B423" s="45"/>
      <c r="C423" s="45"/>
      <c r="D423" s="58"/>
      <c r="E423" s="58"/>
      <c r="F423" s="59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</row>
    <row r="424">
      <c r="A424" s="45"/>
      <c r="B424" s="45"/>
      <c r="C424" s="45"/>
      <c r="D424" s="58"/>
      <c r="E424" s="58"/>
      <c r="F424" s="59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</row>
    <row r="425">
      <c r="A425" s="45"/>
      <c r="B425" s="45"/>
      <c r="C425" s="45"/>
      <c r="D425" s="58"/>
      <c r="E425" s="58"/>
      <c r="F425" s="59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</row>
    <row r="426">
      <c r="A426" s="45"/>
      <c r="B426" s="45"/>
      <c r="C426" s="45"/>
      <c r="D426" s="58"/>
      <c r="E426" s="58"/>
      <c r="F426" s="59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</row>
    <row r="427">
      <c r="A427" s="45"/>
      <c r="B427" s="45"/>
      <c r="C427" s="45"/>
      <c r="D427" s="58"/>
      <c r="E427" s="58"/>
      <c r="F427" s="59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</row>
    <row r="428">
      <c r="A428" s="45"/>
      <c r="B428" s="45"/>
      <c r="C428" s="45"/>
      <c r="D428" s="58"/>
      <c r="E428" s="58"/>
      <c r="F428" s="59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</row>
    <row r="429">
      <c r="A429" s="45"/>
      <c r="B429" s="45"/>
      <c r="C429" s="45"/>
      <c r="D429" s="58"/>
      <c r="E429" s="58"/>
      <c r="F429" s="59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</row>
    <row r="430">
      <c r="A430" s="45"/>
      <c r="B430" s="45"/>
      <c r="C430" s="45"/>
      <c r="D430" s="58"/>
      <c r="E430" s="58"/>
      <c r="F430" s="59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</row>
    <row r="431">
      <c r="A431" s="45"/>
      <c r="B431" s="45"/>
      <c r="C431" s="45"/>
      <c r="D431" s="58"/>
      <c r="E431" s="58"/>
      <c r="F431" s="59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</row>
    <row r="432">
      <c r="A432" s="45"/>
      <c r="B432" s="45"/>
      <c r="C432" s="45"/>
      <c r="D432" s="58"/>
      <c r="E432" s="58"/>
      <c r="F432" s="59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</row>
    <row r="433">
      <c r="A433" s="45"/>
      <c r="B433" s="45"/>
      <c r="C433" s="45"/>
      <c r="D433" s="58"/>
      <c r="E433" s="58"/>
      <c r="F433" s="59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</row>
    <row r="434">
      <c r="A434" s="45"/>
      <c r="B434" s="45"/>
      <c r="C434" s="45"/>
      <c r="D434" s="58"/>
      <c r="E434" s="58"/>
      <c r="F434" s="59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</row>
    <row r="435">
      <c r="A435" s="45"/>
      <c r="B435" s="45"/>
      <c r="C435" s="45"/>
      <c r="D435" s="58"/>
      <c r="E435" s="58"/>
      <c r="F435" s="59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</row>
    <row r="436">
      <c r="A436" s="45"/>
      <c r="B436" s="45"/>
      <c r="C436" s="45"/>
      <c r="D436" s="58"/>
      <c r="E436" s="58"/>
      <c r="F436" s="59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</row>
    <row r="437">
      <c r="A437" s="45"/>
      <c r="B437" s="45"/>
      <c r="C437" s="45"/>
      <c r="D437" s="58"/>
      <c r="E437" s="58"/>
      <c r="F437" s="59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</row>
    <row r="438">
      <c r="A438" s="45"/>
      <c r="B438" s="45"/>
      <c r="C438" s="45"/>
      <c r="D438" s="58"/>
      <c r="E438" s="58"/>
      <c r="F438" s="59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</row>
    <row r="439">
      <c r="A439" s="45"/>
      <c r="B439" s="45"/>
      <c r="C439" s="45"/>
      <c r="D439" s="58"/>
      <c r="E439" s="58"/>
      <c r="F439" s="59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</row>
    <row r="440">
      <c r="A440" s="45"/>
      <c r="B440" s="45"/>
      <c r="C440" s="45"/>
      <c r="D440" s="58"/>
      <c r="E440" s="58"/>
      <c r="F440" s="59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</row>
    <row r="441">
      <c r="A441" s="45"/>
      <c r="B441" s="45"/>
      <c r="C441" s="45"/>
      <c r="D441" s="58"/>
      <c r="E441" s="58"/>
      <c r="F441" s="59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</row>
    <row r="442">
      <c r="A442" s="45"/>
      <c r="B442" s="45"/>
      <c r="C442" s="45"/>
      <c r="D442" s="58"/>
      <c r="E442" s="58"/>
      <c r="F442" s="59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</row>
    <row r="443">
      <c r="A443" s="45"/>
      <c r="B443" s="45"/>
      <c r="C443" s="45"/>
      <c r="D443" s="58"/>
      <c r="E443" s="58"/>
      <c r="F443" s="59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</row>
    <row r="444">
      <c r="A444" s="45"/>
      <c r="B444" s="45"/>
      <c r="C444" s="45"/>
      <c r="D444" s="58"/>
      <c r="E444" s="58"/>
      <c r="F444" s="59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</row>
    <row r="445">
      <c r="A445" s="45"/>
      <c r="B445" s="45"/>
      <c r="C445" s="45"/>
      <c r="D445" s="58"/>
      <c r="E445" s="58"/>
      <c r="F445" s="59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</row>
    <row r="446">
      <c r="A446" s="45"/>
      <c r="B446" s="45"/>
      <c r="C446" s="45"/>
      <c r="D446" s="58"/>
      <c r="E446" s="58"/>
      <c r="F446" s="59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</row>
    <row r="447">
      <c r="A447" s="45"/>
      <c r="B447" s="45"/>
      <c r="C447" s="45"/>
      <c r="D447" s="58"/>
      <c r="E447" s="58"/>
      <c r="F447" s="59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</row>
    <row r="448">
      <c r="A448" s="45"/>
      <c r="B448" s="45"/>
      <c r="C448" s="45"/>
      <c r="D448" s="58"/>
      <c r="E448" s="58"/>
      <c r="F448" s="59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</row>
    <row r="449">
      <c r="A449" s="45"/>
      <c r="B449" s="45"/>
      <c r="C449" s="45"/>
      <c r="D449" s="58"/>
      <c r="E449" s="58"/>
      <c r="F449" s="59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</row>
    <row r="450">
      <c r="A450" s="45"/>
      <c r="B450" s="45"/>
      <c r="C450" s="45"/>
      <c r="D450" s="58"/>
      <c r="E450" s="58"/>
      <c r="F450" s="59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</row>
    <row r="451">
      <c r="A451" s="45"/>
      <c r="B451" s="45"/>
      <c r="C451" s="45"/>
      <c r="D451" s="58"/>
      <c r="E451" s="58"/>
      <c r="F451" s="59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</row>
    <row r="452">
      <c r="A452" s="45"/>
      <c r="B452" s="45"/>
      <c r="C452" s="45"/>
      <c r="D452" s="58"/>
      <c r="E452" s="58"/>
      <c r="F452" s="59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</row>
    <row r="453">
      <c r="A453" s="45"/>
      <c r="B453" s="45"/>
      <c r="C453" s="45"/>
      <c r="D453" s="58"/>
      <c r="E453" s="58"/>
      <c r="F453" s="59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</row>
    <row r="454">
      <c r="A454" s="45"/>
      <c r="B454" s="45"/>
      <c r="C454" s="45"/>
      <c r="D454" s="58"/>
      <c r="E454" s="58"/>
      <c r="F454" s="59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</row>
    <row r="455">
      <c r="A455" s="45"/>
      <c r="B455" s="45"/>
      <c r="C455" s="45"/>
      <c r="D455" s="58"/>
      <c r="E455" s="58"/>
      <c r="F455" s="59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</row>
    <row r="456">
      <c r="A456" s="45"/>
      <c r="B456" s="45"/>
      <c r="C456" s="45"/>
      <c r="D456" s="58"/>
      <c r="E456" s="58"/>
      <c r="F456" s="59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</row>
    <row r="457">
      <c r="A457" s="45"/>
      <c r="B457" s="45"/>
      <c r="C457" s="45"/>
      <c r="D457" s="58"/>
      <c r="E457" s="58"/>
      <c r="F457" s="59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</row>
    <row r="458">
      <c r="A458" s="45"/>
      <c r="B458" s="45"/>
      <c r="C458" s="45"/>
      <c r="D458" s="58"/>
      <c r="E458" s="58"/>
      <c r="F458" s="59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</row>
    <row r="459">
      <c r="A459" s="45"/>
      <c r="B459" s="45"/>
      <c r="C459" s="45"/>
      <c r="D459" s="58"/>
      <c r="E459" s="58"/>
      <c r="F459" s="59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</row>
    <row r="460">
      <c r="A460" s="45"/>
      <c r="B460" s="45"/>
      <c r="C460" s="45"/>
      <c r="D460" s="58"/>
      <c r="E460" s="58"/>
      <c r="F460" s="59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</row>
    <row r="461">
      <c r="A461" s="45"/>
      <c r="B461" s="45"/>
      <c r="C461" s="45"/>
      <c r="D461" s="58"/>
      <c r="E461" s="58"/>
      <c r="F461" s="59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</row>
    <row r="462">
      <c r="A462" s="45"/>
      <c r="B462" s="45"/>
      <c r="C462" s="45"/>
      <c r="D462" s="58"/>
      <c r="E462" s="58"/>
      <c r="F462" s="59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</row>
    <row r="463">
      <c r="A463" s="45"/>
      <c r="B463" s="45"/>
      <c r="C463" s="45"/>
      <c r="D463" s="58"/>
      <c r="E463" s="58"/>
      <c r="F463" s="59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</row>
    <row r="464">
      <c r="A464" s="45"/>
      <c r="B464" s="45"/>
      <c r="C464" s="45"/>
      <c r="D464" s="58"/>
      <c r="E464" s="58"/>
      <c r="F464" s="59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</row>
    <row r="465">
      <c r="A465" s="45"/>
      <c r="B465" s="45"/>
      <c r="C465" s="45"/>
      <c r="D465" s="58"/>
      <c r="E465" s="58"/>
      <c r="F465" s="59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</row>
    <row r="466">
      <c r="A466" s="45"/>
      <c r="B466" s="45"/>
      <c r="C466" s="45"/>
      <c r="D466" s="58"/>
      <c r="E466" s="58"/>
      <c r="F466" s="59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</row>
    <row r="467">
      <c r="A467" s="45"/>
      <c r="B467" s="45"/>
      <c r="C467" s="45"/>
      <c r="D467" s="58"/>
      <c r="E467" s="58"/>
      <c r="F467" s="59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</row>
    <row r="468">
      <c r="A468" s="45"/>
      <c r="B468" s="45"/>
      <c r="C468" s="45"/>
      <c r="D468" s="58"/>
      <c r="E468" s="58"/>
      <c r="F468" s="59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</row>
    <row r="469">
      <c r="A469" s="45"/>
      <c r="B469" s="45"/>
      <c r="C469" s="45"/>
      <c r="D469" s="58"/>
      <c r="E469" s="58"/>
      <c r="F469" s="59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</row>
    <row r="470">
      <c r="A470" s="45"/>
      <c r="B470" s="45"/>
      <c r="C470" s="45"/>
      <c r="D470" s="58"/>
      <c r="E470" s="58"/>
      <c r="F470" s="59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</row>
    <row r="471">
      <c r="A471" s="45"/>
      <c r="B471" s="45"/>
      <c r="C471" s="45"/>
      <c r="D471" s="58"/>
      <c r="E471" s="58"/>
      <c r="F471" s="59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</row>
    <row r="472">
      <c r="A472" s="45"/>
      <c r="B472" s="45"/>
      <c r="C472" s="45"/>
      <c r="D472" s="58"/>
      <c r="E472" s="58"/>
      <c r="F472" s="59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</row>
    <row r="473">
      <c r="A473" s="45"/>
      <c r="B473" s="45"/>
      <c r="C473" s="45"/>
      <c r="D473" s="58"/>
      <c r="E473" s="58"/>
      <c r="F473" s="59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</row>
    <row r="474">
      <c r="A474" s="45"/>
      <c r="B474" s="45"/>
      <c r="C474" s="45"/>
      <c r="D474" s="58"/>
      <c r="E474" s="58"/>
      <c r="F474" s="59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</row>
    <row r="475">
      <c r="A475" s="45"/>
      <c r="B475" s="45"/>
      <c r="C475" s="45"/>
      <c r="D475" s="58"/>
      <c r="E475" s="58"/>
      <c r="F475" s="59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</row>
    <row r="476">
      <c r="A476" s="45"/>
      <c r="B476" s="45"/>
      <c r="C476" s="45"/>
      <c r="D476" s="58"/>
      <c r="E476" s="58"/>
      <c r="F476" s="59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</row>
    <row r="477">
      <c r="A477" s="45"/>
      <c r="B477" s="45"/>
      <c r="C477" s="45"/>
      <c r="D477" s="58"/>
      <c r="E477" s="58"/>
      <c r="F477" s="59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</row>
    <row r="478">
      <c r="A478" s="45"/>
      <c r="B478" s="45"/>
      <c r="C478" s="45"/>
      <c r="D478" s="58"/>
      <c r="E478" s="58"/>
      <c r="F478" s="59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</row>
    <row r="479">
      <c r="A479" s="45"/>
      <c r="B479" s="45"/>
      <c r="C479" s="45"/>
      <c r="D479" s="58"/>
      <c r="E479" s="58"/>
      <c r="F479" s="59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</row>
    <row r="480">
      <c r="A480" s="45"/>
      <c r="B480" s="45"/>
      <c r="C480" s="45"/>
      <c r="D480" s="58"/>
      <c r="E480" s="58"/>
      <c r="F480" s="59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</row>
    <row r="481">
      <c r="A481" s="45"/>
      <c r="B481" s="45"/>
      <c r="C481" s="45"/>
      <c r="D481" s="58"/>
      <c r="E481" s="58"/>
      <c r="F481" s="59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</row>
    <row r="482">
      <c r="A482" s="45"/>
      <c r="B482" s="45"/>
      <c r="C482" s="45"/>
      <c r="D482" s="58"/>
      <c r="E482" s="58"/>
      <c r="F482" s="59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</row>
    <row r="483">
      <c r="A483" s="45"/>
      <c r="B483" s="45"/>
      <c r="C483" s="45"/>
      <c r="D483" s="58"/>
      <c r="E483" s="58"/>
      <c r="F483" s="59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</row>
    <row r="484">
      <c r="A484" s="45"/>
      <c r="B484" s="45"/>
      <c r="C484" s="45"/>
      <c r="D484" s="58"/>
      <c r="E484" s="58"/>
      <c r="F484" s="59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</row>
    <row r="485">
      <c r="A485" s="45"/>
      <c r="B485" s="45"/>
      <c r="C485" s="45"/>
      <c r="D485" s="58"/>
      <c r="E485" s="58"/>
      <c r="F485" s="59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</row>
    <row r="486">
      <c r="A486" s="45"/>
      <c r="B486" s="45"/>
      <c r="C486" s="45"/>
      <c r="D486" s="58"/>
      <c r="E486" s="58"/>
      <c r="F486" s="59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</row>
    <row r="487">
      <c r="A487" s="45"/>
      <c r="B487" s="45"/>
      <c r="C487" s="45"/>
      <c r="D487" s="58"/>
      <c r="E487" s="58"/>
      <c r="F487" s="59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</row>
    <row r="488">
      <c r="A488" s="45"/>
      <c r="B488" s="45"/>
      <c r="C488" s="45"/>
      <c r="D488" s="58"/>
      <c r="E488" s="58"/>
      <c r="F488" s="59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</row>
    <row r="489">
      <c r="A489" s="45"/>
      <c r="B489" s="45"/>
      <c r="C489" s="45"/>
      <c r="D489" s="58"/>
      <c r="E489" s="58"/>
      <c r="F489" s="59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</row>
    <row r="490">
      <c r="A490" s="45"/>
      <c r="B490" s="45"/>
      <c r="C490" s="45"/>
      <c r="D490" s="58"/>
      <c r="E490" s="58"/>
      <c r="F490" s="59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</row>
    <row r="491">
      <c r="A491" s="45"/>
      <c r="B491" s="45"/>
      <c r="C491" s="45"/>
      <c r="D491" s="58"/>
      <c r="E491" s="58"/>
      <c r="F491" s="59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</row>
    <row r="492">
      <c r="A492" s="45"/>
      <c r="B492" s="45"/>
      <c r="C492" s="45"/>
      <c r="D492" s="58"/>
      <c r="E492" s="58"/>
      <c r="F492" s="59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</row>
    <row r="493">
      <c r="A493" s="45"/>
      <c r="B493" s="45"/>
      <c r="C493" s="45"/>
      <c r="D493" s="58"/>
      <c r="E493" s="58"/>
      <c r="F493" s="59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</row>
    <row r="494">
      <c r="A494" s="45"/>
      <c r="B494" s="45"/>
      <c r="C494" s="45"/>
      <c r="D494" s="58"/>
      <c r="E494" s="58"/>
      <c r="F494" s="59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</row>
    <row r="495">
      <c r="A495" s="45"/>
      <c r="B495" s="45"/>
      <c r="C495" s="45"/>
      <c r="D495" s="58"/>
      <c r="E495" s="58"/>
      <c r="F495" s="59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</row>
    <row r="496">
      <c r="A496" s="45"/>
      <c r="B496" s="45"/>
      <c r="C496" s="45"/>
      <c r="D496" s="58"/>
      <c r="E496" s="58"/>
      <c r="F496" s="59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</row>
    <row r="497">
      <c r="A497" s="45"/>
      <c r="B497" s="45"/>
      <c r="C497" s="45"/>
      <c r="D497" s="58"/>
      <c r="E497" s="58"/>
      <c r="F497" s="59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</row>
    <row r="498">
      <c r="A498" s="45"/>
      <c r="B498" s="45"/>
      <c r="C498" s="45"/>
      <c r="D498" s="58"/>
      <c r="E498" s="58"/>
      <c r="F498" s="59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</row>
    <row r="499">
      <c r="A499" s="45"/>
      <c r="B499" s="45"/>
      <c r="C499" s="45"/>
      <c r="D499" s="58"/>
      <c r="E499" s="58"/>
      <c r="F499" s="59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</row>
    <row r="500">
      <c r="A500" s="45"/>
      <c r="B500" s="45"/>
      <c r="C500" s="45"/>
      <c r="D500" s="58"/>
      <c r="E500" s="58"/>
      <c r="F500" s="59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</row>
    <row r="501">
      <c r="A501" s="45"/>
      <c r="B501" s="45"/>
      <c r="C501" s="45"/>
      <c r="D501" s="58"/>
      <c r="E501" s="58"/>
      <c r="F501" s="59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</row>
    <row r="502">
      <c r="A502" s="45"/>
      <c r="B502" s="45"/>
      <c r="C502" s="45"/>
      <c r="D502" s="58"/>
      <c r="E502" s="58"/>
      <c r="F502" s="59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</row>
    <row r="503">
      <c r="A503" s="45"/>
      <c r="B503" s="45"/>
      <c r="C503" s="45"/>
      <c r="D503" s="58"/>
      <c r="E503" s="58"/>
      <c r="F503" s="59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</row>
    <row r="504">
      <c r="A504" s="45"/>
      <c r="B504" s="45"/>
      <c r="C504" s="45"/>
      <c r="D504" s="58"/>
      <c r="E504" s="58"/>
      <c r="F504" s="59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</row>
    <row r="505">
      <c r="A505" s="45"/>
      <c r="B505" s="45"/>
      <c r="C505" s="45"/>
      <c r="D505" s="58"/>
      <c r="E505" s="58"/>
      <c r="F505" s="59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</row>
    <row r="506">
      <c r="A506" s="45"/>
      <c r="B506" s="45"/>
      <c r="C506" s="45"/>
      <c r="D506" s="58"/>
      <c r="E506" s="58"/>
      <c r="F506" s="59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</row>
    <row r="507">
      <c r="A507" s="45"/>
      <c r="B507" s="45"/>
      <c r="C507" s="45"/>
      <c r="D507" s="58"/>
      <c r="E507" s="58"/>
      <c r="F507" s="59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</row>
    <row r="508">
      <c r="A508" s="45"/>
      <c r="B508" s="45"/>
      <c r="C508" s="45"/>
      <c r="D508" s="58"/>
      <c r="E508" s="58"/>
      <c r="F508" s="59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</row>
    <row r="509">
      <c r="A509" s="45"/>
      <c r="B509" s="45"/>
      <c r="C509" s="45"/>
      <c r="D509" s="58"/>
      <c r="E509" s="58"/>
      <c r="F509" s="59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</row>
    <row r="510">
      <c r="A510" s="45"/>
      <c r="B510" s="45"/>
      <c r="C510" s="45"/>
      <c r="D510" s="58"/>
      <c r="E510" s="58"/>
      <c r="F510" s="59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</row>
    <row r="511">
      <c r="A511" s="45"/>
      <c r="B511" s="45"/>
      <c r="C511" s="45"/>
      <c r="D511" s="58"/>
      <c r="E511" s="58"/>
      <c r="F511" s="59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</row>
    <row r="512">
      <c r="A512" s="45"/>
      <c r="B512" s="45"/>
      <c r="C512" s="45"/>
      <c r="D512" s="58"/>
      <c r="E512" s="58"/>
      <c r="F512" s="59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</row>
    <row r="513">
      <c r="A513" s="45"/>
      <c r="B513" s="45"/>
      <c r="C513" s="45"/>
      <c r="D513" s="58"/>
      <c r="E513" s="58"/>
      <c r="F513" s="59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</row>
    <row r="514">
      <c r="A514" s="45"/>
      <c r="B514" s="45"/>
      <c r="C514" s="45"/>
      <c r="D514" s="58"/>
      <c r="E514" s="58"/>
      <c r="F514" s="59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</row>
    <row r="515">
      <c r="A515" s="45"/>
      <c r="B515" s="45"/>
      <c r="C515" s="45"/>
      <c r="D515" s="58"/>
      <c r="E515" s="58"/>
      <c r="F515" s="59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</row>
    <row r="516">
      <c r="A516" s="45"/>
      <c r="B516" s="45"/>
      <c r="C516" s="45"/>
      <c r="D516" s="58"/>
      <c r="E516" s="58"/>
      <c r="F516" s="59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</row>
    <row r="517">
      <c r="A517" s="45"/>
      <c r="B517" s="45"/>
      <c r="C517" s="45"/>
      <c r="D517" s="58"/>
      <c r="E517" s="58"/>
      <c r="F517" s="59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</row>
    <row r="518">
      <c r="A518" s="45"/>
      <c r="B518" s="45"/>
      <c r="C518" s="45"/>
      <c r="D518" s="58"/>
      <c r="E518" s="58"/>
      <c r="F518" s="59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</row>
    <row r="519">
      <c r="A519" s="45"/>
      <c r="B519" s="45"/>
      <c r="C519" s="45"/>
      <c r="D519" s="58"/>
      <c r="E519" s="58"/>
      <c r="F519" s="59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</row>
    <row r="520">
      <c r="A520" s="45"/>
      <c r="B520" s="45"/>
      <c r="C520" s="45"/>
      <c r="D520" s="58"/>
      <c r="E520" s="58"/>
      <c r="F520" s="59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</row>
    <row r="521">
      <c r="A521" s="45"/>
      <c r="B521" s="45"/>
      <c r="C521" s="45"/>
      <c r="D521" s="58"/>
      <c r="E521" s="58"/>
      <c r="F521" s="59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</row>
    <row r="522">
      <c r="A522" s="45"/>
      <c r="B522" s="45"/>
      <c r="C522" s="45"/>
      <c r="D522" s="58"/>
      <c r="E522" s="58"/>
      <c r="F522" s="59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</row>
    <row r="523">
      <c r="A523" s="45"/>
      <c r="B523" s="45"/>
      <c r="C523" s="45"/>
      <c r="D523" s="58"/>
      <c r="E523" s="58"/>
      <c r="F523" s="59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</row>
    <row r="524">
      <c r="A524" s="45"/>
      <c r="B524" s="45"/>
      <c r="C524" s="45"/>
      <c r="D524" s="58"/>
      <c r="E524" s="58"/>
      <c r="F524" s="59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</row>
    <row r="525">
      <c r="A525" s="45"/>
      <c r="B525" s="45"/>
      <c r="C525" s="45"/>
      <c r="D525" s="58"/>
      <c r="E525" s="58"/>
      <c r="F525" s="59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</row>
    <row r="526">
      <c r="A526" s="45"/>
      <c r="B526" s="45"/>
      <c r="C526" s="45"/>
      <c r="D526" s="58"/>
      <c r="E526" s="58"/>
      <c r="F526" s="59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</row>
    <row r="527">
      <c r="A527" s="45"/>
      <c r="B527" s="45"/>
      <c r="C527" s="45"/>
      <c r="D527" s="58"/>
      <c r="E527" s="58"/>
      <c r="F527" s="59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</row>
    <row r="528">
      <c r="A528" s="45"/>
      <c r="B528" s="45"/>
      <c r="C528" s="45"/>
      <c r="D528" s="58"/>
      <c r="E528" s="58"/>
      <c r="F528" s="59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</row>
    <row r="529">
      <c r="A529" s="45"/>
      <c r="B529" s="45"/>
      <c r="C529" s="45"/>
      <c r="D529" s="58"/>
      <c r="E529" s="58"/>
      <c r="F529" s="59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</row>
    <row r="530">
      <c r="A530" s="45"/>
      <c r="B530" s="45"/>
      <c r="C530" s="45"/>
      <c r="D530" s="58"/>
      <c r="E530" s="58"/>
      <c r="F530" s="59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</row>
    <row r="531">
      <c r="A531" s="45"/>
      <c r="B531" s="45"/>
      <c r="C531" s="45"/>
      <c r="D531" s="58"/>
      <c r="E531" s="58"/>
      <c r="F531" s="59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</row>
    <row r="532">
      <c r="A532" s="45"/>
      <c r="B532" s="45"/>
      <c r="C532" s="45"/>
      <c r="D532" s="58"/>
      <c r="E532" s="58"/>
      <c r="F532" s="59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</row>
    <row r="533">
      <c r="A533" s="45"/>
      <c r="B533" s="45"/>
      <c r="C533" s="45"/>
      <c r="D533" s="58"/>
      <c r="E533" s="58"/>
      <c r="F533" s="59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</row>
    <row r="534">
      <c r="A534" s="45"/>
      <c r="B534" s="45"/>
      <c r="C534" s="45"/>
      <c r="D534" s="58"/>
      <c r="E534" s="58"/>
      <c r="F534" s="59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</row>
    <row r="535">
      <c r="A535" s="45"/>
      <c r="B535" s="45"/>
      <c r="C535" s="45"/>
      <c r="D535" s="58"/>
      <c r="E535" s="58"/>
      <c r="F535" s="59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</row>
    <row r="536">
      <c r="A536" s="45"/>
      <c r="B536" s="45"/>
      <c r="C536" s="45"/>
      <c r="D536" s="58"/>
      <c r="E536" s="58"/>
      <c r="F536" s="59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</row>
    <row r="537">
      <c r="A537" s="45"/>
      <c r="B537" s="45"/>
      <c r="C537" s="45"/>
      <c r="D537" s="58"/>
      <c r="E537" s="58"/>
      <c r="F537" s="59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</row>
    <row r="538">
      <c r="A538" s="45"/>
      <c r="B538" s="45"/>
      <c r="C538" s="45"/>
      <c r="D538" s="58"/>
      <c r="E538" s="58"/>
      <c r="F538" s="59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</row>
    <row r="539">
      <c r="A539" s="45"/>
      <c r="B539" s="45"/>
      <c r="C539" s="45"/>
      <c r="D539" s="58"/>
      <c r="E539" s="58"/>
      <c r="F539" s="59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</row>
    <row r="540">
      <c r="A540" s="45"/>
      <c r="B540" s="45"/>
      <c r="C540" s="45"/>
      <c r="D540" s="58"/>
      <c r="E540" s="58"/>
      <c r="F540" s="59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</row>
    <row r="541">
      <c r="A541" s="45"/>
      <c r="B541" s="45"/>
      <c r="C541" s="45"/>
      <c r="D541" s="58"/>
      <c r="E541" s="58"/>
      <c r="F541" s="59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</row>
    <row r="542">
      <c r="A542" s="45"/>
      <c r="B542" s="45"/>
      <c r="C542" s="45"/>
      <c r="D542" s="58"/>
      <c r="E542" s="58"/>
      <c r="F542" s="59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</row>
    <row r="543">
      <c r="A543" s="45"/>
      <c r="B543" s="45"/>
      <c r="C543" s="45"/>
      <c r="D543" s="58"/>
      <c r="E543" s="58"/>
      <c r="F543" s="59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</row>
    <row r="544">
      <c r="A544" s="45"/>
      <c r="B544" s="45"/>
      <c r="C544" s="45"/>
      <c r="D544" s="58"/>
      <c r="E544" s="58"/>
      <c r="F544" s="59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</row>
    <row r="545">
      <c r="A545" s="45"/>
      <c r="B545" s="45"/>
      <c r="C545" s="45"/>
      <c r="D545" s="58"/>
      <c r="E545" s="58"/>
      <c r="F545" s="59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</row>
    <row r="546">
      <c r="A546" s="45"/>
      <c r="B546" s="45"/>
      <c r="C546" s="45"/>
      <c r="D546" s="58"/>
      <c r="E546" s="58"/>
      <c r="F546" s="59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</row>
    <row r="547">
      <c r="A547" s="45"/>
      <c r="B547" s="45"/>
      <c r="C547" s="45"/>
      <c r="D547" s="58"/>
      <c r="E547" s="58"/>
      <c r="F547" s="59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</row>
    <row r="548">
      <c r="A548" s="45"/>
      <c r="B548" s="45"/>
      <c r="C548" s="45"/>
      <c r="D548" s="58"/>
      <c r="E548" s="58"/>
      <c r="F548" s="59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</row>
    <row r="549">
      <c r="A549" s="45"/>
      <c r="B549" s="45"/>
      <c r="C549" s="45"/>
      <c r="D549" s="58"/>
      <c r="E549" s="58"/>
      <c r="F549" s="59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</row>
    <row r="550">
      <c r="A550" s="45"/>
      <c r="B550" s="45"/>
      <c r="C550" s="45"/>
      <c r="D550" s="58"/>
      <c r="E550" s="58"/>
      <c r="F550" s="59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</row>
    <row r="551">
      <c r="A551" s="45"/>
      <c r="B551" s="45"/>
      <c r="C551" s="45"/>
      <c r="D551" s="58"/>
      <c r="E551" s="58"/>
      <c r="F551" s="59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</row>
    <row r="552">
      <c r="A552" s="45"/>
      <c r="B552" s="45"/>
      <c r="C552" s="45"/>
      <c r="D552" s="58"/>
      <c r="E552" s="58"/>
      <c r="F552" s="59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</row>
    <row r="553">
      <c r="A553" s="45"/>
      <c r="B553" s="45"/>
      <c r="C553" s="45"/>
      <c r="D553" s="58"/>
      <c r="E553" s="58"/>
      <c r="F553" s="59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</row>
    <row r="554">
      <c r="A554" s="45"/>
      <c r="B554" s="45"/>
      <c r="C554" s="45"/>
      <c r="D554" s="58"/>
      <c r="E554" s="58"/>
      <c r="F554" s="59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</row>
    <row r="555">
      <c r="A555" s="45"/>
      <c r="B555" s="45"/>
      <c r="C555" s="45"/>
      <c r="D555" s="58"/>
      <c r="E555" s="58"/>
      <c r="F555" s="59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</row>
    <row r="556">
      <c r="A556" s="45"/>
      <c r="B556" s="45"/>
      <c r="C556" s="45"/>
      <c r="D556" s="58"/>
      <c r="E556" s="58"/>
      <c r="F556" s="59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</row>
    <row r="557">
      <c r="A557" s="45"/>
      <c r="B557" s="45"/>
      <c r="C557" s="45"/>
      <c r="D557" s="58"/>
      <c r="E557" s="58"/>
      <c r="F557" s="59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</row>
    <row r="558">
      <c r="A558" s="45"/>
      <c r="B558" s="45"/>
      <c r="C558" s="45"/>
      <c r="D558" s="58"/>
      <c r="E558" s="58"/>
      <c r="F558" s="59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</row>
    <row r="559">
      <c r="A559" s="45"/>
      <c r="B559" s="45"/>
      <c r="C559" s="45"/>
      <c r="D559" s="58"/>
      <c r="E559" s="58"/>
      <c r="F559" s="59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</row>
    <row r="560">
      <c r="A560" s="45"/>
      <c r="B560" s="45"/>
      <c r="C560" s="45"/>
      <c r="D560" s="58"/>
      <c r="E560" s="58"/>
      <c r="F560" s="59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</row>
    <row r="561">
      <c r="A561" s="45"/>
      <c r="B561" s="45"/>
      <c r="C561" s="45"/>
      <c r="D561" s="58"/>
      <c r="E561" s="58"/>
      <c r="F561" s="59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</row>
    <row r="562">
      <c r="A562" s="45"/>
      <c r="B562" s="45"/>
      <c r="C562" s="45"/>
      <c r="D562" s="58"/>
      <c r="E562" s="58"/>
      <c r="F562" s="59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</row>
    <row r="563">
      <c r="A563" s="45"/>
      <c r="B563" s="45"/>
      <c r="C563" s="45"/>
      <c r="D563" s="58"/>
      <c r="E563" s="58"/>
      <c r="F563" s="59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</row>
    <row r="564">
      <c r="A564" s="45"/>
      <c r="B564" s="45"/>
      <c r="C564" s="45"/>
      <c r="D564" s="58"/>
      <c r="E564" s="58"/>
      <c r="F564" s="59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</row>
    <row r="565">
      <c r="A565" s="45"/>
      <c r="B565" s="45"/>
      <c r="C565" s="45"/>
      <c r="D565" s="58"/>
      <c r="E565" s="58"/>
      <c r="F565" s="59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</row>
    <row r="566">
      <c r="A566" s="45"/>
      <c r="B566" s="45"/>
      <c r="C566" s="45"/>
      <c r="D566" s="58"/>
      <c r="E566" s="58"/>
      <c r="F566" s="59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</row>
    <row r="567">
      <c r="A567" s="45"/>
      <c r="B567" s="45"/>
      <c r="C567" s="45"/>
      <c r="D567" s="58"/>
      <c r="E567" s="58"/>
      <c r="F567" s="59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</row>
    <row r="568">
      <c r="A568" s="45"/>
      <c r="B568" s="45"/>
      <c r="C568" s="45"/>
      <c r="D568" s="58"/>
      <c r="E568" s="58"/>
      <c r="F568" s="59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</row>
    <row r="569">
      <c r="A569" s="45"/>
      <c r="B569" s="45"/>
      <c r="C569" s="45"/>
      <c r="D569" s="58"/>
      <c r="E569" s="58"/>
      <c r="F569" s="59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</row>
    <row r="570">
      <c r="A570" s="45"/>
      <c r="B570" s="45"/>
      <c r="C570" s="45"/>
      <c r="D570" s="58"/>
      <c r="E570" s="58"/>
      <c r="F570" s="59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</row>
    <row r="571">
      <c r="A571" s="45"/>
      <c r="B571" s="45"/>
      <c r="C571" s="45"/>
      <c r="D571" s="58"/>
      <c r="E571" s="58"/>
      <c r="F571" s="59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</row>
    <row r="572">
      <c r="A572" s="45"/>
      <c r="B572" s="45"/>
      <c r="C572" s="45"/>
      <c r="D572" s="58"/>
      <c r="E572" s="58"/>
      <c r="F572" s="59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</row>
    <row r="573">
      <c r="A573" s="45"/>
      <c r="B573" s="45"/>
      <c r="C573" s="45"/>
      <c r="D573" s="58"/>
      <c r="E573" s="58"/>
      <c r="F573" s="59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</row>
    <row r="574">
      <c r="A574" s="45"/>
      <c r="B574" s="45"/>
      <c r="C574" s="45"/>
      <c r="D574" s="58"/>
      <c r="E574" s="58"/>
      <c r="F574" s="59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</row>
    <row r="575">
      <c r="A575" s="45"/>
      <c r="B575" s="45"/>
      <c r="C575" s="45"/>
      <c r="D575" s="58"/>
      <c r="E575" s="58"/>
      <c r="F575" s="59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</row>
    <row r="576">
      <c r="A576" s="45"/>
      <c r="B576" s="45"/>
      <c r="C576" s="45"/>
      <c r="D576" s="58"/>
      <c r="E576" s="58"/>
      <c r="F576" s="59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</row>
    <row r="577">
      <c r="A577" s="45"/>
      <c r="B577" s="45"/>
      <c r="C577" s="45"/>
      <c r="D577" s="58"/>
      <c r="E577" s="58"/>
      <c r="F577" s="59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</row>
    <row r="578">
      <c r="A578" s="45"/>
      <c r="B578" s="45"/>
      <c r="C578" s="45"/>
      <c r="D578" s="58"/>
      <c r="E578" s="58"/>
      <c r="F578" s="59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</row>
    <row r="579">
      <c r="A579" s="45"/>
      <c r="B579" s="45"/>
      <c r="C579" s="45"/>
      <c r="D579" s="58"/>
      <c r="E579" s="58"/>
      <c r="F579" s="59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</row>
    <row r="580">
      <c r="A580" s="45"/>
      <c r="B580" s="45"/>
      <c r="C580" s="45"/>
      <c r="D580" s="58"/>
      <c r="E580" s="58"/>
      <c r="F580" s="59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</row>
    <row r="581">
      <c r="A581" s="45"/>
      <c r="B581" s="45"/>
      <c r="C581" s="45"/>
      <c r="D581" s="58"/>
      <c r="E581" s="58"/>
      <c r="F581" s="59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</row>
    <row r="582">
      <c r="A582" s="45"/>
      <c r="B582" s="45"/>
      <c r="C582" s="45"/>
      <c r="D582" s="58"/>
      <c r="E582" s="58"/>
      <c r="F582" s="59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</row>
    <row r="583">
      <c r="A583" s="45"/>
      <c r="B583" s="45"/>
      <c r="C583" s="45"/>
      <c r="D583" s="58"/>
      <c r="E583" s="58"/>
      <c r="F583" s="59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</row>
    <row r="584">
      <c r="A584" s="45"/>
      <c r="B584" s="45"/>
      <c r="C584" s="45"/>
      <c r="D584" s="58"/>
      <c r="E584" s="58"/>
      <c r="F584" s="59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</row>
    <row r="585">
      <c r="A585" s="45"/>
      <c r="B585" s="45"/>
      <c r="C585" s="45"/>
      <c r="D585" s="58"/>
      <c r="E585" s="58"/>
      <c r="F585" s="59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</row>
    <row r="586">
      <c r="A586" s="45"/>
      <c r="B586" s="45"/>
      <c r="C586" s="45"/>
      <c r="D586" s="58"/>
      <c r="E586" s="58"/>
      <c r="F586" s="59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</row>
    <row r="587">
      <c r="A587" s="45"/>
      <c r="B587" s="45"/>
      <c r="C587" s="45"/>
      <c r="D587" s="58"/>
      <c r="E587" s="58"/>
      <c r="F587" s="59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</row>
    <row r="588">
      <c r="A588" s="45"/>
      <c r="B588" s="45"/>
      <c r="C588" s="45"/>
      <c r="D588" s="58"/>
      <c r="E588" s="58"/>
      <c r="F588" s="59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</row>
    <row r="589">
      <c r="A589" s="45"/>
      <c r="B589" s="45"/>
      <c r="C589" s="45"/>
      <c r="D589" s="58"/>
      <c r="E589" s="58"/>
      <c r="F589" s="59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</row>
    <row r="590">
      <c r="A590" s="45"/>
      <c r="B590" s="45"/>
      <c r="C590" s="45"/>
      <c r="D590" s="58"/>
      <c r="E590" s="58"/>
      <c r="F590" s="59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</row>
    <row r="591">
      <c r="A591" s="45"/>
      <c r="B591" s="45"/>
      <c r="C591" s="45"/>
      <c r="D591" s="58"/>
      <c r="E591" s="58"/>
      <c r="F591" s="59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</row>
    <row r="592">
      <c r="A592" s="45"/>
      <c r="B592" s="45"/>
      <c r="C592" s="45"/>
      <c r="D592" s="58"/>
      <c r="E592" s="58"/>
      <c r="F592" s="59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</row>
    <row r="593">
      <c r="A593" s="45"/>
      <c r="B593" s="45"/>
      <c r="C593" s="45"/>
      <c r="D593" s="58"/>
      <c r="E593" s="58"/>
      <c r="F593" s="59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</row>
    <row r="594">
      <c r="A594" s="45"/>
      <c r="B594" s="45"/>
      <c r="C594" s="45"/>
      <c r="D594" s="58"/>
      <c r="E594" s="58"/>
      <c r="F594" s="59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</row>
    <row r="595">
      <c r="A595" s="45"/>
      <c r="B595" s="45"/>
      <c r="C595" s="45"/>
      <c r="D595" s="58"/>
      <c r="E595" s="58"/>
      <c r="F595" s="59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</row>
    <row r="596">
      <c r="A596" s="45"/>
      <c r="B596" s="45"/>
      <c r="C596" s="45"/>
      <c r="D596" s="58"/>
      <c r="E596" s="58"/>
      <c r="F596" s="59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</row>
    <row r="597">
      <c r="A597" s="45"/>
      <c r="B597" s="45"/>
      <c r="C597" s="45"/>
      <c r="D597" s="58"/>
      <c r="E597" s="58"/>
      <c r="F597" s="59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</row>
    <row r="598">
      <c r="A598" s="45"/>
      <c r="B598" s="45"/>
      <c r="C598" s="45"/>
      <c r="D598" s="58"/>
      <c r="E598" s="58"/>
      <c r="F598" s="59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</row>
    <row r="599">
      <c r="A599" s="45"/>
      <c r="B599" s="45"/>
      <c r="C599" s="45"/>
      <c r="D599" s="58"/>
      <c r="E599" s="58"/>
      <c r="F599" s="59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</row>
    <row r="600">
      <c r="A600" s="45"/>
      <c r="B600" s="45"/>
      <c r="C600" s="45"/>
      <c r="D600" s="58"/>
      <c r="E600" s="58"/>
      <c r="F600" s="59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</row>
    <row r="601">
      <c r="A601" s="45"/>
      <c r="B601" s="45"/>
      <c r="C601" s="45"/>
      <c r="D601" s="58"/>
      <c r="E601" s="58"/>
      <c r="F601" s="59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</row>
    <row r="602">
      <c r="A602" s="45"/>
      <c r="B602" s="45"/>
      <c r="C602" s="45"/>
      <c r="D602" s="58"/>
      <c r="E602" s="58"/>
      <c r="F602" s="59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</row>
    <row r="603">
      <c r="A603" s="45"/>
      <c r="B603" s="45"/>
      <c r="C603" s="45"/>
      <c r="D603" s="58"/>
      <c r="E603" s="58"/>
      <c r="F603" s="59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</row>
    <row r="604">
      <c r="A604" s="45"/>
      <c r="B604" s="45"/>
      <c r="C604" s="45"/>
      <c r="D604" s="58"/>
      <c r="E604" s="58"/>
      <c r="F604" s="59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</row>
    <row r="605">
      <c r="A605" s="45"/>
      <c r="B605" s="45"/>
      <c r="C605" s="45"/>
      <c r="D605" s="58"/>
      <c r="E605" s="58"/>
      <c r="F605" s="59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</row>
    <row r="606">
      <c r="A606" s="45"/>
      <c r="B606" s="45"/>
      <c r="C606" s="45"/>
      <c r="D606" s="58"/>
      <c r="E606" s="58"/>
      <c r="F606" s="59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</row>
    <row r="607">
      <c r="A607" s="45"/>
      <c r="B607" s="45"/>
      <c r="C607" s="45"/>
      <c r="D607" s="58"/>
      <c r="E607" s="58"/>
      <c r="F607" s="59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</row>
    <row r="608">
      <c r="A608" s="45"/>
      <c r="B608" s="45"/>
      <c r="C608" s="45"/>
      <c r="D608" s="58"/>
      <c r="E608" s="58"/>
      <c r="F608" s="59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</row>
    <row r="609">
      <c r="A609" s="45"/>
      <c r="B609" s="45"/>
      <c r="C609" s="45"/>
      <c r="D609" s="58"/>
      <c r="E609" s="58"/>
      <c r="F609" s="59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</row>
    <row r="610">
      <c r="A610" s="45"/>
      <c r="B610" s="45"/>
      <c r="C610" s="45"/>
      <c r="D610" s="58"/>
      <c r="E610" s="58"/>
      <c r="F610" s="59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</row>
    <row r="611">
      <c r="A611" s="45"/>
      <c r="B611" s="45"/>
      <c r="C611" s="45"/>
      <c r="D611" s="58"/>
      <c r="E611" s="58"/>
      <c r="F611" s="59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</row>
    <row r="612">
      <c r="A612" s="45"/>
      <c r="B612" s="45"/>
      <c r="C612" s="45"/>
      <c r="D612" s="58"/>
      <c r="E612" s="58"/>
      <c r="F612" s="59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</row>
    <row r="613">
      <c r="A613" s="45"/>
      <c r="B613" s="45"/>
      <c r="C613" s="45"/>
      <c r="D613" s="58"/>
      <c r="E613" s="58"/>
      <c r="F613" s="59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</row>
    <row r="614">
      <c r="A614" s="45"/>
      <c r="B614" s="45"/>
      <c r="C614" s="45"/>
      <c r="D614" s="58"/>
      <c r="E614" s="58"/>
      <c r="F614" s="59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</row>
    <row r="615">
      <c r="A615" s="45"/>
      <c r="B615" s="45"/>
      <c r="C615" s="45"/>
      <c r="D615" s="58"/>
      <c r="E615" s="58"/>
      <c r="F615" s="59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</row>
    <row r="616">
      <c r="A616" s="45"/>
      <c r="B616" s="45"/>
      <c r="C616" s="45"/>
      <c r="D616" s="58"/>
      <c r="E616" s="58"/>
      <c r="F616" s="59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</row>
    <row r="617">
      <c r="A617" s="45"/>
      <c r="B617" s="45"/>
      <c r="C617" s="45"/>
      <c r="D617" s="58"/>
      <c r="E617" s="58"/>
      <c r="F617" s="59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</row>
    <row r="618">
      <c r="A618" s="45"/>
      <c r="B618" s="45"/>
      <c r="C618" s="45"/>
      <c r="D618" s="58"/>
      <c r="E618" s="58"/>
      <c r="F618" s="59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</row>
    <row r="619">
      <c r="A619" s="45"/>
      <c r="B619" s="45"/>
      <c r="C619" s="45"/>
      <c r="D619" s="58"/>
      <c r="E619" s="58"/>
      <c r="F619" s="59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</row>
    <row r="620">
      <c r="A620" s="45"/>
      <c r="B620" s="45"/>
      <c r="C620" s="45"/>
      <c r="D620" s="58"/>
      <c r="E620" s="58"/>
      <c r="F620" s="59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</row>
    <row r="621">
      <c r="A621" s="45"/>
      <c r="B621" s="45"/>
      <c r="C621" s="45"/>
      <c r="D621" s="58"/>
      <c r="E621" s="58"/>
      <c r="F621" s="59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</row>
    <row r="622">
      <c r="A622" s="45"/>
      <c r="B622" s="45"/>
      <c r="C622" s="45"/>
      <c r="D622" s="58"/>
      <c r="E622" s="58"/>
      <c r="F622" s="59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</row>
    <row r="623">
      <c r="A623" s="45"/>
      <c r="B623" s="45"/>
      <c r="C623" s="45"/>
      <c r="D623" s="58"/>
      <c r="E623" s="58"/>
      <c r="F623" s="59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</row>
    <row r="624">
      <c r="A624" s="45"/>
      <c r="B624" s="45"/>
      <c r="C624" s="45"/>
      <c r="D624" s="58"/>
      <c r="E624" s="58"/>
      <c r="F624" s="59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</row>
    <row r="625">
      <c r="A625" s="45"/>
      <c r="B625" s="45"/>
      <c r="C625" s="45"/>
      <c r="D625" s="58"/>
      <c r="E625" s="58"/>
      <c r="F625" s="59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</row>
    <row r="626">
      <c r="A626" s="45"/>
      <c r="B626" s="45"/>
      <c r="C626" s="45"/>
      <c r="D626" s="58"/>
      <c r="E626" s="58"/>
      <c r="F626" s="59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</row>
    <row r="627">
      <c r="A627" s="45"/>
      <c r="B627" s="45"/>
      <c r="C627" s="45"/>
      <c r="D627" s="58"/>
      <c r="E627" s="58"/>
      <c r="F627" s="59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</row>
    <row r="628">
      <c r="A628" s="45"/>
      <c r="B628" s="45"/>
      <c r="C628" s="45"/>
      <c r="D628" s="58"/>
      <c r="E628" s="58"/>
      <c r="F628" s="59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</row>
    <row r="629">
      <c r="A629" s="45"/>
      <c r="B629" s="45"/>
      <c r="C629" s="45"/>
      <c r="D629" s="58"/>
      <c r="E629" s="58"/>
      <c r="F629" s="59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</row>
    <row r="630">
      <c r="A630" s="45"/>
      <c r="B630" s="45"/>
      <c r="C630" s="45"/>
      <c r="D630" s="58"/>
      <c r="E630" s="58"/>
      <c r="F630" s="59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</row>
    <row r="631">
      <c r="A631" s="45"/>
      <c r="B631" s="45"/>
      <c r="C631" s="45"/>
      <c r="D631" s="58"/>
      <c r="E631" s="58"/>
      <c r="F631" s="59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</row>
    <row r="632">
      <c r="A632" s="45"/>
      <c r="B632" s="45"/>
      <c r="C632" s="45"/>
      <c r="D632" s="58"/>
      <c r="E632" s="58"/>
      <c r="F632" s="59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</row>
    <row r="633">
      <c r="A633" s="45"/>
      <c r="B633" s="45"/>
      <c r="C633" s="45"/>
      <c r="D633" s="58"/>
      <c r="E633" s="58"/>
      <c r="F633" s="59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</row>
    <row r="634">
      <c r="A634" s="45"/>
      <c r="B634" s="45"/>
      <c r="C634" s="45"/>
      <c r="D634" s="58"/>
      <c r="E634" s="58"/>
      <c r="F634" s="59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</row>
    <row r="635">
      <c r="A635" s="45"/>
      <c r="B635" s="45"/>
      <c r="C635" s="45"/>
      <c r="D635" s="58"/>
      <c r="E635" s="58"/>
      <c r="F635" s="59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</row>
    <row r="636">
      <c r="A636" s="45"/>
      <c r="B636" s="45"/>
      <c r="C636" s="45"/>
      <c r="D636" s="58"/>
      <c r="E636" s="58"/>
      <c r="F636" s="59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</row>
    <row r="637">
      <c r="A637" s="45"/>
      <c r="B637" s="45"/>
      <c r="C637" s="45"/>
      <c r="D637" s="58"/>
      <c r="E637" s="58"/>
      <c r="F637" s="59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</row>
    <row r="638">
      <c r="A638" s="45"/>
      <c r="B638" s="45"/>
      <c r="C638" s="45"/>
      <c r="D638" s="58"/>
      <c r="E638" s="58"/>
      <c r="F638" s="59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</row>
    <row r="639">
      <c r="A639" s="45"/>
      <c r="B639" s="45"/>
      <c r="C639" s="45"/>
      <c r="D639" s="58"/>
      <c r="E639" s="58"/>
      <c r="F639" s="59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</row>
    <row r="640">
      <c r="A640" s="45"/>
      <c r="B640" s="45"/>
      <c r="C640" s="45"/>
      <c r="D640" s="58"/>
      <c r="E640" s="58"/>
      <c r="F640" s="59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</row>
    <row r="641">
      <c r="A641" s="45"/>
      <c r="B641" s="45"/>
      <c r="C641" s="45"/>
      <c r="D641" s="58"/>
      <c r="E641" s="58"/>
      <c r="F641" s="59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</row>
    <row r="642">
      <c r="A642" s="45"/>
      <c r="B642" s="45"/>
      <c r="C642" s="45"/>
      <c r="D642" s="58"/>
      <c r="E642" s="58"/>
      <c r="F642" s="59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</row>
    <row r="643">
      <c r="A643" s="45"/>
      <c r="B643" s="45"/>
      <c r="C643" s="45"/>
      <c r="D643" s="58"/>
      <c r="E643" s="58"/>
      <c r="F643" s="59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</row>
    <row r="644">
      <c r="A644" s="45"/>
      <c r="B644" s="45"/>
      <c r="C644" s="45"/>
      <c r="D644" s="58"/>
      <c r="E644" s="58"/>
      <c r="F644" s="59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</row>
    <row r="645">
      <c r="A645" s="45"/>
      <c r="B645" s="45"/>
      <c r="C645" s="45"/>
      <c r="D645" s="58"/>
      <c r="E645" s="58"/>
      <c r="F645" s="59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</row>
    <row r="646">
      <c r="A646" s="45"/>
      <c r="B646" s="45"/>
      <c r="C646" s="45"/>
      <c r="D646" s="58"/>
      <c r="E646" s="58"/>
      <c r="F646" s="59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</row>
    <row r="647">
      <c r="A647" s="45"/>
      <c r="B647" s="45"/>
      <c r="C647" s="45"/>
      <c r="D647" s="58"/>
      <c r="E647" s="58"/>
      <c r="F647" s="59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</row>
    <row r="648">
      <c r="A648" s="45"/>
      <c r="B648" s="45"/>
      <c r="C648" s="45"/>
      <c r="D648" s="58"/>
      <c r="E648" s="58"/>
      <c r="F648" s="59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</row>
    <row r="649">
      <c r="A649" s="45"/>
      <c r="B649" s="45"/>
      <c r="C649" s="45"/>
      <c r="D649" s="58"/>
      <c r="E649" s="58"/>
      <c r="F649" s="59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</row>
    <row r="650">
      <c r="A650" s="45"/>
      <c r="B650" s="45"/>
      <c r="C650" s="45"/>
      <c r="D650" s="58"/>
      <c r="E650" s="58"/>
      <c r="F650" s="59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</row>
    <row r="651">
      <c r="A651" s="45"/>
      <c r="B651" s="45"/>
      <c r="C651" s="45"/>
      <c r="D651" s="58"/>
      <c r="E651" s="58"/>
      <c r="F651" s="59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</row>
    <row r="652">
      <c r="A652" s="45"/>
      <c r="B652" s="45"/>
      <c r="C652" s="45"/>
      <c r="D652" s="58"/>
      <c r="E652" s="58"/>
      <c r="F652" s="59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</row>
    <row r="653">
      <c r="A653" s="45"/>
      <c r="B653" s="45"/>
      <c r="C653" s="45"/>
      <c r="D653" s="58"/>
      <c r="E653" s="58"/>
      <c r="F653" s="59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</row>
    <row r="654">
      <c r="A654" s="45"/>
      <c r="B654" s="45"/>
      <c r="C654" s="45"/>
      <c r="D654" s="58"/>
      <c r="E654" s="58"/>
      <c r="F654" s="59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</row>
    <row r="655">
      <c r="A655" s="45"/>
      <c r="B655" s="45"/>
      <c r="C655" s="45"/>
      <c r="D655" s="58"/>
      <c r="E655" s="58"/>
      <c r="F655" s="59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</row>
    <row r="656">
      <c r="A656" s="45"/>
      <c r="B656" s="45"/>
      <c r="C656" s="45"/>
      <c r="D656" s="58"/>
      <c r="E656" s="58"/>
      <c r="F656" s="59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</row>
    <row r="657">
      <c r="A657" s="45"/>
      <c r="B657" s="45"/>
      <c r="C657" s="45"/>
      <c r="D657" s="58"/>
      <c r="E657" s="58"/>
      <c r="F657" s="59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</row>
    <row r="658">
      <c r="A658" s="45"/>
      <c r="B658" s="45"/>
      <c r="C658" s="45"/>
      <c r="D658" s="58"/>
      <c r="E658" s="58"/>
      <c r="F658" s="59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</row>
    <row r="659">
      <c r="A659" s="45"/>
      <c r="B659" s="45"/>
      <c r="C659" s="45"/>
      <c r="D659" s="58"/>
      <c r="E659" s="58"/>
      <c r="F659" s="59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</row>
    <row r="660">
      <c r="A660" s="45"/>
      <c r="B660" s="45"/>
      <c r="C660" s="45"/>
      <c r="D660" s="58"/>
      <c r="E660" s="58"/>
      <c r="F660" s="59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</row>
    <row r="661">
      <c r="A661" s="45"/>
      <c r="B661" s="45"/>
      <c r="C661" s="45"/>
      <c r="D661" s="58"/>
      <c r="E661" s="58"/>
      <c r="F661" s="59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</row>
    <row r="662">
      <c r="A662" s="45"/>
      <c r="B662" s="45"/>
      <c r="C662" s="45"/>
      <c r="D662" s="58"/>
      <c r="E662" s="58"/>
      <c r="F662" s="59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</row>
    <row r="663">
      <c r="A663" s="45"/>
      <c r="B663" s="45"/>
      <c r="C663" s="45"/>
      <c r="D663" s="58"/>
      <c r="E663" s="58"/>
      <c r="F663" s="59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</row>
    <row r="664">
      <c r="A664" s="45"/>
      <c r="B664" s="45"/>
      <c r="C664" s="45"/>
      <c r="D664" s="58"/>
      <c r="E664" s="58"/>
      <c r="F664" s="59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</row>
    <row r="665">
      <c r="A665" s="45"/>
      <c r="B665" s="45"/>
      <c r="C665" s="45"/>
      <c r="D665" s="58"/>
      <c r="E665" s="58"/>
      <c r="F665" s="59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</row>
    <row r="666">
      <c r="A666" s="45"/>
      <c r="B666" s="45"/>
      <c r="C666" s="45"/>
      <c r="D666" s="58"/>
      <c r="E666" s="58"/>
      <c r="F666" s="59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</row>
    <row r="667">
      <c r="A667" s="45"/>
      <c r="B667" s="45"/>
      <c r="C667" s="45"/>
      <c r="D667" s="58"/>
      <c r="E667" s="58"/>
      <c r="F667" s="59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</row>
    <row r="668">
      <c r="A668" s="45"/>
      <c r="B668" s="45"/>
      <c r="C668" s="45"/>
      <c r="D668" s="58"/>
      <c r="E668" s="58"/>
      <c r="F668" s="59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</row>
    <row r="669">
      <c r="A669" s="45"/>
      <c r="B669" s="45"/>
      <c r="C669" s="45"/>
      <c r="D669" s="58"/>
      <c r="E669" s="58"/>
      <c r="F669" s="59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</row>
    <row r="670">
      <c r="A670" s="45"/>
      <c r="B670" s="45"/>
      <c r="C670" s="45"/>
      <c r="D670" s="58"/>
      <c r="E670" s="58"/>
      <c r="F670" s="59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</row>
    <row r="671">
      <c r="A671" s="45"/>
      <c r="B671" s="45"/>
      <c r="C671" s="45"/>
      <c r="D671" s="58"/>
      <c r="E671" s="58"/>
      <c r="F671" s="59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</row>
    <row r="672">
      <c r="A672" s="45"/>
      <c r="B672" s="45"/>
      <c r="C672" s="45"/>
      <c r="D672" s="58"/>
      <c r="E672" s="58"/>
      <c r="F672" s="59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</row>
    <row r="673">
      <c r="A673" s="45"/>
      <c r="B673" s="45"/>
      <c r="C673" s="45"/>
      <c r="D673" s="58"/>
      <c r="E673" s="58"/>
      <c r="F673" s="59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</row>
    <row r="674">
      <c r="A674" s="45"/>
      <c r="B674" s="45"/>
      <c r="C674" s="45"/>
      <c r="D674" s="58"/>
      <c r="E674" s="58"/>
      <c r="F674" s="59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</row>
    <row r="675">
      <c r="A675" s="45"/>
      <c r="B675" s="45"/>
      <c r="C675" s="45"/>
      <c r="D675" s="58"/>
      <c r="E675" s="58"/>
      <c r="F675" s="59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</row>
    <row r="676">
      <c r="A676" s="45"/>
      <c r="B676" s="45"/>
      <c r="C676" s="45"/>
      <c r="D676" s="58"/>
      <c r="E676" s="58"/>
      <c r="F676" s="59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</row>
    <row r="677">
      <c r="A677" s="45"/>
      <c r="B677" s="45"/>
      <c r="C677" s="45"/>
      <c r="D677" s="58"/>
      <c r="E677" s="58"/>
      <c r="F677" s="59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</row>
    <row r="678">
      <c r="A678" s="45"/>
      <c r="B678" s="45"/>
      <c r="C678" s="45"/>
      <c r="D678" s="58"/>
      <c r="E678" s="58"/>
      <c r="F678" s="59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</row>
    <row r="679">
      <c r="A679" s="45"/>
      <c r="B679" s="45"/>
      <c r="C679" s="45"/>
      <c r="D679" s="58"/>
      <c r="E679" s="58"/>
      <c r="F679" s="59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</row>
    <row r="680">
      <c r="A680" s="45"/>
      <c r="B680" s="45"/>
      <c r="C680" s="45"/>
      <c r="D680" s="58"/>
      <c r="E680" s="58"/>
      <c r="F680" s="59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</row>
    <row r="681">
      <c r="A681" s="45"/>
      <c r="B681" s="45"/>
      <c r="C681" s="45"/>
      <c r="D681" s="58"/>
      <c r="E681" s="58"/>
      <c r="F681" s="59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</row>
    <row r="682">
      <c r="A682" s="45"/>
      <c r="B682" s="45"/>
      <c r="C682" s="45"/>
      <c r="D682" s="58"/>
      <c r="E682" s="58"/>
      <c r="F682" s="59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</row>
    <row r="683">
      <c r="A683" s="45"/>
      <c r="B683" s="45"/>
      <c r="C683" s="45"/>
      <c r="D683" s="58"/>
      <c r="E683" s="58"/>
      <c r="F683" s="59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</row>
    <row r="684">
      <c r="A684" s="45"/>
      <c r="B684" s="45"/>
      <c r="C684" s="45"/>
      <c r="D684" s="58"/>
      <c r="E684" s="58"/>
      <c r="F684" s="59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</row>
    <row r="685">
      <c r="A685" s="45"/>
      <c r="B685" s="45"/>
      <c r="C685" s="45"/>
      <c r="D685" s="58"/>
      <c r="E685" s="58"/>
      <c r="F685" s="59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</row>
    <row r="686">
      <c r="A686" s="45"/>
      <c r="B686" s="45"/>
      <c r="C686" s="45"/>
      <c r="D686" s="58"/>
      <c r="E686" s="58"/>
      <c r="F686" s="59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</row>
    <row r="687">
      <c r="A687" s="45"/>
      <c r="B687" s="45"/>
      <c r="C687" s="45"/>
      <c r="D687" s="58"/>
      <c r="E687" s="58"/>
      <c r="F687" s="59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</row>
    <row r="688">
      <c r="A688" s="45"/>
      <c r="B688" s="45"/>
      <c r="C688" s="45"/>
      <c r="D688" s="58"/>
      <c r="E688" s="58"/>
      <c r="F688" s="59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</row>
    <row r="689">
      <c r="A689" s="45"/>
      <c r="B689" s="45"/>
      <c r="C689" s="45"/>
      <c r="D689" s="58"/>
      <c r="E689" s="58"/>
      <c r="F689" s="59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</row>
    <row r="690">
      <c r="A690" s="45"/>
      <c r="B690" s="45"/>
      <c r="C690" s="45"/>
      <c r="D690" s="58"/>
      <c r="E690" s="58"/>
      <c r="F690" s="59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</row>
    <row r="691">
      <c r="A691" s="45"/>
      <c r="B691" s="45"/>
      <c r="C691" s="45"/>
      <c r="D691" s="58"/>
      <c r="E691" s="58"/>
      <c r="F691" s="59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</row>
    <row r="692">
      <c r="A692" s="45"/>
      <c r="B692" s="45"/>
      <c r="C692" s="45"/>
      <c r="D692" s="58"/>
      <c r="E692" s="58"/>
      <c r="F692" s="59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</row>
    <row r="693">
      <c r="A693" s="45"/>
      <c r="B693" s="45"/>
      <c r="C693" s="45"/>
      <c r="D693" s="58"/>
      <c r="E693" s="58"/>
      <c r="F693" s="59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</row>
    <row r="694">
      <c r="A694" s="45"/>
      <c r="B694" s="45"/>
      <c r="C694" s="45"/>
      <c r="D694" s="58"/>
      <c r="E694" s="58"/>
      <c r="F694" s="59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</row>
    <row r="695">
      <c r="A695" s="45"/>
      <c r="B695" s="45"/>
      <c r="C695" s="45"/>
      <c r="D695" s="58"/>
      <c r="E695" s="58"/>
      <c r="F695" s="59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</row>
    <row r="696">
      <c r="A696" s="45"/>
      <c r="B696" s="45"/>
      <c r="C696" s="45"/>
      <c r="D696" s="58"/>
      <c r="E696" s="58"/>
      <c r="F696" s="59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</row>
    <row r="697">
      <c r="A697" s="45"/>
      <c r="B697" s="45"/>
      <c r="C697" s="45"/>
      <c r="D697" s="58"/>
      <c r="E697" s="58"/>
      <c r="F697" s="59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</row>
    <row r="698">
      <c r="A698" s="45"/>
      <c r="B698" s="45"/>
      <c r="C698" s="45"/>
      <c r="D698" s="58"/>
      <c r="E698" s="58"/>
      <c r="F698" s="59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</row>
    <row r="699">
      <c r="A699" s="45"/>
      <c r="B699" s="45"/>
      <c r="C699" s="45"/>
      <c r="D699" s="58"/>
      <c r="E699" s="58"/>
      <c r="F699" s="59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</row>
    <row r="700">
      <c r="A700" s="45"/>
      <c r="B700" s="45"/>
      <c r="C700" s="45"/>
      <c r="D700" s="58"/>
      <c r="E700" s="58"/>
      <c r="F700" s="59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</row>
    <row r="701">
      <c r="A701" s="45"/>
      <c r="B701" s="45"/>
      <c r="C701" s="45"/>
      <c r="D701" s="58"/>
      <c r="E701" s="58"/>
      <c r="F701" s="59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</row>
    <row r="702">
      <c r="A702" s="45"/>
      <c r="B702" s="45"/>
      <c r="C702" s="45"/>
      <c r="D702" s="58"/>
      <c r="E702" s="58"/>
      <c r="F702" s="59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</row>
    <row r="703">
      <c r="A703" s="45"/>
      <c r="B703" s="45"/>
      <c r="C703" s="45"/>
      <c r="D703" s="58"/>
      <c r="E703" s="58"/>
      <c r="F703" s="59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</row>
    <row r="704">
      <c r="A704" s="45"/>
      <c r="B704" s="45"/>
      <c r="C704" s="45"/>
      <c r="D704" s="58"/>
      <c r="E704" s="58"/>
      <c r="F704" s="59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</row>
    <row r="705">
      <c r="A705" s="45"/>
      <c r="B705" s="45"/>
      <c r="C705" s="45"/>
      <c r="D705" s="58"/>
      <c r="E705" s="58"/>
      <c r="F705" s="59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</row>
    <row r="706">
      <c r="A706" s="45"/>
      <c r="B706" s="45"/>
      <c r="C706" s="45"/>
      <c r="D706" s="58"/>
      <c r="E706" s="58"/>
      <c r="F706" s="59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</row>
    <row r="707">
      <c r="A707" s="45"/>
      <c r="B707" s="45"/>
      <c r="C707" s="45"/>
      <c r="D707" s="58"/>
      <c r="E707" s="58"/>
      <c r="F707" s="59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</row>
    <row r="708">
      <c r="A708" s="45"/>
      <c r="B708" s="45"/>
      <c r="C708" s="45"/>
      <c r="D708" s="58"/>
      <c r="E708" s="58"/>
      <c r="F708" s="59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</row>
    <row r="709">
      <c r="A709" s="45"/>
      <c r="B709" s="45"/>
      <c r="C709" s="45"/>
      <c r="D709" s="58"/>
      <c r="E709" s="58"/>
      <c r="F709" s="59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</row>
    <row r="710">
      <c r="A710" s="45"/>
      <c r="B710" s="45"/>
      <c r="C710" s="45"/>
      <c r="D710" s="58"/>
      <c r="E710" s="58"/>
      <c r="F710" s="59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</row>
    <row r="711">
      <c r="A711" s="45"/>
      <c r="B711" s="45"/>
      <c r="C711" s="45"/>
      <c r="D711" s="58"/>
      <c r="E711" s="58"/>
      <c r="F711" s="59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</row>
    <row r="712">
      <c r="A712" s="45"/>
      <c r="B712" s="45"/>
      <c r="C712" s="45"/>
      <c r="D712" s="58"/>
      <c r="E712" s="58"/>
      <c r="F712" s="59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</row>
    <row r="713">
      <c r="A713" s="45"/>
      <c r="B713" s="45"/>
      <c r="C713" s="45"/>
      <c r="D713" s="58"/>
      <c r="E713" s="58"/>
      <c r="F713" s="59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</row>
    <row r="714">
      <c r="A714" s="45"/>
      <c r="B714" s="45"/>
      <c r="C714" s="45"/>
      <c r="D714" s="58"/>
      <c r="E714" s="58"/>
      <c r="F714" s="59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</row>
    <row r="715">
      <c r="A715" s="45"/>
      <c r="B715" s="45"/>
      <c r="C715" s="45"/>
      <c r="D715" s="58"/>
      <c r="E715" s="58"/>
      <c r="F715" s="59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</row>
    <row r="716">
      <c r="A716" s="45"/>
      <c r="B716" s="45"/>
      <c r="C716" s="45"/>
      <c r="D716" s="58"/>
      <c r="E716" s="58"/>
      <c r="F716" s="59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</row>
    <row r="717">
      <c r="A717" s="45"/>
      <c r="B717" s="45"/>
      <c r="C717" s="45"/>
      <c r="D717" s="58"/>
      <c r="E717" s="58"/>
      <c r="F717" s="59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</row>
    <row r="718">
      <c r="A718" s="45"/>
      <c r="B718" s="45"/>
      <c r="C718" s="45"/>
      <c r="D718" s="58"/>
      <c r="E718" s="58"/>
      <c r="F718" s="59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</row>
    <row r="719">
      <c r="A719" s="45"/>
      <c r="B719" s="45"/>
      <c r="C719" s="45"/>
      <c r="D719" s="58"/>
      <c r="E719" s="58"/>
      <c r="F719" s="59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</row>
    <row r="720">
      <c r="A720" s="45"/>
      <c r="B720" s="45"/>
      <c r="C720" s="45"/>
      <c r="D720" s="58"/>
      <c r="E720" s="58"/>
      <c r="F720" s="59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</row>
    <row r="721">
      <c r="A721" s="45"/>
      <c r="B721" s="45"/>
      <c r="C721" s="45"/>
      <c r="D721" s="58"/>
      <c r="E721" s="58"/>
      <c r="F721" s="59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</row>
    <row r="722">
      <c r="A722" s="45"/>
      <c r="B722" s="45"/>
      <c r="C722" s="45"/>
      <c r="D722" s="58"/>
      <c r="E722" s="58"/>
      <c r="F722" s="59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</row>
    <row r="723">
      <c r="A723" s="45"/>
      <c r="B723" s="45"/>
      <c r="C723" s="45"/>
      <c r="D723" s="58"/>
      <c r="E723" s="58"/>
      <c r="F723" s="59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</row>
    <row r="724">
      <c r="A724" s="45"/>
      <c r="B724" s="45"/>
      <c r="C724" s="45"/>
      <c r="D724" s="58"/>
      <c r="E724" s="58"/>
      <c r="F724" s="59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</row>
    <row r="725">
      <c r="A725" s="45"/>
      <c r="B725" s="45"/>
      <c r="C725" s="45"/>
      <c r="D725" s="58"/>
      <c r="E725" s="58"/>
      <c r="F725" s="59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</row>
    <row r="726">
      <c r="A726" s="45"/>
      <c r="B726" s="45"/>
      <c r="C726" s="45"/>
      <c r="D726" s="58"/>
      <c r="E726" s="58"/>
      <c r="F726" s="59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</row>
    <row r="727">
      <c r="A727" s="45"/>
      <c r="B727" s="45"/>
      <c r="C727" s="45"/>
      <c r="D727" s="58"/>
      <c r="E727" s="58"/>
      <c r="F727" s="59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</row>
    <row r="728">
      <c r="A728" s="45"/>
      <c r="B728" s="45"/>
      <c r="C728" s="45"/>
      <c r="D728" s="58"/>
      <c r="E728" s="58"/>
      <c r="F728" s="59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</row>
    <row r="729">
      <c r="A729" s="45"/>
      <c r="B729" s="45"/>
      <c r="C729" s="45"/>
      <c r="D729" s="58"/>
      <c r="E729" s="58"/>
      <c r="F729" s="59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</row>
    <row r="730">
      <c r="A730" s="45"/>
      <c r="B730" s="45"/>
      <c r="C730" s="45"/>
      <c r="D730" s="58"/>
      <c r="E730" s="58"/>
      <c r="F730" s="59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</row>
    <row r="731">
      <c r="A731" s="45"/>
      <c r="B731" s="45"/>
      <c r="C731" s="45"/>
      <c r="D731" s="58"/>
      <c r="E731" s="58"/>
      <c r="F731" s="59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</row>
    <row r="732">
      <c r="A732" s="45"/>
      <c r="B732" s="45"/>
      <c r="C732" s="45"/>
      <c r="D732" s="58"/>
      <c r="E732" s="58"/>
      <c r="F732" s="59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</row>
    <row r="733">
      <c r="A733" s="45"/>
      <c r="B733" s="45"/>
      <c r="C733" s="45"/>
      <c r="D733" s="58"/>
      <c r="E733" s="58"/>
      <c r="F733" s="59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</row>
    <row r="734">
      <c r="A734" s="45"/>
      <c r="B734" s="45"/>
      <c r="C734" s="45"/>
      <c r="D734" s="58"/>
      <c r="E734" s="58"/>
      <c r="F734" s="59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</row>
    <row r="735">
      <c r="A735" s="45"/>
      <c r="B735" s="45"/>
      <c r="C735" s="45"/>
      <c r="D735" s="58"/>
      <c r="E735" s="58"/>
      <c r="F735" s="59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</row>
    <row r="736">
      <c r="A736" s="45"/>
      <c r="B736" s="45"/>
      <c r="C736" s="45"/>
      <c r="D736" s="58"/>
      <c r="E736" s="58"/>
      <c r="F736" s="59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</row>
    <row r="737">
      <c r="A737" s="45"/>
      <c r="B737" s="45"/>
      <c r="C737" s="45"/>
      <c r="D737" s="58"/>
      <c r="E737" s="58"/>
      <c r="F737" s="59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</row>
    <row r="738">
      <c r="A738" s="45"/>
      <c r="B738" s="45"/>
      <c r="C738" s="45"/>
      <c r="D738" s="58"/>
      <c r="E738" s="58"/>
      <c r="F738" s="59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</row>
    <row r="739">
      <c r="A739" s="45"/>
      <c r="B739" s="45"/>
      <c r="C739" s="45"/>
      <c r="D739" s="58"/>
      <c r="E739" s="58"/>
      <c r="F739" s="59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</row>
    <row r="740">
      <c r="A740" s="45"/>
      <c r="B740" s="45"/>
      <c r="C740" s="45"/>
      <c r="D740" s="58"/>
      <c r="E740" s="58"/>
      <c r="F740" s="59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</row>
    <row r="741">
      <c r="A741" s="45"/>
      <c r="B741" s="45"/>
      <c r="C741" s="45"/>
      <c r="D741" s="58"/>
      <c r="E741" s="58"/>
      <c r="F741" s="59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</row>
    <row r="742">
      <c r="A742" s="45"/>
      <c r="B742" s="45"/>
      <c r="C742" s="45"/>
      <c r="D742" s="58"/>
      <c r="E742" s="58"/>
      <c r="F742" s="59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</row>
    <row r="743">
      <c r="A743" s="45"/>
      <c r="B743" s="45"/>
      <c r="C743" s="45"/>
      <c r="D743" s="58"/>
      <c r="E743" s="58"/>
      <c r="F743" s="59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</row>
    <row r="744">
      <c r="A744" s="45"/>
      <c r="B744" s="45"/>
      <c r="C744" s="45"/>
      <c r="D744" s="58"/>
      <c r="E744" s="58"/>
      <c r="F744" s="59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</row>
    <row r="745">
      <c r="A745" s="45"/>
      <c r="B745" s="45"/>
      <c r="C745" s="45"/>
      <c r="D745" s="58"/>
      <c r="E745" s="58"/>
      <c r="F745" s="59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</row>
    <row r="746">
      <c r="A746" s="45"/>
      <c r="B746" s="45"/>
      <c r="C746" s="45"/>
      <c r="D746" s="58"/>
      <c r="E746" s="58"/>
      <c r="F746" s="59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</row>
    <row r="747">
      <c r="A747" s="45"/>
      <c r="B747" s="45"/>
      <c r="C747" s="45"/>
      <c r="D747" s="58"/>
      <c r="E747" s="58"/>
      <c r="F747" s="59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</row>
    <row r="748">
      <c r="A748" s="45"/>
      <c r="B748" s="45"/>
      <c r="C748" s="45"/>
      <c r="D748" s="58"/>
      <c r="E748" s="58"/>
      <c r="F748" s="59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</row>
    <row r="749">
      <c r="A749" s="45"/>
      <c r="B749" s="45"/>
      <c r="C749" s="45"/>
      <c r="D749" s="58"/>
      <c r="E749" s="58"/>
      <c r="F749" s="59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</row>
    <row r="750">
      <c r="A750" s="45"/>
      <c r="B750" s="45"/>
      <c r="C750" s="45"/>
      <c r="D750" s="58"/>
      <c r="E750" s="58"/>
      <c r="F750" s="59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</row>
    <row r="751">
      <c r="A751" s="45"/>
      <c r="B751" s="45"/>
      <c r="C751" s="45"/>
      <c r="D751" s="58"/>
      <c r="E751" s="58"/>
      <c r="F751" s="59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</row>
    <row r="752">
      <c r="A752" s="45"/>
      <c r="B752" s="45"/>
      <c r="C752" s="45"/>
      <c r="D752" s="58"/>
      <c r="E752" s="58"/>
      <c r="F752" s="59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</row>
    <row r="753">
      <c r="A753" s="45"/>
      <c r="B753" s="45"/>
      <c r="C753" s="45"/>
      <c r="D753" s="58"/>
      <c r="E753" s="58"/>
      <c r="F753" s="59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</row>
    <row r="754">
      <c r="A754" s="45"/>
      <c r="B754" s="45"/>
      <c r="C754" s="45"/>
      <c r="D754" s="58"/>
      <c r="E754" s="58"/>
      <c r="F754" s="59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</row>
    <row r="755">
      <c r="A755" s="45"/>
      <c r="B755" s="45"/>
      <c r="C755" s="45"/>
      <c r="D755" s="58"/>
      <c r="E755" s="58"/>
      <c r="F755" s="59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</row>
    <row r="756">
      <c r="A756" s="45"/>
      <c r="B756" s="45"/>
      <c r="C756" s="45"/>
      <c r="D756" s="58"/>
      <c r="E756" s="58"/>
      <c r="F756" s="59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</row>
    <row r="757">
      <c r="A757" s="45"/>
      <c r="B757" s="45"/>
      <c r="C757" s="45"/>
      <c r="D757" s="58"/>
      <c r="E757" s="58"/>
      <c r="F757" s="59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</row>
    <row r="758">
      <c r="A758" s="45"/>
      <c r="B758" s="45"/>
      <c r="C758" s="45"/>
      <c r="D758" s="58"/>
      <c r="E758" s="58"/>
      <c r="F758" s="59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</row>
    <row r="759">
      <c r="A759" s="45"/>
      <c r="B759" s="45"/>
      <c r="C759" s="45"/>
      <c r="D759" s="58"/>
      <c r="E759" s="58"/>
      <c r="F759" s="59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</row>
    <row r="760">
      <c r="A760" s="45"/>
      <c r="B760" s="45"/>
      <c r="C760" s="45"/>
      <c r="D760" s="58"/>
      <c r="E760" s="58"/>
      <c r="F760" s="59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</row>
    <row r="761">
      <c r="A761" s="45"/>
      <c r="B761" s="45"/>
      <c r="C761" s="45"/>
      <c r="D761" s="58"/>
      <c r="E761" s="58"/>
      <c r="F761" s="59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</row>
    <row r="762">
      <c r="A762" s="45"/>
      <c r="B762" s="45"/>
      <c r="C762" s="45"/>
      <c r="D762" s="58"/>
      <c r="E762" s="58"/>
      <c r="F762" s="59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</row>
    <row r="763">
      <c r="A763" s="45"/>
      <c r="B763" s="45"/>
      <c r="C763" s="45"/>
      <c r="D763" s="58"/>
      <c r="E763" s="58"/>
      <c r="F763" s="59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</row>
    <row r="764">
      <c r="A764" s="45"/>
      <c r="B764" s="45"/>
      <c r="C764" s="45"/>
      <c r="D764" s="58"/>
      <c r="E764" s="58"/>
      <c r="F764" s="59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</row>
    <row r="765">
      <c r="A765" s="45"/>
      <c r="B765" s="45"/>
      <c r="C765" s="45"/>
      <c r="D765" s="58"/>
      <c r="E765" s="58"/>
      <c r="F765" s="59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</row>
    <row r="766">
      <c r="A766" s="45"/>
      <c r="B766" s="45"/>
      <c r="C766" s="45"/>
      <c r="D766" s="58"/>
      <c r="E766" s="58"/>
      <c r="F766" s="59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</row>
    <row r="767">
      <c r="A767" s="45"/>
      <c r="B767" s="45"/>
      <c r="C767" s="45"/>
      <c r="D767" s="58"/>
      <c r="E767" s="58"/>
      <c r="F767" s="59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</row>
    <row r="768">
      <c r="A768" s="45"/>
      <c r="B768" s="45"/>
      <c r="C768" s="45"/>
      <c r="D768" s="58"/>
      <c r="E768" s="58"/>
      <c r="F768" s="59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</row>
    <row r="769">
      <c r="A769" s="45"/>
      <c r="B769" s="45"/>
      <c r="C769" s="45"/>
      <c r="D769" s="58"/>
      <c r="E769" s="58"/>
      <c r="F769" s="59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</row>
    <row r="770">
      <c r="A770" s="45"/>
      <c r="B770" s="45"/>
      <c r="C770" s="45"/>
      <c r="D770" s="58"/>
      <c r="E770" s="58"/>
      <c r="F770" s="59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</row>
    <row r="771">
      <c r="A771" s="45"/>
      <c r="B771" s="45"/>
      <c r="C771" s="45"/>
      <c r="D771" s="58"/>
      <c r="E771" s="58"/>
      <c r="F771" s="59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</row>
    <row r="772">
      <c r="A772" s="45"/>
      <c r="B772" s="45"/>
      <c r="C772" s="45"/>
      <c r="D772" s="58"/>
      <c r="E772" s="58"/>
      <c r="F772" s="59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</row>
    <row r="773">
      <c r="A773" s="45"/>
      <c r="B773" s="45"/>
      <c r="C773" s="45"/>
      <c r="D773" s="58"/>
      <c r="E773" s="58"/>
      <c r="F773" s="59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</row>
    <row r="774">
      <c r="A774" s="45"/>
      <c r="B774" s="45"/>
      <c r="C774" s="45"/>
      <c r="D774" s="58"/>
      <c r="E774" s="58"/>
      <c r="F774" s="59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</row>
    <row r="775">
      <c r="A775" s="45"/>
      <c r="B775" s="45"/>
      <c r="C775" s="45"/>
      <c r="D775" s="58"/>
      <c r="E775" s="58"/>
      <c r="F775" s="59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</row>
    <row r="776">
      <c r="A776" s="45"/>
      <c r="B776" s="45"/>
      <c r="C776" s="45"/>
      <c r="D776" s="58"/>
      <c r="E776" s="58"/>
      <c r="F776" s="59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</row>
    <row r="777">
      <c r="A777" s="45"/>
      <c r="B777" s="45"/>
      <c r="C777" s="45"/>
      <c r="D777" s="58"/>
      <c r="E777" s="58"/>
      <c r="F777" s="59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</row>
    <row r="778">
      <c r="A778" s="45"/>
      <c r="B778" s="45"/>
      <c r="C778" s="45"/>
      <c r="D778" s="58"/>
      <c r="E778" s="58"/>
      <c r="F778" s="59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</row>
    <row r="779">
      <c r="A779" s="45"/>
      <c r="B779" s="45"/>
      <c r="C779" s="45"/>
      <c r="D779" s="58"/>
      <c r="E779" s="58"/>
      <c r="F779" s="59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</row>
    <row r="780">
      <c r="A780" s="45"/>
      <c r="B780" s="45"/>
      <c r="C780" s="45"/>
      <c r="D780" s="58"/>
      <c r="E780" s="58"/>
      <c r="F780" s="59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</row>
    <row r="781">
      <c r="A781" s="45"/>
      <c r="B781" s="45"/>
      <c r="C781" s="45"/>
      <c r="D781" s="58"/>
      <c r="E781" s="58"/>
      <c r="F781" s="59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</row>
    <row r="782">
      <c r="A782" s="45"/>
      <c r="B782" s="45"/>
      <c r="C782" s="45"/>
      <c r="D782" s="58"/>
      <c r="E782" s="58"/>
      <c r="F782" s="59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</row>
    <row r="783">
      <c r="A783" s="45"/>
      <c r="B783" s="45"/>
      <c r="C783" s="45"/>
      <c r="D783" s="58"/>
      <c r="E783" s="58"/>
      <c r="F783" s="59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</row>
    <row r="784">
      <c r="A784" s="45"/>
      <c r="B784" s="45"/>
      <c r="C784" s="45"/>
      <c r="D784" s="58"/>
      <c r="E784" s="58"/>
      <c r="F784" s="59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</row>
    <row r="785">
      <c r="A785" s="45"/>
      <c r="B785" s="45"/>
      <c r="C785" s="45"/>
      <c r="D785" s="58"/>
      <c r="E785" s="58"/>
      <c r="F785" s="59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</row>
    <row r="786">
      <c r="A786" s="45"/>
      <c r="B786" s="45"/>
      <c r="C786" s="45"/>
      <c r="D786" s="58"/>
      <c r="E786" s="58"/>
      <c r="F786" s="59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</row>
    <row r="787">
      <c r="A787" s="45"/>
      <c r="B787" s="45"/>
      <c r="C787" s="45"/>
      <c r="D787" s="58"/>
      <c r="E787" s="58"/>
      <c r="F787" s="59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</row>
    <row r="788">
      <c r="A788" s="45"/>
      <c r="B788" s="45"/>
      <c r="C788" s="45"/>
      <c r="D788" s="58"/>
      <c r="E788" s="58"/>
      <c r="F788" s="59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</row>
    <row r="789">
      <c r="A789" s="45"/>
      <c r="B789" s="45"/>
      <c r="C789" s="45"/>
      <c r="D789" s="58"/>
      <c r="E789" s="58"/>
      <c r="F789" s="59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</row>
    <row r="790">
      <c r="A790" s="45"/>
      <c r="B790" s="45"/>
      <c r="C790" s="45"/>
      <c r="D790" s="58"/>
      <c r="E790" s="58"/>
      <c r="F790" s="59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</row>
    <row r="791">
      <c r="A791" s="45"/>
      <c r="B791" s="45"/>
      <c r="C791" s="45"/>
      <c r="D791" s="58"/>
      <c r="E791" s="58"/>
      <c r="F791" s="59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</row>
    <row r="792">
      <c r="A792" s="45"/>
      <c r="B792" s="45"/>
      <c r="C792" s="45"/>
      <c r="D792" s="58"/>
      <c r="E792" s="58"/>
      <c r="F792" s="59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</row>
    <row r="793">
      <c r="A793" s="45"/>
      <c r="B793" s="45"/>
      <c r="C793" s="45"/>
      <c r="D793" s="58"/>
      <c r="E793" s="58"/>
      <c r="F793" s="59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</row>
    <row r="794">
      <c r="A794" s="45"/>
      <c r="B794" s="45"/>
      <c r="C794" s="45"/>
      <c r="D794" s="58"/>
      <c r="E794" s="58"/>
      <c r="F794" s="59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</row>
    <row r="795">
      <c r="A795" s="45"/>
      <c r="B795" s="45"/>
      <c r="C795" s="45"/>
      <c r="D795" s="58"/>
      <c r="E795" s="58"/>
      <c r="F795" s="59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</row>
    <row r="796">
      <c r="A796" s="45"/>
      <c r="B796" s="45"/>
      <c r="C796" s="45"/>
      <c r="D796" s="58"/>
      <c r="E796" s="58"/>
      <c r="F796" s="59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</row>
    <row r="797">
      <c r="A797" s="45"/>
      <c r="B797" s="45"/>
      <c r="C797" s="45"/>
      <c r="D797" s="58"/>
      <c r="E797" s="58"/>
      <c r="F797" s="59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</row>
    <row r="798">
      <c r="A798" s="45"/>
      <c r="B798" s="45"/>
      <c r="C798" s="45"/>
      <c r="D798" s="58"/>
      <c r="E798" s="58"/>
      <c r="F798" s="59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</row>
    <row r="799">
      <c r="A799" s="45"/>
      <c r="B799" s="45"/>
      <c r="C799" s="45"/>
      <c r="D799" s="58"/>
      <c r="E799" s="58"/>
      <c r="F799" s="59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</row>
    <row r="800">
      <c r="A800" s="45"/>
      <c r="B800" s="45"/>
      <c r="C800" s="45"/>
      <c r="D800" s="58"/>
      <c r="E800" s="58"/>
      <c r="F800" s="59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</row>
    <row r="801">
      <c r="A801" s="45"/>
      <c r="B801" s="45"/>
      <c r="C801" s="45"/>
      <c r="D801" s="58"/>
      <c r="E801" s="58"/>
      <c r="F801" s="59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</row>
    <row r="802">
      <c r="A802" s="45"/>
      <c r="B802" s="45"/>
      <c r="C802" s="45"/>
      <c r="D802" s="58"/>
      <c r="E802" s="58"/>
      <c r="F802" s="59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</row>
    <row r="803">
      <c r="A803" s="45"/>
      <c r="B803" s="45"/>
      <c r="C803" s="45"/>
      <c r="D803" s="58"/>
      <c r="E803" s="58"/>
      <c r="F803" s="59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</row>
    <row r="804">
      <c r="A804" s="45"/>
      <c r="B804" s="45"/>
      <c r="C804" s="45"/>
      <c r="D804" s="58"/>
      <c r="E804" s="58"/>
      <c r="F804" s="59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</row>
    <row r="805">
      <c r="A805" s="45"/>
      <c r="B805" s="45"/>
      <c r="C805" s="45"/>
      <c r="D805" s="58"/>
      <c r="E805" s="58"/>
      <c r="F805" s="59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</row>
    <row r="806">
      <c r="A806" s="45"/>
      <c r="B806" s="45"/>
      <c r="C806" s="45"/>
      <c r="D806" s="58"/>
      <c r="E806" s="58"/>
      <c r="F806" s="59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</row>
    <row r="807">
      <c r="A807" s="45"/>
      <c r="B807" s="45"/>
      <c r="C807" s="45"/>
      <c r="D807" s="58"/>
      <c r="E807" s="58"/>
      <c r="F807" s="59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</row>
    <row r="808">
      <c r="A808" s="45"/>
      <c r="B808" s="45"/>
      <c r="C808" s="45"/>
      <c r="D808" s="58"/>
      <c r="E808" s="58"/>
      <c r="F808" s="59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</row>
    <row r="809">
      <c r="A809" s="45"/>
      <c r="B809" s="45"/>
      <c r="C809" s="45"/>
      <c r="D809" s="58"/>
      <c r="E809" s="58"/>
      <c r="F809" s="59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</row>
    <row r="810">
      <c r="A810" s="45"/>
      <c r="B810" s="45"/>
      <c r="C810" s="45"/>
      <c r="D810" s="58"/>
      <c r="E810" s="58"/>
      <c r="F810" s="59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</row>
    <row r="811">
      <c r="A811" s="45"/>
      <c r="B811" s="45"/>
      <c r="C811" s="45"/>
      <c r="D811" s="58"/>
      <c r="E811" s="58"/>
      <c r="F811" s="59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</row>
    <row r="812">
      <c r="A812" s="45"/>
      <c r="B812" s="45"/>
      <c r="C812" s="45"/>
      <c r="D812" s="58"/>
      <c r="E812" s="58"/>
      <c r="F812" s="59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</row>
    <row r="813">
      <c r="A813" s="45"/>
      <c r="B813" s="45"/>
      <c r="C813" s="45"/>
      <c r="D813" s="58"/>
      <c r="E813" s="58"/>
      <c r="F813" s="59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</row>
    <row r="814">
      <c r="A814" s="45"/>
      <c r="B814" s="45"/>
      <c r="C814" s="45"/>
      <c r="D814" s="58"/>
      <c r="E814" s="58"/>
      <c r="F814" s="59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</row>
    <row r="815">
      <c r="A815" s="45"/>
      <c r="B815" s="45"/>
      <c r="C815" s="45"/>
      <c r="D815" s="58"/>
      <c r="E815" s="58"/>
      <c r="F815" s="59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</row>
    <row r="816">
      <c r="A816" s="45"/>
      <c r="B816" s="45"/>
      <c r="C816" s="45"/>
      <c r="D816" s="58"/>
      <c r="E816" s="58"/>
      <c r="F816" s="59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</row>
    <row r="817">
      <c r="A817" s="45"/>
      <c r="B817" s="45"/>
      <c r="C817" s="45"/>
      <c r="D817" s="58"/>
      <c r="E817" s="58"/>
      <c r="F817" s="59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</row>
    <row r="818">
      <c r="A818" s="45"/>
      <c r="B818" s="45"/>
      <c r="C818" s="45"/>
      <c r="D818" s="58"/>
      <c r="E818" s="58"/>
      <c r="F818" s="59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</row>
    <row r="819">
      <c r="A819" s="45"/>
      <c r="B819" s="45"/>
      <c r="C819" s="45"/>
      <c r="D819" s="58"/>
      <c r="E819" s="58"/>
      <c r="F819" s="59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</row>
    <row r="820">
      <c r="A820" s="45"/>
      <c r="B820" s="45"/>
      <c r="C820" s="45"/>
      <c r="D820" s="58"/>
      <c r="E820" s="58"/>
      <c r="F820" s="59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</row>
    <row r="821">
      <c r="A821" s="45"/>
      <c r="B821" s="45"/>
      <c r="C821" s="45"/>
      <c r="D821" s="58"/>
      <c r="E821" s="58"/>
      <c r="F821" s="59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</row>
    <row r="822">
      <c r="A822" s="45"/>
      <c r="B822" s="45"/>
      <c r="C822" s="45"/>
      <c r="D822" s="58"/>
      <c r="E822" s="58"/>
      <c r="F822" s="59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</row>
    <row r="823">
      <c r="A823" s="45"/>
      <c r="B823" s="45"/>
      <c r="C823" s="45"/>
      <c r="D823" s="58"/>
      <c r="E823" s="58"/>
      <c r="F823" s="59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</row>
    <row r="824">
      <c r="A824" s="45"/>
      <c r="B824" s="45"/>
      <c r="C824" s="45"/>
      <c r="D824" s="58"/>
      <c r="E824" s="58"/>
      <c r="F824" s="59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</row>
    <row r="825">
      <c r="A825" s="45"/>
      <c r="B825" s="45"/>
      <c r="C825" s="45"/>
      <c r="D825" s="58"/>
      <c r="E825" s="58"/>
      <c r="F825" s="59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</row>
    <row r="826">
      <c r="A826" s="45"/>
      <c r="B826" s="45"/>
      <c r="C826" s="45"/>
      <c r="D826" s="58"/>
      <c r="E826" s="58"/>
      <c r="F826" s="59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</row>
    <row r="827">
      <c r="A827" s="45"/>
      <c r="B827" s="45"/>
      <c r="C827" s="45"/>
      <c r="D827" s="58"/>
      <c r="E827" s="58"/>
      <c r="F827" s="59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</row>
    <row r="828">
      <c r="A828" s="45"/>
      <c r="B828" s="45"/>
      <c r="C828" s="45"/>
      <c r="D828" s="58"/>
      <c r="E828" s="58"/>
      <c r="F828" s="59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</row>
    <row r="829">
      <c r="A829" s="45"/>
      <c r="B829" s="45"/>
      <c r="C829" s="45"/>
      <c r="D829" s="58"/>
      <c r="E829" s="58"/>
      <c r="F829" s="59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</row>
    <row r="830">
      <c r="A830" s="45"/>
      <c r="B830" s="45"/>
      <c r="C830" s="45"/>
      <c r="D830" s="58"/>
      <c r="E830" s="58"/>
      <c r="F830" s="59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</row>
    <row r="831">
      <c r="A831" s="45"/>
      <c r="B831" s="45"/>
      <c r="C831" s="45"/>
      <c r="D831" s="58"/>
      <c r="E831" s="58"/>
      <c r="F831" s="59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</row>
    <row r="832">
      <c r="A832" s="45"/>
      <c r="B832" s="45"/>
      <c r="C832" s="45"/>
      <c r="D832" s="58"/>
      <c r="E832" s="58"/>
      <c r="F832" s="59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</row>
    <row r="833">
      <c r="A833" s="45"/>
      <c r="B833" s="45"/>
      <c r="C833" s="45"/>
      <c r="D833" s="58"/>
      <c r="E833" s="58"/>
      <c r="F833" s="59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</row>
    <row r="834">
      <c r="A834" s="45"/>
      <c r="B834" s="45"/>
      <c r="C834" s="45"/>
      <c r="D834" s="58"/>
      <c r="E834" s="58"/>
      <c r="F834" s="59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</row>
    <row r="835">
      <c r="A835" s="45"/>
      <c r="B835" s="45"/>
      <c r="C835" s="45"/>
      <c r="D835" s="58"/>
      <c r="E835" s="58"/>
      <c r="F835" s="59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</row>
    <row r="836">
      <c r="A836" s="45"/>
      <c r="B836" s="45"/>
      <c r="C836" s="45"/>
      <c r="D836" s="58"/>
      <c r="E836" s="58"/>
      <c r="F836" s="59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</row>
    <row r="837">
      <c r="A837" s="45"/>
      <c r="B837" s="45"/>
      <c r="C837" s="45"/>
      <c r="D837" s="58"/>
      <c r="E837" s="58"/>
      <c r="F837" s="59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</row>
    <row r="838">
      <c r="A838" s="45"/>
      <c r="B838" s="45"/>
      <c r="C838" s="45"/>
      <c r="D838" s="58"/>
      <c r="E838" s="58"/>
      <c r="F838" s="59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</row>
    <row r="839">
      <c r="A839" s="45"/>
      <c r="B839" s="45"/>
      <c r="C839" s="45"/>
      <c r="D839" s="58"/>
      <c r="E839" s="58"/>
      <c r="F839" s="59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</row>
    <row r="840">
      <c r="A840" s="45"/>
      <c r="B840" s="45"/>
      <c r="C840" s="45"/>
      <c r="D840" s="58"/>
      <c r="E840" s="58"/>
      <c r="F840" s="59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</row>
    <row r="841">
      <c r="A841" s="45"/>
      <c r="B841" s="45"/>
      <c r="C841" s="45"/>
      <c r="D841" s="58"/>
      <c r="E841" s="58"/>
      <c r="F841" s="59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</row>
    <row r="842">
      <c r="A842" s="45"/>
      <c r="B842" s="45"/>
      <c r="C842" s="45"/>
      <c r="D842" s="58"/>
      <c r="E842" s="58"/>
      <c r="F842" s="59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</row>
    <row r="843">
      <c r="A843" s="45"/>
      <c r="B843" s="45"/>
      <c r="C843" s="45"/>
      <c r="D843" s="58"/>
      <c r="E843" s="58"/>
      <c r="F843" s="59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</row>
    <row r="844">
      <c r="A844" s="45"/>
      <c r="B844" s="45"/>
      <c r="C844" s="45"/>
      <c r="D844" s="58"/>
      <c r="E844" s="58"/>
      <c r="F844" s="59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</row>
    <row r="845">
      <c r="A845" s="45"/>
      <c r="B845" s="45"/>
      <c r="C845" s="45"/>
      <c r="D845" s="58"/>
      <c r="E845" s="58"/>
      <c r="F845" s="59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</row>
    <row r="846">
      <c r="A846" s="45"/>
      <c r="B846" s="45"/>
      <c r="C846" s="45"/>
      <c r="D846" s="58"/>
      <c r="E846" s="58"/>
      <c r="F846" s="59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</row>
    <row r="847">
      <c r="A847" s="45"/>
      <c r="B847" s="45"/>
      <c r="C847" s="45"/>
      <c r="D847" s="58"/>
      <c r="E847" s="58"/>
      <c r="F847" s="59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</row>
    <row r="848">
      <c r="A848" s="45"/>
      <c r="B848" s="45"/>
      <c r="C848" s="45"/>
      <c r="D848" s="58"/>
      <c r="E848" s="58"/>
      <c r="F848" s="59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</row>
    <row r="849">
      <c r="A849" s="45"/>
      <c r="B849" s="45"/>
      <c r="C849" s="45"/>
      <c r="D849" s="58"/>
      <c r="E849" s="58"/>
      <c r="F849" s="59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</row>
    <row r="850">
      <c r="A850" s="45"/>
      <c r="B850" s="45"/>
      <c r="C850" s="45"/>
      <c r="D850" s="58"/>
      <c r="E850" s="58"/>
      <c r="F850" s="59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</row>
    <row r="851">
      <c r="A851" s="45"/>
      <c r="B851" s="45"/>
      <c r="C851" s="45"/>
      <c r="D851" s="58"/>
      <c r="E851" s="58"/>
      <c r="F851" s="59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</row>
    <row r="852">
      <c r="A852" s="45"/>
      <c r="B852" s="45"/>
      <c r="C852" s="45"/>
      <c r="D852" s="58"/>
      <c r="E852" s="58"/>
      <c r="F852" s="59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</row>
    <row r="853">
      <c r="A853" s="45"/>
      <c r="B853" s="45"/>
      <c r="C853" s="45"/>
      <c r="D853" s="58"/>
      <c r="E853" s="58"/>
      <c r="F853" s="59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</row>
    <row r="854">
      <c r="A854" s="45"/>
      <c r="B854" s="45"/>
      <c r="C854" s="45"/>
      <c r="D854" s="58"/>
      <c r="E854" s="58"/>
      <c r="F854" s="59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</row>
    <row r="855">
      <c r="A855" s="45"/>
      <c r="B855" s="45"/>
      <c r="C855" s="45"/>
      <c r="D855" s="58"/>
      <c r="E855" s="58"/>
      <c r="F855" s="59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</row>
    <row r="856">
      <c r="A856" s="45"/>
      <c r="B856" s="45"/>
      <c r="C856" s="45"/>
      <c r="D856" s="58"/>
      <c r="E856" s="58"/>
      <c r="F856" s="59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</row>
    <row r="857">
      <c r="A857" s="45"/>
      <c r="B857" s="45"/>
      <c r="C857" s="45"/>
      <c r="D857" s="58"/>
      <c r="E857" s="58"/>
      <c r="F857" s="59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</row>
    <row r="858">
      <c r="A858" s="45"/>
      <c r="B858" s="45"/>
      <c r="C858" s="45"/>
      <c r="D858" s="58"/>
      <c r="E858" s="58"/>
      <c r="F858" s="59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</row>
    <row r="859">
      <c r="A859" s="45"/>
      <c r="B859" s="45"/>
      <c r="C859" s="45"/>
      <c r="D859" s="58"/>
      <c r="E859" s="58"/>
      <c r="F859" s="59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</row>
    <row r="860">
      <c r="A860" s="45"/>
      <c r="B860" s="45"/>
      <c r="C860" s="45"/>
      <c r="D860" s="58"/>
      <c r="E860" s="58"/>
      <c r="F860" s="59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</row>
    <row r="861">
      <c r="A861" s="45"/>
      <c r="B861" s="45"/>
      <c r="C861" s="45"/>
      <c r="D861" s="58"/>
      <c r="E861" s="58"/>
      <c r="F861" s="59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</row>
    <row r="862">
      <c r="A862" s="45"/>
      <c r="B862" s="45"/>
      <c r="C862" s="45"/>
      <c r="D862" s="58"/>
      <c r="E862" s="58"/>
      <c r="F862" s="59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</row>
    <row r="863">
      <c r="A863" s="45"/>
      <c r="B863" s="45"/>
      <c r="C863" s="45"/>
      <c r="D863" s="58"/>
      <c r="E863" s="58"/>
      <c r="F863" s="59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</row>
    <row r="864">
      <c r="A864" s="45"/>
      <c r="B864" s="45"/>
      <c r="C864" s="45"/>
      <c r="D864" s="58"/>
      <c r="E864" s="58"/>
      <c r="F864" s="59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</row>
    <row r="865">
      <c r="A865" s="45"/>
      <c r="B865" s="45"/>
      <c r="C865" s="45"/>
      <c r="D865" s="58"/>
      <c r="E865" s="58"/>
      <c r="F865" s="59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</row>
    <row r="866">
      <c r="A866" s="45"/>
      <c r="B866" s="45"/>
      <c r="C866" s="45"/>
      <c r="D866" s="58"/>
      <c r="E866" s="58"/>
      <c r="F866" s="59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</row>
    <row r="867">
      <c r="A867" s="45"/>
      <c r="B867" s="45"/>
      <c r="C867" s="45"/>
      <c r="D867" s="58"/>
      <c r="E867" s="58"/>
      <c r="F867" s="59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</row>
    <row r="868">
      <c r="A868" s="45"/>
      <c r="B868" s="45"/>
      <c r="C868" s="45"/>
      <c r="D868" s="58"/>
      <c r="E868" s="58"/>
      <c r="F868" s="59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</row>
    <row r="869">
      <c r="A869" s="45"/>
      <c r="B869" s="45"/>
      <c r="C869" s="45"/>
      <c r="D869" s="58"/>
      <c r="E869" s="58"/>
      <c r="F869" s="59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</row>
    <row r="870">
      <c r="A870" s="45"/>
      <c r="B870" s="45"/>
      <c r="C870" s="45"/>
      <c r="D870" s="58"/>
      <c r="E870" s="58"/>
      <c r="F870" s="59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</row>
    <row r="871">
      <c r="A871" s="45"/>
      <c r="B871" s="45"/>
      <c r="C871" s="45"/>
      <c r="D871" s="58"/>
      <c r="E871" s="58"/>
      <c r="F871" s="59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</row>
    <row r="872">
      <c r="A872" s="45"/>
      <c r="B872" s="45"/>
      <c r="C872" s="45"/>
      <c r="D872" s="58"/>
      <c r="E872" s="58"/>
      <c r="F872" s="59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</row>
    <row r="873">
      <c r="A873" s="45"/>
      <c r="B873" s="45"/>
      <c r="C873" s="45"/>
      <c r="D873" s="58"/>
      <c r="E873" s="58"/>
      <c r="F873" s="59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</row>
    <row r="874">
      <c r="A874" s="45"/>
      <c r="B874" s="45"/>
      <c r="C874" s="45"/>
      <c r="D874" s="58"/>
      <c r="E874" s="58"/>
      <c r="F874" s="59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</row>
    <row r="875">
      <c r="A875" s="45"/>
      <c r="B875" s="45"/>
      <c r="C875" s="45"/>
      <c r="D875" s="58"/>
      <c r="E875" s="58"/>
      <c r="F875" s="59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</row>
    <row r="876">
      <c r="A876" s="45"/>
      <c r="B876" s="45"/>
      <c r="C876" s="45"/>
      <c r="D876" s="58"/>
      <c r="E876" s="58"/>
      <c r="F876" s="59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</row>
    <row r="877">
      <c r="A877" s="45"/>
      <c r="B877" s="45"/>
      <c r="C877" s="45"/>
      <c r="D877" s="58"/>
      <c r="E877" s="58"/>
      <c r="F877" s="59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</row>
    <row r="878">
      <c r="A878" s="45"/>
      <c r="B878" s="45"/>
      <c r="C878" s="45"/>
      <c r="D878" s="58"/>
      <c r="E878" s="58"/>
      <c r="F878" s="59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</row>
    <row r="879">
      <c r="A879" s="45"/>
      <c r="B879" s="45"/>
      <c r="C879" s="45"/>
      <c r="D879" s="58"/>
      <c r="E879" s="58"/>
      <c r="F879" s="59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</row>
    <row r="880">
      <c r="A880" s="45"/>
      <c r="B880" s="45"/>
      <c r="C880" s="45"/>
      <c r="D880" s="58"/>
      <c r="E880" s="58"/>
      <c r="F880" s="59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</row>
    <row r="881">
      <c r="A881" s="45"/>
      <c r="B881" s="45"/>
      <c r="C881" s="45"/>
      <c r="D881" s="58"/>
      <c r="E881" s="58"/>
      <c r="F881" s="59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</row>
    <row r="882">
      <c r="A882" s="45"/>
      <c r="B882" s="45"/>
      <c r="C882" s="45"/>
      <c r="D882" s="58"/>
      <c r="E882" s="58"/>
      <c r="F882" s="59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</row>
    <row r="883">
      <c r="A883" s="45"/>
      <c r="B883" s="45"/>
      <c r="C883" s="45"/>
      <c r="D883" s="58"/>
      <c r="E883" s="58"/>
      <c r="F883" s="59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</row>
    <row r="884">
      <c r="A884" s="45"/>
      <c r="B884" s="45"/>
      <c r="C884" s="45"/>
      <c r="D884" s="58"/>
      <c r="E884" s="58"/>
      <c r="F884" s="59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</row>
    <row r="885">
      <c r="A885" s="45"/>
      <c r="B885" s="45"/>
      <c r="C885" s="45"/>
      <c r="D885" s="58"/>
      <c r="E885" s="58"/>
      <c r="F885" s="59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</row>
    <row r="886">
      <c r="A886" s="45"/>
      <c r="B886" s="45"/>
      <c r="C886" s="45"/>
      <c r="D886" s="58"/>
      <c r="E886" s="58"/>
      <c r="F886" s="59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</row>
    <row r="887">
      <c r="A887" s="45"/>
      <c r="B887" s="45"/>
      <c r="C887" s="45"/>
      <c r="D887" s="58"/>
      <c r="E887" s="58"/>
      <c r="F887" s="59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</row>
    <row r="888">
      <c r="A888" s="45"/>
      <c r="B888" s="45"/>
      <c r="C888" s="45"/>
      <c r="D888" s="58"/>
      <c r="E888" s="58"/>
      <c r="F888" s="59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</row>
    <row r="889">
      <c r="A889" s="45"/>
      <c r="B889" s="45"/>
      <c r="C889" s="45"/>
      <c r="D889" s="58"/>
      <c r="E889" s="58"/>
      <c r="F889" s="59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</row>
    <row r="890">
      <c r="A890" s="45"/>
      <c r="B890" s="45"/>
      <c r="C890" s="45"/>
      <c r="D890" s="58"/>
      <c r="E890" s="58"/>
      <c r="F890" s="59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</row>
    <row r="891">
      <c r="A891" s="45"/>
      <c r="B891" s="45"/>
      <c r="C891" s="45"/>
      <c r="D891" s="58"/>
      <c r="E891" s="58"/>
      <c r="F891" s="59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</row>
    <row r="892">
      <c r="A892" s="45"/>
      <c r="B892" s="45"/>
      <c r="C892" s="45"/>
      <c r="D892" s="58"/>
      <c r="E892" s="58"/>
      <c r="F892" s="59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</row>
    <row r="893">
      <c r="A893" s="45"/>
      <c r="B893" s="45"/>
      <c r="C893" s="45"/>
      <c r="D893" s="58"/>
      <c r="E893" s="58"/>
      <c r="F893" s="59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</row>
    <row r="894">
      <c r="A894" s="45"/>
      <c r="B894" s="45"/>
      <c r="C894" s="45"/>
      <c r="D894" s="58"/>
      <c r="E894" s="58"/>
      <c r="F894" s="59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</row>
    <row r="895">
      <c r="A895" s="45"/>
      <c r="B895" s="45"/>
      <c r="C895" s="45"/>
      <c r="D895" s="58"/>
      <c r="E895" s="58"/>
      <c r="F895" s="59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</row>
    <row r="896">
      <c r="A896" s="45"/>
      <c r="B896" s="45"/>
      <c r="C896" s="45"/>
      <c r="D896" s="58"/>
      <c r="E896" s="58"/>
      <c r="F896" s="59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</row>
    <row r="897">
      <c r="A897" s="45"/>
      <c r="B897" s="45"/>
      <c r="C897" s="45"/>
      <c r="D897" s="58"/>
      <c r="E897" s="58"/>
      <c r="F897" s="59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</row>
    <row r="898">
      <c r="A898" s="45"/>
      <c r="B898" s="45"/>
      <c r="C898" s="45"/>
      <c r="D898" s="58"/>
      <c r="E898" s="58"/>
      <c r="F898" s="59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</row>
    <row r="899">
      <c r="A899" s="45"/>
      <c r="B899" s="45"/>
      <c r="C899" s="45"/>
      <c r="D899" s="58"/>
      <c r="E899" s="58"/>
      <c r="F899" s="59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</row>
    <row r="900">
      <c r="A900" s="45"/>
      <c r="B900" s="45"/>
      <c r="C900" s="45"/>
      <c r="D900" s="58"/>
      <c r="E900" s="58"/>
      <c r="F900" s="59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</row>
    <row r="901">
      <c r="A901" s="45"/>
      <c r="B901" s="45"/>
      <c r="C901" s="45"/>
      <c r="D901" s="58"/>
      <c r="E901" s="58"/>
      <c r="F901" s="59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</row>
    <row r="902">
      <c r="A902" s="45"/>
      <c r="B902" s="45"/>
      <c r="C902" s="45"/>
      <c r="D902" s="58"/>
      <c r="E902" s="58"/>
      <c r="F902" s="59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</row>
    <row r="903">
      <c r="A903" s="45"/>
      <c r="B903" s="45"/>
      <c r="C903" s="45"/>
      <c r="D903" s="58"/>
      <c r="E903" s="58"/>
      <c r="F903" s="59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</row>
    <row r="904">
      <c r="A904" s="45"/>
      <c r="B904" s="45"/>
      <c r="C904" s="45"/>
      <c r="D904" s="58"/>
      <c r="E904" s="58"/>
      <c r="F904" s="59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</row>
    <row r="905">
      <c r="A905" s="45"/>
      <c r="B905" s="45"/>
      <c r="C905" s="45"/>
      <c r="D905" s="58"/>
      <c r="E905" s="58"/>
      <c r="F905" s="59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</row>
    <row r="906">
      <c r="A906" s="45"/>
      <c r="B906" s="45"/>
      <c r="C906" s="45"/>
      <c r="D906" s="58"/>
      <c r="E906" s="58"/>
      <c r="F906" s="59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</row>
    <row r="907">
      <c r="A907" s="45"/>
      <c r="B907" s="45"/>
      <c r="C907" s="45"/>
      <c r="D907" s="58"/>
      <c r="E907" s="58"/>
      <c r="F907" s="59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</row>
    <row r="908">
      <c r="A908" s="45"/>
      <c r="B908" s="45"/>
      <c r="C908" s="45"/>
      <c r="D908" s="58"/>
      <c r="E908" s="58"/>
      <c r="F908" s="59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</row>
    <row r="909">
      <c r="A909" s="45"/>
      <c r="B909" s="45"/>
      <c r="C909" s="45"/>
      <c r="D909" s="58"/>
      <c r="E909" s="58"/>
      <c r="F909" s="59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</row>
    <row r="910">
      <c r="A910" s="45"/>
      <c r="B910" s="45"/>
      <c r="C910" s="45"/>
      <c r="D910" s="58"/>
      <c r="E910" s="58"/>
      <c r="F910" s="59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</row>
    <row r="911">
      <c r="A911" s="45"/>
      <c r="B911" s="45"/>
      <c r="C911" s="45"/>
      <c r="D911" s="58"/>
      <c r="E911" s="58"/>
      <c r="F911" s="59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</row>
    <row r="912">
      <c r="A912" s="45"/>
      <c r="B912" s="45"/>
      <c r="C912" s="45"/>
      <c r="D912" s="58"/>
      <c r="E912" s="58"/>
      <c r="F912" s="59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</row>
    <row r="913">
      <c r="A913" s="45"/>
      <c r="B913" s="45"/>
      <c r="C913" s="45"/>
      <c r="D913" s="58"/>
      <c r="E913" s="58"/>
      <c r="F913" s="59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</row>
    <row r="914">
      <c r="A914" s="45"/>
      <c r="B914" s="45"/>
      <c r="C914" s="45"/>
      <c r="D914" s="58"/>
      <c r="E914" s="58"/>
      <c r="F914" s="59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</row>
    <row r="915">
      <c r="A915" s="45"/>
      <c r="B915" s="45"/>
      <c r="C915" s="45"/>
      <c r="D915" s="58"/>
      <c r="E915" s="58"/>
      <c r="F915" s="59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</row>
    <row r="916">
      <c r="A916" s="45"/>
      <c r="B916" s="45"/>
      <c r="C916" s="45"/>
      <c r="D916" s="58"/>
      <c r="E916" s="58"/>
      <c r="F916" s="59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</row>
    <row r="917">
      <c r="A917" s="45"/>
      <c r="B917" s="45"/>
      <c r="C917" s="45"/>
      <c r="D917" s="58"/>
      <c r="E917" s="58"/>
      <c r="F917" s="59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</row>
    <row r="918">
      <c r="A918" s="45"/>
      <c r="B918" s="45"/>
      <c r="C918" s="45"/>
      <c r="D918" s="58"/>
      <c r="E918" s="58"/>
      <c r="F918" s="59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</row>
    <row r="919">
      <c r="A919" s="45"/>
      <c r="B919" s="45"/>
      <c r="C919" s="45"/>
      <c r="D919" s="58"/>
      <c r="E919" s="58"/>
      <c r="F919" s="59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</row>
    <row r="920">
      <c r="A920" s="45"/>
      <c r="B920" s="45"/>
      <c r="C920" s="45"/>
      <c r="D920" s="58"/>
      <c r="E920" s="58"/>
      <c r="F920" s="59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</row>
    <row r="921">
      <c r="A921" s="45"/>
      <c r="B921" s="45"/>
      <c r="C921" s="45"/>
      <c r="D921" s="58"/>
      <c r="E921" s="58"/>
      <c r="F921" s="59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</row>
    <row r="922">
      <c r="A922" s="45"/>
      <c r="B922" s="45"/>
      <c r="C922" s="45"/>
      <c r="D922" s="58"/>
      <c r="E922" s="58"/>
      <c r="F922" s="59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</row>
    <row r="923">
      <c r="A923" s="45"/>
      <c r="B923" s="45"/>
      <c r="C923" s="45"/>
      <c r="D923" s="58"/>
      <c r="E923" s="58"/>
      <c r="F923" s="59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</row>
    <row r="924">
      <c r="A924" s="45"/>
      <c r="B924" s="45"/>
      <c r="C924" s="45"/>
      <c r="D924" s="58"/>
      <c r="E924" s="58"/>
      <c r="F924" s="59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</row>
    <row r="925">
      <c r="A925" s="45"/>
      <c r="B925" s="45"/>
      <c r="C925" s="45"/>
      <c r="D925" s="58"/>
      <c r="E925" s="58"/>
      <c r="F925" s="59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</row>
    <row r="926">
      <c r="A926" s="45"/>
      <c r="B926" s="45"/>
      <c r="C926" s="45"/>
      <c r="D926" s="58"/>
      <c r="E926" s="58"/>
      <c r="F926" s="59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</row>
    <row r="927">
      <c r="A927" s="45"/>
      <c r="B927" s="45"/>
      <c r="C927" s="45"/>
      <c r="D927" s="58"/>
      <c r="E927" s="58"/>
      <c r="F927" s="59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</row>
    <row r="928">
      <c r="A928" s="45"/>
      <c r="B928" s="45"/>
      <c r="C928" s="45"/>
      <c r="D928" s="58"/>
      <c r="E928" s="58"/>
      <c r="F928" s="59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</row>
    <row r="929">
      <c r="A929" s="45"/>
      <c r="B929" s="45"/>
      <c r="C929" s="45"/>
      <c r="D929" s="58"/>
      <c r="E929" s="58"/>
      <c r="F929" s="59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</row>
    <row r="930">
      <c r="A930" s="45"/>
      <c r="B930" s="45"/>
      <c r="C930" s="45"/>
      <c r="D930" s="58"/>
      <c r="E930" s="58"/>
      <c r="F930" s="59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</row>
    <row r="931">
      <c r="A931" s="45"/>
      <c r="B931" s="45"/>
      <c r="C931" s="45"/>
      <c r="D931" s="58"/>
      <c r="E931" s="58"/>
      <c r="F931" s="59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</row>
    <row r="932">
      <c r="A932" s="45"/>
      <c r="B932" s="45"/>
      <c r="C932" s="45"/>
      <c r="D932" s="58"/>
      <c r="E932" s="58"/>
      <c r="F932" s="59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</row>
    <row r="933">
      <c r="A933" s="45"/>
      <c r="B933" s="45"/>
      <c r="C933" s="45"/>
      <c r="D933" s="58"/>
      <c r="E933" s="58"/>
      <c r="F933" s="59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</row>
    <row r="934">
      <c r="A934" s="45"/>
      <c r="B934" s="45"/>
      <c r="C934" s="45"/>
      <c r="D934" s="58"/>
      <c r="E934" s="58"/>
      <c r="F934" s="59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</row>
    <row r="935">
      <c r="A935" s="45"/>
      <c r="B935" s="45"/>
      <c r="C935" s="45"/>
      <c r="D935" s="58"/>
      <c r="E935" s="58"/>
      <c r="F935" s="59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</row>
    <row r="936">
      <c r="A936" s="45"/>
      <c r="B936" s="45"/>
      <c r="C936" s="45"/>
      <c r="D936" s="58"/>
      <c r="E936" s="58"/>
      <c r="F936" s="59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</row>
    <row r="937">
      <c r="A937" s="45"/>
      <c r="B937" s="45"/>
      <c r="C937" s="45"/>
      <c r="D937" s="58"/>
      <c r="E937" s="58"/>
      <c r="F937" s="59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</row>
    <row r="938">
      <c r="A938" s="45"/>
      <c r="B938" s="45"/>
      <c r="C938" s="45"/>
      <c r="D938" s="58"/>
      <c r="E938" s="58"/>
      <c r="F938" s="59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</row>
    <row r="939">
      <c r="A939" s="45"/>
      <c r="B939" s="45"/>
      <c r="C939" s="45"/>
      <c r="D939" s="58"/>
      <c r="E939" s="58"/>
      <c r="F939" s="59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</row>
    <row r="940">
      <c r="A940" s="45"/>
      <c r="B940" s="45"/>
      <c r="C940" s="45"/>
      <c r="D940" s="58"/>
      <c r="E940" s="58"/>
      <c r="F940" s="59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</row>
    <row r="941">
      <c r="A941" s="45"/>
      <c r="B941" s="45"/>
      <c r="C941" s="45"/>
      <c r="D941" s="58"/>
      <c r="E941" s="58"/>
      <c r="F941" s="59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</row>
    <row r="942">
      <c r="A942" s="45"/>
      <c r="B942" s="45"/>
      <c r="C942" s="45"/>
      <c r="D942" s="58"/>
      <c r="E942" s="58"/>
      <c r="F942" s="59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</row>
    <row r="943">
      <c r="A943" s="45"/>
      <c r="B943" s="45"/>
      <c r="C943" s="45"/>
      <c r="D943" s="58"/>
      <c r="E943" s="58"/>
      <c r="F943" s="59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</row>
    <row r="944">
      <c r="A944" s="45"/>
      <c r="B944" s="45"/>
      <c r="C944" s="45"/>
      <c r="D944" s="58"/>
      <c r="E944" s="58"/>
      <c r="F944" s="59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</row>
    <row r="945">
      <c r="A945" s="45"/>
      <c r="B945" s="45"/>
      <c r="C945" s="45"/>
      <c r="D945" s="58"/>
      <c r="E945" s="58"/>
      <c r="F945" s="59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</row>
    <row r="946">
      <c r="A946" s="45"/>
      <c r="B946" s="45"/>
      <c r="C946" s="45"/>
      <c r="D946" s="58"/>
      <c r="E946" s="58"/>
      <c r="F946" s="59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</row>
    <row r="947">
      <c r="A947" s="45"/>
      <c r="B947" s="45"/>
      <c r="C947" s="45"/>
      <c r="D947" s="58"/>
      <c r="E947" s="58"/>
      <c r="F947" s="59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</row>
    <row r="948">
      <c r="A948" s="45"/>
      <c r="B948" s="45"/>
      <c r="C948" s="45"/>
      <c r="D948" s="58"/>
      <c r="E948" s="58"/>
      <c r="F948" s="59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</row>
    <row r="949">
      <c r="A949" s="45"/>
      <c r="B949" s="45"/>
      <c r="C949" s="45"/>
      <c r="D949" s="58"/>
      <c r="E949" s="58"/>
      <c r="F949" s="59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</row>
    <row r="950">
      <c r="A950" s="45"/>
      <c r="B950" s="45"/>
      <c r="C950" s="45"/>
      <c r="D950" s="58"/>
      <c r="E950" s="58"/>
      <c r="F950" s="59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</row>
    <row r="951">
      <c r="A951" s="45"/>
      <c r="B951" s="45"/>
      <c r="C951" s="45"/>
      <c r="D951" s="58"/>
      <c r="E951" s="58"/>
      <c r="F951" s="59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</row>
    <row r="952">
      <c r="A952" s="45"/>
      <c r="B952" s="45"/>
      <c r="C952" s="45"/>
      <c r="D952" s="58"/>
      <c r="E952" s="58"/>
      <c r="F952" s="59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</row>
    <row r="953">
      <c r="A953" s="45"/>
      <c r="B953" s="45"/>
      <c r="C953" s="45"/>
      <c r="D953" s="58"/>
      <c r="E953" s="58"/>
      <c r="F953" s="59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</row>
    <row r="954">
      <c r="A954" s="45"/>
      <c r="B954" s="45"/>
      <c r="C954" s="45"/>
      <c r="D954" s="58"/>
      <c r="E954" s="58"/>
      <c r="F954" s="59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</row>
    <row r="955">
      <c r="A955" s="45"/>
      <c r="B955" s="45"/>
      <c r="C955" s="45"/>
      <c r="D955" s="58"/>
      <c r="E955" s="58"/>
      <c r="F955" s="59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</row>
    <row r="956">
      <c r="A956" s="45"/>
      <c r="B956" s="45"/>
      <c r="C956" s="45"/>
      <c r="D956" s="58"/>
      <c r="E956" s="58"/>
      <c r="F956" s="59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</row>
    <row r="957">
      <c r="A957" s="45"/>
      <c r="B957" s="45"/>
      <c r="C957" s="45"/>
      <c r="D957" s="58"/>
      <c r="E957" s="58"/>
      <c r="F957" s="59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</row>
    <row r="958">
      <c r="A958" s="45"/>
      <c r="B958" s="45"/>
      <c r="C958" s="45"/>
      <c r="D958" s="58"/>
      <c r="E958" s="58"/>
      <c r="F958" s="59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</row>
    <row r="959">
      <c r="A959" s="45"/>
      <c r="B959" s="45"/>
      <c r="C959" s="45"/>
      <c r="D959" s="58"/>
      <c r="E959" s="58"/>
      <c r="F959" s="59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</row>
    <row r="960">
      <c r="A960" s="45"/>
      <c r="B960" s="45"/>
      <c r="C960" s="45"/>
      <c r="D960" s="58"/>
      <c r="E960" s="58"/>
      <c r="F960" s="59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</row>
    <row r="961">
      <c r="A961" s="45"/>
      <c r="B961" s="45"/>
      <c r="C961" s="45"/>
      <c r="D961" s="58"/>
      <c r="E961" s="58"/>
      <c r="F961" s="59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</row>
    <row r="962">
      <c r="A962" s="45"/>
      <c r="B962" s="45"/>
      <c r="C962" s="45"/>
      <c r="D962" s="58"/>
      <c r="E962" s="58"/>
      <c r="F962" s="59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</row>
    <row r="963">
      <c r="A963" s="45"/>
      <c r="B963" s="45"/>
      <c r="C963" s="45"/>
      <c r="D963" s="58"/>
      <c r="E963" s="58"/>
      <c r="F963" s="59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</row>
    <row r="964">
      <c r="A964" s="45"/>
      <c r="B964" s="45"/>
      <c r="C964" s="45"/>
      <c r="D964" s="58"/>
      <c r="E964" s="58"/>
      <c r="F964" s="59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</row>
    <row r="965">
      <c r="A965" s="45"/>
      <c r="B965" s="45"/>
      <c r="C965" s="45"/>
      <c r="D965" s="58"/>
      <c r="E965" s="58"/>
      <c r="F965" s="59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</row>
    <row r="966">
      <c r="A966" s="45"/>
      <c r="B966" s="45"/>
      <c r="C966" s="45"/>
      <c r="D966" s="58"/>
      <c r="E966" s="58"/>
      <c r="F966" s="59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</row>
    <row r="967">
      <c r="A967" s="45"/>
      <c r="B967" s="45"/>
      <c r="C967" s="45"/>
      <c r="D967" s="58"/>
      <c r="E967" s="58"/>
      <c r="F967" s="59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</row>
    <row r="968">
      <c r="A968" s="45"/>
      <c r="B968" s="45"/>
      <c r="C968" s="45"/>
      <c r="D968" s="58"/>
      <c r="E968" s="58"/>
      <c r="F968" s="59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</row>
    <row r="969">
      <c r="A969" s="45"/>
      <c r="B969" s="45"/>
      <c r="C969" s="45"/>
      <c r="D969" s="58"/>
      <c r="E969" s="58"/>
      <c r="F969" s="59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</row>
    <row r="970">
      <c r="A970" s="45"/>
      <c r="B970" s="45"/>
      <c r="C970" s="45"/>
      <c r="D970" s="58"/>
      <c r="E970" s="58"/>
      <c r="F970" s="59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</row>
    <row r="971">
      <c r="A971" s="45"/>
      <c r="B971" s="45"/>
      <c r="C971" s="45"/>
      <c r="D971" s="58"/>
      <c r="E971" s="58"/>
      <c r="F971" s="59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</row>
    <row r="972">
      <c r="A972" s="45"/>
      <c r="B972" s="45"/>
      <c r="C972" s="45"/>
      <c r="D972" s="58"/>
      <c r="E972" s="58"/>
      <c r="F972" s="59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</row>
    <row r="973">
      <c r="A973" s="45"/>
      <c r="B973" s="45"/>
      <c r="C973" s="45"/>
      <c r="D973" s="58"/>
      <c r="E973" s="58"/>
      <c r="F973" s="59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</row>
    <row r="974">
      <c r="A974" s="45"/>
      <c r="B974" s="45"/>
      <c r="C974" s="45"/>
      <c r="D974" s="58"/>
      <c r="E974" s="58"/>
      <c r="F974" s="59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</row>
    <row r="975">
      <c r="A975" s="45"/>
      <c r="B975" s="45"/>
      <c r="C975" s="45"/>
      <c r="D975" s="58"/>
      <c r="E975" s="58"/>
      <c r="F975" s="59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</row>
    <row r="976">
      <c r="A976" s="45"/>
      <c r="B976" s="45"/>
      <c r="C976" s="45"/>
      <c r="D976" s="58"/>
      <c r="E976" s="58"/>
      <c r="F976" s="59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</row>
    <row r="977">
      <c r="A977" s="45"/>
      <c r="B977" s="45"/>
      <c r="C977" s="45"/>
      <c r="D977" s="58"/>
      <c r="E977" s="58"/>
      <c r="F977" s="59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</row>
    <row r="978">
      <c r="A978" s="45"/>
      <c r="B978" s="45"/>
      <c r="C978" s="45"/>
      <c r="D978" s="58"/>
      <c r="E978" s="58"/>
      <c r="F978" s="59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</row>
    <row r="979">
      <c r="A979" s="45"/>
      <c r="B979" s="45"/>
      <c r="C979" s="45"/>
      <c r="D979" s="58"/>
      <c r="E979" s="58"/>
      <c r="F979" s="59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</row>
    <row r="980">
      <c r="A980" s="45"/>
      <c r="B980" s="45"/>
      <c r="C980" s="45"/>
      <c r="D980" s="58"/>
      <c r="E980" s="58"/>
      <c r="F980" s="59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</row>
    <row r="981">
      <c r="A981" s="45"/>
      <c r="B981" s="45"/>
      <c r="C981" s="45"/>
      <c r="D981" s="58"/>
      <c r="E981" s="58"/>
      <c r="F981" s="59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</row>
    <row r="982">
      <c r="A982" s="45"/>
      <c r="B982" s="45"/>
      <c r="C982" s="45"/>
      <c r="D982" s="58"/>
      <c r="E982" s="58"/>
      <c r="F982" s="59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</row>
    <row r="983">
      <c r="A983" s="45"/>
      <c r="B983" s="45"/>
      <c r="C983" s="45"/>
      <c r="D983" s="58"/>
      <c r="E983" s="58"/>
      <c r="F983" s="59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</row>
    <row r="984">
      <c r="A984" s="45"/>
      <c r="B984" s="45"/>
      <c r="C984" s="45"/>
      <c r="D984" s="58"/>
      <c r="E984" s="58"/>
      <c r="F984" s="59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</row>
    <row r="985">
      <c r="A985" s="45"/>
      <c r="B985" s="45"/>
      <c r="C985" s="45"/>
      <c r="D985" s="58"/>
      <c r="E985" s="58"/>
      <c r="F985" s="59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</row>
    <row r="986">
      <c r="A986" s="45"/>
      <c r="B986" s="45"/>
      <c r="C986" s="45"/>
      <c r="D986" s="58"/>
      <c r="E986" s="58"/>
      <c r="F986" s="59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</row>
    <row r="987">
      <c r="A987" s="45"/>
      <c r="B987" s="45"/>
      <c r="C987" s="45"/>
      <c r="D987" s="58"/>
      <c r="E987" s="58"/>
      <c r="F987" s="59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</row>
    <row r="988">
      <c r="A988" s="45"/>
      <c r="B988" s="45"/>
      <c r="C988" s="45"/>
      <c r="D988" s="58"/>
      <c r="E988" s="58"/>
      <c r="F988" s="59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</row>
    <row r="989">
      <c r="A989" s="45"/>
      <c r="B989" s="45"/>
      <c r="C989" s="45"/>
      <c r="D989" s="58"/>
      <c r="E989" s="58"/>
      <c r="F989" s="59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</row>
    <row r="990">
      <c r="A990" s="45"/>
      <c r="B990" s="45"/>
      <c r="C990" s="45"/>
      <c r="D990" s="58"/>
      <c r="E990" s="58"/>
      <c r="F990" s="59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</row>
    <row r="991">
      <c r="A991" s="45"/>
      <c r="B991" s="45"/>
      <c r="C991" s="45"/>
      <c r="D991" s="58"/>
      <c r="E991" s="58"/>
      <c r="F991" s="59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</row>
    <row r="992">
      <c r="A992" s="45"/>
      <c r="B992" s="45"/>
      <c r="C992" s="45"/>
      <c r="D992" s="58"/>
      <c r="E992" s="58"/>
      <c r="F992" s="59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</row>
    <row r="993">
      <c r="A993" s="45"/>
      <c r="B993" s="45"/>
      <c r="C993" s="45"/>
      <c r="D993" s="58"/>
      <c r="E993" s="58"/>
      <c r="F993" s="59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</row>
    <row r="994">
      <c r="A994" s="45"/>
      <c r="B994" s="45"/>
      <c r="C994" s="45"/>
      <c r="D994" s="58"/>
      <c r="E994" s="58"/>
      <c r="F994" s="59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</row>
    <row r="995">
      <c r="A995" s="45"/>
      <c r="B995" s="45"/>
      <c r="C995" s="45"/>
      <c r="D995" s="58"/>
      <c r="E995" s="58"/>
      <c r="F995" s="59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</row>
    <row r="996">
      <c r="A996" s="45"/>
      <c r="B996" s="45"/>
      <c r="C996" s="45"/>
      <c r="D996" s="58"/>
      <c r="E996" s="58"/>
      <c r="F996" s="59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</row>
    <row r="997">
      <c r="A997" s="45"/>
      <c r="B997" s="45"/>
      <c r="C997" s="45"/>
      <c r="D997" s="58"/>
      <c r="E997" s="58"/>
      <c r="F997" s="59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</row>
    <row r="998">
      <c r="A998" s="45"/>
      <c r="B998" s="45"/>
      <c r="C998" s="45"/>
      <c r="D998" s="58"/>
      <c r="E998" s="58"/>
      <c r="F998" s="59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</row>
    <row r="999">
      <c r="A999" s="45"/>
      <c r="B999" s="45"/>
      <c r="C999" s="45"/>
      <c r="D999" s="58"/>
      <c r="E999" s="58"/>
      <c r="F999" s="59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</row>
    <row r="1000">
      <c r="A1000" s="45"/>
      <c r="C1000" s="45"/>
      <c r="D1000" s="58"/>
      <c r="E1000" s="58"/>
      <c r="F1000" s="59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</row>
    <row r="1001">
      <c r="D1001" s="58"/>
      <c r="E1001" s="58"/>
      <c r="F1001" s="59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</row>
    <row r="1002">
      <c r="D1002" s="58"/>
      <c r="E1002" s="58"/>
      <c r="F1002" s="59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</row>
  </sheetData>
  <mergeCells count="3">
    <mergeCell ref="A1:B1"/>
    <mergeCell ref="D1:F1"/>
    <mergeCell ref="A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40.63"/>
  </cols>
  <sheetData>
    <row r="1">
      <c r="A1" s="11" t="str">
        <f>IFERROR(__xludf.DUMMYFUNCTION("IMPORTRANGE(""https://docs.google.com/spreadsheets/d/1zP2iAzjgU13eMcyJKv2pLG1kjW3niorv-wMe7G66IsE"",""Wallet List!A:Z"")"),"Name")</f>
        <v>Name</v>
      </c>
      <c r="B1" s="11" t="str">
        <f>IFERROR(__xludf.DUMMYFUNCTION("""COMPUTED_VALUE"""),"Address")</f>
        <v>Address</v>
      </c>
      <c r="C1" s="11" t="str">
        <f>IFERROR(__xludf.DUMMYFUNCTION("""COMPUTED_VALUE"""),"Strategy
Native
Token")</f>
        <v>Strategy
Native
Token</v>
      </c>
      <c r="D1" s="11" t="str">
        <f>IFERROR(__xludf.DUMMYFUNCTION("""COMPUTED_VALUE"""),"Status")</f>
        <v>Status</v>
      </c>
      <c r="E1" s="11" t="str">
        <f>IFERROR(__xludf.DUMMYFUNCTION("""COMPUTED_VALUE"""),"FB Access")</f>
        <v>FB Access</v>
      </c>
      <c r="F1" s="11" t="str">
        <f>IFERROR(__xludf.DUMMYFUNCTION("""COMPUTED_VALUE"""),"Deployed")</f>
        <v>Deployed</v>
      </c>
      <c r="G1" s="11" t="str">
        <f>IFERROR(__xludf.DUMMYFUNCTION("""COMPUTED_VALUE"""),"Balance")</f>
        <v>Balance</v>
      </c>
      <c r="H1" s="11" t="str">
        <f>IFERROR(__xludf.DUMMYFUNCTION("""COMPUTED_VALUE"""),"Delta")</f>
        <v>Delta</v>
      </c>
      <c r="I1" s="11" t="str">
        <f>IFERROR(__xludf.DUMMYFUNCTION("""COMPUTED_VALUE"""),"Note &amp; Action Items")</f>
        <v>Note &amp; Action Items</v>
      </c>
      <c r="J1" s="11" t="str">
        <f>IFERROR(__xludf.DUMMYFUNCTION("""COMPUTED_VALUE"""),"API Symbol")</f>
        <v>API Symbol</v>
      </c>
      <c r="K1" s="11" t="str">
        <f>IFERROR(__xludf.DUMMYFUNCTION("""COMPUTED_VALUE"""),"BTC")</f>
        <v>BTC</v>
      </c>
      <c r="L1" s="11" t="str">
        <f>IFERROR(__xludf.DUMMYFUNCTION("""COMPUTED_VALUE"""),"ETH")</f>
        <v>ETH</v>
      </c>
      <c r="M1" s="11" t="str">
        <f>IFERROR(__xludf.DUMMYFUNCTION("""COMPUTED_VALUE"""),"LINK")</f>
        <v>LINK</v>
      </c>
      <c r="N1" s="11" t="str">
        <f>IFERROR(__xludf.DUMMYFUNCTION("""COMPUTED_VALUE"""),"LUSD Curve")</f>
        <v>LUSD Curve</v>
      </c>
      <c r="O1" s="11" t="str">
        <f>IFERROR(__xludf.DUMMYFUNCTION("""COMPUTED_VALUE"""),"BUSD")</f>
        <v>BUSD</v>
      </c>
      <c r="P1" s="11" t="str">
        <f>IFERROR(__xludf.DUMMYFUNCTION("""COMPUTED_VALUE"""),"USDC")</f>
        <v>USDC</v>
      </c>
      <c r="Q1" s="11" t="str">
        <f>IFERROR(__xludf.DUMMYFUNCTION("""COMPUTED_VALUE"""),"UNI")</f>
        <v>UNI</v>
      </c>
      <c r="R1" s="11" t="str">
        <f>IFERROR(__xludf.DUMMYFUNCTION("""COMPUTED_VALUE"""),"BAT")</f>
        <v>BAT</v>
      </c>
    </row>
    <row r="2">
      <c r="A2" s="11" t="str">
        <f>IFERROR(__xludf.DUMMYFUNCTION("""COMPUTED_VALUE"""),"YD - AlphaHv2")</f>
        <v>YD - AlphaHv2</v>
      </c>
      <c r="B2" s="11" t="str">
        <f>IFERROR(__xludf.DUMMYFUNCTION("""COMPUTED_VALUE"""),"0x5670b3E44AdE4BD9D04A73fB88994E37A0d48f27")</f>
        <v>0x5670b3E44AdE4BD9D04A73fB88994E37A0d48f27</v>
      </c>
      <c r="C2" s="11" t="str">
        <f>IFERROR(__xludf.DUMMYFUNCTION("""COMPUTED_VALUE"""),"Multiple")</f>
        <v>Multiple</v>
      </c>
      <c r="D2" s="11" t="str">
        <f>IFERROR(__xludf.DUMMYFUNCTION("""COMPUTED_VALUE"""),"Live")</f>
        <v>Live</v>
      </c>
      <c r="E2" s="11" t="b">
        <f>IFERROR(__xludf.DUMMYFUNCTION("""COMPUTED_VALUE"""),TRUE)</f>
        <v>1</v>
      </c>
      <c r="F2" s="60">
        <f>IFERROR(__xludf.DUMMYFUNCTION("""COMPUTED_VALUE"""),0.0)</f>
        <v>0</v>
      </c>
      <c r="G2" s="60">
        <f>IFERROR(__xludf.DUMMYFUNCTION("""COMPUTED_VALUE"""),1.804089089634361E7)</f>
        <v>18040890.9</v>
      </c>
      <c r="H2" s="60">
        <f>IFERROR(__xludf.DUMMYFUNCTION("""COMPUTED_VALUE"""),1.804089089634361E7)</f>
        <v>18040890.9</v>
      </c>
      <c r="I2" s="11"/>
      <c r="J2" s="11"/>
      <c r="K2" s="11"/>
      <c r="L2" s="35">
        <f>IFERROR(__xludf.DUMMYFUNCTION("""COMPUTED_VALUE"""),0.014)</f>
        <v>0.014</v>
      </c>
      <c r="M2" s="35">
        <f>IFERROR(__xludf.DUMMYFUNCTION("""COMPUTED_VALUE"""),0.002)</f>
        <v>0.002</v>
      </c>
      <c r="N2" s="11"/>
      <c r="O2" s="11"/>
      <c r="P2" s="11"/>
      <c r="Q2" s="11"/>
      <c r="R2" s="11"/>
    </row>
    <row r="3">
      <c r="A3" s="11" t="str">
        <f>IFERROR(__xludf.DUMMYFUNCTION("""COMPUTED_VALUE"""),"YD - AlphaHv2 - ibETHv2")</f>
        <v>YD - AlphaHv2 - ibETHv2</v>
      </c>
      <c r="B3" s="11" t="str">
        <f>IFERROR(__xludf.DUMMYFUNCTION("""COMPUTED_VALUE"""),"0x210A3D989f60184b8B59C844Ed0e0D661A783170")</f>
        <v>0x210A3D989f60184b8B59C844Ed0e0D661A783170</v>
      </c>
      <c r="C3" s="11" t="str">
        <f>IFERROR(__xludf.DUMMYFUNCTION("""COMPUTED_VALUE"""),"ETH")</f>
        <v>ETH</v>
      </c>
      <c r="D3" s="11" t="str">
        <f>IFERROR(__xludf.DUMMYFUNCTION("""COMPUTED_VALUE"""),"Archived")</f>
        <v>Archived</v>
      </c>
      <c r="E3" s="11" t="b">
        <f>IFERROR(__xludf.DUMMYFUNCTION("""COMPUTED_VALUE"""),TRUE)</f>
        <v>1</v>
      </c>
      <c r="F3" s="60">
        <f>IFERROR(__xludf.DUMMYFUNCTION("""COMPUTED_VALUE"""),0.0)</f>
        <v>0</v>
      </c>
      <c r="G3" s="60">
        <f>IFERROR(__xludf.DUMMYFUNCTION("""COMPUTED_VALUE"""),0.0)</f>
        <v>0</v>
      </c>
      <c r="H3" s="60">
        <f>IFERROR(__xludf.DUMMYFUNCTION("""COMPUTED_VALUE"""),0.0)</f>
        <v>0</v>
      </c>
      <c r="I3" s="11" t="str">
        <f>IFERROR(__xludf.DUMMYFUNCTION("""COMPUTED_VALUE"""),"Migrated to YD - AlphaHv2")</f>
        <v>Migrated to YD - AlphaHv2</v>
      </c>
      <c r="J3" s="11"/>
      <c r="K3" s="11"/>
      <c r="L3" s="11"/>
      <c r="M3" s="11"/>
      <c r="N3" s="11"/>
      <c r="O3" s="11"/>
      <c r="P3" s="11"/>
      <c r="Q3" s="11"/>
      <c r="R3" s="11"/>
    </row>
    <row r="4">
      <c r="A4" s="11" t="str">
        <f>IFERROR(__xludf.DUMMYFUNCTION("""COMPUTED_VALUE"""),"YD - AlphaHv2 - ibUSDCv2")</f>
        <v>YD - AlphaHv2 - ibUSDCv2</v>
      </c>
      <c r="B4" s="11" t="str">
        <f>IFERROR(__xludf.DUMMYFUNCTION("""COMPUTED_VALUE"""),"0x01182e33E2156b59Fc7515b03251DE8fc4a6772c")</f>
        <v>0x01182e33E2156b59Fc7515b03251DE8fc4a6772c</v>
      </c>
      <c r="C4" s="11" t="str">
        <f>IFERROR(__xludf.DUMMYFUNCTION("""COMPUTED_VALUE"""),"USDC")</f>
        <v>USDC</v>
      </c>
      <c r="D4" s="11" t="str">
        <f>IFERROR(__xludf.DUMMYFUNCTION("""COMPUTED_VALUE"""),"Archived")</f>
        <v>Archived</v>
      </c>
      <c r="E4" s="11" t="b">
        <f>IFERROR(__xludf.DUMMYFUNCTION("""COMPUTED_VALUE"""),TRUE)</f>
        <v>1</v>
      </c>
      <c r="F4" s="60">
        <f>IFERROR(__xludf.DUMMYFUNCTION("""COMPUTED_VALUE"""),0.0)</f>
        <v>0</v>
      </c>
      <c r="G4" s="60">
        <f>IFERROR(__xludf.DUMMYFUNCTION("""COMPUTED_VALUE"""),0.0)</f>
        <v>0</v>
      </c>
      <c r="H4" s="60">
        <f>IFERROR(__xludf.DUMMYFUNCTION("""COMPUTED_VALUE"""),0.0)</f>
        <v>0</v>
      </c>
      <c r="I4" s="11" t="str">
        <f>IFERROR(__xludf.DUMMYFUNCTION("""COMPUTED_VALUE"""),"Migrated to YD - AlphaHv2")</f>
        <v>Migrated to YD - AlphaHv2</v>
      </c>
      <c r="J4" s="11"/>
      <c r="K4" s="11"/>
      <c r="L4" s="11"/>
      <c r="M4" s="11"/>
      <c r="N4" s="11"/>
      <c r="O4" s="11"/>
      <c r="P4" s="11"/>
      <c r="Q4" s="11"/>
      <c r="R4" s="11"/>
    </row>
    <row r="5">
      <c r="A5" s="11" t="str">
        <f>IFERROR(__xludf.DUMMYFUNCTION("""COMPUTED_VALUE"""),"YD - BADGER - byvWBTC")</f>
        <v>YD - BADGER - byvWBTC</v>
      </c>
      <c r="B5" s="11" t="str">
        <f>IFERROR(__xludf.DUMMYFUNCTION("""COMPUTED_VALUE"""),"0xAF074a103D06c4D194E6F5371CA660CAF992c910")</f>
        <v>0xAF074a103D06c4D194E6F5371CA660CAF992c910</v>
      </c>
      <c r="C5" s="11" t="str">
        <f>IFERROR(__xludf.DUMMYFUNCTION("""COMPUTED_VALUE"""),"BTC")</f>
        <v>BTC</v>
      </c>
      <c r="D5" s="11" t="str">
        <f>IFERROR(__xludf.DUMMYFUNCTION("""COMPUTED_VALUE"""),"Migrated")</f>
        <v>Migrated</v>
      </c>
      <c r="E5" s="11" t="b">
        <f>IFERROR(__xludf.DUMMYFUNCTION("""COMPUTED_VALUE"""),TRUE)</f>
        <v>1</v>
      </c>
      <c r="F5" s="60">
        <f>IFERROR(__xludf.DUMMYFUNCTION("""COMPUTED_VALUE"""),0.0)</f>
        <v>0</v>
      </c>
      <c r="G5" s="60">
        <f>IFERROR(__xludf.DUMMYFUNCTION("""COMPUTED_VALUE"""),380.985)</f>
        <v>380.985</v>
      </c>
      <c r="H5" s="60">
        <f>IFERROR(__xludf.DUMMYFUNCTION("""COMPUTED_VALUE"""),380.985)</f>
        <v>380.985</v>
      </c>
      <c r="I5" s="11" t="str">
        <f>IFERROR(__xludf.DUMMYFUNCTION("""COMPUTED_VALUE"""),"$4k BADGER claimable, Migrated to
Yield Desk - Badger")</f>
        <v>$4k BADGER claimable, Migrated to
Yield Desk - Badger</v>
      </c>
      <c r="J5" s="11"/>
      <c r="K5" s="11"/>
      <c r="L5" s="11"/>
      <c r="M5" s="11"/>
      <c r="N5" s="11"/>
      <c r="O5" s="11"/>
      <c r="P5" s="11"/>
      <c r="Q5" s="11"/>
      <c r="R5" s="11"/>
    </row>
    <row r="6">
      <c r="A6" s="11" t="str">
        <f>IFERROR(__xludf.DUMMYFUNCTION("""COMPUTED_VALUE"""),"YD - BADGER - DIGG_WBTC")</f>
        <v>YD - BADGER - DIGG_WBTC</v>
      </c>
      <c r="B6" s="11" t="str">
        <f>IFERROR(__xludf.DUMMYFUNCTION("""COMPUTED_VALUE"""),"0x3975C876165E2b337F5Fdf5e0De158512e2cB8b9")</f>
        <v>0x3975C876165E2b337F5Fdf5e0De158512e2cB8b9</v>
      </c>
      <c r="C6" s="11" t="str">
        <f>IFERROR(__xludf.DUMMYFUNCTION("""COMPUTED_VALUE"""),"BTC")</f>
        <v>BTC</v>
      </c>
      <c r="D6" s="11" t="str">
        <f>IFERROR(__xludf.DUMMYFUNCTION("""COMPUTED_VALUE"""),"Archived")</f>
        <v>Archived</v>
      </c>
      <c r="E6" s="11" t="b">
        <f>IFERROR(__xludf.DUMMYFUNCTION("""COMPUTED_VALUE"""),TRUE)</f>
        <v>1</v>
      </c>
      <c r="F6" s="60">
        <f>IFERROR(__xludf.DUMMYFUNCTION("""COMPUTED_VALUE"""),0.0)</f>
        <v>0</v>
      </c>
      <c r="G6" s="60">
        <f>IFERROR(__xludf.DUMMYFUNCTION("""COMPUTED_VALUE"""),0.0)</f>
        <v>0</v>
      </c>
      <c r="H6" s="60">
        <f>IFERROR(__xludf.DUMMYFUNCTION("""COMPUTED_VALUE"""),0.0)</f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>
      <c r="A7" s="11" t="str">
        <f>IFERROR(__xludf.DUMMYFUNCTION("""COMPUTED_VALUE"""),"YD - BADGER - renBTCCRV")</f>
        <v>YD - BADGER - renBTCCRV</v>
      </c>
      <c r="B7" s="11" t="str">
        <f>IFERROR(__xludf.DUMMYFUNCTION("""COMPUTED_VALUE"""),"0xb3c934b6659EE18E73EaC6Cc971ee4c6BE31957b")</f>
        <v>0xb3c934b6659EE18E73EaC6Cc971ee4c6BE31957b</v>
      </c>
      <c r="C7" s="11" t="str">
        <f>IFERROR(__xludf.DUMMYFUNCTION("""COMPUTED_VALUE"""),"BTC")</f>
        <v>BTC</v>
      </c>
      <c r="D7" s="11" t="str">
        <f>IFERROR(__xludf.DUMMYFUNCTION("""COMPUTED_VALUE"""),"Archived")</f>
        <v>Archived</v>
      </c>
      <c r="E7" s="11" t="b">
        <f>IFERROR(__xludf.DUMMYFUNCTION("""COMPUTED_VALUE"""),TRUE)</f>
        <v>1</v>
      </c>
      <c r="F7" s="60">
        <f>IFERROR(__xludf.DUMMYFUNCTION("""COMPUTED_VALUE"""),0.0)</f>
        <v>0</v>
      </c>
      <c r="G7" s="60">
        <f>IFERROR(__xludf.DUMMYFUNCTION("""COMPUTED_VALUE"""),0.0)</f>
        <v>0</v>
      </c>
      <c r="H7" s="60">
        <f>IFERROR(__xludf.DUMMYFUNCTION("""COMPUTED_VALUE"""),0.0)</f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>
      <c r="A8" s="11" t="str">
        <f>IFERROR(__xludf.DUMMYFUNCTION("""COMPUTED_VALUE"""),"YD - BADGER - sBTCCRV")</f>
        <v>YD - BADGER - sBTCCRV</v>
      </c>
      <c r="B8" s="11" t="str">
        <f>IFERROR(__xludf.DUMMYFUNCTION("""COMPUTED_VALUE"""),"0xf341c7147d06a74e48d34Fa92b1367Ee7cbe4271")</f>
        <v>0xf341c7147d06a74e48d34Fa92b1367Ee7cbe4271</v>
      </c>
      <c r="C8" s="11" t="str">
        <f>IFERROR(__xludf.DUMMYFUNCTION("""COMPUTED_VALUE"""),"BTC")</f>
        <v>BTC</v>
      </c>
      <c r="D8" s="11" t="str">
        <f>IFERROR(__xludf.DUMMYFUNCTION("""COMPUTED_VALUE"""),"Archived")</f>
        <v>Archived</v>
      </c>
      <c r="E8" s="11" t="b">
        <f>IFERROR(__xludf.DUMMYFUNCTION("""COMPUTED_VALUE"""),TRUE)</f>
        <v>1</v>
      </c>
      <c r="F8" s="60">
        <f>IFERROR(__xludf.DUMMYFUNCTION("""COMPUTED_VALUE"""),0.0)</f>
        <v>0</v>
      </c>
      <c r="G8" s="60">
        <f>IFERROR(__xludf.DUMMYFUNCTION("""COMPUTED_VALUE"""),0.0)</f>
        <v>0</v>
      </c>
      <c r="H8" s="60">
        <f>IFERROR(__xludf.DUMMYFUNCTION("""COMPUTED_VALUE"""),0.0)</f>
        <v>0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>
      <c r="A9" s="11" t="str">
        <f>IFERROR(__xludf.DUMMYFUNCTION("""COMPUTED_VALUE"""),"YD - Compound - WBTC")</f>
        <v>YD - Compound - WBTC</v>
      </c>
      <c r="B9" s="11" t="str">
        <f>IFERROR(__xludf.DUMMYFUNCTION("""COMPUTED_VALUE"""),"0x6C0DA3AdedBa198e06164cfaB6326ccCe1A97730")</f>
        <v>0x6C0DA3AdedBa198e06164cfaB6326ccCe1A97730</v>
      </c>
      <c r="C9" s="11" t="str">
        <f>IFERROR(__xludf.DUMMYFUNCTION("""COMPUTED_VALUE"""),"BTC")</f>
        <v>BTC</v>
      </c>
      <c r="D9" s="11" t="str">
        <f>IFERROR(__xludf.DUMMYFUNCTION("""COMPUTED_VALUE"""),"Exited")</f>
        <v>Exited</v>
      </c>
      <c r="E9" s="11" t="b">
        <f>IFERROR(__xludf.DUMMYFUNCTION("""COMPUTED_VALUE"""),TRUE)</f>
        <v>1</v>
      </c>
      <c r="F9" s="60">
        <f>IFERROR(__xludf.DUMMYFUNCTION("""COMPUTED_VALUE"""),0.0)</f>
        <v>0</v>
      </c>
      <c r="G9" s="60">
        <f>IFERROR(__xludf.DUMMYFUNCTION("""COMPUTED_VALUE"""),0.0)</f>
        <v>0</v>
      </c>
      <c r="H9" s="60">
        <f>IFERROR(__xludf.DUMMYFUNCTION("""COMPUTED_VALUE"""),0.0)</f>
        <v>0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>
      <c r="A10" s="11" t="str">
        <f>IFERROR(__xludf.DUMMYFUNCTION("""COMPUTED_VALUE"""),"YD-Badger-bBTC
")</f>
        <v>YD-Badger-bBTC
</v>
      </c>
      <c r="B10" s="11" t="str">
        <f>IFERROR(__xludf.DUMMYFUNCTION("""COMPUTED_VALUE"""),"0x433CFfFeA18b811017856e9659ada4e6B441312d")</f>
        <v>0x433CFfFeA18b811017856e9659ada4e6B441312d</v>
      </c>
      <c r="C10" s="11" t="str">
        <f>IFERROR(__xludf.DUMMYFUNCTION("""COMPUTED_VALUE"""),"BTC")</f>
        <v>BTC</v>
      </c>
      <c r="D10" s="11" t="str">
        <f>IFERROR(__xludf.DUMMYFUNCTION("""COMPUTED_VALUE"""),"Live")</f>
        <v>Live</v>
      </c>
      <c r="E10" s="11" t="b">
        <f>IFERROR(__xludf.DUMMYFUNCTION("""COMPUTED_VALUE"""),TRUE)</f>
        <v>1</v>
      </c>
      <c r="F10" s="60">
        <f>IFERROR(__xludf.DUMMYFUNCTION("""COMPUTED_VALUE"""),0.0)</f>
        <v>0</v>
      </c>
      <c r="G10" s="60">
        <f>IFERROR(__xludf.DUMMYFUNCTION("""COMPUTED_VALUE"""),0.0)</f>
        <v>0</v>
      </c>
      <c r="H10" s="60">
        <f>IFERROR(__xludf.DUMMYFUNCTION("""COMPUTED_VALUE"""),0.0)</f>
        <v>0</v>
      </c>
      <c r="I10" s="11" t="str">
        <f>IFERROR(__xludf.DUMMYFUNCTION("""COMPUTED_VALUE"""),"Wallet name change, Old name: 'YD-Convex-bBTC'
")</f>
        <v>Wallet name change, Old name: 'YD-Convex-bBTC'
</v>
      </c>
      <c r="J10" s="11"/>
      <c r="K10" s="61">
        <f>IFERROR(__xludf.DUMMYFUNCTION("""COMPUTED_VALUE"""),0.02)</f>
        <v>0.02</v>
      </c>
      <c r="L10" s="11"/>
      <c r="M10" s="11"/>
      <c r="N10" s="11"/>
      <c r="O10" s="11"/>
      <c r="P10" s="11"/>
      <c r="Q10" s="11"/>
      <c r="R10" s="11"/>
    </row>
    <row r="11">
      <c r="A11" s="11" t="str">
        <f>IFERROR(__xludf.DUMMYFUNCTION("""COMPUTED_VALUE"""),"YD - Convex - LUSD")</f>
        <v>YD - Convex - LUSD</v>
      </c>
      <c r="B11" s="11" t="str">
        <f>IFERROR(__xludf.DUMMYFUNCTION("""COMPUTED_VALUE"""),"0xE32d0090dA539cA9Ab2d1d3fB53B8b91c93DDA12")</f>
        <v>0xE32d0090dA539cA9Ab2d1d3fB53B8b91c93DDA12</v>
      </c>
      <c r="C11" s="11" t="str">
        <f>IFERROR(__xludf.DUMMYFUNCTION("""COMPUTED_VALUE"""),"USDC")</f>
        <v>USDC</v>
      </c>
      <c r="D11" s="11" t="str">
        <f>IFERROR(__xludf.DUMMYFUNCTION("""COMPUTED_VALUE"""),"Live")</f>
        <v>Live</v>
      </c>
      <c r="E11" s="11" t="b">
        <f>IFERROR(__xludf.DUMMYFUNCTION("""COMPUTED_VALUE"""),TRUE)</f>
        <v>1</v>
      </c>
      <c r="F11" s="60">
        <f>IFERROR(__xludf.DUMMYFUNCTION("""COMPUTED_VALUE"""),0.0)</f>
        <v>0</v>
      </c>
      <c r="G11" s="60">
        <f>IFERROR(__xludf.DUMMYFUNCTION("""COMPUTED_VALUE"""),2.9711066158657864E7)</f>
        <v>29711066.16</v>
      </c>
      <c r="H11" s="60">
        <f>IFERROR(__xludf.DUMMYFUNCTION("""COMPUTED_VALUE"""),2.9711066158657864E7)</f>
        <v>29711066.16</v>
      </c>
      <c r="I11" s="11" t="str">
        <f>IFERROR(__xludf.DUMMYFUNCTION("""COMPUTED_VALUE"""),"Keep it as is for now")</f>
        <v>Keep it as is for now</v>
      </c>
      <c r="J11" s="11"/>
      <c r="K11" s="11"/>
      <c r="L11" s="11"/>
      <c r="M11" s="11"/>
      <c r="N11" s="35">
        <f>IFERROR(__xludf.DUMMYFUNCTION("""COMPUTED_VALUE"""),0.2292)</f>
        <v>0.2292</v>
      </c>
      <c r="O11" s="11"/>
      <c r="P11" s="11"/>
      <c r="Q11" s="11"/>
      <c r="R11" s="11"/>
    </row>
    <row r="12">
      <c r="A12" s="11" t="str">
        <f>IFERROR(__xludf.DUMMYFUNCTION("""COMPUTED_VALUE"""),"YD-Badger-oBTC
")</f>
        <v>YD-Badger-oBTC
</v>
      </c>
      <c r="B12" s="11" t="str">
        <f>IFERROR(__xludf.DUMMYFUNCTION("""COMPUTED_VALUE"""),"0x321814791bE9c16cf72DCCf986D455a0a163cE03")</f>
        <v>0x321814791bE9c16cf72DCCf986D455a0a163cE03</v>
      </c>
      <c r="C12" s="11" t="str">
        <f>IFERROR(__xludf.DUMMYFUNCTION("""COMPUTED_VALUE"""),"BTC")</f>
        <v>BTC</v>
      </c>
      <c r="D12" s="11" t="str">
        <f>IFERROR(__xludf.DUMMYFUNCTION("""COMPUTED_VALUE"""),"Live")</f>
        <v>Live</v>
      </c>
      <c r="E12" s="11" t="b">
        <f>IFERROR(__xludf.DUMMYFUNCTION("""COMPUTED_VALUE"""),TRUE)</f>
        <v>1</v>
      </c>
      <c r="F12" s="60">
        <f>IFERROR(__xludf.DUMMYFUNCTION("""COMPUTED_VALUE"""),0.0)</f>
        <v>0</v>
      </c>
      <c r="G12" s="60">
        <f>IFERROR(__xludf.DUMMYFUNCTION("""COMPUTED_VALUE"""),0.0)</f>
        <v>0</v>
      </c>
      <c r="H12" s="60">
        <f>IFERROR(__xludf.DUMMYFUNCTION("""COMPUTED_VALUE"""),0.0)</f>
        <v>0</v>
      </c>
      <c r="I12" s="11" t="str">
        <f>IFERROR(__xludf.DUMMYFUNCTION("""COMPUTED_VALUE"""),"Wallet name change, Old name: 'YD-Convex-oBTC'")</f>
        <v>Wallet name change, Old name: 'YD-Convex-oBTC'</v>
      </c>
      <c r="J12" s="11"/>
      <c r="K12" s="35">
        <f>IFERROR(__xludf.DUMMYFUNCTION("""COMPUTED_VALUE"""),0.1929)</f>
        <v>0.1929</v>
      </c>
      <c r="L12" s="11"/>
      <c r="M12" s="11"/>
      <c r="N12" s="11"/>
      <c r="O12" s="11"/>
      <c r="P12" s="11"/>
      <c r="Q12" s="11"/>
      <c r="R12" s="11"/>
    </row>
    <row r="13">
      <c r="A13" s="11" t="str">
        <f>IFERROR(__xludf.DUMMYFUNCTION("""COMPUTED_VALUE"""),"YD-Badger-pBTC
")</f>
        <v>YD-Badger-pBTC
</v>
      </c>
      <c r="B13" s="11" t="str">
        <f>IFERROR(__xludf.DUMMYFUNCTION("""COMPUTED_VALUE"""),"0xDe4288cbc81605E615e40aa0E171F74594671e53")</f>
        <v>0xDe4288cbc81605E615e40aa0E171F74594671e53</v>
      </c>
      <c r="C13" s="11" t="str">
        <f>IFERROR(__xludf.DUMMYFUNCTION("""COMPUTED_VALUE"""),"BTC")</f>
        <v>BTC</v>
      </c>
      <c r="D13" s="11" t="str">
        <f>IFERROR(__xludf.DUMMYFUNCTION("""COMPUTED_VALUE"""),"Live")</f>
        <v>Live</v>
      </c>
      <c r="E13" s="11" t="b">
        <f>IFERROR(__xludf.DUMMYFUNCTION("""COMPUTED_VALUE"""),TRUE)</f>
        <v>1</v>
      </c>
      <c r="F13" s="60">
        <f>IFERROR(__xludf.DUMMYFUNCTION("""COMPUTED_VALUE"""),0.0)</f>
        <v>0</v>
      </c>
      <c r="G13" s="60">
        <f>IFERROR(__xludf.DUMMYFUNCTION("""COMPUTED_VALUE"""),0.0)</f>
        <v>0</v>
      </c>
      <c r="H13" s="60">
        <f>IFERROR(__xludf.DUMMYFUNCTION("""COMPUTED_VALUE"""),0.0)</f>
        <v>0</v>
      </c>
      <c r="I13" s="11" t="str">
        <f>IFERROR(__xludf.DUMMYFUNCTION("""COMPUTED_VALUE"""),"Wallet name change, Old name: 'YD-Convex-pBTC'")</f>
        <v>Wallet name change, Old name: 'YD-Convex-pBTC'</v>
      </c>
      <c r="J13" s="11"/>
      <c r="K13" s="35">
        <f>IFERROR(__xludf.DUMMYFUNCTION("""COMPUTED_VALUE"""),0.2022)</f>
        <v>0.2022</v>
      </c>
      <c r="L13" s="11"/>
      <c r="M13" s="11"/>
      <c r="N13" s="11"/>
      <c r="O13" s="11"/>
      <c r="P13" s="11"/>
      <c r="Q13" s="11"/>
      <c r="R13" s="11"/>
    </row>
    <row r="14">
      <c r="A14" s="11" t="str">
        <f>IFERROR(__xludf.DUMMYFUNCTION("""COMPUTED_VALUE"""),"DD - Curve - rETH")</f>
        <v>DD - Curve - rETH</v>
      </c>
      <c r="B14" s="11" t="str">
        <f>IFERROR(__xludf.DUMMYFUNCTION("""COMPUTED_VALUE"""),"0xF8a8199C832256D0Ea397CB96E8A766Ff97d7985")</f>
        <v>0xF8a8199C832256D0Ea397CB96E8A766Ff97d7985</v>
      </c>
      <c r="C14" s="11" t="str">
        <f>IFERROR(__xludf.DUMMYFUNCTION("""COMPUTED_VALUE"""),"ETH")</f>
        <v>ETH</v>
      </c>
      <c r="D14" s="11" t="str">
        <f>IFERROR(__xludf.DUMMYFUNCTION("""COMPUTED_VALUE"""),"Live")</f>
        <v>Live</v>
      </c>
      <c r="E14" s="11" t="b">
        <f>IFERROR(__xludf.DUMMYFUNCTION("""COMPUTED_VALUE"""),TRUE)</f>
        <v>1</v>
      </c>
      <c r="F14" s="60">
        <f>IFERROR(__xludf.DUMMYFUNCTION("""COMPUTED_VALUE"""),0.0)</f>
        <v>0</v>
      </c>
      <c r="G14" s="60">
        <f>IFERROR(__xludf.DUMMYFUNCTION("""COMPUTED_VALUE"""),0.0)</f>
        <v>0</v>
      </c>
      <c r="H14" s="60">
        <f>IFERROR(__xludf.DUMMYFUNCTION("""COMPUTED_VALUE"""),0.0)</f>
        <v>0</v>
      </c>
      <c r="I14" s="11"/>
      <c r="J14" s="11" t="str">
        <f>IFERROR(__xludf.DUMMYFUNCTION("""COMPUTED_VALUE"""),"RETH")</f>
        <v>RETH</v>
      </c>
      <c r="K14" s="11"/>
      <c r="L14" s="35">
        <f>IFERROR(__xludf.DUMMYFUNCTION("""COMPUTED_VALUE"""),0.08096952588908048)</f>
        <v>0.08096952589</v>
      </c>
      <c r="M14" s="11"/>
      <c r="N14" s="11"/>
      <c r="O14" s="11"/>
      <c r="P14" s="11"/>
      <c r="Q14" s="11"/>
      <c r="R14" s="11"/>
    </row>
    <row r="15">
      <c r="A15" s="11" t="str">
        <f>IFERROR(__xludf.DUMMYFUNCTION("""COMPUTED_VALUE"""),"YD - Curve - alUSD")</f>
        <v>YD - Curve - alUSD</v>
      </c>
      <c r="B15" s="11" t="str">
        <f>IFERROR(__xludf.DUMMYFUNCTION("""COMPUTED_VALUE"""),"0xAB7a0225C1B48474EF4F2c984E38bD9A18359E4C")</f>
        <v>0xAB7a0225C1B48474EF4F2c984E38bD9A18359E4C</v>
      </c>
      <c r="C15" s="11" t="str">
        <f>IFERROR(__xludf.DUMMYFUNCTION("""COMPUTED_VALUE"""),"USDT/USDC")</f>
        <v>USDT/USDC</v>
      </c>
      <c r="D15" s="11" t="str">
        <f>IFERROR(__xludf.DUMMYFUNCTION("""COMPUTED_VALUE"""),"Exited")</f>
        <v>Exited</v>
      </c>
      <c r="E15" s="11" t="b">
        <f>IFERROR(__xludf.DUMMYFUNCTION("""COMPUTED_VALUE"""),TRUE)</f>
        <v>1</v>
      </c>
      <c r="F15" s="60">
        <f>IFERROR(__xludf.DUMMYFUNCTION("""COMPUTED_VALUE"""),0.0)</f>
        <v>0</v>
      </c>
      <c r="G15" s="60">
        <f>IFERROR(__xludf.DUMMYFUNCTION("""COMPUTED_VALUE"""),0.0)</f>
        <v>0</v>
      </c>
      <c r="H15" s="60">
        <f>IFERROR(__xludf.DUMMYFUNCTION("""COMPUTED_VALUE"""),0.0)</f>
        <v>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>
      <c r="A16" s="11" t="str">
        <f>IFERROR(__xludf.DUMMYFUNCTION("""COMPUTED_VALUE"""),"YD-Curve/Convex-AnkrETH
")</f>
        <v>YD-Curve/Convex-AnkrETH
</v>
      </c>
      <c r="B16" s="11" t="str">
        <f>IFERROR(__xludf.DUMMYFUNCTION("""COMPUTED_VALUE"""),"0x9D65b98D09914D0cd39172D20292142e4Fb8930a")</f>
        <v>0x9D65b98D09914D0cd39172D20292142e4Fb8930a</v>
      </c>
      <c r="C16" s="11" t="str">
        <f>IFERROR(__xludf.DUMMYFUNCTION("""COMPUTED_VALUE"""),"ETH")</f>
        <v>ETH</v>
      </c>
      <c r="D16" s="11" t="str">
        <f>IFERROR(__xludf.DUMMYFUNCTION("""COMPUTED_VALUE"""),"Live")</f>
        <v>Live</v>
      </c>
      <c r="E16" s="11" t="b">
        <f>IFERROR(__xludf.DUMMYFUNCTION("""COMPUTED_VALUE"""),TRUE)</f>
        <v>1</v>
      </c>
      <c r="F16" s="60">
        <f>IFERROR(__xludf.DUMMYFUNCTION("""COMPUTED_VALUE"""),0.0)</f>
        <v>0</v>
      </c>
      <c r="G16" s="60">
        <f>IFERROR(__xludf.DUMMYFUNCTION("""COMPUTED_VALUE"""),0.0)</f>
        <v>0</v>
      </c>
      <c r="H16" s="60">
        <f>IFERROR(__xludf.DUMMYFUNCTION("""COMPUTED_VALUE"""),0.0)</f>
        <v>0</v>
      </c>
      <c r="I16" s="11" t="str">
        <f>IFERROR(__xludf.DUMMYFUNCTION("""COMPUTED_VALUE"""),"Wallet name change, Old name: 'YD - Curve - AnkrETH'")</f>
        <v>Wallet name change, Old name: 'YD - Curve - AnkrETH'</v>
      </c>
      <c r="J16" s="11" t="str">
        <f>IFERROR(__xludf.DUMMYFUNCTION("""COMPUTED_VALUE"""),"ANKRETH")</f>
        <v>ANKRETH</v>
      </c>
      <c r="K16" s="11"/>
      <c r="L16" s="35">
        <f>IFERROR(__xludf.DUMMYFUNCTION("""COMPUTED_VALUE"""),0.04)</f>
        <v>0.04</v>
      </c>
      <c r="M16" s="11"/>
      <c r="N16" s="11"/>
      <c r="O16" s="11"/>
      <c r="P16" s="11"/>
      <c r="Q16" s="11"/>
      <c r="R16" s="11"/>
    </row>
    <row r="17">
      <c r="A17" s="11" t="str">
        <f>IFERROR(__xludf.DUMMYFUNCTION("""COMPUTED_VALUE"""),"YD - Curve - BBTC")</f>
        <v>YD - Curve - BBTC</v>
      </c>
      <c r="B17" s="11" t="str">
        <f>IFERROR(__xludf.DUMMYFUNCTION("""COMPUTED_VALUE"""),"0xC3646AcFC21168D16893ed000388926899061706")</f>
        <v>0xC3646AcFC21168D16893ed000388926899061706</v>
      </c>
      <c r="C17" s="11" t="str">
        <f>IFERROR(__xludf.DUMMYFUNCTION("""COMPUTED_VALUE"""),"BTC")</f>
        <v>BTC</v>
      </c>
      <c r="D17" s="11" t="str">
        <f>IFERROR(__xludf.DUMMYFUNCTION("""COMPUTED_VALUE"""),"Live")</f>
        <v>Live</v>
      </c>
      <c r="E17" s="11" t="b">
        <f>IFERROR(__xludf.DUMMYFUNCTION("""COMPUTED_VALUE"""),TRUE)</f>
        <v>1</v>
      </c>
      <c r="F17" s="60">
        <f>IFERROR(__xludf.DUMMYFUNCTION("""COMPUTED_VALUE"""),0.0)</f>
        <v>0</v>
      </c>
      <c r="G17" s="60">
        <f>IFERROR(__xludf.DUMMYFUNCTION("""COMPUTED_VALUE"""),6837.79916568921)</f>
        <v>6837.799166</v>
      </c>
      <c r="H17" s="60">
        <f>IFERROR(__xludf.DUMMYFUNCTION("""COMPUTED_VALUE"""),6837.79916568921)</f>
        <v>6837.799166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>
      <c r="A18" s="11" t="str">
        <f>IFERROR(__xludf.DUMMYFUNCTION("""COMPUTED_VALUE"""),"YD - Curve - BUSDv2")</f>
        <v>YD - Curve - BUSDv2</v>
      </c>
      <c r="B18" s="11" t="str">
        <f>IFERROR(__xludf.DUMMYFUNCTION("""COMPUTED_VALUE"""),"0xe734F28EdA78893DaB22D53FDD24F8595A2d7812")</f>
        <v>0xe734F28EdA78893DaB22D53FDD24F8595A2d7812</v>
      </c>
      <c r="C18" s="11" t="str">
        <f>IFERROR(__xludf.DUMMYFUNCTION("""COMPUTED_VALUE"""),"BUSD")</f>
        <v>BUSD</v>
      </c>
      <c r="D18" s="11" t="str">
        <f>IFERROR(__xludf.DUMMYFUNCTION("""COMPUTED_VALUE"""),"Live")</f>
        <v>Live</v>
      </c>
      <c r="E18" s="11" t="b">
        <f>IFERROR(__xludf.DUMMYFUNCTION("""COMPUTED_VALUE"""),TRUE)</f>
        <v>1</v>
      </c>
      <c r="F18" s="60">
        <f>IFERROR(__xludf.DUMMYFUNCTION("""COMPUTED_VALUE"""),0.0)</f>
        <v>0</v>
      </c>
      <c r="G18" s="60">
        <f>IFERROR(__xludf.DUMMYFUNCTION("""COMPUTED_VALUE"""),8206985.074424316)</f>
        <v>8206985.074</v>
      </c>
      <c r="H18" s="60">
        <f>IFERROR(__xludf.DUMMYFUNCTION("""COMPUTED_VALUE"""),8206985.074424316)</f>
        <v>8206985.074</v>
      </c>
      <c r="I18" s="11"/>
      <c r="J18" s="11"/>
      <c r="K18" s="11"/>
      <c r="L18" s="11"/>
      <c r="M18" s="11"/>
      <c r="N18" s="11"/>
      <c r="O18" s="35">
        <f>IFERROR(__xludf.DUMMYFUNCTION("""COMPUTED_VALUE"""),0.1898)</f>
        <v>0.1898</v>
      </c>
      <c r="P18" s="11"/>
      <c r="Q18" s="11"/>
      <c r="R18" s="11"/>
    </row>
    <row r="19">
      <c r="A19" s="11" t="str">
        <f>IFERROR(__xludf.DUMMYFUNCTION("""COMPUTED_VALUE"""),"YD-Convex/Badger-hBTC")</f>
        <v>YD-Convex/Badger-hBTC</v>
      </c>
      <c r="B19" s="11" t="str">
        <f>IFERROR(__xludf.DUMMYFUNCTION("""COMPUTED_VALUE"""),"0xbd9795a14035dBA41BccFC563329aA6b197A0cBB")</f>
        <v>0xbd9795a14035dBA41BccFC563329aA6b197A0cBB</v>
      </c>
      <c r="C19" s="11" t="str">
        <f>IFERROR(__xludf.DUMMYFUNCTION("""COMPUTED_VALUE"""),"BTC")</f>
        <v>BTC</v>
      </c>
      <c r="D19" s="11" t="str">
        <f>IFERROR(__xludf.DUMMYFUNCTION("""COMPUTED_VALUE"""),"Live")</f>
        <v>Live</v>
      </c>
      <c r="E19" s="11" t="b">
        <f>IFERROR(__xludf.DUMMYFUNCTION("""COMPUTED_VALUE"""),TRUE)</f>
        <v>1</v>
      </c>
      <c r="F19" s="60">
        <f>IFERROR(__xludf.DUMMYFUNCTION("""COMPUTED_VALUE"""),0.0)</f>
        <v>0</v>
      </c>
      <c r="G19" s="60">
        <f>IFERROR(__xludf.DUMMYFUNCTION("""COMPUTED_VALUE"""),0.0)</f>
        <v>0</v>
      </c>
      <c r="H19" s="60">
        <f>IFERROR(__xludf.DUMMYFUNCTION("""COMPUTED_VALUE"""),0.0)</f>
        <v>0</v>
      </c>
      <c r="I19" s="11" t="str">
        <f>IFERROR(__xludf.DUMMYFUNCTION("""COMPUTED_VALUE"""),"Wallet name change, Old name: 'YD-Curve-hBTC'")</f>
        <v>Wallet name change, Old name: 'YD-Curve-hBTC'</v>
      </c>
      <c r="J19" s="11" t="str">
        <f>IFERROR(__xludf.DUMMYFUNCTION("""COMPUTED_VALUE"""),"HBTC")</f>
        <v>HBTC</v>
      </c>
      <c r="K19" s="35">
        <f>IFERROR(__xludf.DUMMYFUNCTION("""COMPUTED_VALUE"""),0.0186022136586362)</f>
        <v>0.01860221366</v>
      </c>
      <c r="L19" s="11"/>
      <c r="M19" s="11"/>
      <c r="N19" s="11"/>
      <c r="O19" s="11"/>
      <c r="P19" s="11"/>
      <c r="Q19" s="11"/>
      <c r="R19" s="11"/>
    </row>
    <row r="20">
      <c r="A20" s="11" t="str">
        <f>IFERROR(__xludf.DUMMYFUNCTION("""COMPUTED_VALUE"""),"YD - Curve - oBTC")</f>
        <v>YD - Curve - oBTC</v>
      </c>
      <c r="B20" s="11" t="str">
        <f>IFERROR(__xludf.DUMMYFUNCTION("""COMPUTED_VALUE"""),"0xc6BF6ac334814208f9450FA068bE53fC7Df13c24")</f>
        <v>0xc6BF6ac334814208f9450FA068bE53fC7Df13c24</v>
      </c>
      <c r="C20" s="11" t="str">
        <f>IFERROR(__xludf.DUMMYFUNCTION("""COMPUTED_VALUE"""),"BTC")</f>
        <v>BTC</v>
      </c>
      <c r="D20" s="11" t="str">
        <f>IFERROR(__xludf.DUMMYFUNCTION("""COMPUTED_VALUE"""),"Live")</f>
        <v>Live</v>
      </c>
      <c r="E20" s="11" t="b">
        <f>IFERROR(__xludf.DUMMYFUNCTION("""COMPUTED_VALUE"""),TRUE)</f>
        <v>1</v>
      </c>
      <c r="F20" s="60">
        <f>IFERROR(__xludf.DUMMYFUNCTION("""COMPUTED_VALUE"""),0.0)</f>
        <v>0</v>
      </c>
      <c r="G20" s="60">
        <f>IFERROR(__xludf.DUMMYFUNCTION("""COMPUTED_VALUE"""),13251.708206135223)</f>
        <v>13251.70821</v>
      </c>
      <c r="H20" s="60">
        <f>IFERROR(__xludf.DUMMYFUNCTION("""COMPUTED_VALUE"""),13251.708206135223)</f>
        <v>13251.70821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>
      <c r="A21" s="11" t="str">
        <f>IFERROR(__xludf.DUMMYFUNCTION("""COMPUTED_VALUE"""),"YD - Curve - pBTC")</f>
        <v>YD - Curve - pBTC</v>
      </c>
      <c r="B21" s="11" t="str">
        <f>IFERROR(__xludf.DUMMYFUNCTION("""COMPUTED_VALUE"""),"0x2CA12140298Dd9fc7A995fc66A01110D0C1778C1")</f>
        <v>0x2CA12140298Dd9fc7A995fc66A01110D0C1778C1</v>
      </c>
      <c r="C21" s="11" t="str">
        <f>IFERROR(__xludf.DUMMYFUNCTION("""COMPUTED_VALUE"""),"BTC")</f>
        <v>BTC</v>
      </c>
      <c r="D21" s="11" t="str">
        <f>IFERROR(__xludf.DUMMYFUNCTION("""COMPUTED_VALUE"""),"Live")</f>
        <v>Live</v>
      </c>
      <c r="E21" s="11" t="b">
        <f>IFERROR(__xludf.DUMMYFUNCTION("""COMPUTED_VALUE"""),TRUE)</f>
        <v>1</v>
      </c>
      <c r="F21" s="60">
        <f>IFERROR(__xludf.DUMMYFUNCTION("""COMPUTED_VALUE"""),0.0)</f>
        <v>0</v>
      </c>
      <c r="G21" s="60">
        <f>IFERROR(__xludf.DUMMYFUNCTION("""COMPUTED_VALUE"""),65665.69692463579)</f>
        <v>65665.69692</v>
      </c>
      <c r="H21" s="60">
        <f>IFERROR(__xludf.DUMMYFUNCTION("""COMPUTED_VALUE"""),65665.69692463579)</f>
        <v>65665.69692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11" t="str">
        <f>IFERROR(__xludf.DUMMYFUNCTION("""COMPUTED_VALUE"""),"YD-Convex-renBTC")</f>
        <v>YD-Convex-renBTC</v>
      </c>
      <c r="B22" s="11" t="str">
        <f>IFERROR(__xludf.DUMMYFUNCTION("""COMPUTED_VALUE"""),"0x7F5b62177541b48d6242620A7C02a16c9c83F4b3")</f>
        <v>0x7F5b62177541b48d6242620A7C02a16c9c83F4b3</v>
      </c>
      <c r="C22" s="11" t="str">
        <f>IFERROR(__xludf.DUMMYFUNCTION("""COMPUTED_VALUE"""),"BTC")</f>
        <v>BTC</v>
      </c>
      <c r="D22" s="11" t="str">
        <f>IFERROR(__xludf.DUMMYFUNCTION("""COMPUTED_VALUE"""),"Live")</f>
        <v>Live</v>
      </c>
      <c r="E22" s="11" t="b">
        <f>IFERROR(__xludf.DUMMYFUNCTION("""COMPUTED_VALUE"""),TRUE)</f>
        <v>1</v>
      </c>
      <c r="F22" s="60">
        <f>IFERROR(__xludf.DUMMYFUNCTION("""COMPUTED_VALUE"""),0.0)</f>
        <v>0</v>
      </c>
      <c r="G22" s="60">
        <f>IFERROR(__xludf.DUMMYFUNCTION("""COMPUTED_VALUE"""),0.0)</f>
        <v>0</v>
      </c>
      <c r="H22" s="60">
        <f>IFERROR(__xludf.DUMMYFUNCTION("""COMPUTED_VALUE"""),0.0)</f>
        <v>0</v>
      </c>
      <c r="I22" s="11" t="str">
        <f>IFERROR(__xludf.DUMMYFUNCTION("""COMPUTED_VALUE"""),"Wallet name change, Old name:'YD-Curve-renBTC'")</f>
        <v>Wallet name change, Old name:'YD-Curve-renBTC'</v>
      </c>
      <c r="J22" s="11"/>
      <c r="K22" s="35">
        <f>IFERROR(__xludf.DUMMYFUNCTION("""COMPUTED_VALUE"""),0.1019)</f>
        <v>0.1019</v>
      </c>
      <c r="L22" s="11"/>
      <c r="M22" s="11"/>
      <c r="N22" s="11"/>
      <c r="O22" s="11"/>
      <c r="P22" s="11"/>
      <c r="Q22" s="11"/>
      <c r="R22" s="11"/>
    </row>
    <row r="23">
      <c r="A23" s="11" t="str">
        <f>IFERROR(__xludf.DUMMYFUNCTION("""COMPUTED_VALUE"""),"YD-Badger-sBTC")</f>
        <v>YD-Badger-sBTC</v>
      </c>
      <c r="B23" s="11" t="str">
        <f>IFERROR(__xludf.DUMMYFUNCTION("""COMPUTED_VALUE"""),"0x81EEc27E8e98289732ac106632047896E6592604")</f>
        <v>0x81EEc27E8e98289732ac106632047896E6592604</v>
      </c>
      <c r="C23" s="11" t="str">
        <f>IFERROR(__xludf.DUMMYFUNCTION("""COMPUTED_VALUE"""),"BTC")</f>
        <v>BTC</v>
      </c>
      <c r="D23" s="11" t="str">
        <f>IFERROR(__xludf.DUMMYFUNCTION("""COMPUTED_VALUE"""),"Live")</f>
        <v>Live</v>
      </c>
      <c r="E23" s="11" t="b">
        <f>IFERROR(__xludf.DUMMYFUNCTION("""COMPUTED_VALUE"""),TRUE)</f>
        <v>1</v>
      </c>
      <c r="F23" s="60">
        <f>IFERROR(__xludf.DUMMYFUNCTION("""COMPUTED_VALUE"""),0.0)</f>
        <v>0</v>
      </c>
      <c r="G23" s="60">
        <f>IFERROR(__xludf.DUMMYFUNCTION("""COMPUTED_VALUE"""),0.0)</f>
        <v>0</v>
      </c>
      <c r="H23" s="60">
        <f>IFERROR(__xludf.DUMMYFUNCTION("""COMPUTED_VALUE"""),0.0)</f>
        <v>0</v>
      </c>
      <c r="I23" s="11" t="str">
        <f>IFERROR(__xludf.DUMMYFUNCTION("""COMPUTED_VALUE"""),"Wallet name change, Old name:'YD-Curve-sBTC'")</f>
        <v>Wallet name change, Old name:'YD-Curve-sBTC'</v>
      </c>
      <c r="J23" s="11"/>
      <c r="K23" s="35">
        <f>IFERROR(__xludf.DUMMYFUNCTION("""COMPUTED_VALUE"""),0.02)</f>
        <v>0.02</v>
      </c>
      <c r="L23" s="11"/>
      <c r="M23" s="11"/>
      <c r="N23" s="11"/>
      <c r="O23" s="11"/>
      <c r="P23" s="11"/>
      <c r="Q23" s="11"/>
      <c r="R23" s="11"/>
    </row>
    <row r="24">
      <c r="A24" s="11" t="str">
        <f>IFERROR(__xludf.DUMMYFUNCTION("""COMPUTED_VALUE"""),"YD - Curve - sETH")</f>
        <v>YD - Curve - sETH</v>
      </c>
      <c r="B24" s="11" t="str">
        <f>IFERROR(__xludf.DUMMYFUNCTION("""COMPUTED_VALUE"""),"0xC9d0eC063fbf29438D5356b3c654892b387E5CCB")</f>
        <v>0xC9d0eC063fbf29438D5356b3c654892b387E5CCB</v>
      </c>
      <c r="C24" s="11" t="str">
        <f>IFERROR(__xludf.DUMMYFUNCTION("""COMPUTED_VALUE"""),"ETH")</f>
        <v>ETH</v>
      </c>
      <c r="D24" s="11" t="str">
        <f>IFERROR(__xludf.DUMMYFUNCTION("""COMPUTED_VALUE"""),"Live")</f>
        <v>Live</v>
      </c>
      <c r="E24" s="11" t="b">
        <f>IFERROR(__xludf.DUMMYFUNCTION("""COMPUTED_VALUE"""),TRUE)</f>
        <v>1</v>
      </c>
      <c r="F24" s="60">
        <f>IFERROR(__xludf.DUMMYFUNCTION("""COMPUTED_VALUE"""),0.0)</f>
        <v>0</v>
      </c>
      <c r="G24" s="60">
        <f>IFERROR(__xludf.DUMMYFUNCTION("""COMPUTED_VALUE"""),2.193296911220606E8)</f>
        <v>219329691.1</v>
      </c>
      <c r="H24" s="60">
        <f>IFERROR(__xludf.DUMMYFUNCTION("""COMPUTED_VALUE"""),2.193296911220606E8)</f>
        <v>219329691.1</v>
      </c>
      <c r="I24" s="11"/>
      <c r="J24" s="11" t="str">
        <f>IFERROR(__xludf.DUMMYFUNCTION("""COMPUTED_VALUE"""),"SETH")</f>
        <v>SETH</v>
      </c>
      <c r="K24" s="11"/>
      <c r="L24" s="35">
        <f>IFERROR(__xludf.DUMMYFUNCTION("""COMPUTED_VALUE"""),0.00780944112752306)</f>
        <v>0.007809441128</v>
      </c>
      <c r="M24" s="11"/>
      <c r="N24" s="11"/>
      <c r="O24" s="11"/>
      <c r="P24" s="11"/>
      <c r="Q24" s="11"/>
      <c r="R24" s="11"/>
    </row>
    <row r="25">
      <c r="A25" s="11" t="str">
        <f>IFERROR(__xludf.DUMMYFUNCTION("""COMPUTED_VALUE"""),"YD - Curve - SLINK")</f>
        <v>YD - Curve - SLINK</v>
      </c>
      <c r="B25" s="11" t="str">
        <f>IFERROR(__xludf.DUMMYFUNCTION("""COMPUTED_VALUE"""),"0x23BDf770d95f6A9F80e28708573b1488CB18f300")</f>
        <v>0x23BDf770d95f6A9F80e28708573b1488CB18f300</v>
      </c>
      <c r="C25" s="11" t="str">
        <f>IFERROR(__xludf.DUMMYFUNCTION("""COMPUTED_VALUE"""),"LINK")</f>
        <v>LINK</v>
      </c>
      <c r="D25" s="11" t="str">
        <f>IFERROR(__xludf.DUMMYFUNCTION("""COMPUTED_VALUE"""),"Live")</f>
        <v>Live</v>
      </c>
      <c r="E25" s="11" t="b">
        <f>IFERROR(__xludf.DUMMYFUNCTION("""COMPUTED_VALUE"""),TRUE)</f>
        <v>1</v>
      </c>
      <c r="F25" s="60">
        <f>IFERROR(__xludf.DUMMYFUNCTION("""COMPUTED_VALUE"""),0.0)</f>
        <v>0</v>
      </c>
      <c r="G25" s="60">
        <f>IFERROR(__xludf.DUMMYFUNCTION("""COMPUTED_VALUE"""),1.9551368634673614E7)</f>
        <v>19551368.63</v>
      </c>
      <c r="H25" s="60">
        <f>IFERROR(__xludf.DUMMYFUNCTION("""COMPUTED_VALUE"""),1.9551368634673614E7)</f>
        <v>19551368.63</v>
      </c>
      <c r="I25" s="11"/>
      <c r="J25" s="11" t="str">
        <f>IFERROR(__xludf.DUMMYFUNCTION("""COMPUTED_VALUE"""),"LINK")</f>
        <v>LINK</v>
      </c>
      <c r="K25" s="11"/>
      <c r="L25" s="11"/>
      <c r="M25" s="35">
        <f>IFERROR(__xludf.DUMMYFUNCTION("""COMPUTED_VALUE"""),0.01057032649483551)</f>
        <v>0.01057032649</v>
      </c>
      <c r="N25" s="11"/>
      <c r="O25" s="11"/>
      <c r="P25" s="11"/>
      <c r="Q25" s="11"/>
      <c r="R25" s="11"/>
    </row>
    <row r="26">
      <c r="A26" s="11" t="str">
        <f>IFERROR(__xludf.DUMMYFUNCTION("""COMPUTED_VALUE"""),"YD - Curve - stETH")</f>
        <v>YD - Curve - stETH</v>
      </c>
      <c r="B26" s="11" t="str">
        <f>IFERROR(__xludf.DUMMYFUNCTION("""COMPUTED_VALUE"""),"0xBC8d100e2c7C1d6BbEfc3128bd5185d226a1976A")</f>
        <v>0xBC8d100e2c7C1d6BbEfc3128bd5185d226a1976A</v>
      </c>
      <c r="C26" s="11" t="str">
        <f>IFERROR(__xludf.DUMMYFUNCTION("""COMPUTED_VALUE"""),"ETH")</f>
        <v>ETH</v>
      </c>
      <c r="D26" s="11" t="str">
        <f>IFERROR(__xludf.DUMMYFUNCTION("""COMPUTED_VALUE"""),"Live")</f>
        <v>Live</v>
      </c>
      <c r="E26" s="11" t="b">
        <f>IFERROR(__xludf.DUMMYFUNCTION("""COMPUTED_VALUE"""),TRUE)</f>
        <v>1</v>
      </c>
      <c r="F26" s="60">
        <f>IFERROR(__xludf.DUMMYFUNCTION("""COMPUTED_VALUE"""),0.0)</f>
        <v>0</v>
      </c>
      <c r="G26" s="60">
        <f>IFERROR(__xludf.DUMMYFUNCTION("""COMPUTED_VALUE"""),7.145379380294683E8)</f>
        <v>714537938</v>
      </c>
      <c r="H26" s="60">
        <f>IFERROR(__xludf.DUMMYFUNCTION("""COMPUTED_VALUE"""),7.145379380294683E8)</f>
        <v>714537938</v>
      </c>
      <c r="I26" s="11"/>
      <c r="J26" s="11" t="str">
        <f>IFERROR(__xludf.DUMMYFUNCTION("""COMPUTED_VALUE"""),"STETH")</f>
        <v>STETH</v>
      </c>
      <c r="K26" s="11"/>
      <c r="L26" s="35">
        <f>IFERROR(__xludf.DUMMYFUNCTION("""COMPUTED_VALUE"""),0.09607602835647373)</f>
        <v>0.09607602836</v>
      </c>
      <c r="M26" s="11"/>
      <c r="N26" s="11"/>
      <c r="O26" s="11"/>
      <c r="P26" s="11"/>
      <c r="Q26" s="11"/>
      <c r="R26" s="11"/>
    </row>
    <row r="27">
      <c r="A27" s="11" t="str">
        <f>IFERROR(__xludf.DUMMYFUNCTION("""COMPUTED_VALUE"""),"DD - Convex - tBTC")</f>
        <v>DD - Convex - tBTC</v>
      </c>
      <c r="B27" s="11" t="str">
        <f>IFERROR(__xludf.DUMMYFUNCTION("""COMPUTED_VALUE"""),"0x93494ee38aA2984F6ef6649976488e589571A013")</f>
        <v>0x93494ee38aA2984F6ef6649976488e589571A013</v>
      </c>
      <c r="C27" s="11" t="str">
        <f>IFERROR(__xludf.DUMMYFUNCTION("""COMPUTED_VALUE"""),"BTC")</f>
        <v>BTC</v>
      </c>
      <c r="D27" s="11" t="str">
        <f>IFERROR(__xludf.DUMMYFUNCTION("""COMPUTED_VALUE"""),"Live")</f>
        <v>Live</v>
      </c>
      <c r="E27" s="11" t="b">
        <f>IFERROR(__xludf.DUMMYFUNCTION("""COMPUTED_VALUE"""),TRUE)</f>
        <v>1</v>
      </c>
      <c r="F27" s="60">
        <f>IFERROR(__xludf.DUMMYFUNCTION("""COMPUTED_VALUE"""),0.0)</f>
        <v>0</v>
      </c>
      <c r="G27" s="60">
        <f>IFERROR(__xludf.DUMMYFUNCTION("""COMPUTED_VALUE"""),0.0)</f>
        <v>0</v>
      </c>
      <c r="H27" s="60">
        <f>IFERROR(__xludf.DUMMYFUNCTION("""COMPUTED_VALUE"""),0.0)</f>
        <v>0</v>
      </c>
      <c r="I27" s="11"/>
      <c r="J27" s="11"/>
      <c r="K27" s="35">
        <f>IFERROR(__xludf.DUMMYFUNCTION("""COMPUTED_VALUE"""),0.2358)</f>
        <v>0.2358</v>
      </c>
      <c r="L27" s="11"/>
      <c r="M27" s="11"/>
      <c r="N27" s="11"/>
      <c r="O27" s="11"/>
      <c r="P27" s="11"/>
      <c r="Q27" s="11"/>
      <c r="R27" s="11"/>
    </row>
    <row r="28">
      <c r="A28" s="11" t="str">
        <f>IFERROR(__xludf.DUMMYFUNCTION("""COMPUTED_VALUE"""),"YD - Harvest - HBTC")</f>
        <v>YD - Harvest - HBTC</v>
      </c>
      <c r="B28" s="11" t="str">
        <f>IFERROR(__xludf.DUMMYFUNCTION("""COMPUTED_VALUE"""),"0x0F474447fAca01dCc09C9741179d2619499F7ae9")</f>
        <v>0x0F474447fAca01dCc09C9741179d2619499F7ae9</v>
      </c>
      <c r="C28" s="11" t="str">
        <f>IFERROR(__xludf.DUMMYFUNCTION("""COMPUTED_VALUE"""),"BTC")</f>
        <v>BTC</v>
      </c>
      <c r="D28" s="11" t="str">
        <f>IFERROR(__xludf.DUMMYFUNCTION("""COMPUTED_VALUE"""),"Live")</f>
        <v>Live</v>
      </c>
      <c r="E28" s="11" t="b">
        <f>IFERROR(__xludf.DUMMYFUNCTION("""COMPUTED_VALUE"""),TRUE)</f>
        <v>1</v>
      </c>
      <c r="F28" s="60">
        <f>IFERROR(__xludf.DUMMYFUNCTION("""COMPUTED_VALUE"""),0.0)</f>
        <v>0</v>
      </c>
      <c r="G28" s="60">
        <f>IFERROR(__xludf.DUMMYFUNCTION("""COMPUTED_VALUE"""),0.0)</f>
        <v>0</v>
      </c>
      <c r="H28" s="60">
        <f>IFERROR(__xludf.DUMMYFUNCTION("""COMPUTED_VALUE"""),0.0)</f>
        <v>0</v>
      </c>
      <c r="I28" s="11"/>
      <c r="J28" s="11"/>
      <c r="K28" s="35">
        <f>IFERROR(__xludf.DUMMYFUNCTION("""COMPUTED_VALUE"""),0.0897)</f>
        <v>0.0897</v>
      </c>
      <c r="L28" s="11"/>
      <c r="M28" s="11"/>
      <c r="N28" s="11"/>
      <c r="O28" s="11"/>
      <c r="P28" s="11"/>
      <c r="Q28" s="11"/>
      <c r="R28" s="11"/>
    </row>
    <row r="29">
      <c r="A29" s="11" t="str">
        <f>IFERROR(__xludf.DUMMYFUNCTION("""COMPUTED_VALUE"""),"YD - Harvest - renBTC")</f>
        <v>YD - Harvest - renBTC</v>
      </c>
      <c r="B29" s="11" t="str">
        <f>IFERROR(__xludf.DUMMYFUNCTION("""COMPUTED_VALUE"""),"0xb78Eeb513f717a29089eFb023E80F927CA2F0346")</f>
        <v>0xb78Eeb513f717a29089eFb023E80F927CA2F0346</v>
      </c>
      <c r="C29" s="11" t="str">
        <f>IFERROR(__xludf.DUMMYFUNCTION("""COMPUTED_VALUE"""),"BTC")</f>
        <v>BTC</v>
      </c>
      <c r="D29" s="11" t="str">
        <f>IFERROR(__xludf.DUMMYFUNCTION("""COMPUTED_VALUE"""),"Live")</f>
        <v>Live</v>
      </c>
      <c r="E29" s="11" t="b">
        <f>IFERROR(__xludf.DUMMYFUNCTION("""COMPUTED_VALUE"""),TRUE)</f>
        <v>1</v>
      </c>
      <c r="F29" s="60">
        <f>IFERROR(__xludf.DUMMYFUNCTION("""COMPUTED_VALUE"""),0.0)</f>
        <v>0</v>
      </c>
      <c r="G29" s="60">
        <f>IFERROR(__xludf.DUMMYFUNCTION("""COMPUTED_VALUE"""),0.0)</f>
        <v>0</v>
      </c>
      <c r="H29" s="60">
        <f>IFERROR(__xludf.DUMMYFUNCTION("""COMPUTED_VALUE"""),0.0)</f>
        <v>0</v>
      </c>
      <c r="I29" s="11"/>
      <c r="J29" s="11"/>
      <c r="K29" s="35">
        <f>IFERROR(__xludf.DUMMYFUNCTION("""COMPUTED_VALUE"""),0.0817)</f>
        <v>0.0817</v>
      </c>
      <c r="L29" s="11"/>
      <c r="M29" s="11"/>
      <c r="N29" s="11"/>
      <c r="O29" s="11"/>
      <c r="P29" s="11"/>
      <c r="Q29" s="11"/>
      <c r="R29" s="11"/>
    </row>
    <row r="30">
      <c r="A30" s="11" t="str">
        <f>IFERROR(__xludf.DUMMYFUNCTION("""COMPUTED_VALUE"""),"YD - Harvest - oBTC")</f>
        <v>YD - Harvest - oBTC</v>
      </c>
      <c r="B30" s="11" t="str">
        <f>IFERROR(__xludf.DUMMYFUNCTION("""COMPUTED_VALUE"""),"0x5dd0f5fD732Bc8C5f115Ce72030516AC552370FE")</f>
        <v>0x5dd0f5fD732Bc8C5f115Ce72030516AC552370FE</v>
      </c>
      <c r="C30" s="11" t="str">
        <f>IFERROR(__xludf.DUMMYFUNCTION("""COMPUTED_VALUE"""),"BTC")</f>
        <v>BTC</v>
      </c>
      <c r="D30" s="11" t="str">
        <f>IFERROR(__xludf.DUMMYFUNCTION("""COMPUTED_VALUE"""),"Live")</f>
        <v>Live</v>
      </c>
      <c r="E30" s="11" t="b">
        <f>IFERROR(__xludf.DUMMYFUNCTION("""COMPUTED_VALUE"""),TRUE)</f>
        <v>1</v>
      </c>
      <c r="F30" s="60">
        <f>IFERROR(__xludf.DUMMYFUNCTION("""COMPUTED_VALUE"""),0.0)</f>
        <v>0</v>
      </c>
      <c r="G30" s="60">
        <f>IFERROR(__xludf.DUMMYFUNCTION("""COMPUTED_VALUE"""),0.0)</f>
        <v>0</v>
      </c>
      <c r="H30" s="60">
        <f>IFERROR(__xludf.DUMMYFUNCTION("""COMPUTED_VALUE"""),0.0)</f>
        <v>0</v>
      </c>
      <c r="I30" s="11"/>
      <c r="J30" s="11"/>
      <c r="K30" s="35">
        <f>IFERROR(__xludf.DUMMYFUNCTION("""COMPUTED_VALUE"""),0.1708)</f>
        <v>0.1708</v>
      </c>
      <c r="L30" s="11"/>
      <c r="M30" s="11"/>
      <c r="N30" s="11"/>
      <c r="O30" s="11"/>
      <c r="P30" s="11"/>
      <c r="Q30" s="11"/>
      <c r="R30" s="11"/>
    </row>
    <row r="31">
      <c r="A31" s="11" t="str">
        <f>IFERROR(__xludf.DUMMYFUNCTION("""COMPUTED_VALUE"""),"YD - Keeper - ETH")</f>
        <v>YD - Keeper - ETH</v>
      </c>
      <c r="B31" s="11" t="str">
        <f>IFERROR(__xludf.DUMMYFUNCTION("""COMPUTED_VALUE"""),"0x144D8AD4addCB77D6f33eF23890ec8A8e92839c4")</f>
        <v>0x144D8AD4addCB77D6f33eF23890ec8A8e92839c4</v>
      </c>
      <c r="C31" s="11" t="str">
        <f>IFERROR(__xludf.DUMMYFUNCTION("""COMPUTED_VALUE"""),"ETH")</f>
        <v>ETH</v>
      </c>
      <c r="D31" s="11" t="str">
        <f>IFERROR(__xludf.DUMMYFUNCTION("""COMPUTED_VALUE"""),"Live")</f>
        <v>Live</v>
      </c>
      <c r="E31" s="11" t="b">
        <f>IFERROR(__xludf.DUMMYFUNCTION("""COMPUTED_VALUE"""),TRUE)</f>
        <v>1</v>
      </c>
      <c r="F31" s="60">
        <f>IFERROR(__xludf.DUMMYFUNCTION("""COMPUTED_VALUE"""),0.0)</f>
        <v>0</v>
      </c>
      <c r="G31" s="60">
        <f>IFERROR(__xludf.DUMMYFUNCTION("""COMPUTED_VALUE"""),5.219731428164397E7)</f>
        <v>52197314.28</v>
      </c>
      <c r="H31" s="60">
        <f>IFERROR(__xludf.DUMMYFUNCTION("""COMPUTED_VALUE"""),5.219731428164397E7)</f>
        <v>52197314.28</v>
      </c>
      <c r="I31" s="11"/>
      <c r="J31" s="11"/>
      <c r="K31" s="11"/>
      <c r="L31" s="35">
        <f>IFERROR(__xludf.DUMMYFUNCTION("""COMPUTED_VALUE"""),0.0273)</f>
        <v>0.0273</v>
      </c>
      <c r="M31" s="11"/>
      <c r="N31" s="11"/>
      <c r="O31" s="11"/>
      <c r="P31" s="11"/>
      <c r="Q31" s="11"/>
      <c r="R31" s="11"/>
    </row>
    <row r="32">
      <c r="A32" s="11" t="str">
        <f>IFERROR(__xludf.DUMMYFUNCTION("""COMPUTED_VALUE"""),"YD-Badger-renBTC")</f>
        <v>YD-Badger-renBTC</v>
      </c>
      <c r="B32" s="11" t="str">
        <f>IFERROR(__xludf.DUMMYFUNCTION("""COMPUTED_VALUE"""),"0x8861dF23a1F37b33293e6DEb8bf28B88c3731cEb")</f>
        <v>0x8861dF23a1F37b33293e6DEb8bf28B88c3731cEb</v>
      </c>
      <c r="C32" s="11" t="str">
        <f>IFERROR(__xludf.DUMMYFUNCTION("""COMPUTED_VALUE"""),"BTC")</f>
        <v>BTC</v>
      </c>
      <c r="D32" s="11" t="str">
        <f>IFERROR(__xludf.DUMMYFUNCTION("""COMPUTED_VALUE"""),"Live")</f>
        <v>Live</v>
      </c>
      <c r="E32" s="11" t="b">
        <f>IFERROR(__xludf.DUMMYFUNCTION("""COMPUTED_VALUE"""),TRUE)</f>
        <v>1</v>
      </c>
      <c r="F32" s="60">
        <f>IFERROR(__xludf.DUMMYFUNCTION("""COMPUTED_VALUE"""),0.0)</f>
        <v>0</v>
      </c>
      <c r="G32" s="60">
        <f>IFERROR(__xludf.DUMMYFUNCTION("""COMPUTED_VALUE"""),0.0)</f>
        <v>0</v>
      </c>
      <c r="H32" s="60">
        <f>IFERROR(__xludf.DUMMYFUNCTION("""COMPUTED_VALUE"""),0.0)</f>
        <v>0</v>
      </c>
      <c r="I32" s="11" t="str">
        <f>IFERROR(__xludf.DUMMYFUNCTION("""COMPUTED_VALUE"""),"Wallet name change, Old name:'YD-Keeper-renBTC'
")</f>
        <v>Wallet name change, Old name:'YD-Keeper-renBTC'
</v>
      </c>
      <c r="J32" s="11"/>
      <c r="K32" s="35">
        <f>IFERROR(__xludf.DUMMYFUNCTION("""COMPUTED_VALUE"""),0.05)</f>
        <v>0.05</v>
      </c>
      <c r="L32" s="11"/>
      <c r="M32" s="11"/>
      <c r="N32" s="11"/>
      <c r="O32" s="11"/>
      <c r="P32" s="11"/>
      <c r="Q32" s="11"/>
      <c r="R32" s="11"/>
    </row>
    <row r="33">
      <c r="A33" s="11" t="str">
        <f>IFERROR(__xludf.DUMMYFUNCTION("""COMPUTED_VALUE"""),"YD - Vesper - vETH")</f>
        <v>YD - Vesper - vETH</v>
      </c>
      <c r="B33" s="11" t="str">
        <f>IFERROR(__xludf.DUMMYFUNCTION("""COMPUTED_VALUE"""),"0x62c4a34e6988B20c2204c7a6A75395CcEAfD6e29")</f>
        <v>0x62c4a34e6988B20c2204c7a6A75395CcEAfD6e29</v>
      </c>
      <c r="C33" s="11" t="str">
        <f>IFERROR(__xludf.DUMMYFUNCTION("""COMPUTED_VALUE"""),"ETH")</f>
        <v>ETH</v>
      </c>
      <c r="D33" s="11" t="str">
        <f>IFERROR(__xludf.DUMMYFUNCTION("""COMPUTED_VALUE"""),"Live")</f>
        <v>Live</v>
      </c>
      <c r="E33" s="11" t="b">
        <f>IFERROR(__xludf.DUMMYFUNCTION("""COMPUTED_VALUE"""),TRUE)</f>
        <v>1</v>
      </c>
      <c r="F33" s="60">
        <f>IFERROR(__xludf.DUMMYFUNCTION("""COMPUTED_VALUE"""),0.0)</f>
        <v>0</v>
      </c>
      <c r="G33" s="60">
        <f>IFERROR(__xludf.DUMMYFUNCTION("""COMPUTED_VALUE"""),1.9107774237905987E7)</f>
        <v>19107774.24</v>
      </c>
      <c r="H33" s="60">
        <f>IFERROR(__xludf.DUMMYFUNCTION("""COMPUTED_VALUE"""),1.9107774237905987E7)</f>
        <v>19107774.24</v>
      </c>
      <c r="I33" s="11"/>
      <c r="J33" s="11" t="str">
        <f>IFERROR(__xludf.DUMMYFUNCTION("""COMPUTED_VALUE"""),"VETH")</f>
        <v>VETH</v>
      </c>
      <c r="K33" s="11"/>
      <c r="L33" s="35">
        <f>IFERROR(__xludf.DUMMYFUNCTION("""COMPUTED_VALUE"""),0.0176)</f>
        <v>0.0176</v>
      </c>
      <c r="M33" s="11"/>
      <c r="N33" s="11"/>
      <c r="O33" s="11"/>
      <c r="P33" s="11"/>
      <c r="Q33" s="11"/>
      <c r="R33" s="11"/>
    </row>
    <row r="34">
      <c r="A34" s="11" t="str">
        <f>IFERROR(__xludf.DUMMYFUNCTION("""COMPUTED_VALUE"""),"YD - Vesper - vLINK")</f>
        <v>YD - Vesper - vLINK</v>
      </c>
      <c r="B34" s="11" t="str">
        <f>IFERROR(__xludf.DUMMYFUNCTION("""COMPUTED_VALUE"""),"0x81611aAEAC5FD8a3C21c3d1BF52B6bE70f5812d1")</f>
        <v>0x81611aAEAC5FD8a3C21c3d1BF52B6bE70f5812d1</v>
      </c>
      <c r="C34" s="11" t="str">
        <f>IFERROR(__xludf.DUMMYFUNCTION("""COMPUTED_VALUE"""),"LINK")</f>
        <v>LINK</v>
      </c>
      <c r="D34" s="11" t="str">
        <f>IFERROR(__xludf.DUMMYFUNCTION("""COMPUTED_VALUE"""),"Live")</f>
        <v>Live</v>
      </c>
      <c r="E34" s="11" t="b">
        <f>IFERROR(__xludf.DUMMYFUNCTION("""COMPUTED_VALUE"""),TRUE)</f>
        <v>1</v>
      </c>
      <c r="F34" s="60">
        <f>IFERROR(__xludf.DUMMYFUNCTION("""COMPUTED_VALUE"""),0.0)</f>
        <v>0</v>
      </c>
      <c r="G34" s="60">
        <f>IFERROR(__xludf.DUMMYFUNCTION("""COMPUTED_VALUE"""),1.6832846143460188E7)</f>
        <v>16832846.14</v>
      </c>
      <c r="H34" s="60">
        <f>IFERROR(__xludf.DUMMYFUNCTION("""COMPUTED_VALUE"""),1.6832846143460188E7)</f>
        <v>16832846.14</v>
      </c>
      <c r="I34" s="11"/>
      <c r="J34" s="11" t="str">
        <f>IFERROR(__xludf.DUMMYFUNCTION("""COMPUTED_VALUE"""),"VLINK")</f>
        <v>VLINK</v>
      </c>
      <c r="K34" s="11"/>
      <c r="L34" s="11"/>
      <c r="M34" s="35">
        <f>IFERROR(__xludf.DUMMYFUNCTION("""COMPUTED_VALUE"""),0.06269999999999999)</f>
        <v>0.0627</v>
      </c>
      <c r="N34" s="11"/>
      <c r="O34" s="11"/>
      <c r="P34" s="11"/>
      <c r="Q34" s="11"/>
      <c r="R34" s="11"/>
    </row>
    <row r="35">
      <c r="A35" s="11" t="str">
        <f>IFERROR(__xludf.DUMMYFUNCTION("""COMPUTED_VALUE"""),"DD - Vesper - vUNI")</f>
        <v>DD - Vesper - vUNI</v>
      </c>
      <c r="B35" s="11" t="str">
        <f>IFERROR(__xludf.DUMMYFUNCTION("""COMPUTED_VALUE"""),"0x6054aad16aacbb974a496858105e18d39c448ca4")</f>
        <v>0x6054aad16aacbb974a496858105e18d39c448ca4</v>
      </c>
      <c r="C35" s="11" t="str">
        <f>IFERROR(__xludf.DUMMYFUNCTION("""COMPUTED_VALUE"""),"UNI")</f>
        <v>UNI</v>
      </c>
      <c r="D35" s="11" t="str">
        <f>IFERROR(__xludf.DUMMYFUNCTION("""COMPUTED_VALUE"""),"Live")</f>
        <v>Live</v>
      </c>
      <c r="E35" s="11" t="b">
        <f>IFERROR(__xludf.DUMMYFUNCTION("""COMPUTED_VALUE"""),TRUE)</f>
        <v>1</v>
      </c>
      <c r="F35" s="60">
        <f>IFERROR(__xludf.DUMMYFUNCTION("""COMPUTED_VALUE"""),0.0)</f>
        <v>0</v>
      </c>
      <c r="G35" s="60">
        <f>IFERROR(__xludf.DUMMYFUNCTION("""COMPUTED_VALUE"""),4810872.204037966)</f>
        <v>4810872.204</v>
      </c>
      <c r="H35" s="60">
        <f>IFERROR(__xludf.DUMMYFUNCTION("""COMPUTED_VALUE"""),4810872.204037966)</f>
        <v>4810872.204</v>
      </c>
      <c r="I35" s="11"/>
      <c r="J35" s="11" t="str">
        <f>IFERROR(__xludf.DUMMYFUNCTION("""COMPUTED_VALUE"""),"VUNI")</f>
        <v>VUNI</v>
      </c>
      <c r="K35" s="11"/>
      <c r="L35" s="11"/>
      <c r="M35" s="11"/>
      <c r="N35" s="11"/>
      <c r="O35" s="11"/>
      <c r="P35" s="11"/>
      <c r="Q35" s="35">
        <f>IFERROR(__xludf.DUMMYFUNCTION("""COMPUTED_VALUE"""),0.1306)</f>
        <v>0.1306</v>
      </c>
      <c r="R35" s="11"/>
    </row>
    <row r="36">
      <c r="A36" s="11" t="str">
        <f>IFERROR(__xludf.DUMMYFUNCTION("""COMPUTED_VALUE"""),"YD - Vesper - vWBTC")</f>
        <v>YD - Vesper - vWBTC</v>
      </c>
      <c r="B36" s="11" t="str">
        <f>IFERROR(__xludf.DUMMYFUNCTION("""COMPUTED_VALUE"""),"0xcab7A77dfc3B79AE4D2969a45b0036F9a11eA224")</f>
        <v>0xcab7A77dfc3B79AE4D2969a45b0036F9a11eA224</v>
      </c>
      <c r="C36" s="11" t="str">
        <f>IFERROR(__xludf.DUMMYFUNCTION("""COMPUTED_VALUE"""),"BTC")</f>
        <v>BTC</v>
      </c>
      <c r="D36" s="11" t="str">
        <f>IFERROR(__xludf.DUMMYFUNCTION("""COMPUTED_VALUE"""),"Live")</f>
        <v>Live</v>
      </c>
      <c r="E36" s="11" t="b">
        <f>IFERROR(__xludf.DUMMYFUNCTION("""COMPUTED_VALUE"""),TRUE)</f>
        <v>1</v>
      </c>
      <c r="F36" s="60">
        <f>IFERROR(__xludf.DUMMYFUNCTION("""COMPUTED_VALUE"""),0.0)</f>
        <v>0</v>
      </c>
      <c r="G36" s="60">
        <f>IFERROR(__xludf.DUMMYFUNCTION("""COMPUTED_VALUE"""),2.084931492897504E7)</f>
        <v>20849314.93</v>
      </c>
      <c r="H36" s="60">
        <f>IFERROR(__xludf.DUMMYFUNCTION("""COMPUTED_VALUE"""),2.084931492897504E7)</f>
        <v>20849314.93</v>
      </c>
      <c r="I36" s="11"/>
      <c r="J36" s="11" t="str">
        <f>IFERROR(__xludf.DUMMYFUNCTION("""COMPUTED_VALUE"""),"VWBTC")</f>
        <v>VWBTC</v>
      </c>
      <c r="K36" s="35">
        <f>IFERROR(__xludf.DUMMYFUNCTION("""COMPUTED_VALUE"""),0.0377)</f>
        <v>0.0377</v>
      </c>
      <c r="L36" s="11"/>
      <c r="M36" s="11"/>
      <c r="N36" s="11"/>
      <c r="O36" s="11"/>
      <c r="P36" s="11"/>
      <c r="Q36" s="11"/>
      <c r="R36" s="11"/>
    </row>
    <row r="37">
      <c r="A37" s="11" t="str">
        <f>IFERROR(__xludf.DUMMYFUNCTION("""COMPUTED_VALUE"""),"YD - Yearn - crvPBTC")</f>
        <v>YD - Yearn - crvPBTC</v>
      </c>
      <c r="B37" s="11" t="str">
        <f>IFERROR(__xludf.DUMMYFUNCTION("""COMPUTED_VALUE"""),"0xE20e407F7D00ae472667481C79aFb22f0f608050")</f>
        <v>0xE20e407F7D00ae472667481C79aFb22f0f608050</v>
      </c>
      <c r="C37" s="11" t="str">
        <f>IFERROR(__xludf.DUMMYFUNCTION("""COMPUTED_VALUE"""),"BTC")</f>
        <v>BTC</v>
      </c>
      <c r="D37" s="11" t="str">
        <f>IFERROR(__xludf.DUMMYFUNCTION("""COMPUTED_VALUE"""),"Live")</f>
        <v>Live</v>
      </c>
      <c r="E37" s="11" t="b">
        <f>IFERROR(__xludf.DUMMYFUNCTION("""COMPUTED_VALUE"""),TRUE)</f>
        <v>1</v>
      </c>
      <c r="F37" s="60">
        <f>IFERROR(__xludf.DUMMYFUNCTION("""COMPUTED_VALUE"""),0.0)</f>
        <v>0</v>
      </c>
      <c r="G37" s="60">
        <f>IFERROR(__xludf.DUMMYFUNCTION("""COMPUTED_VALUE"""),2369605.4640456033)</f>
        <v>2369605.464</v>
      </c>
      <c r="H37" s="60">
        <f>IFERROR(__xludf.DUMMYFUNCTION("""COMPUTED_VALUE"""),2369605.4640456033)</f>
        <v>2369605.464</v>
      </c>
      <c r="I37" s="11"/>
      <c r="J37" s="11"/>
      <c r="K37" s="35">
        <f>IFERROR(__xludf.DUMMYFUNCTION("""COMPUTED_VALUE"""),0.0892)</f>
        <v>0.0892</v>
      </c>
      <c r="L37" s="11"/>
      <c r="M37" s="11"/>
      <c r="N37" s="11"/>
      <c r="O37" s="11"/>
      <c r="P37" s="11"/>
      <c r="Q37" s="11"/>
      <c r="R37" s="11"/>
    </row>
    <row r="38">
      <c r="A38" s="11" t="str">
        <f>IFERROR(__xludf.DUMMYFUNCTION("""COMPUTED_VALUE"""),"Yield Desk")</f>
        <v>Yield Desk</v>
      </c>
      <c r="B38" s="11" t="str">
        <f>IFERROR(__xludf.DUMMYFUNCTION("""COMPUTED_VALUE"""),"0x5Fae4C088b1d8DddbDaffF93A648dd87A71C6dea")</f>
        <v>0x5Fae4C088b1d8DddbDaffF93A648dd87A71C6dea</v>
      </c>
      <c r="C38" s="11" t="str">
        <f>IFERROR(__xludf.DUMMYFUNCTION("""COMPUTED_VALUE"""),"Multiple")</f>
        <v>Multiple</v>
      </c>
      <c r="D38" s="11" t="str">
        <f>IFERROR(__xludf.DUMMYFUNCTION("""COMPUTED_VALUE"""),"Exited")</f>
        <v>Exited</v>
      </c>
      <c r="E38" s="11" t="b">
        <f>IFERROR(__xludf.DUMMYFUNCTION("""COMPUTED_VALUE"""),TRUE)</f>
        <v>1</v>
      </c>
      <c r="F38" s="60">
        <f>IFERROR(__xludf.DUMMYFUNCTION("""COMPUTED_VALUE"""),0.0)</f>
        <v>0</v>
      </c>
      <c r="G38" s="60">
        <f>IFERROR(__xludf.DUMMYFUNCTION("""COMPUTED_VALUE"""),0.0)</f>
        <v>0</v>
      </c>
      <c r="H38" s="60">
        <f>IFERROR(__xludf.DUMMYFUNCTION("""COMPUTED_VALUE"""),0.0)</f>
        <v>0</v>
      </c>
      <c r="I38" s="11" t="str">
        <f>IFERROR(__xludf.DUMMYFUNCTION("""COMPUTED_VALUE"""),"3k AAVE ($1M), 4.5 ETH ($14k) left in the balance")</f>
        <v>3k AAVE ($1M), 4.5 ETH ($14k) left in the balance</v>
      </c>
      <c r="J38" s="11"/>
      <c r="K38" s="11"/>
      <c r="L38" s="11"/>
      <c r="M38" s="11"/>
      <c r="N38" s="11"/>
      <c r="O38" s="11"/>
      <c r="P38" s="11"/>
      <c r="Q38" s="11"/>
      <c r="R38" s="11"/>
    </row>
    <row r="39">
      <c r="A39" s="11" t="str">
        <f>IFERROR(__xludf.DUMMYFUNCTION("""COMPUTED_VALUE"""),"Yield Desk - Badger")</f>
        <v>Yield Desk - Badger</v>
      </c>
      <c r="B39" s="11" t="str">
        <f>IFERROR(__xludf.DUMMYFUNCTION("""COMPUTED_VALUE"""),"0x53461E4fddcC1385f1256Ae24ce3505Be664f249")</f>
        <v>0x53461E4fddcC1385f1256Ae24ce3505Be664f249</v>
      </c>
      <c r="C39" s="11" t="str">
        <f>IFERROR(__xludf.DUMMYFUNCTION("""COMPUTED_VALUE"""),"BTC")</f>
        <v>BTC</v>
      </c>
      <c r="D39" s="11" t="str">
        <f>IFERROR(__xludf.DUMMYFUNCTION("""COMPUTED_VALUE"""),"Live")</f>
        <v>Live</v>
      </c>
      <c r="E39" s="11" t="b">
        <f>IFERROR(__xludf.DUMMYFUNCTION("""COMPUTED_VALUE"""),TRUE)</f>
        <v>1</v>
      </c>
      <c r="F39" s="60">
        <f>IFERROR(__xludf.DUMMYFUNCTION("""COMPUTED_VALUE"""),0.0)</f>
        <v>0</v>
      </c>
      <c r="G39" s="60">
        <f>IFERROR(__xludf.DUMMYFUNCTION("""COMPUTED_VALUE"""),1.687904373985228E8)</f>
        <v>168790437.4</v>
      </c>
      <c r="H39" s="60">
        <f>IFERROR(__xludf.DUMMYFUNCTION("""COMPUTED_VALUE"""),1.687904373985228E8)</f>
        <v>168790437.4</v>
      </c>
      <c r="I39" s="11"/>
      <c r="J39" s="11"/>
      <c r="K39" s="35" t="str">
        <f>IFERROR(__xludf.DUMMYFUNCTION("""COMPUTED_VALUE"""),"#N/A")</f>
        <v>#N/A</v>
      </c>
      <c r="L39" s="11"/>
      <c r="M39" s="11"/>
      <c r="N39" s="11"/>
      <c r="O39" s="11"/>
      <c r="P39" s="11"/>
      <c r="Q39" s="11"/>
      <c r="R39" s="11"/>
    </row>
    <row r="40">
      <c r="A40" s="11" t="str">
        <f>IFERROR(__xludf.DUMMYFUNCTION("""COMPUTED_VALUE"""),"Yield Desk - Bancor")</f>
        <v>Yield Desk - Bancor</v>
      </c>
      <c r="B40" s="11" t="str">
        <f>IFERROR(__xludf.DUMMYFUNCTION("""COMPUTED_VALUE"""),"0xf73C37dF30571b9b58dA19C7473964369011DBeC")</f>
        <v>0xf73C37dF30571b9b58dA19C7473964369011DBeC</v>
      </c>
      <c r="C40" s="11" t="str">
        <f>IFERROR(__xludf.DUMMYFUNCTION("""COMPUTED_VALUE"""),"Multiple")</f>
        <v>Multiple</v>
      </c>
      <c r="D40" s="11" t="str">
        <f>IFERROR(__xludf.DUMMYFUNCTION("""COMPUTED_VALUE"""),"Live")</f>
        <v>Live</v>
      </c>
      <c r="E40" s="11" t="b">
        <f>IFERROR(__xludf.DUMMYFUNCTION("""COMPUTED_VALUE"""),TRUE)</f>
        <v>1</v>
      </c>
      <c r="F40" s="60">
        <f>IFERROR(__xludf.DUMMYFUNCTION("""COMPUTED_VALUE"""),0.0)</f>
        <v>0</v>
      </c>
      <c r="G40" s="60">
        <f>IFERROR(__xludf.DUMMYFUNCTION("""COMPUTED_VALUE"""),9.646633494690913E7)</f>
        <v>96466334.95</v>
      </c>
      <c r="H40" s="60">
        <f>IFERROR(__xludf.DUMMYFUNCTION("""COMPUTED_VALUE"""),9.646633494690913E7)</f>
        <v>96466334.95</v>
      </c>
      <c r="I40" s="11"/>
      <c r="J40" s="11"/>
      <c r="K40" s="35">
        <f>IFERROR(__xludf.DUMMYFUNCTION("""COMPUTED_VALUE"""),0.08009999999999999)</f>
        <v>0.0801</v>
      </c>
      <c r="L40" s="35">
        <f>IFERROR(__xludf.DUMMYFUNCTION("""COMPUTED_VALUE"""),0.0487)</f>
        <v>0.0487</v>
      </c>
      <c r="M40" s="35">
        <f>IFERROR(__xludf.DUMMYFUNCTION("""COMPUTED_VALUE"""),0.1287)</f>
        <v>0.1287</v>
      </c>
      <c r="N40" s="11"/>
      <c r="O40" s="11"/>
      <c r="P40" s="11"/>
      <c r="Q40" s="11"/>
      <c r="R40" s="11"/>
    </row>
    <row r="41">
      <c r="A41" s="11" t="str">
        <f>IFERROR(__xludf.DUMMYFUNCTION("""COMPUTED_VALUE"""),"Yield Desk - Compound")</f>
        <v>Yield Desk - Compound</v>
      </c>
      <c r="B41" s="11" t="str">
        <f>IFERROR(__xludf.DUMMYFUNCTION("""COMPUTED_VALUE"""),"0x62Ff145f987dD7fbBcEC2FEec76FA89E19778aBd")</f>
        <v>0x62Ff145f987dD7fbBcEC2FEec76FA89E19778aBd</v>
      </c>
      <c r="C41" s="11" t="str">
        <f>IFERROR(__xludf.DUMMYFUNCTION("""COMPUTED_VALUE"""),"LINK")</f>
        <v>LINK</v>
      </c>
      <c r="D41" s="11" t="str">
        <f>IFERROR(__xludf.DUMMYFUNCTION("""COMPUTED_VALUE"""),"Live")</f>
        <v>Live</v>
      </c>
      <c r="E41" s="11" t="b">
        <f>IFERROR(__xludf.DUMMYFUNCTION("""COMPUTED_VALUE"""),TRUE)</f>
        <v>1</v>
      </c>
      <c r="F41" s="60">
        <f>IFERROR(__xludf.DUMMYFUNCTION("""COMPUTED_VALUE"""),0.0)</f>
        <v>0</v>
      </c>
      <c r="G41" s="60">
        <f>IFERROR(__xludf.DUMMYFUNCTION("""COMPUTED_VALUE"""),0.935953260536448)</f>
        <v>0.9359532605</v>
      </c>
      <c r="H41" s="60">
        <f>IFERROR(__xludf.DUMMYFUNCTION("""COMPUTED_VALUE"""),0.935953260536448)</f>
        <v>0.9359532605</v>
      </c>
      <c r="I41" s="11"/>
      <c r="J41" s="11"/>
      <c r="K41" s="11"/>
      <c r="L41" s="11"/>
      <c r="M41" s="35">
        <f>IFERROR(__xludf.DUMMYFUNCTION("""COMPUTED_VALUE"""),0.014099999999999998)</f>
        <v>0.0141</v>
      </c>
      <c r="N41" s="11"/>
      <c r="O41" s="11"/>
      <c r="P41" s="11"/>
      <c r="Q41" s="11"/>
      <c r="R41" s="11"/>
    </row>
    <row r="42">
      <c r="A42" s="11" t="str">
        <f>IFERROR(__xludf.DUMMYFUNCTION("""COMPUTED_VALUE"""),"YieldDesk_Main")</f>
        <v>YieldDesk_Main</v>
      </c>
      <c r="B42" s="11" t="str">
        <f>IFERROR(__xludf.DUMMYFUNCTION("""COMPUTED_VALUE"""),"0xdb5AA12AD695Ef2a28C6CdB69f2BB04BEd20a48e")</f>
        <v>0xdb5AA12AD695Ef2a28C6CdB69f2BB04BEd20a48e</v>
      </c>
      <c r="C42" s="11" t="str">
        <f>IFERROR(__xludf.DUMMYFUNCTION("""COMPUTED_VALUE"""),"Multiple")</f>
        <v>Multiple</v>
      </c>
      <c r="D42" s="11" t="str">
        <f>IFERROR(__xludf.DUMMYFUNCTION("""COMPUTED_VALUE"""),"Live")</f>
        <v>Live</v>
      </c>
      <c r="E42" s="11" t="b">
        <f>IFERROR(__xludf.DUMMYFUNCTION("""COMPUTED_VALUE"""),FALSE)</f>
        <v>0</v>
      </c>
      <c r="F42" s="60">
        <f>IFERROR(__xludf.DUMMYFUNCTION("""COMPUTED_VALUE"""),0.0)</f>
        <v>0</v>
      </c>
      <c r="G42" s="60">
        <f>IFERROR(__xludf.DUMMYFUNCTION("""COMPUTED_VALUE"""),0.0)</f>
        <v>0</v>
      </c>
      <c r="H42" s="60">
        <f>IFERROR(__xludf.DUMMYFUNCTION("""COMPUTED_VALUE"""),0.0)</f>
        <v>0</v>
      </c>
      <c r="I42" s="11"/>
      <c r="J42" s="11"/>
      <c r="K42" s="35">
        <f>IFERROR(__xludf.DUMMYFUNCTION("""COMPUTED_VALUE"""),0.08009999999999999)</f>
        <v>0.0801</v>
      </c>
      <c r="L42" s="35">
        <f>IFERROR(__xludf.DUMMYFUNCTION("""COMPUTED_VALUE"""),0.0487)</f>
        <v>0.0487</v>
      </c>
      <c r="M42" s="35">
        <f>IFERROR(__xludf.DUMMYFUNCTION("""COMPUTED_VALUE"""),0.1287)</f>
        <v>0.1287</v>
      </c>
      <c r="N42" s="11"/>
      <c r="O42" s="11"/>
      <c r="P42" s="11"/>
      <c r="Q42" s="11"/>
      <c r="R42" s="35">
        <f>IFERROR(__xludf.DUMMYFUNCTION("""COMPUTED_VALUE"""),0.0139)</f>
        <v>0.0139</v>
      </c>
    </row>
    <row r="43">
      <c r="A43" s="11" t="str">
        <f>IFERROR(__xludf.DUMMYFUNCTION("""COMPUTED_VALUE"""),"BlockDemon ETH Staking")</f>
        <v>BlockDemon ETH Staking</v>
      </c>
      <c r="B43" s="11" t="str">
        <f>IFERROR(__xludf.DUMMYFUNCTION("""COMPUTED_VALUE"""),"0xeEE27662c2B8EBa3CD936A23F039F3189633e4C8")</f>
        <v>0xeEE27662c2B8EBa3CD936A23F039F3189633e4C8</v>
      </c>
      <c r="C43" s="11" t="str">
        <f>IFERROR(__xludf.DUMMYFUNCTION("""COMPUTED_VALUE"""),"ETH")</f>
        <v>ETH</v>
      </c>
      <c r="D43" s="11" t="str">
        <f>IFERROR(__xludf.DUMMYFUNCTION("""COMPUTED_VALUE"""),"Live")</f>
        <v>Live</v>
      </c>
      <c r="E43" s="11" t="b">
        <f>IFERROR(__xludf.DUMMYFUNCTION("""COMPUTED_VALUE"""),TRUE)</f>
        <v>1</v>
      </c>
      <c r="F43" s="11"/>
      <c r="G43" s="11"/>
      <c r="H43" s="11"/>
      <c r="I43" s="11"/>
      <c r="J43" s="11"/>
      <c r="K43" s="11"/>
      <c r="L43" s="35">
        <f>IFERROR(__xludf.DUMMYFUNCTION("""COMPUTED_VALUE"""),0.06)</f>
        <v>0.06</v>
      </c>
      <c r="M43" s="11"/>
      <c r="N43" s="11"/>
      <c r="O43" s="11"/>
      <c r="P43" s="11"/>
      <c r="Q43" s="11"/>
      <c r="R43" s="11"/>
    </row>
    <row r="44">
      <c r="A44" s="11" t="str">
        <f>IFERROR(__xludf.DUMMYFUNCTION("""COMPUTED_VALUE"""),"YFL")</f>
        <v>YFL</v>
      </c>
      <c r="B44" s="11" t="str">
        <f>IFERROR(__xludf.DUMMYFUNCTION("""COMPUTED_VALUE"""),"0x022064C9F712B52D7Afff7263527EAbEBF59a71C")</f>
        <v>0x022064C9F712B52D7Afff7263527EAbEBF59a71C</v>
      </c>
      <c r="C44" s="11" t="str">
        <f>IFERROR(__xludf.DUMMYFUNCTION("""COMPUTED_VALUE"""),"Multiple")</f>
        <v>Multiple</v>
      </c>
      <c r="D44" s="11" t="str">
        <f>IFERROR(__xludf.DUMMYFUNCTION("""COMPUTED_VALUE"""),"Live")</f>
        <v>Live</v>
      </c>
      <c r="E44" s="11" t="b">
        <f>IFERROR(__xludf.DUMMYFUNCTION("""COMPUTED_VALUE"""),TRUE)</f>
        <v>1</v>
      </c>
      <c r="F44" s="11"/>
      <c r="G44" s="11"/>
      <c r="H44" s="11"/>
      <c r="I44" s="11" t="str">
        <f>IFERROR(__xludf.DUMMYFUNCTION("""COMPUTED_VALUE"""),"Wallet name change, Old name:'DD - Polygon - Testing'
")</f>
        <v>Wallet name change, Old name:'DD - Polygon - Testing'
</v>
      </c>
      <c r="J44" s="11"/>
      <c r="K44" s="11"/>
      <c r="L44" s="11"/>
      <c r="M44" s="11"/>
      <c r="N44" s="11"/>
      <c r="O44" s="11"/>
      <c r="P44" s="11"/>
      <c r="Q44" s="11"/>
      <c r="R44" s="11"/>
    </row>
    <row r="45">
      <c r="A45" s="11" t="str">
        <f>IFERROR(__xludf.DUMMYFUNCTION("""COMPUTED_VALUE"""),"DD - Liquity - LUSD")</f>
        <v>DD - Liquity - LUSD</v>
      </c>
      <c r="B45" s="11" t="str">
        <f>IFERROR(__xludf.DUMMYFUNCTION("""COMPUTED_VALUE"""),"0x7aD6a48C39B82c61100E76264182A6A31587a242")</f>
        <v>0x7aD6a48C39B82c61100E76264182A6A31587a242</v>
      </c>
      <c r="C45" s="11" t="str">
        <f>IFERROR(__xludf.DUMMYFUNCTION("""COMPUTED_VALUE"""),"USDC")</f>
        <v>USDC</v>
      </c>
      <c r="D45" s="11" t="str">
        <f>IFERROR(__xludf.DUMMYFUNCTION("""COMPUTED_VALUE"""),"Live")</f>
        <v>Live</v>
      </c>
      <c r="E45" s="11" t="b">
        <f>IFERROR(__xludf.DUMMYFUNCTION("""COMPUTED_VALUE"""),TRUE)</f>
        <v>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>
      <c r="A46" s="11" t="str">
        <f>IFERROR(__xludf.DUMMYFUNCTION("""COMPUTED_VALUE"""),"DD - Badger - tBTC")</f>
        <v>DD - Badger - tBTC</v>
      </c>
      <c r="B46" s="11" t="str">
        <f>IFERROR(__xludf.DUMMYFUNCTION("""COMPUTED_VALUE"""),"0xEE9F84Af6a8251Eb5ffDe38c5F056bc72d3b3DD0")</f>
        <v>0xEE9F84Af6a8251Eb5ffDe38c5F056bc72d3b3DD0</v>
      </c>
      <c r="C46" s="11" t="str">
        <f>IFERROR(__xludf.DUMMYFUNCTION("""COMPUTED_VALUE"""),"BTC")</f>
        <v>BTC</v>
      </c>
      <c r="D46" s="11" t="str">
        <f>IFERROR(__xludf.DUMMYFUNCTION("""COMPUTED_VALUE"""),"Live")</f>
        <v>Live</v>
      </c>
      <c r="E46" s="11" t="b">
        <f>IFERROR(__xludf.DUMMYFUNCTION("""COMPUTED_VALUE"""),TRUE)</f>
        <v>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>
      <c r="A47" s="11" t="str">
        <f>IFERROR(__xludf.DUMMYFUNCTION("""COMPUTED_VALUE"""),"YD - Convex - tricrypto2")</f>
        <v>YD - Convex - tricrypto2</v>
      </c>
      <c r="B47" s="11" t="str">
        <f>IFERROR(__xludf.DUMMYFUNCTION("""COMPUTED_VALUE"""),"0x73cAe59e9D6e73b43AD32De120b456783F72B7Aa")</f>
        <v>0x73cAe59e9D6e73b43AD32De120b456783F72B7Aa</v>
      </c>
      <c r="C47" s="11" t="str">
        <f>IFERROR(__xludf.DUMMYFUNCTION("""COMPUTED_VALUE"""),"Multiple")</f>
        <v>Multiple</v>
      </c>
      <c r="D47" s="11"/>
      <c r="E47" s="11"/>
      <c r="F47" s="11"/>
      <c r="G47" s="11"/>
      <c r="H47" s="11"/>
      <c r="I47" s="11" t="str">
        <f>IFERROR(__xludf.DUMMYFUNCTION("""COMPUTED_VALUE"""),"Wallet name change, Old name:'YD-Curve-tricrypto2'
")</f>
        <v>Wallet name change, Old name:'YD-Curve-tricrypto2'
</v>
      </c>
      <c r="J47" s="11"/>
      <c r="K47" s="11"/>
      <c r="L47" s="11"/>
      <c r="M47" s="11"/>
      <c r="N47" s="11"/>
      <c r="O47" s="11"/>
      <c r="P47" s="11"/>
      <c r="Q47" s="11"/>
      <c r="R47" s="11"/>
    </row>
    <row r="48">
      <c r="A48" s="11" t="str">
        <f>IFERROR(__xludf.DUMMYFUNCTION("""COMPUTED_VALUE"""),"DD-Elrond-EGLD ")</f>
        <v>DD-Elrond-EGLD </v>
      </c>
      <c r="B48" s="11"/>
      <c r="C48" s="11"/>
      <c r="D48" s="11" t="str">
        <f>IFERROR(__xludf.DUMMYFUNCTION("""COMPUTED_VALUE"""),"Live")</f>
        <v>Live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>
      <c r="A49" s="11" t="str">
        <f>IFERROR(__xludf.DUMMYFUNCTION("""COMPUTED_VALUE"""),"DD-CONVEX-ALETH")</f>
        <v>DD-CONVEX-ALETH</v>
      </c>
      <c r="B49" s="11"/>
      <c r="C49" s="11"/>
      <c r="D49" s="11" t="str">
        <f>IFERROR(__xludf.DUMMYFUNCTION("""COMPUTED_VALUE"""),"Live")</f>
        <v>Live</v>
      </c>
      <c r="E49" s="11"/>
      <c r="F49" s="11"/>
      <c r="G49" s="11"/>
      <c r="H49" s="11"/>
      <c r="I49" s="11"/>
      <c r="J49" s="11"/>
      <c r="K49" s="11"/>
      <c r="L49" s="61">
        <f>IFERROR(__xludf.DUMMYFUNCTION("""COMPUTED_VALUE"""),0.15)</f>
        <v>0.15</v>
      </c>
      <c r="M49" s="11"/>
      <c r="N49" s="11"/>
      <c r="O49" s="11"/>
      <c r="P49" s="11"/>
      <c r="Q49" s="11"/>
      <c r="R49" s="11"/>
    </row>
    <row r="50">
      <c r="A50" s="11" t="str">
        <f>IFERROR(__xludf.DUMMYFUNCTION("""COMPUTED_VALUE"""),"DD-SHIBASWAP-WBTC")</f>
        <v>DD-SHIBASWAP-WBTC</v>
      </c>
      <c r="B50" s="11"/>
      <c r="C50" s="11"/>
      <c r="D50" s="11"/>
      <c r="E50" s="11"/>
      <c r="F50" s="11"/>
      <c r="G50" s="11"/>
      <c r="H50" s="11"/>
      <c r="I50" s="11"/>
      <c r="J50" s="11"/>
      <c r="K50" s="61">
        <f>IFERROR(__xludf.DUMMYFUNCTION("""COMPUTED_VALUE"""),0.28)</f>
        <v>0.28</v>
      </c>
      <c r="L50" s="11"/>
      <c r="M50" s="11"/>
      <c r="N50" s="11"/>
      <c r="O50" s="11"/>
      <c r="P50" s="11"/>
      <c r="Q50" s="11"/>
      <c r="R50" s="11"/>
    </row>
    <row r="51">
      <c r="A51" s="11" t="str">
        <f>IFERROR(__xludf.DUMMYFUNCTION("""COMPUTED_VALUE"""),"DD-NOTIONAL-WBTC")</f>
        <v>DD-NOTIONAL-WBTC</v>
      </c>
      <c r="B51" s="11"/>
      <c r="C51" s="11"/>
      <c r="D51" s="11"/>
      <c r="E51" s="11"/>
      <c r="F51" s="11"/>
      <c r="G51" s="11"/>
      <c r="H51" s="11"/>
      <c r="I51" s="11"/>
      <c r="J51" s="11"/>
      <c r="K51" s="35">
        <f>IFERROR(__xludf.DUMMYFUNCTION("""COMPUTED_VALUE"""),0.067)</f>
        <v>0.067</v>
      </c>
      <c r="L51" s="11"/>
      <c r="M51" s="11"/>
      <c r="N51" s="11"/>
      <c r="O51" s="11"/>
      <c r="P51" s="11"/>
      <c r="Q51" s="11"/>
      <c r="R51" s="11"/>
    </row>
    <row r="52">
      <c r="A52" s="11" t="str">
        <f>IFERROR(__xludf.DUMMYFUNCTION("""COMPUTED_VALUE"""),"DD-NOTIONAL-ETH")</f>
        <v>DD-NOTIONAL-ETH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35">
        <f>IFERROR(__xludf.DUMMYFUNCTION("""COMPUTED_VALUE"""),0.055)</f>
        <v>0.055</v>
      </c>
      <c r="M52" s="11"/>
      <c r="N52" s="11"/>
      <c r="O52" s="11"/>
      <c r="P52" s="11"/>
      <c r="Q52" s="11"/>
      <c r="R52" s="11"/>
    </row>
    <row r="53">
      <c r="A53" s="11" t="str">
        <f>IFERROR(__xludf.DUMMYFUNCTION("""COMPUTED_VALUE"""),"DD-Yearn-ETH")</f>
        <v>DD-Yearn-ETH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35">
        <f>IFERROR(__xludf.DUMMYFUNCTION("""COMPUTED_VALUE"""),0.0133)</f>
        <v>0.0133</v>
      </c>
      <c r="M53" s="11"/>
      <c r="N53" s="11"/>
      <c r="O53" s="11"/>
      <c r="P53" s="11"/>
      <c r="Q53" s="11"/>
      <c r="R53" s="11"/>
    </row>
    <row r="54">
      <c r="A54" s="11" t="str">
        <f>IFERROR(__xludf.DUMMYFUNCTION("""COMPUTED_VALUE"""),"DD-Yearn-WBTC")</f>
        <v>DD-Yearn-WBTC</v>
      </c>
      <c r="B54" s="11"/>
      <c r="C54" s="11"/>
      <c r="D54" s="11"/>
      <c r="E54" s="11"/>
      <c r="F54" s="11"/>
      <c r="G54" s="11"/>
      <c r="H54" s="11"/>
      <c r="I54" s="11"/>
      <c r="J54" s="11"/>
      <c r="K54" s="61">
        <f>IFERROR(__xludf.DUMMYFUNCTION("""COMPUTED_VALUE"""),0.03)</f>
        <v>0.03</v>
      </c>
      <c r="L54" s="11"/>
      <c r="M54" s="11"/>
      <c r="N54" s="11"/>
      <c r="O54" s="11"/>
      <c r="P54" s="11"/>
      <c r="Q54" s="11"/>
      <c r="R54" s="11"/>
    </row>
    <row r="55">
      <c r="A55" s="11" t="str">
        <f>IFERROR(__xludf.DUMMYFUNCTION("""COMPUTED_VALUE"""),"DD-CONVEX-ALUSD")</f>
        <v>DD-CONVEX-ALUSD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61">
        <f>IFERROR(__xludf.DUMMYFUNCTION("""COMPUTED_VALUE"""),0.12)</f>
        <v>0.12</v>
      </c>
      <c r="Q55" s="11"/>
      <c r="R55" s="11"/>
    </row>
    <row r="56">
      <c r="A56" s="11" t="str">
        <f>IFERROR(__xludf.DUMMYFUNCTION("""COMPUTED_VALUE"""),"DD-DEFROST-H2O3CRV")</f>
        <v>DD-DEFROST-H2O3CRV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61">
        <f>IFERROR(__xludf.DUMMYFUNCTION("""COMPUTED_VALUE"""),0.45)</f>
        <v>0.45</v>
      </c>
      <c r="Q56" s="11"/>
      <c r="R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6.5"/>
    <col customWidth="1" min="3" max="3" width="21.13"/>
    <col customWidth="1" min="4" max="4" width="18.25"/>
    <col customWidth="1" min="5" max="5" width="16.63"/>
  </cols>
  <sheetData>
    <row r="1">
      <c r="A1" s="62" t="str">
        <f>IFERROR(__xludf.DUMMYFUNCTION("IMPORTRANGE(""https://docs.google.com/spreadsheets/d/1gXAO2GNyEKylLtfGmhTYfO8S7zp-qMFYhPViOnaf5qk/edit#gid=1359329667"",""Dashboard!T1:X6"")"),"APYs")</f>
        <v>APYs</v>
      </c>
      <c r="B1" s="11" t="str">
        <f>IFERROR(__xludf.DUMMYFUNCTION("""COMPUTED_VALUE"""),"Daily")</f>
        <v>Daily</v>
      </c>
      <c r="C1" s="63">
        <f>IFERROR(__xludf.DUMMYFUNCTION("""COMPUTED_VALUE"""),0.0)</f>
        <v>0</v>
      </c>
      <c r="D1" s="11" t="str">
        <f>IFERROR(__xludf.DUMMYFUNCTION("""COMPUTED_VALUE"""),"Weekly as of")</f>
        <v>Weekly as of</v>
      </c>
      <c r="E1" s="63">
        <f>IFERROR(__xludf.DUMMYFUNCTION("""COMPUTED_VALUE"""),44540.0)</f>
        <v>44540</v>
      </c>
    </row>
    <row r="2">
      <c r="A2" s="11"/>
      <c r="B2" s="11" t="str">
        <f>IFERROR(__xludf.DUMMYFUNCTION("""COMPUTED_VALUE"""),"USD Balance")</f>
        <v>USD Balance</v>
      </c>
      <c r="C2" s="11" t="str">
        <f>IFERROR(__xludf.DUMMYFUNCTION("""COMPUTED_VALUE"""),"Funding (+ collateral)")</f>
        <v>Funding (+ collateral)</v>
      </c>
      <c r="D2" s="11" t="str">
        <f>IFERROR(__xludf.DUMMYFUNCTION("""COMPUTED_VALUE"""),"USD Balance")</f>
        <v>USD Balance</v>
      </c>
      <c r="E2" s="11" t="str">
        <f>IFERROR(__xludf.DUMMYFUNCTION("""COMPUTED_VALUE"""),"Funding (+ collateral)")</f>
        <v>Funding (+ collateral)</v>
      </c>
    </row>
    <row r="3">
      <c r="A3" s="11" t="str">
        <f>IFERROR(__xludf.DUMMYFUNCTION("""COMPUTED_VALUE"""),"CnC")</f>
        <v>CnC</v>
      </c>
      <c r="B3" s="35">
        <f>IFERROR(__xludf.DUMMYFUNCTION("""COMPUTED_VALUE"""),0.07553860504172394)</f>
        <v>0.07553860504</v>
      </c>
      <c r="C3" s="35">
        <f>IFERROR(__xludf.DUMMYFUNCTION("""COMPUTED_VALUE"""),0.0875778502267731)</f>
        <v>0.08757785023</v>
      </c>
      <c r="D3" s="35">
        <f>IFERROR(__xludf.DUMMYFUNCTION("""COMPUTED_VALUE"""),0.0375447415872386)</f>
        <v>0.03754474159</v>
      </c>
      <c r="E3" s="35">
        <f>IFERROR(__xludf.DUMMYFUNCTION("""COMPUTED_VALUE"""),0.043528573948564415)</f>
        <v>0.04352857395</v>
      </c>
    </row>
    <row r="4">
      <c r="A4" s="11" t="str">
        <f>IFERROR(__xludf.DUMMYFUNCTION("""COMPUTED_VALUE"""),"Directional Trading")</f>
        <v>Directional Trading</v>
      </c>
      <c r="B4" s="35" t="str">
        <f>IFERROR(__xludf.DUMMYFUNCTION("""COMPUTED_VALUE"""),"#N/A")</f>
        <v>#N/A</v>
      </c>
      <c r="C4" s="35" t="str">
        <f>IFERROR(__xludf.DUMMYFUNCTION("""COMPUTED_VALUE"""),"#N/A")</f>
        <v>#N/A</v>
      </c>
      <c r="D4" s="35">
        <f>IFERROR(__xludf.DUMMYFUNCTION("""COMPUTED_VALUE"""),-0.5466217854675485)</f>
        <v>-0.5466217855</v>
      </c>
      <c r="E4" s="35">
        <f>IFERROR(__xludf.DUMMYFUNCTION("""COMPUTED_VALUE"""),1.1964556805324345E-4)</f>
        <v>0.0001196455681</v>
      </c>
    </row>
    <row r="5">
      <c r="A5" s="11" t="str">
        <f>IFERROR(__xludf.DUMMYFUNCTION("""COMPUTED_VALUE"""),"Directional Trading 2")</f>
        <v>Directional Trading 2</v>
      </c>
      <c r="B5" s="35" t="str">
        <f>IFERROR(__xludf.DUMMYFUNCTION("""COMPUTED_VALUE"""),"#N/A")</f>
        <v>#N/A</v>
      </c>
      <c r="C5" s="35">
        <f>IFERROR(__xludf.DUMMYFUNCTION("""COMPUTED_VALUE"""),2.1398640830894027)</f>
        <v>2.139864083</v>
      </c>
      <c r="D5" s="35" t="str">
        <f>IFERROR(__xludf.DUMMYFUNCTION("""COMPUTED_VALUE"""),"#N/A")</f>
        <v>#N/A</v>
      </c>
      <c r="E5" s="35">
        <f>IFERROR(__xludf.DUMMYFUNCTION("""COMPUTED_VALUE"""),2.753076518896011E-5)</f>
        <v>0.00002753076519</v>
      </c>
    </row>
    <row r="6">
      <c r="A6" s="11" t="str">
        <f>IFERROR(__xludf.DUMMYFUNCTION("""COMPUTED_VALUE"""),"Solana")</f>
        <v>Solana</v>
      </c>
      <c r="B6" s="35">
        <f>IFERROR(__xludf.DUMMYFUNCTION("""COMPUTED_VALUE"""),-0.00951347731202475)</f>
        <v>-0.009513477312</v>
      </c>
      <c r="C6" s="35">
        <f>IFERROR(__xludf.DUMMYFUNCTION("""COMPUTED_VALUE"""),-0.003016919562914288)</f>
        <v>-0.003016919563</v>
      </c>
      <c r="D6" s="35">
        <f>IFERROR(__xludf.DUMMYFUNCTION("""COMPUTED_VALUE"""),-0.0942635586996966)</f>
        <v>-0.0942635587</v>
      </c>
      <c r="E6" s="35">
        <f>IFERROR(__xludf.DUMMYFUNCTION("""COMPUTED_VALUE"""),-0.029892915595812603)</f>
        <v>-0.0298929156</v>
      </c>
    </row>
    <row r="22">
      <c r="A22" s="64" t="str">
        <f>IFERROR(__xludf.DUMMYFUNCTION("IMPORTRANGE(""https://docs.google.com/spreadsheets/d/1gXAO2GNyEKylLtfGmhTYfO8S7zp-qMFYhPViOnaf5qk/edit#gid=1359329667"",""Dashboard!b18:c160"")"),"MANA/USD")</f>
        <v>MANA/USD</v>
      </c>
      <c r="B22" s="65" t="str">
        <f>IFERROR(__xludf.DUMMYFUNCTION("""COMPUTED_VALUE"""),"#N/A")</f>
        <v>#N/A</v>
      </c>
      <c r="C22" s="66" t="str">
        <f>IFERROR(__xludf.DUMMYFUNCTION("IMPORTRANGE(""https://docs.google.com/spreadsheets/d/1gXAO2GNyEKylLtfGmhTYfO8S7zp-qMFYhPViOnaf5qk/edit#gid=1359329667"",""Dashboard!M18:m160"")"),"")</f>
        <v/>
      </c>
    </row>
    <row r="23">
      <c r="A23" s="11" t="str">
        <f>IFERROR(__xludf.DUMMYFUNCTION("""COMPUTED_VALUE"""),"ALICE/USD")</f>
        <v>ALICE/USD</v>
      </c>
      <c r="B23" s="65" t="str">
        <f>IFERROR(__xludf.DUMMYFUNCTION("""COMPUTED_VALUE"""),"#N/A")</f>
        <v>#N/A</v>
      </c>
      <c r="C23" s="11"/>
    </row>
    <row r="24">
      <c r="A24" s="11" t="str">
        <f>IFERROR(__xludf.DUMMYFUNCTION("""COMPUTED_VALUE"""),"CeFi Strategies")</f>
        <v>CeFi Strategies</v>
      </c>
      <c r="B24" s="11" t="str">
        <f>IFERROR(__xludf.DUMMYFUNCTION("""COMPUTED_VALUE"""),"Coin")</f>
        <v>Coin</v>
      </c>
      <c r="C24" s="11" t="str">
        <f>IFERROR(__xludf.DUMMYFUNCTION("""COMPUTED_VALUE"""),"APY")</f>
        <v>APY</v>
      </c>
    </row>
    <row r="25">
      <c r="A25" s="11" t="str">
        <f>IFERROR(__xludf.DUMMYFUNCTION("""COMPUTED_VALUE"""),"Cash and Carry")</f>
        <v>Cash and Carry</v>
      </c>
      <c r="B25" s="11" t="str">
        <f>IFERROR(__xludf.DUMMYFUNCTION("""COMPUTED_VALUE"""),"BTC/USD")</f>
        <v>BTC/USD</v>
      </c>
      <c r="C25" s="11"/>
    </row>
    <row r="26">
      <c r="A26" s="11" t="str">
        <f>IFERROR(__xludf.DUMMYFUNCTION("""COMPUTED_VALUE"""),"Cash and Carry")</f>
        <v>Cash and Carry</v>
      </c>
      <c r="B26" s="11" t="str">
        <f>IFERROR(__xludf.DUMMYFUNCTION("""COMPUTED_VALUE"""),"BTC-PERP")</f>
        <v>BTC-PERP</v>
      </c>
      <c r="C26" s="11" t="str">
        <f>IFERROR(__xludf.DUMMYFUNCTION("""COMPUTED_VALUE"""),"#N/A")</f>
        <v>#N/A</v>
      </c>
    </row>
    <row r="27">
      <c r="A27" s="11"/>
      <c r="B27" s="11"/>
      <c r="C27" s="11"/>
    </row>
    <row r="28">
      <c r="A28" s="11" t="str">
        <f>IFERROR(__xludf.DUMMYFUNCTION("""COMPUTED_VALUE"""),"Cash and Carry")</f>
        <v>Cash and Carry</v>
      </c>
      <c r="B28" s="11" t="str">
        <f>IFERROR(__xludf.DUMMYFUNCTION("""COMPUTED_VALUE"""),"ETH/USD")</f>
        <v>ETH/USD</v>
      </c>
      <c r="C28" s="11"/>
    </row>
    <row r="29">
      <c r="A29" s="11" t="str">
        <f>IFERROR(__xludf.DUMMYFUNCTION("""COMPUTED_VALUE"""),"Cash and Carry")</f>
        <v>Cash and Carry</v>
      </c>
      <c r="B29" s="11" t="str">
        <f>IFERROR(__xludf.DUMMYFUNCTION("""COMPUTED_VALUE"""),"ETH-PERP")</f>
        <v>ETH-PERP</v>
      </c>
      <c r="C29" s="11" t="str">
        <f>IFERROR(__xludf.DUMMYFUNCTION("""COMPUTED_VALUE"""),"#N/A")</f>
        <v>#N/A</v>
      </c>
    </row>
    <row r="30">
      <c r="A30" s="11"/>
      <c r="B30" s="11"/>
      <c r="C30" s="11"/>
    </row>
    <row r="31">
      <c r="A31" s="11" t="str">
        <f>IFERROR(__xludf.DUMMYFUNCTION("""COMPUTED_VALUE"""),"Cash and Carry")</f>
        <v>Cash and Carry</v>
      </c>
      <c r="B31" s="11" t="str">
        <f>IFERROR(__xludf.DUMMYFUNCTION("""COMPUTED_VALUE"""),"ALICE/USD")</f>
        <v>ALICE/USD</v>
      </c>
      <c r="C31" s="11"/>
    </row>
    <row r="32">
      <c r="A32" s="11" t="str">
        <f>IFERROR(__xludf.DUMMYFUNCTION("""COMPUTED_VALUE"""),"Cash and Carry")</f>
        <v>Cash and Carry</v>
      </c>
      <c r="B32" s="11" t="str">
        <f>IFERROR(__xludf.DUMMYFUNCTION("""COMPUTED_VALUE"""),"ALICE-PERP")</f>
        <v>ALICE-PERP</v>
      </c>
      <c r="C32" s="11" t="str">
        <f>IFERROR(__xludf.DUMMYFUNCTION("""COMPUTED_VALUE"""),"#N/A")</f>
        <v>#N/A</v>
      </c>
    </row>
    <row r="33">
      <c r="A33" s="11"/>
      <c r="B33" s="11"/>
      <c r="C33" s="11"/>
    </row>
    <row r="34">
      <c r="A34" s="11" t="str">
        <f>IFERROR(__xludf.DUMMYFUNCTION("""COMPUTED_VALUE"""),"Cash and Carry")</f>
        <v>Cash and Carry</v>
      </c>
      <c r="B34" s="11" t="str">
        <f>IFERROR(__xludf.DUMMYFUNCTION("""COMPUTED_VALUE"""),"MANA/USD")</f>
        <v>MANA/USD</v>
      </c>
      <c r="C34" s="11"/>
    </row>
    <row r="35">
      <c r="A35" s="11" t="str">
        <f>IFERROR(__xludf.DUMMYFUNCTION("""COMPUTED_VALUE"""),"Cash and Carry")</f>
        <v>Cash and Carry</v>
      </c>
      <c r="B35" s="11" t="str">
        <f>IFERROR(__xludf.DUMMYFUNCTION("""COMPUTED_VALUE"""),"MANA-PERP")</f>
        <v>MANA-PERP</v>
      </c>
      <c r="C35" s="11" t="str">
        <f>IFERROR(__xludf.DUMMYFUNCTION("""COMPUTED_VALUE"""),"#N/A")</f>
        <v>#N/A</v>
      </c>
    </row>
    <row r="36">
      <c r="A36" s="11"/>
      <c r="B36" s="11"/>
      <c r="C36" s="11"/>
    </row>
    <row r="37">
      <c r="A37" s="11" t="str">
        <f>IFERROR(__xludf.DUMMYFUNCTION("""COMPUTED_VALUE"""),"Cash and Carry")</f>
        <v>Cash and Carry</v>
      </c>
      <c r="B37" s="11" t="str">
        <f>IFERROR(__xludf.DUMMYFUNCTION("""COMPUTED_VALUE"""),"SOL/USD")</f>
        <v>SOL/USD</v>
      </c>
      <c r="C37" s="11"/>
    </row>
    <row r="38">
      <c r="A38" s="11" t="str">
        <f>IFERROR(__xludf.DUMMYFUNCTION("""COMPUTED_VALUE"""),"Cash and Carry")</f>
        <v>Cash and Carry</v>
      </c>
      <c r="B38" s="11" t="str">
        <f>IFERROR(__xludf.DUMMYFUNCTION("""COMPUTED_VALUE"""),"SOL-PERP")</f>
        <v>SOL-PERP</v>
      </c>
      <c r="C38" s="11" t="str">
        <f>IFERROR(__xludf.DUMMYFUNCTION("""COMPUTED_VALUE"""),"#N/A")</f>
        <v>#N/A</v>
      </c>
    </row>
    <row r="39">
      <c r="A39" s="11"/>
      <c r="B39" s="11"/>
      <c r="C39" s="11"/>
    </row>
    <row r="40">
      <c r="A40" s="11" t="str">
        <f>IFERROR(__xludf.DUMMYFUNCTION("""COMPUTED_VALUE"""),"Cash and Carry")</f>
        <v>Cash and Carry</v>
      </c>
      <c r="B40" s="11" t="str">
        <f>IFERROR(__xludf.DUMMYFUNCTION("""COMPUTED_VALUE"""),"FTM/USD")</f>
        <v>FTM/USD</v>
      </c>
      <c r="C40" s="11"/>
    </row>
    <row r="41">
      <c r="A41" s="11" t="str">
        <f>IFERROR(__xludf.DUMMYFUNCTION("""COMPUTED_VALUE"""),"Cash and Carry")</f>
        <v>Cash and Carry</v>
      </c>
      <c r="B41" s="11" t="str">
        <f>IFERROR(__xludf.DUMMYFUNCTION("""COMPUTED_VALUE"""),"FTM-PERP")</f>
        <v>FTM-PERP</v>
      </c>
      <c r="C41" s="11" t="str">
        <f>IFERROR(__xludf.DUMMYFUNCTION("""COMPUTED_VALUE"""),"#N/A")</f>
        <v>#N/A</v>
      </c>
    </row>
    <row r="42">
      <c r="A42" s="11"/>
      <c r="B42" s="11"/>
      <c r="C42" s="11"/>
    </row>
    <row r="43">
      <c r="A43" s="11" t="str">
        <f>IFERROR(__xludf.DUMMYFUNCTION("""COMPUTED_VALUE"""),"Cash and Carry")</f>
        <v>Cash and Carry</v>
      </c>
      <c r="B43" s="11" t="str">
        <f>IFERROR(__xludf.DUMMYFUNCTION("""COMPUTED_VALUE"""),"LRC/USD")</f>
        <v>LRC/USD</v>
      </c>
      <c r="C43" s="11"/>
    </row>
    <row r="44">
      <c r="A44" s="11" t="str">
        <f>IFERROR(__xludf.DUMMYFUNCTION("""COMPUTED_VALUE"""),"Cash and Carry")</f>
        <v>Cash and Carry</v>
      </c>
      <c r="B44" s="11" t="str">
        <f>IFERROR(__xludf.DUMMYFUNCTION("""COMPUTED_VALUE"""),"LRC-PERP")</f>
        <v>LRC-PERP</v>
      </c>
      <c r="C44" s="11"/>
    </row>
    <row r="45">
      <c r="A45" s="11"/>
      <c r="B45" s="11"/>
      <c r="C45" s="11"/>
    </row>
    <row r="46">
      <c r="A46" s="11" t="str">
        <f>IFERROR(__xludf.DUMMYFUNCTION("""COMPUTED_VALUE"""),"Cash and Carry")</f>
        <v>Cash and Carry</v>
      </c>
      <c r="B46" s="11" t="str">
        <f>IFERROR(__xludf.DUMMYFUNCTION("""COMPUTED_VALUE"""),"BOBA/USD")</f>
        <v>BOBA/USD</v>
      </c>
      <c r="C46" s="11"/>
    </row>
    <row r="47">
      <c r="A47" s="11" t="str">
        <f>IFERROR(__xludf.DUMMYFUNCTION("""COMPUTED_VALUE"""),"Cash and Carry")</f>
        <v>Cash and Carry</v>
      </c>
      <c r="B47" s="11" t="str">
        <f>IFERROR(__xludf.DUMMYFUNCTION("""COMPUTED_VALUE"""),"BOBA-PERP")</f>
        <v>BOBA-PERP</v>
      </c>
      <c r="C47" s="35" t="str">
        <f>IFERROR(__xludf.DUMMYFUNCTION("""COMPUTED_VALUE"""),"#N/A")</f>
        <v>#N/A</v>
      </c>
    </row>
    <row r="48">
      <c r="A48" s="11"/>
      <c r="B48" s="11"/>
      <c r="C48" s="11"/>
    </row>
    <row r="49">
      <c r="A49" s="11" t="str">
        <f>IFERROR(__xludf.DUMMYFUNCTION("""COMPUTED_VALUE"""),"Cash and Carry")</f>
        <v>Cash and Carry</v>
      </c>
      <c r="B49" s="11" t="str">
        <f>IFERROR(__xludf.DUMMYFUNCTION("""COMPUTED_VALUE"""),"MATIC/USD")</f>
        <v>MATIC/USD</v>
      </c>
      <c r="C49" s="11"/>
    </row>
    <row r="50">
      <c r="A50" s="11" t="str">
        <f>IFERROR(__xludf.DUMMYFUNCTION("""COMPUTED_VALUE"""),"Cash and Carry")</f>
        <v>Cash and Carry</v>
      </c>
      <c r="B50" s="11" t="str">
        <f>IFERROR(__xludf.DUMMYFUNCTION("""COMPUTED_VALUE"""),"MATIC-PERP")</f>
        <v>MATIC-PERP</v>
      </c>
      <c r="C50" s="11"/>
    </row>
    <row r="51">
      <c r="A51" s="11"/>
      <c r="B51" s="11"/>
      <c r="C51" s="11"/>
    </row>
    <row r="52">
      <c r="A52" s="11" t="str">
        <f>IFERROR(__xludf.DUMMYFUNCTION("""COMPUTED_VALUE"""),"Cash and Carry")</f>
        <v>Cash and Carry</v>
      </c>
      <c r="B52" s="11" t="str">
        <f>IFERROR(__xludf.DUMMYFUNCTION("""COMPUTED_VALUE"""),"AVAX/USD")</f>
        <v>AVAX/USD</v>
      </c>
      <c r="C52" s="11"/>
    </row>
    <row r="53">
      <c r="A53" s="11" t="str">
        <f>IFERROR(__xludf.DUMMYFUNCTION("""COMPUTED_VALUE"""),"Cash and Carry")</f>
        <v>Cash and Carry</v>
      </c>
      <c r="B53" s="11" t="str">
        <f>IFERROR(__xludf.DUMMYFUNCTION("""COMPUTED_VALUE"""),"AVAX-PERP")</f>
        <v>AVAX-PERP</v>
      </c>
      <c r="C53" s="35" t="str">
        <f>IFERROR(__xludf.DUMMYFUNCTION("""COMPUTED_VALUE"""),"#N/A")</f>
        <v>#N/A</v>
      </c>
    </row>
    <row r="54">
      <c r="A54" s="11"/>
      <c r="B54" s="11"/>
      <c r="C54" s="11"/>
    </row>
    <row r="55">
      <c r="A55" s="11"/>
      <c r="B55" s="11" t="str">
        <f>IFERROR(__xludf.DUMMYFUNCTION("""COMPUTED_VALUE"""),"USD")</f>
        <v>USD</v>
      </c>
      <c r="C55" s="11" t="str">
        <f>IFERROR(__xludf.DUMMYFUNCTION("""COMPUTED_VALUE"""),"#N/A")</f>
        <v>#N/A</v>
      </c>
    </row>
    <row r="56">
      <c r="A56" s="11"/>
      <c r="B56" s="11" t="str">
        <f>IFERROR(__xludf.DUMMYFUNCTION("""COMPUTED_VALUE"""),"USDT ERC20")</f>
        <v>USDT ERC20</v>
      </c>
      <c r="C56" s="11"/>
    </row>
    <row r="57">
      <c r="A57" s="11"/>
      <c r="B57" s="11" t="str">
        <f>IFERROR(__xludf.DUMMYFUNCTION("""COMPUTED_VALUE"""),"OMG")</f>
        <v>OMG</v>
      </c>
      <c r="C57" s="11"/>
    </row>
    <row r="58">
      <c r="A58" s="11" t="str">
        <f>IFERROR(__xludf.DUMMYFUNCTION("""COMPUTED_VALUE"""),"Cash and Carry")</f>
        <v>Cash and Carry</v>
      </c>
      <c r="B58" s="11"/>
      <c r="C58" s="35">
        <f>IFERROR(__xludf.DUMMYFUNCTION("""COMPUTED_VALUE"""),0.0015479740114302614)</f>
        <v>0.001547974011</v>
      </c>
    </row>
    <row r="59">
      <c r="A59" s="11"/>
      <c r="B59" s="11"/>
      <c r="C59" s="11"/>
    </row>
    <row r="60">
      <c r="A60" s="11" t="str">
        <f>IFERROR(__xludf.DUMMYFUNCTION("""COMPUTED_VALUE"""),"Futures Funding")</f>
        <v>Futures Funding</v>
      </c>
      <c r="B60" s="11" t="str">
        <f>IFERROR(__xludf.DUMMYFUNCTION("""COMPUTED_VALUE"""),"BTC-1231")</f>
        <v>BTC-1231</v>
      </c>
      <c r="C60" s="11" t="str">
        <f>IFERROR(__xludf.DUMMYFUNCTION("""COMPUTED_VALUE"""),"#N/A")</f>
        <v>#N/A</v>
      </c>
    </row>
    <row r="61">
      <c r="A61" s="11" t="str">
        <f>IFERROR(__xludf.DUMMYFUNCTION("""COMPUTED_VALUE"""),"Futures Funding")</f>
        <v>Futures Funding</v>
      </c>
      <c r="B61" s="11" t="str">
        <f>IFERROR(__xludf.DUMMYFUNCTION("""COMPUTED_VALUE"""),"BTC/USD")</f>
        <v>BTC/USD</v>
      </c>
      <c r="C61" s="11"/>
    </row>
    <row r="62">
      <c r="A62" s="11"/>
      <c r="B62" s="11"/>
      <c r="C62" s="11"/>
    </row>
    <row r="63">
      <c r="A63" s="11" t="str">
        <f>IFERROR(__xludf.DUMMYFUNCTION("""COMPUTED_VALUE"""),"Futures Funding")</f>
        <v>Futures Funding</v>
      </c>
      <c r="B63" s="11" t="str">
        <f>IFERROR(__xludf.DUMMYFUNCTION("""COMPUTED_VALUE"""),"BTC-0325")</f>
        <v>BTC-0325</v>
      </c>
      <c r="C63" s="11" t="str">
        <f>IFERROR(__xludf.DUMMYFUNCTION("""COMPUTED_VALUE"""),"#N/A")</f>
        <v>#N/A</v>
      </c>
    </row>
    <row r="64">
      <c r="A64" s="11" t="str">
        <f>IFERROR(__xludf.DUMMYFUNCTION("""COMPUTED_VALUE"""),"Futures Funding")</f>
        <v>Futures Funding</v>
      </c>
      <c r="B64" s="11" t="str">
        <f>IFERROR(__xludf.DUMMYFUNCTION("""COMPUTED_VALUE"""),"BTC/USD")</f>
        <v>BTC/USD</v>
      </c>
      <c r="C64" s="11"/>
    </row>
    <row r="65">
      <c r="A65" s="11"/>
      <c r="B65" s="11"/>
      <c r="C65" s="11"/>
    </row>
    <row r="66">
      <c r="A66" s="11" t="str">
        <f>IFERROR(__xludf.DUMMYFUNCTION("""COMPUTED_VALUE"""),"Futures Funding")</f>
        <v>Futures Funding</v>
      </c>
      <c r="B66" s="11" t="str">
        <f>IFERROR(__xludf.DUMMYFUNCTION("""COMPUTED_VALUE"""),"ETH-0325")</f>
        <v>ETH-0325</v>
      </c>
      <c r="C66" s="11" t="str">
        <f>IFERROR(__xludf.DUMMYFUNCTION("""COMPUTED_VALUE"""),"#N/A")</f>
        <v>#N/A</v>
      </c>
    </row>
    <row r="67">
      <c r="A67" s="11" t="str">
        <f>IFERROR(__xludf.DUMMYFUNCTION("""COMPUTED_VALUE"""),"Futures Funding")</f>
        <v>Futures Funding</v>
      </c>
      <c r="B67" s="11" t="str">
        <f>IFERROR(__xludf.DUMMYFUNCTION("""COMPUTED_VALUE"""),"ETH/USD")</f>
        <v>ETH/USD</v>
      </c>
      <c r="C67" s="11"/>
    </row>
    <row r="68">
      <c r="A68" s="11"/>
      <c r="B68" s="11"/>
      <c r="C68" s="11"/>
    </row>
    <row r="69">
      <c r="A69" s="11" t="str">
        <f>IFERROR(__xludf.DUMMYFUNCTION("""COMPUTED_VALUE"""),"Futures Funding")</f>
        <v>Futures Funding</v>
      </c>
      <c r="B69" s="11"/>
      <c r="C69" s="11"/>
    </row>
    <row r="70">
      <c r="A70" s="11"/>
      <c r="B70" s="11"/>
      <c r="C70" s="11"/>
    </row>
    <row r="71">
      <c r="A71" s="11" t="str">
        <f>IFERROR(__xludf.DUMMYFUNCTION("""COMPUTED_VALUE"""),"Directional Trading 2")</f>
        <v>Directional Trading 2</v>
      </c>
      <c r="B71" s="11" t="str">
        <f>IFERROR(__xludf.DUMMYFUNCTION("""COMPUTED_VALUE"""),"BTC/USD")</f>
        <v>BTC/USD</v>
      </c>
      <c r="C71" s="11"/>
    </row>
    <row r="72">
      <c r="A72" s="11"/>
      <c r="B72" s="11" t="str">
        <f>IFERROR(__xludf.DUMMYFUNCTION("""COMPUTED_VALUE"""),"BTC-PERP")</f>
        <v>BTC-PERP</v>
      </c>
      <c r="C72" s="11"/>
    </row>
    <row r="73">
      <c r="A73" s="11"/>
      <c r="B73" s="11" t="str">
        <f>IFERROR(__xludf.DUMMYFUNCTION("""COMPUTED_VALUE"""),"Funding")</f>
        <v>Funding</v>
      </c>
      <c r="C73" s="11"/>
    </row>
    <row r="74">
      <c r="A74" s="11"/>
      <c r="B74" s="11" t="str">
        <f>IFERROR(__xludf.DUMMYFUNCTION("""COMPUTED_VALUE"""),"ETH/USD")</f>
        <v>ETH/USD</v>
      </c>
      <c r="C74" s="11"/>
    </row>
    <row r="75">
      <c r="A75" s="11"/>
      <c r="B75" s="11" t="str">
        <f>IFERROR(__xludf.DUMMYFUNCTION("""COMPUTED_VALUE"""),"ETH-PERP")</f>
        <v>ETH-PERP</v>
      </c>
      <c r="C75" s="11"/>
    </row>
    <row r="76">
      <c r="A76" s="11"/>
      <c r="B76" s="11" t="str">
        <f>IFERROR(__xludf.DUMMYFUNCTION("""COMPUTED_VALUE"""),"Funding")</f>
        <v>Funding</v>
      </c>
      <c r="C76" s="11"/>
    </row>
    <row r="77">
      <c r="A77" s="11"/>
      <c r="B77" s="11" t="str">
        <f>IFERROR(__xludf.DUMMYFUNCTION("""COMPUTED_VALUE"""),"USD")</f>
        <v>USD</v>
      </c>
      <c r="C77" s="11"/>
    </row>
    <row r="78">
      <c r="A78" s="11"/>
      <c r="B78" s="11"/>
      <c r="C78" s="11"/>
    </row>
    <row r="79">
      <c r="A79" s="11" t="str">
        <f>IFERROR(__xludf.DUMMYFUNCTION("""COMPUTED_VALUE"""),"Directional Trading 2")</f>
        <v>Directional Trading 2</v>
      </c>
      <c r="B79" s="11"/>
      <c r="C79" s="11"/>
    </row>
    <row r="80">
      <c r="A80" s="11"/>
      <c r="B80" s="11"/>
      <c r="C80" s="11"/>
    </row>
    <row r="81">
      <c r="A81" s="11" t="str">
        <f>IFERROR(__xludf.DUMMYFUNCTION("""COMPUTED_VALUE"""),"Futures Market Making")</f>
        <v>Futures Market Making</v>
      </c>
      <c r="B81" s="11" t="str">
        <f>IFERROR(__xludf.DUMMYFUNCTION("""COMPUTED_VALUE"""),"BTC-PERP")</f>
        <v>BTC-PERP</v>
      </c>
      <c r="C81" s="11"/>
    </row>
    <row r="82">
      <c r="A82" s="11"/>
      <c r="B82" s="11" t="str">
        <f>IFERROR(__xludf.DUMMYFUNCTION("""COMPUTED_VALUE"""),"Funding")</f>
        <v>Funding</v>
      </c>
      <c r="C82" s="11"/>
    </row>
    <row r="83">
      <c r="A83" s="11" t="str">
        <f>IFERROR(__xludf.DUMMYFUNCTION("""COMPUTED_VALUE"""),"Futures Market Making")</f>
        <v>Futures Market Making</v>
      </c>
      <c r="B83" s="11" t="str">
        <f>IFERROR(__xludf.DUMMYFUNCTION("""COMPUTED_VALUE"""),"ETH-PERP")</f>
        <v>ETH-PERP</v>
      </c>
      <c r="C83" s="11"/>
    </row>
    <row r="84">
      <c r="A84" s="11"/>
      <c r="B84" s="11" t="str">
        <f>IFERROR(__xludf.DUMMYFUNCTION("""COMPUTED_VALUE"""),"Funding")</f>
        <v>Funding</v>
      </c>
      <c r="C84" s="11"/>
    </row>
    <row r="85">
      <c r="A85" s="11"/>
      <c r="B85" s="11" t="str">
        <f>IFERROR(__xludf.DUMMYFUNCTION("""COMPUTED_VALUE"""),"USD")</f>
        <v>USD</v>
      </c>
      <c r="C85" s="11"/>
    </row>
    <row r="86">
      <c r="A86" s="11"/>
      <c r="B86" s="11"/>
      <c r="C86" s="11"/>
    </row>
    <row r="87">
      <c r="A87" s="11" t="str">
        <f>IFERROR(__xludf.DUMMYFUNCTION("""COMPUTED_VALUE"""),"Directional Trading 1")</f>
        <v>Directional Trading 1</v>
      </c>
      <c r="B87" s="11"/>
      <c r="C87" s="35" t="str">
        <f>IFERROR(__xludf.DUMMYFUNCTION("""COMPUTED_VALUE"""),"#N/A")</f>
        <v>#N/A</v>
      </c>
    </row>
    <row r="88">
      <c r="A88" s="11"/>
      <c r="B88" s="11"/>
      <c r="C88" s="11"/>
    </row>
    <row r="89">
      <c r="A89" s="11" t="str">
        <f>IFERROR(__xludf.DUMMYFUNCTION("""COMPUTED_VALUE"""),"Spot Margin Lending")</f>
        <v>Spot Margin Lending</v>
      </c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 t="str">
        <f>IFERROR(__xludf.DUMMYFUNCTION("""COMPUTED_VALUE"""),"Jacob")</f>
        <v>Jacob</v>
      </c>
      <c r="B95" s="11"/>
      <c r="C95" s="11"/>
    </row>
    <row r="96">
      <c r="A96" s="11"/>
      <c r="B96" s="11"/>
      <c r="C96" s="11"/>
    </row>
    <row r="97">
      <c r="A97" s="11" t="str">
        <f>IFERROR(__xludf.DUMMYFUNCTION("""COMPUTED_VALUE"""),"Solana - CeFi")</f>
        <v>Solana - CeFi</v>
      </c>
      <c r="B97" s="11" t="str">
        <f>IFERROR(__xludf.DUMMYFUNCTION("""COMPUTED_VALUE"""),"ATLAS/USD")</f>
        <v>ATLAS/USD</v>
      </c>
      <c r="C97" s="11"/>
    </row>
    <row r="98">
      <c r="A98" s="11"/>
      <c r="B98" s="11" t="str">
        <f>IFERROR(__xludf.DUMMYFUNCTION("""COMPUTED_VALUE"""),"ATLAS-PERP")</f>
        <v>ATLAS-PERP</v>
      </c>
      <c r="C98" s="11"/>
    </row>
    <row r="99">
      <c r="A99" s="11"/>
      <c r="B99" s="11" t="str">
        <f>IFERROR(__xludf.DUMMYFUNCTION("""COMPUTED_VALUE"""),"Funding")</f>
        <v>Funding</v>
      </c>
      <c r="C99" s="11" t="str">
        <f>IFERROR(__xludf.DUMMYFUNCTION("""COMPUTED_VALUE"""),"#N/A")</f>
        <v>#N/A</v>
      </c>
    </row>
    <row r="100">
      <c r="A100" s="11"/>
      <c r="B100" s="11" t="str">
        <f>IFERROR(__xludf.DUMMYFUNCTION("""COMPUTED_VALUE"""),"POLIS/USD")</f>
        <v>POLIS/USD</v>
      </c>
      <c r="C100" s="11"/>
    </row>
    <row r="101">
      <c r="A101" s="11"/>
      <c r="B101" s="11" t="str">
        <f>IFERROR(__xludf.DUMMYFUNCTION("""COMPUTED_VALUE"""),"POLIS-PERP")</f>
        <v>POLIS-PERP</v>
      </c>
      <c r="C101" s="11"/>
    </row>
    <row r="102">
      <c r="A102" s="11"/>
      <c r="B102" s="11" t="str">
        <f>IFERROR(__xludf.DUMMYFUNCTION("""COMPUTED_VALUE"""),"Funding")</f>
        <v>Funding</v>
      </c>
      <c r="C102" s="11" t="str">
        <f>IFERROR(__xludf.DUMMYFUNCTION("""COMPUTED_VALUE"""),"#N/A")</f>
        <v>#N/A</v>
      </c>
    </row>
    <row r="103">
      <c r="A103" s="11"/>
      <c r="B103" s="11" t="str">
        <f>IFERROR(__xludf.DUMMYFUNCTION("""COMPUTED_VALUE"""),"RAY/USD")</f>
        <v>RAY/USD</v>
      </c>
      <c r="C103" s="11"/>
    </row>
    <row r="104">
      <c r="A104" s="11"/>
      <c r="B104" s="11" t="str">
        <f>IFERROR(__xludf.DUMMYFUNCTION("""COMPUTED_VALUE"""),"RAY-PERP")</f>
        <v>RAY-PERP</v>
      </c>
      <c r="C104" s="11"/>
    </row>
    <row r="105">
      <c r="A105" s="11"/>
      <c r="B105" s="11" t="str">
        <f>IFERROR(__xludf.DUMMYFUNCTION("""COMPUTED_VALUE"""),"Funding")</f>
        <v>Funding</v>
      </c>
      <c r="C105" s="11" t="str">
        <f>IFERROR(__xludf.DUMMYFUNCTION("""COMPUTED_VALUE"""),"#N/A")</f>
        <v>#N/A</v>
      </c>
    </row>
    <row r="106">
      <c r="A106" s="11"/>
      <c r="B106" s="11" t="str">
        <f>IFERROR(__xludf.DUMMYFUNCTION("""COMPUTED_VALUE"""),"OMG")</f>
        <v>OMG</v>
      </c>
      <c r="C106" s="11"/>
    </row>
    <row r="107">
      <c r="A107" s="11"/>
      <c r="B107" s="11"/>
      <c r="C107" s="11"/>
    </row>
    <row r="108">
      <c r="A108" s="11" t="str">
        <f>IFERROR(__xludf.DUMMYFUNCTION("""COMPUTED_VALUE"""),"DeFi")</f>
        <v>DeFi</v>
      </c>
      <c r="B108" s="11" t="str">
        <f>IFERROR(__xludf.DUMMYFUNCTION("""COMPUTED_VALUE"""),"ATLAS/USD")</f>
        <v>ATLAS/USD</v>
      </c>
      <c r="C108" s="11"/>
    </row>
    <row r="109">
      <c r="A109" s="11" t="str">
        <f>IFERROR(__xludf.DUMMYFUNCTION("""COMPUTED_VALUE"""),"(balances)")</f>
        <v>(balances)</v>
      </c>
      <c r="B109" s="11" t="str">
        <f>IFERROR(__xludf.DUMMYFUNCTION("""COMPUTED_VALUE"""),"POLIS/USD")</f>
        <v>POLIS/USD</v>
      </c>
      <c r="C109" s="11"/>
    </row>
    <row r="110">
      <c r="A110" s="11"/>
      <c r="B110" s="11" t="str">
        <f>IFERROR(__xludf.DUMMYFUNCTION("""COMPUTED_VALUE"""),"RAY/USD")</f>
        <v>RAY/USD</v>
      </c>
      <c r="C110" s="11"/>
    </row>
    <row r="111">
      <c r="A111" s="11"/>
      <c r="B111" s="11"/>
      <c r="C111" s="11"/>
    </row>
    <row r="112">
      <c r="A112" s="11" t="str">
        <f>IFERROR(__xludf.DUMMYFUNCTION("""COMPUTED_VALUE"""),"Solana")</f>
        <v>Solana</v>
      </c>
      <c r="B112" s="11"/>
      <c r="C112" s="35">
        <f>IFERROR(__xludf.DUMMYFUNCTION("""COMPUTED_VALUE"""),-0.03001215529046427)</f>
        <v>-0.03001215529</v>
      </c>
    </row>
    <row r="113">
      <c r="A113" s="11"/>
      <c r="B113" s="11"/>
      <c r="C113" s="11"/>
    </row>
    <row r="114">
      <c r="A114" s="11" t="str">
        <f>IFERROR(__xludf.DUMMYFUNCTION("""COMPUTED_VALUE"""),"CEL")</f>
        <v>CEL</v>
      </c>
      <c r="B114" s="11" t="str">
        <f>IFERROR(__xludf.DUMMYFUNCTION("""COMPUTED_VALUE"""),"CEL/USD")</f>
        <v>CEL/USD</v>
      </c>
      <c r="C114" s="11"/>
    </row>
    <row r="115">
      <c r="A115" s="11"/>
      <c r="B115" s="11" t="str">
        <f>IFERROR(__xludf.DUMMYFUNCTION("""COMPUTED_VALUE"""),"CEL/BTC")</f>
        <v>CEL/BTC</v>
      </c>
      <c r="C115" s="11"/>
    </row>
    <row r="116">
      <c r="A116" s="11"/>
      <c r="B116" s="11" t="str">
        <f>IFERROR(__xludf.DUMMYFUNCTION("""COMPUTED_VALUE"""),"BTC/USD")</f>
        <v>BTC/USD</v>
      </c>
      <c r="C116" s="11"/>
    </row>
    <row r="117">
      <c r="A117" s="11" t="str">
        <f>IFERROR(__xludf.DUMMYFUNCTION("""COMPUTED_VALUE"""),"Kairon2")</f>
        <v>Kairon2</v>
      </c>
      <c r="B117" s="11" t="str">
        <f>IFERROR(__xludf.DUMMYFUNCTION("""COMPUTED_VALUE"""),"CEL/USD")</f>
        <v>CEL/USD</v>
      </c>
      <c r="C117" s="11"/>
    </row>
    <row r="118">
      <c r="A118" s="11"/>
      <c r="B118" s="11" t="str">
        <f>IFERROR(__xludf.DUMMYFUNCTION("""COMPUTED_VALUE"""),"CEL/BTC")</f>
        <v>CEL/BTC</v>
      </c>
      <c r="C118" s="11"/>
    </row>
    <row r="119">
      <c r="A119" s="11"/>
      <c r="B119" s="11" t="str">
        <f>IFERROR(__xludf.DUMMYFUNCTION("""COMPUTED_VALUE"""),"BTC/USD")</f>
        <v>BTC/USD</v>
      </c>
      <c r="C119" s="11"/>
    </row>
    <row r="120">
      <c r="A120" s="11" t="str">
        <f>IFERROR(__xludf.DUMMYFUNCTION("""COMPUTED_VALUE"""),"Defi")</f>
        <v>Defi</v>
      </c>
      <c r="B120" s="11" t="str">
        <f>IFERROR(__xludf.DUMMYFUNCTION("""COMPUTED_VALUE"""),"ETH/USD")</f>
        <v>ETH/USD</v>
      </c>
      <c r="C120" s="11"/>
    </row>
    <row r="121">
      <c r="A121" s="11"/>
      <c r="B121" s="11" t="str">
        <f>IFERROR(__xludf.DUMMYFUNCTION("""COMPUTED_VALUE"""),"CEL/USD")</f>
        <v>CEL/USD</v>
      </c>
      <c r="C121" s="11"/>
    </row>
    <row r="122">
      <c r="A122" s="11"/>
      <c r="B122" s="11"/>
      <c r="C122" s="11"/>
    </row>
    <row r="123">
      <c r="A123" s="11" t="str">
        <f>IFERROR(__xludf.DUMMYFUNCTION("""COMPUTED_VALUE"""),"CEL buyback")</f>
        <v>CEL buyback</v>
      </c>
      <c r="B123" s="11"/>
      <c r="C123" s="35">
        <f>IFERROR(__xludf.DUMMYFUNCTION("""COMPUTED_VALUE"""),0.0)</f>
        <v>0</v>
      </c>
    </row>
    <row r="124">
      <c r="A124" s="11"/>
      <c r="B124" s="11"/>
      <c r="C124" s="11"/>
    </row>
    <row r="125">
      <c r="A125" s="11" t="str">
        <f>IFERROR(__xludf.DUMMYFUNCTION("""COMPUTED_VALUE"""),"Kairon")</f>
        <v>Kairon</v>
      </c>
      <c r="B125" s="11" t="str">
        <f>IFERROR(__xludf.DUMMYFUNCTION("""COMPUTED_VALUE"""),"CEL/USD")</f>
        <v>CEL/USD</v>
      </c>
      <c r="C125" s="11"/>
    </row>
    <row r="126">
      <c r="A126" s="11" t="str">
        <f>IFERROR(__xludf.DUMMYFUNCTION("""COMPUTED_VALUE"""),"(Market Making)")</f>
        <v>(Market Making)</v>
      </c>
      <c r="B126" s="11" t="str">
        <f>IFERROR(__xludf.DUMMYFUNCTION("""COMPUTED_VALUE"""),"CEL/BTC")</f>
        <v>CEL/BTC</v>
      </c>
      <c r="C126" s="11"/>
    </row>
    <row r="127">
      <c r="A127" s="11"/>
      <c r="B127" s="11" t="str">
        <f>IFERROR(__xludf.DUMMYFUNCTION("""COMPUTED_VALUE"""),"BTC/USD")</f>
        <v>BTC/USD</v>
      </c>
      <c r="C127" s="11"/>
    </row>
    <row r="128">
      <c r="A128" s="11" t="str">
        <f>IFERROR(__xludf.DUMMYFUNCTION("""COMPUTED_VALUE"""),"Kairon")</f>
        <v>Kairon</v>
      </c>
      <c r="B128" s="11"/>
      <c r="C128" s="35">
        <f>IFERROR(__xludf.DUMMYFUNCTION("""COMPUTED_VALUE"""),-0.49910006326242823)</f>
        <v>-0.4991000633</v>
      </c>
    </row>
    <row r="129">
      <c r="A129" s="11"/>
      <c r="B129" s="11"/>
      <c r="C129" s="11"/>
    </row>
    <row r="130">
      <c r="A130" s="11" t="str">
        <f>IFERROR(__xludf.DUMMYFUNCTION("""COMPUTED_VALUE"""),"Managment")</f>
        <v>Managment</v>
      </c>
      <c r="B130" s="11" t="str">
        <f>IFERROR(__xludf.DUMMYFUNCTION("""COMPUTED_VALUE"""),"BTC/USD")</f>
        <v>BTC/USD</v>
      </c>
      <c r="C130" s="11"/>
    </row>
    <row r="131">
      <c r="A131" s="11"/>
      <c r="B131" s="11" t="str">
        <f>IFERROR(__xludf.DUMMYFUNCTION("""COMPUTED_VALUE"""),"BADGER/USD")</f>
        <v>BADGER/USD</v>
      </c>
      <c r="C131" s="11"/>
    </row>
    <row r="132">
      <c r="A132" s="11"/>
      <c r="B132" s="11" t="str">
        <f>IFERROR(__xludf.DUMMYFUNCTION("""COMPUTED_VALUE"""),"BADGER-PERP")</f>
        <v>BADGER-PERP</v>
      </c>
      <c r="C132" s="11"/>
    </row>
    <row r="133">
      <c r="A133" s="11"/>
      <c r="B133" s="11" t="str">
        <f>IFERROR(__xludf.DUMMYFUNCTION("""COMPUTED_VALUE"""),"BOBA/USD")</f>
        <v>BOBA/USD</v>
      </c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 t="str">
        <f>IFERROR(__xludf.DUMMYFUNCTION("""COMPUTED_VALUE"""),"Management")</f>
        <v>Management</v>
      </c>
      <c r="B136" s="11"/>
      <c r="C136" s="35" t="str">
        <f>IFERROR(__xludf.DUMMYFUNCTION("""COMPUTED_VALUE"""),"#VALUE!")</f>
        <v>#VALUE!</v>
      </c>
    </row>
    <row r="137">
      <c r="A137" s="11"/>
      <c r="B137" s="11"/>
      <c r="C137" s="11"/>
    </row>
    <row r="138">
      <c r="A138" s="11" t="str">
        <f>IFERROR(__xludf.DUMMYFUNCTION("""COMPUTED_VALUE"""),"Grayscale")</f>
        <v>Grayscale</v>
      </c>
      <c r="B138" s="11"/>
      <c r="C138" s="11"/>
    </row>
    <row r="139">
      <c r="A139" s="11" t="str">
        <f>IFERROR(__xludf.DUMMYFUNCTION("""COMPUTED_VALUE"""),"Grayscale")</f>
        <v>Grayscale</v>
      </c>
      <c r="B139" s="11"/>
      <c r="C139" s="11"/>
    </row>
    <row r="140">
      <c r="A140" s="11"/>
      <c r="B140" s="11"/>
      <c r="C140" s="11"/>
    </row>
    <row r="141">
      <c r="A141" s="11" t="str">
        <f>IFERROR(__xludf.DUMMYFUNCTION("""COMPUTED_VALUE"""),"Grayscale")</f>
        <v>Grayscale</v>
      </c>
      <c r="B141" s="11"/>
      <c r="C141" s="35" t="str">
        <f>IFERROR(__xludf.DUMMYFUNCTION("""COMPUTED_VALUE"""),"#DIV/0!")</f>
        <v>#DIV/0!</v>
      </c>
    </row>
    <row r="142">
      <c r="A142" s="11"/>
      <c r="B142" s="11"/>
      <c r="C142" s="11"/>
    </row>
    <row r="143">
      <c r="A143" s="11" t="str">
        <f>IFERROR(__xludf.DUMMYFUNCTION("""COMPUTED_VALUE"""),"Management")</f>
        <v>Management</v>
      </c>
      <c r="B143" s="11"/>
      <c r="C143" s="11"/>
    </row>
    <row r="144">
      <c r="A144" s="11" t="str">
        <f>IFERROR(__xludf.DUMMYFUNCTION("""COMPUTED_VALUE"""),"Management")</f>
        <v>Management</v>
      </c>
      <c r="B144" s="11"/>
      <c r="C144" s="11"/>
    </row>
    <row r="145">
      <c r="A145" s="11"/>
      <c r="B145" s="11"/>
      <c r="C145" s="11"/>
    </row>
    <row r="146">
      <c r="A146" s="11" t="str">
        <f>IFERROR(__xludf.DUMMYFUNCTION("""COMPUTED_VALUE"""),"Management")</f>
        <v>Management</v>
      </c>
      <c r="B146" s="11"/>
      <c r="C146" s="35" t="str">
        <f>IFERROR(__xludf.DUMMYFUNCTION("""COMPUTED_VALUE"""),"#DIV/0!")</f>
        <v>#DIV/0!</v>
      </c>
    </row>
    <row r="147">
      <c r="A147" s="11"/>
      <c r="B147" s="11"/>
      <c r="C147" s="11"/>
    </row>
    <row r="148">
      <c r="A148" s="11" t="str">
        <f>IFERROR(__xludf.DUMMYFUNCTION("""COMPUTED_VALUE"""),"FTX Borrow")</f>
        <v>FTX Borrow</v>
      </c>
      <c r="B148" s="11" t="str">
        <f>IFERROR(__xludf.DUMMYFUNCTION("""COMPUTED_VALUE"""),"USD")</f>
        <v>USD</v>
      </c>
      <c r="C148" s="11" t="str">
        <f>IFERROR(__xludf.DUMMYFUNCTION("""COMPUTED_VALUE"""),"#N/A")</f>
        <v>#N/A</v>
      </c>
    </row>
    <row r="149">
      <c r="A149" s="11"/>
      <c r="B149" s="11" t="str">
        <f>IFERROR(__xludf.DUMMYFUNCTION("""COMPUTED_VALUE"""),"SOL")</f>
        <v>SOL</v>
      </c>
      <c r="C149" s="11" t="str">
        <f>IFERROR(__xludf.DUMMYFUNCTION("""COMPUTED_VALUE"""),"#N/A")</f>
        <v>#N/A</v>
      </c>
    </row>
    <row r="150">
      <c r="A150" s="11"/>
      <c r="B150" s="11" t="str">
        <f>IFERROR(__xludf.DUMMYFUNCTION("""COMPUTED_VALUE"""),"AAVE")</f>
        <v>AAVE</v>
      </c>
      <c r="C150" s="11" t="str">
        <f>IFERROR(__xludf.DUMMYFUNCTION("""COMPUTED_VALUE"""),"#N/A")</f>
        <v>#N/A</v>
      </c>
    </row>
    <row r="151">
      <c r="A151" s="11"/>
      <c r="B151" s="11" t="str">
        <f>IFERROR(__xludf.DUMMYFUNCTION("""COMPUTED_VALUE"""),"XRP")</f>
        <v>XRP</v>
      </c>
      <c r="C151" s="11" t="str">
        <f>IFERROR(__xludf.DUMMYFUNCTION("""COMPUTED_VALUE"""),"#N/A")</f>
        <v>#N/A</v>
      </c>
    </row>
    <row r="152">
      <c r="A152" s="11"/>
      <c r="B152" s="11"/>
      <c r="C152" s="11"/>
    </row>
    <row r="153">
      <c r="A153" s="11" t="str">
        <f>IFERROR(__xludf.DUMMYFUNCTION("""COMPUTED_VALUE"""),"FTX Borrow")</f>
        <v>FTX Borrow</v>
      </c>
      <c r="B153" s="11"/>
      <c r="C153" s="35">
        <f>IFERROR(__xludf.DUMMYFUNCTION("""COMPUTED_VALUE"""),-0.0011949107639037863)</f>
        <v>-0.001194910764</v>
      </c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35">
        <f>IFERROR(__xludf.DUMMYFUNCTION("""COMPUTED_VALUE"""),-0.08791863395109724)</f>
        <v>-0.08791863395</v>
      </c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 t="str">
        <f>IFERROR(__xludf.DUMMYFUNCTION("""COMPUTED_VALUE"""),"Bitfinex")</f>
        <v>Bitfinex</v>
      </c>
      <c r="B161" s="11" t="str">
        <f>IFERROR(__xludf.DUMMYFUNCTION("""COMPUTED_VALUE"""),"Contract")</f>
        <v>Contract</v>
      </c>
      <c r="C161" s="11"/>
    </row>
    <row r="162">
      <c r="A162" s="11" t="str">
        <f>IFERROR(__xludf.DUMMYFUNCTION("""COMPUTED_VALUE"""),"BOT")</f>
        <v>BOT</v>
      </c>
      <c r="B162" s="11" t="str">
        <f>IFERROR(__xludf.DUMMYFUNCTION("""COMPUTED_VALUE"""),"ADA")</f>
        <v>ADA</v>
      </c>
      <c r="C162" s="11"/>
    </row>
    <row r="163">
      <c r="A163" s="11"/>
      <c r="B163" s="11" t="str">
        <f>IFERROR(__xludf.DUMMYFUNCTION("""COMPUTED_VALUE"""),"ALGO")</f>
        <v>ALGO</v>
      </c>
      <c r="C163" s="11"/>
    </row>
    <row r="164">
      <c r="A164" s="11"/>
      <c r="B164" s="11" t="str">
        <f>IFERROR(__xludf.DUMMYFUNCTION("""COMPUTED_VALUE"""),"BCHN")</f>
        <v>BCHN</v>
      </c>
      <c r="C164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38"/>
    <col customWidth="1" min="6" max="6" width="20.63"/>
  </cols>
  <sheetData>
    <row r="1">
      <c r="A1" s="67" t="str">
        <f>IFERROR(__xludf.DUMMYFUNCTION("IMPORTRANGE(""https://docs.google.com/spreadsheets/d/1EzKkGPvQKhP19qcrNLwYMBf1WGoBBDr2JY0Cm52km_Q/edit#gid=943410670"",""APY calc!A:B"")"),"Coin")</f>
        <v>Coin</v>
      </c>
      <c r="B1" s="67" t="str">
        <f>IFERROR(__xludf.DUMMYFUNCTION("""COMPUTED_VALUE"""),"7d apy net")</f>
        <v>7d apy net</v>
      </c>
      <c r="C1" s="68"/>
      <c r="D1" s="67"/>
      <c r="E1" s="67"/>
      <c r="F1" s="67"/>
      <c r="G1" s="69"/>
      <c r="H1" s="67"/>
      <c r="I1" s="67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>
      <c r="A2" s="11" t="str">
        <f>IFERROR(__xludf.DUMMYFUNCTION("""COMPUTED_VALUE"""),"ETH")</f>
        <v>ETH</v>
      </c>
      <c r="B2" s="35">
        <f>IFERROR(__xludf.DUMMYFUNCTION("""COMPUTED_VALUE"""),0.05557489884052994)</f>
        <v>0.05557489884</v>
      </c>
      <c r="C2" s="70"/>
      <c r="D2" s="13"/>
      <c r="E2" s="13"/>
      <c r="F2" s="71"/>
      <c r="I2" s="35"/>
    </row>
    <row r="3">
      <c r="A3" s="11" t="str">
        <f>IFERROR(__xludf.DUMMYFUNCTION("""COMPUTED_VALUE"""),"USDC")</f>
        <v>USDC</v>
      </c>
      <c r="B3" s="35">
        <f>IFERROR(__xludf.DUMMYFUNCTION("""COMPUTED_VALUE"""),0.12406038774737421)</f>
        <v>0.1240603877</v>
      </c>
      <c r="C3" s="70"/>
      <c r="D3" s="13"/>
      <c r="E3" s="13"/>
      <c r="F3" s="71"/>
      <c r="I3" s="35"/>
    </row>
    <row r="4">
      <c r="A4" s="11" t="str">
        <f>IFERROR(__xludf.DUMMYFUNCTION("""COMPUTED_VALUE"""),"MCDAI")</f>
        <v>MCDAI</v>
      </c>
      <c r="B4" s="35">
        <f>IFERROR(__xludf.DUMMYFUNCTION("""COMPUTED_VALUE"""),0.1386007088081068)</f>
        <v>0.1386007088</v>
      </c>
      <c r="C4" s="70"/>
      <c r="D4" s="13"/>
      <c r="E4" s="13"/>
      <c r="F4" s="71"/>
      <c r="I4" s="35"/>
    </row>
    <row r="5">
      <c r="A5" s="11" t="str">
        <f>IFERROR(__xludf.DUMMYFUNCTION("""COMPUTED_VALUE"""),"WBTC")</f>
        <v>WBTC</v>
      </c>
      <c r="B5" s="35">
        <f>IFERROR(__xludf.DUMMYFUNCTION("""COMPUTED_VALUE"""),0.04793464322618076)</f>
        <v>0.04793464323</v>
      </c>
      <c r="C5" s="70"/>
      <c r="D5" s="13"/>
      <c r="E5" s="13"/>
      <c r="F5" s="71"/>
      <c r="I5" s="35"/>
    </row>
    <row r="6">
      <c r="A6" s="11" t="str">
        <f>IFERROR(__xludf.DUMMYFUNCTION("""COMPUTED_VALUE"""),"LINK")</f>
        <v>LINK</v>
      </c>
      <c r="B6" s="35">
        <f>IFERROR(__xludf.DUMMYFUNCTION("""COMPUTED_VALUE"""),0.11759484609174228)</f>
        <v>0.1175948461</v>
      </c>
      <c r="C6" s="70"/>
      <c r="D6" s="13"/>
      <c r="E6" s="13"/>
      <c r="F6" s="71"/>
      <c r="I6" s="35"/>
    </row>
    <row r="7">
      <c r="A7" s="11"/>
      <c r="B7" s="11"/>
      <c r="C7" s="70"/>
      <c r="D7" s="13"/>
      <c r="E7" s="13"/>
      <c r="F7" s="71"/>
      <c r="I7" s="35"/>
    </row>
    <row r="8">
      <c r="A8" s="11"/>
      <c r="B8" s="11"/>
      <c r="C8" s="70"/>
      <c r="D8" s="13"/>
      <c r="E8" s="13"/>
      <c r="F8" s="71"/>
    </row>
    <row r="9">
      <c r="A9" s="11"/>
      <c r="B9" s="11"/>
      <c r="C9" s="70"/>
      <c r="D9" s="13"/>
      <c r="E9" s="13"/>
      <c r="F9" s="71"/>
    </row>
    <row r="10">
      <c r="A10" s="11"/>
      <c r="B10" s="11"/>
      <c r="C10" s="70"/>
      <c r="D10" s="13"/>
      <c r="E10" s="13"/>
      <c r="F10" s="71"/>
    </row>
    <row r="11">
      <c r="A11" s="11"/>
      <c r="B11" s="11"/>
      <c r="C11" s="70"/>
      <c r="D11" s="13"/>
      <c r="E11" s="13"/>
      <c r="F11" s="71"/>
    </row>
    <row r="12">
      <c r="A12" s="11"/>
      <c r="B12" s="11"/>
      <c r="C12" s="70"/>
      <c r="D12" s="13"/>
      <c r="E12" s="13"/>
    </row>
    <row r="13">
      <c r="A13" s="11"/>
      <c r="B13" s="11"/>
      <c r="C13" s="72"/>
      <c r="D13" s="13"/>
      <c r="E13" s="13"/>
    </row>
    <row r="14">
      <c r="A14" s="11"/>
      <c r="B14" s="11"/>
      <c r="C14" s="70"/>
      <c r="D14" s="13"/>
      <c r="E14" s="13"/>
    </row>
    <row r="15">
      <c r="A15" s="11"/>
      <c r="B15" s="11"/>
      <c r="C15" s="70"/>
      <c r="D15" s="13"/>
      <c r="E15" s="13"/>
    </row>
    <row r="16">
      <c r="A16" s="11"/>
      <c r="B16" s="11"/>
      <c r="C16" s="73"/>
      <c r="D16" s="13"/>
      <c r="E16" s="13"/>
    </row>
    <row r="17">
      <c r="A17" s="11"/>
      <c r="B17" s="11"/>
      <c r="C17" s="70"/>
      <c r="D17" s="13"/>
      <c r="E17" s="13"/>
    </row>
    <row r="18">
      <c r="A18" s="11"/>
      <c r="B18" s="11"/>
      <c r="C18" s="74"/>
      <c r="D18" s="13"/>
      <c r="E18" s="13"/>
    </row>
    <row r="19">
      <c r="A19" s="11"/>
      <c r="B19" s="11"/>
      <c r="C19" s="75"/>
    </row>
    <row r="20">
      <c r="A20" s="11"/>
      <c r="B20" s="11"/>
      <c r="C20" s="75"/>
    </row>
    <row r="21">
      <c r="A21" s="11"/>
      <c r="B21" s="72"/>
      <c r="C21" s="75"/>
    </row>
    <row r="22">
      <c r="A22" s="11"/>
      <c r="B22" s="11"/>
      <c r="C22" s="75"/>
    </row>
    <row r="23">
      <c r="A23" s="11"/>
      <c r="B23" s="11"/>
      <c r="C23" s="75"/>
    </row>
    <row r="24">
      <c r="A24" s="11"/>
      <c r="B24" s="11"/>
      <c r="C24" s="75"/>
    </row>
    <row r="25">
      <c r="A25" s="11"/>
      <c r="B25" s="11"/>
      <c r="C25" s="75"/>
    </row>
    <row r="26">
      <c r="A26" s="11"/>
      <c r="B26" s="11"/>
      <c r="C26" s="75"/>
    </row>
    <row r="27">
      <c r="A27" s="11"/>
      <c r="B27" s="11"/>
      <c r="C27" s="75"/>
    </row>
    <row r="28">
      <c r="A28" s="11"/>
      <c r="B28" s="11"/>
      <c r="C28" s="75"/>
    </row>
    <row r="29">
      <c r="A29" s="11"/>
      <c r="B29" s="11"/>
      <c r="C29" s="75"/>
    </row>
    <row r="30">
      <c r="A30" s="11"/>
      <c r="B30" s="11"/>
      <c r="C30" s="75"/>
    </row>
    <row r="31">
      <c r="A31" s="11"/>
      <c r="B31" s="11"/>
      <c r="C31" s="75"/>
    </row>
    <row r="32">
      <c r="A32" s="11"/>
      <c r="B32" s="11"/>
      <c r="C32" s="75"/>
    </row>
    <row r="33">
      <c r="A33" s="11"/>
      <c r="B33" s="11"/>
      <c r="C33" s="75"/>
    </row>
    <row r="34">
      <c r="A34" s="11"/>
      <c r="B34" s="11"/>
      <c r="C34" s="75"/>
    </row>
    <row r="35">
      <c r="A35" s="11"/>
      <c r="B35" s="11"/>
      <c r="C35" s="75"/>
    </row>
    <row r="36">
      <c r="A36" s="11"/>
      <c r="B36" s="11"/>
      <c r="C36" s="75"/>
    </row>
    <row r="37">
      <c r="A37" s="11"/>
      <c r="B37" s="11"/>
      <c r="C37" s="75"/>
    </row>
    <row r="38">
      <c r="A38" s="11"/>
      <c r="B38" s="11"/>
      <c r="C38" s="75"/>
    </row>
    <row r="39">
      <c r="A39" s="11"/>
      <c r="B39" s="11"/>
      <c r="C39" s="75"/>
    </row>
    <row r="40">
      <c r="A40" s="11"/>
      <c r="B40" s="11"/>
      <c r="C40" s="75"/>
    </row>
    <row r="41">
      <c r="A41" s="11"/>
      <c r="B41" s="11"/>
      <c r="C41" s="75"/>
    </row>
    <row r="42">
      <c r="A42" s="11"/>
      <c r="B42" s="11"/>
      <c r="C42" s="75"/>
    </row>
    <row r="43">
      <c r="A43" s="11"/>
      <c r="B43" s="11"/>
      <c r="C43" s="75"/>
    </row>
    <row r="44">
      <c r="A44" s="11"/>
      <c r="B44" s="11"/>
      <c r="C44" s="75"/>
    </row>
    <row r="45">
      <c r="A45" s="11"/>
      <c r="B45" s="11"/>
      <c r="C45" s="75"/>
    </row>
    <row r="46">
      <c r="A46" s="11"/>
      <c r="B46" s="11"/>
      <c r="C46" s="75"/>
    </row>
    <row r="47">
      <c r="A47" s="11"/>
      <c r="B47" s="11"/>
      <c r="C47" s="75"/>
    </row>
    <row r="48">
      <c r="A48" s="11"/>
      <c r="B48" s="11"/>
      <c r="C48" s="75"/>
    </row>
    <row r="49">
      <c r="A49" s="11"/>
      <c r="B49" s="11"/>
      <c r="C49" s="75"/>
    </row>
    <row r="50">
      <c r="A50" s="11"/>
      <c r="B50" s="11"/>
      <c r="C50" s="75"/>
    </row>
    <row r="51">
      <c r="A51" s="11"/>
      <c r="B51" s="11"/>
      <c r="C51" s="75"/>
    </row>
    <row r="52">
      <c r="A52" s="11"/>
      <c r="B52" s="11"/>
      <c r="C52" s="75"/>
    </row>
    <row r="53">
      <c r="A53" s="11"/>
      <c r="B53" s="11"/>
      <c r="C53" s="75"/>
    </row>
    <row r="54">
      <c r="A54" s="11"/>
      <c r="B54" s="11"/>
      <c r="C54" s="75"/>
    </row>
    <row r="55">
      <c r="A55" s="11"/>
      <c r="B55" s="11"/>
      <c r="C55" s="75"/>
    </row>
    <row r="56">
      <c r="A56" s="11"/>
      <c r="B56" s="11"/>
      <c r="C56" s="75"/>
    </row>
    <row r="57">
      <c r="A57" s="11"/>
      <c r="B57" s="11"/>
      <c r="C57" s="75"/>
    </row>
    <row r="58">
      <c r="A58" s="11"/>
      <c r="B58" s="11"/>
      <c r="C58" s="75"/>
    </row>
    <row r="59">
      <c r="A59" s="11"/>
      <c r="B59" s="11"/>
      <c r="C59" s="75"/>
    </row>
    <row r="60">
      <c r="A60" s="11"/>
      <c r="B60" s="11"/>
      <c r="C60" s="75"/>
    </row>
    <row r="61">
      <c r="A61" s="11"/>
      <c r="B61" s="11"/>
      <c r="C61" s="75"/>
    </row>
    <row r="62">
      <c r="A62" s="11"/>
      <c r="B62" s="11"/>
      <c r="C62" s="75"/>
    </row>
    <row r="63">
      <c r="A63" s="11"/>
      <c r="B63" s="11"/>
      <c r="C63" s="75"/>
    </row>
    <row r="64">
      <c r="A64" s="11"/>
      <c r="B64" s="11"/>
      <c r="C64" s="75"/>
    </row>
    <row r="65">
      <c r="A65" s="11"/>
      <c r="B65" s="11"/>
      <c r="C65" s="75"/>
    </row>
    <row r="66">
      <c r="A66" s="11"/>
      <c r="B66" s="11"/>
      <c r="C66" s="75"/>
    </row>
    <row r="67">
      <c r="A67" s="11"/>
      <c r="B67" s="11"/>
      <c r="C67" s="75"/>
    </row>
    <row r="68">
      <c r="A68" s="11"/>
      <c r="B68" s="11"/>
      <c r="C68" s="75"/>
    </row>
    <row r="69">
      <c r="A69" s="11"/>
      <c r="B69" s="11"/>
      <c r="C69" s="75"/>
    </row>
    <row r="70">
      <c r="A70" s="11"/>
      <c r="B70" s="11"/>
      <c r="C70" s="75"/>
    </row>
    <row r="71">
      <c r="A71" s="11"/>
      <c r="B71" s="11"/>
      <c r="C71" s="75"/>
    </row>
    <row r="72">
      <c r="A72" s="11"/>
      <c r="B72" s="11"/>
      <c r="C72" s="75"/>
    </row>
    <row r="73">
      <c r="A73" s="11"/>
      <c r="B73" s="11"/>
      <c r="C73" s="75"/>
    </row>
    <row r="74">
      <c r="A74" s="11"/>
      <c r="B74" s="11"/>
      <c r="C74" s="75"/>
    </row>
    <row r="75">
      <c r="A75" s="11"/>
      <c r="B75" s="11"/>
      <c r="C75" s="75"/>
    </row>
    <row r="76">
      <c r="A76" s="11"/>
      <c r="B76" s="11"/>
      <c r="C76" s="75"/>
    </row>
    <row r="77">
      <c r="A77" s="11"/>
      <c r="B77" s="11"/>
      <c r="C77" s="75"/>
    </row>
    <row r="78">
      <c r="A78" s="11"/>
      <c r="B78" s="11"/>
      <c r="C78" s="75"/>
    </row>
    <row r="79">
      <c r="A79" s="11"/>
      <c r="B79" s="11"/>
      <c r="C79" s="75"/>
    </row>
    <row r="80">
      <c r="A80" s="11"/>
      <c r="B80" s="11"/>
      <c r="C80" s="75"/>
    </row>
    <row r="81">
      <c r="A81" s="11"/>
      <c r="B81" s="11"/>
      <c r="C81" s="75"/>
    </row>
    <row r="82">
      <c r="A82" s="11"/>
      <c r="B82" s="11"/>
      <c r="C82" s="75"/>
    </row>
    <row r="83">
      <c r="A83" s="11"/>
      <c r="B83" s="11"/>
      <c r="C83" s="75"/>
    </row>
    <row r="84">
      <c r="A84" s="11"/>
      <c r="B84" s="11"/>
      <c r="C84" s="75"/>
    </row>
    <row r="85">
      <c r="A85" s="11"/>
      <c r="B85" s="11"/>
      <c r="C85" s="75"/>
    </row>
    <row r="86">
      <c r="A86" s="11"/>
      <c r="B86" s="11"/>
      <c r="C86" s="75"/>
    </row>
    <row r="87">
      <c r="A87" s="11"/>
      <c r="B87" s="11"/>
      <c r="C87" s="75"/>
    </row>
    <row r="88">
      <c r="A88" s="11"/>
      <c r="B88" s="11"/>
      <c r="C88" s="75"/>
    </row>
    <row r="89">
      <c r="A89" s="11"/>
      <c r="B89" s="11"/>
      <c r="C89" s="75"/>
    </row>
    <row r="90">
      <c r="A90" s="11"/>
      <c r="B90" s="11"/>
      <c r="C90" s="75"/>
    </row>
    <row r="91">
      <c r="A91" s="11"/>
      <c r="B91" s="11"/>
      <c r="C91" s="75"/>
    </row>
    <row r="92">
      <c r="A92" s="11"/>
      <c r="B92" s="11"/>
      <c r="C92" s="75"/>
    </row>
    <row r="93">
      <c r="A93" s="11"/>
      <c r="B93" s="11"/>
      <c r="C93" s="75"/>
    </row>
    <row r="94">
      <c r="A94" s="11"/>
      <c r="B94" s="11"/>
      <c r="C94" s="75"/>
    </row>
    <row r="95">
      <c r="A95" s="11"/>
      <c r="B95" s="11"/>
      <c r="C95" s="75"/>
    </row>
    <row r="96">
      <c r="A96" s="11"/>
      <c r="B96" s="11"/>
      <c r="C96" s="75"/>
    </row>
    <row r="97">
      <c r="A97" s="11"/>
      <c r="B97" s="11"/>
      <c r="C97" s="75"/>
    </row>
    <row r="98">
      <c r="A98" s="11"/>
      <c r="B98" s="11"/>
      <c r="C98" s="75"/>
    </row>
    <row r="99">
      <c r="A99" s="11"/>
      <c r="B99" s="11"/>
      <c r="C99" s="75"/>
    </row>
    <row r="100">
      <c r="A100" s="11"/>
      <c r="B100" s="11"/>
      <c r="C100" s="75"/>
    </row>
    <row r="101">
      <c r="A101" s="11"/>
      <c r="B101" s="11"/>
      <c r="C101" s="75"/>
    </row>
    <row r="102">
      <c r="A102" s="11"/>
      <c r="B102" s="11"/>
      <c r="C102" s="75"/>
    </row>
    <row r="103">
      <c r="A103" s="11"/>
      <c r="B103" s="11"/>
      <c r="C103" s="75"/>
    </row>
    <row r="104">
      <c r="A104" s="11"/>
      <c r="B104" s="11"/>
      <c r="C104" s="75"/>
    </row>
    <row r="105">
      <c r="A105" s="11"/>
      <c r="B105" s="11"/>
      <c r="C105" s="75"/>
    </row>
    <row r="106">
      <c r="A106" s="11"/>
      <c r="B106" s="11"/>
      <c r="C106" s="75"/>
    </row>
    <row r="107">
      <c r="A107" s="11"/>
      <c r="B107" s="11"/>
      <c r="C107" s="75"/>
    </row>
    <row r="108">
      <c r="A108" s="11"/>
      <c r="B108" s="11"/>
      <c r="C108" s="75"/>
    </row>
    <row r="109">
      <c r="A109" s="11"/>
      <c r="B109" s="11"/>
      <c r="C109" s="75"/>
    </row>
    <row r="110">
      <c r="A110" s="11"/>
      <c r="B110" s="11"/>
      <c r="C110" s="75"/>
    </row>
    <row r="111">
      <c r="A111" s="11"/>
      <c r="B111" s="11"/>
      <c r="C111" s="75"/>
    </row>
    <row r="112">
      <c r="A112" s="11"/>
      <c r="B112" s="11"/>
      <c r="C112" s="75"/>
    </row>
    <row r="113">
      <c r="A113" s="11"/>
      <c r="B113" s="11"/>
      <c r="C113" s="75"/>
    </row>
    <row r="114">
      <c r="A114" s="11"/>
      <c r="B114" s="11"/>
      <c r="C114" s="75"/>
    </row>
    <row r="115">
      <c r="A115" s="11"/>
      <c r="B115" s="11"/>
      <c r="C115" s="75"/>
    </row>
    <row r="116">
      <c r="A116" s="11"/>
      <c r="B116" s="11"/>
      <c r="C116" s="75"/>
    </row>
    <row r="117">
      <c r="A117" s="11"/>
      <c r="B117" s="11"/>
      <c r="C117" s="75"/>
    </row>
    <row r="118">
      <c r="A118" s="11"/>
      <c r="B118" s="11"/>
      <c r="C118" s="75"/>
    </row>
    <row r="119">
      <c r="A119" s="11"/>
      <c r="B119" s="11"/>
      <c r="C119" s="75"/>
    </row>
    <row r="120">
      <c r="A120" s="11"/>
      <c r="B120" s="11"/>
      <c r="C120" s="75"/>
    </row>
    <row r="121">
      <c r="A121" s="11"/>
      <c r="B121" s="11"/>
      <c r="C121" s="75"/>
    </row>
    <row r="122">
      <c r="A122" s="11"/>
      <c r="B122" s="11"/>
      <c r="C122" s="75"/>
    </row>
    <row r="123">
      <c r="A123" s="11"/>
      <c r="B123" s="11"/>
      <c r="C123" s="75"/>
    </row>
    <row r="124">
      <c r="A124" s="11"/>
      <c r="B124" s="11"/>
      <c r="C124" s="75"/>
    </row>
    <row r="125">
      <c r="A125" s="11"/>
      <c r="B125" s="11"/>
      <c r="C125" s="75"/>
    </row>
    <row r="126">
      <c r="A126" s="11"/>
      <c r="B126" s="11"/>
      <c r="C126" s="75"/>
    </row>
    <row r="127">
      <c r="A127" s="11"/>
      <c r="B127" s="11"/>
      <c r="C127" s="75"/>
    </row>
    <row r="128">
      <c r="A128" s="11"/>
      <c r="B128" s="11"/>
      <c r="C128" s="75"/>
    </row>
    <row r="129">
      <c r="A129" s="11"/>
      <c r="B129" s="11"/>
      <c r="C129" s="75"/>
    </row>
    <row r="130">
      <c r="A130" s="11"/>
      <c r="B130" s="11"/>
      <c r="C130" s="75"/>
    </row>
    <row r="131">
      <c r="A131" s="11"/>
      <c r="B131" s="11"/>
      <c r="C131" s="75"/>
    </row>
    <row r="132">
      <c r="A132" s="11"/>
      <c r="B132" s="11"/>
      <c r="C132" s="75"/>
    </row>
    <row r="133">
      <c r="A133" s="11"/>
      <c r="B133" s="11"/>
      <c r="C133" s="75"/>
    </row>
    <row r="134">
      <c r="A134" s="11"/>
      <c r="B134" s="11"/>
      <c r="C134" s="75"/>
    </row>
    <row r="135">
      <c r="A135" s="11"/>
      <c r="B135" s="11"/>
      <c r="C135" s="75"/>
    </row>
    <row r="136">
      <c r="A136" s="11"/>
      <c r="B136" s="11"/>
      <c r="C136" s="75"/>
    </row>
    <row r="137">
      <c r="A137" s="11"/>
      <c r="B137" s="11"/>
      <c r="C137" s="75"/>
    </row>
    <row r="138">
      <c r="A138" s="11"/>
      <c r="B138" s="11"/>
      <c r="C138" s="75"/>
    </row>
    <row r="139">
      <c r="A139" s="11"/>
      <c r="B139" s="11"/>
      <c r="C139" s="75"/>
    </row>
    <row r="140">
      <c r="A140" s="11"/>
      <c r="B140" s="11"/>
      <c r="C140" s="75"/>
    </row>
    <row r="141">
      <c r="A141" s="11"/>
      <c r="B141" s="11"/>
      <c r="C141" s="75"/>
    </row>
    <row r="142">
      <c r="A142" s="11"/>
      <c r="B142" s="11"/>
      <c r="C142" s="75"/>
    </row>
    <row r="143">
      <c r="A143" s="11"/>
      <c r="B143" s="11"/>
      <c r="C143" s="75"/>
    </row>
    <row r="144">
      <c r="A144" s="11"/>
      <c r="B144" s="11"/>
      <c r="C144" s="75"/>
    </row>
    <row r="145">
      <c r="A145" s="11"/>
      <c r="B145" s="11"/>
      <c r="C145" s="75"/>
    </row>
    <row r="146">
      <c r="A146" s="11"/>
      <c r="B146" s="11"/>
      <c r="C146" s="75"/>
    </row>
    <row r="147">
      <c r="A147" s="11"/>
      <c r="B147" s="11"/>
      <c r="C147" s="75"/>
    </row>
    <row r="148">
      <c r="A148" s="11"/>
      <c r="B148" s="11"/>
      <c r="C148" s="75"/>
    </row>
    <row r="149">
      <c r="A149" s="11"/>
      <c r="B149" s="11"/>
      <c r="C149" s="75"/>
    </row>
    <row r="150">
      <c r="A150" s="11"/>
      <c r="B150" s="11"/>
      <c r="C150" s="75"/>
    </row>
    <row r="151">
      <c r="A151" s="11"/>
      <c r="B151" s="11"/>
      <c r="C151" s="75"/>
    </row>
    <row r="152">
      <c r="A152" s="11"/>
      <c r="B152" s="11"/>
      <c r="C152" s="75"/>
    </row>
    <row r="153">
      <c r="A153" s="11"/>
      <c r="B153" s="11"/>
      <c r="C153" s="75"/>
    </row>
    <row r="154">
      <c r="A154" s="11"/>
      <c r="B154" s="11"/>
      <c r="C154" s="75"/>
    </row>
    <row r="155">
      <c r="A155" s="11"/>
      <c r="B155" s="11"/>
      <c r="C155" s="75"/>
    </row>
    <row r="156">
      <c r="A156" s="11"/>
      <c r="B156" s="11"/>
      <c r="C156" s="75"/>
    </row>
    <row r="157">
      <c r="A157" s="11"/>
      <c r="B157" s="11"/>
      <c r="C157" s="75"/>
    </row>
    <row r="158">
      <c r="A158" s="11"/>
      <c r="B158" s="11"/>
      <c r="C158" s="75"/>
    </row>
    <row r="159">
      <c r="A159" s="11"/>
      <c r="B159" s="11"/>
      <c r="C159" s="75"/>
    </row>
    <row r="160">
      <c r="A160" s="11"/>
      <c r="B160" s="11"/>
      <c r="C160" s="75"/>
    </row>
    <row r="161">
      <c r="A161" s="11"/>
      <c r="B161" s="11"/>
      <c r="C161" s="75"/>
    </row>
    <row r="162">
      <c r="A162" s="11"/>
      <c r="B162" s="11"/>
      <c r="C162" s="75"/>
    </row>
    <row r="163">
      <c r="A163" s="11"/>
      <c r="B163" s="11"/>
      <c r="C163" s="75"/>
    </row>
    <row r="164">
      <c r="A164" s="11"/>
      <c r="B164" s="11"/>
      <c r="C164" s="75"/>
    </row>
    <row r="165">
      <c r="A165" s="11"/>
      <c r="B165" s="11"/>
      <c r="C165" s="75"/>
    </row>
    <row r="166">
      <c r="A166" s="11"/>
      <c r="B166" s="11"/>
      <c r="C166" s="75"/>
    </row>
    <row r="167">
      <c r="A167" s="11"/>
      <c r="B167" s="11"/>
      <c r="C167" s="75"/>
    </row>
    <row r="168">
      <c r="A168" s="11"/>
      <c r="B168" s="11"/>
      <c r="C168" s="75"/>
    </row>
    <row r="169">
      <c r="A169" s="11"/>
      <c r="B169" s="11"/>
      <c r="C169" s="75"/>
    </row>
    <row r="170">
      <c r="A170" s="11"/>
      <c r="B170" s="11"/>
      <c r="C170" s="75"/>
    </row>
    <row r="171">
      <c r="A171" s="11"/>
      <c r="B171" s="11"/>
      <c r="C171" s="75"/>
    </row>
    <row r="172">
      <c r="A172" s="11"/>
      <c r="B172" s="11"/>
      <c r="C172" s="75"/>
    </row>
    <row r="173">
      <c r="A173" s="11"/>
      <c r="B173" s="11"/>
      <c r="C173" s="75"/>
    </row>
    <row r="174">
      <c r="A174" s="11"/>
      <c r="B174" s="11"/>
      <c r="C174" s="75"/>
    </row>
    <row r="175">
      <c r="A175" s="11"/>
      <c r="B175" s="11"/>
      <c r="C175" s="75"/>
    </row>
    <row r="176">
      <c r="A176" s="11"/>
      <c r="B176" s="11"/>
      <c r="C176" s="75"/>
    </row>
    <row r="177">
      <c r="A177" s="11"/>
      <c r="B177" s="11"/>
      <c r="C177" s="75"/>
    </row>
    <row r="178">
      <c r="A178" s="11"/>
      <c r="B178" s="11"/>
      <c r="C178" s="75"/>
    </row>
    <row r="179">
      <c r="A179" s="11"/>
      <c r="B179" s="11"/>
      <c r="C179" s="75"/>
    </row>
    <row r="180">
      <c r="A180" s="11"/>
      <c r="B180" s="11"/>
      <c r="C180" s="75"/>
    </row>
    <row r="181">
      <c r="A181" s="11"/>
      <c r="B181" s="11"/>
      <c r="C181" s="75"/>
    </row>
    <row r="182">
      <c r="A182" s="11"/>
      <c r="B182" s="11"/>
      <c r="C182" s="75"/>
    </row>
    <row r="183">
      <c r="A183" s="11"/>
      <c r="B183" s="11"/>
      <c r="C183" s="75"/>
    </row>
    <row r="184">
      <c r="A184" s="11"/>
      <c r="B184" s="11"/>
      <c r="C184" s="75"/>
    </row>
    <row r="185">
      <c r="A185" s="11"/>
      <c r="B185" s="11"/>
      <c r="C185" s="75"/>
    </row>
    <row r="186">
      <c r="A186" s="11"/>
      <c r="B186" s="11"/>
      <c r="C186" s="75"/>
    </row>
    <row r="187">
      <c r="A187" s="11"/>
      <c r="B187" s="11"/>
      <c r="C187" s="75"/>
    </row>
    <row r="188">
      <c r="A188" s="11"/>
      <c r="B188" s="11"/>
      <c r="C188" s="75"/>
    </row>
    <row r="189">
      <c r="A189" s="11"/>
      <c r="B189" s="11"/>
      <c r="C189" s="75"/>
    </row>
    <row r="190">
      <c r="A190" s="11"/>
      <c r="B190" s="11"/>
      <c r="C190" s="75"/>
    </row>
    <row r="191">
      <c r="A191" s="11"/>
      <c r="B191" s="11"/>
      <c r="C191" s="75"/>
    </row>
    <row r="192">
      <c r="A192" s="11"/>
      <c r="B192" s="11"/>
      <c r="C192" s="75"/>
    </row>
    <row r="193">
      <c r="A193" s="11"/>
      <c r="B193" s="11"/>
      <c r="C193" s="75"/>
    </row>
    <row r="194">
      <c r="A194" s="11"/>
      <c r="B194" s="11"/>
      <c r="C194" s="75"/>
    </row>
    <row r="195">
      <c r="A195" s="11"/>
      <c r="B195" s="11"/>
      <c r="C195" s="75"/>
    </row>
    <row r="196">
      <c r="A196" s="11"/>
      <c r="B196" s="11"/>
      <c r="C196" s="75"/>
    </row>
    <row r="197">
      <c r="A197" s="11"/>
      <c r="B197" s="11"/>
      <c r="C197" s="75"/>
    </row>
    <row r="198">
      <c r="A198" s="11"/>
      <c r="B198" s="11"/>
      <c r="C198" s="75"/>
    </row>
    <row r="199">
      <c r="A199" s="11"/>
      <c r="B199" s="11"/>
      <c r="C199" s="75"/>
    </row>
    <row r="200">
      <c r="A200" s="11"/>
      <c r="B200" s="11"/>
      <c r="C200" s="75"/>
    </row>
    <row r="201">
      <c r="A201" s="11"/>
      <c r="B201" s="11"/>
      <c r="C201" s="75"/>
    </row>
    <row r="202">
      <c r="A202" s="11"/>
      <c r="B202" s="11"/>
      <c r="C202" s="75"/>
    </row>
    <row r="203">
      <c r="A203" s="11"/>
      <c r="B203" s="11"/>
      <c r="C203" s="75"/>
    </row>
    <row r="204">
      <c r="A204" s="11"/>
      <c r="B204" s="11"/>
      <c r="C204" s="75"/>
    </row>
    <row r="205">
      <c r="A205" s="11"/>
      <c r="B205" s="11"/>
      <c r="C205" s="75"/>
    </row>
    <row r="206">
      <c r="A206" s="11"/>
      <c r="B206" s="11"/>
      <c r="C206" s="75"/>
    </row>
    <row r="207">
      <c r="A207" s="11"/>
      <c r="B207" s="11"/>
      <c r="C207" s="75"/>
    </row>
    <row r="208">
      <c r="A208" s="11"/>
      <c r="B208" s="11"/>
      <c r="C208" s="75"/>
    </row>
    <row r="209">
      <c r="A209" s="11"/>
      <c r="B209" s="11"/>
      <c r="C209" s="75"/>
    </row>
    <row r="210">
      <c r="A210" s="11"/>
      <c r="B210" s="11"/>
      <c r="C210" s="75"/>
    </row>
    <row r="211">
      <c r="A211" s="11"/>
      <c r="B211" s="11"/>
      <c r="C211" s="75"/>
    </row>
    <row r="212">
      <c r="A212" s="11"/>
      <c r="B212" s="11"/>
      <c r="C212" s="75"/>
    </row>
    <row r="213">
      <c r="A213" s="11"/>
      <c r="B213" s="11"/>
      <c r="C213" s="75"/>
    </row>
    <row r="214">
      <c r="A214" s="11"/>
      <c r="B214" s="11"/>
      <c r="C214" s="75"/>
    </row>
    <row r="215">
      <c r="A215" s="11"/>
      <c r="B215" s="11"/>
      <c r="C215" s="75"/>
    </row>
    <row r="216">
      <c r="A216" s="11"/>
      <c r="B216" s="11"/>
      <c r="C216" s="75"/>
    </row>
    <row r="217">
      <c r="A217" s="11"/>
      <c r="B217" s="11"/>
      <c r="C217" s="75"/>
    </row>
    <row r="218">
      <c r="A218" s="11"/>
      <c r="B218" s="11"/>
      <c r="C218" s="75"/>
    </row>
    <row r="219">
      <c r="A219" s="11"/>
      <c r="B219" s="11"/>
      <c r="C219" s="75"/>
    </row>
    <row r="220">
      <c r="A220" s="11"/>
      <c r="B220" s="11"/>
      <c r="C220" s="75"/>
    </row>
    <row r="221">
      <c r="A221" s="11"/>
      <c r="B221" s="11"/>
      <c r="C221" s="75"/>
    </row>
    <row r="222">
      <c r="A222" s="11"/>
      <c r="B222" s="11"/>
      <c r="C222" s="75"/>
    </row>
    <row r="223">
      <c r="A223" s="11"/>
      <c r="B223" s="11"/>
      <c r="C223" s="75"/>
    </row>
    <row r="224">
      <c r="A224" s="11"/>
      <c r="B224" s="11"/>
      <c r="C224" s="75"/>
    </row>
    <row r="225">
      <c r="A225" s="11"/>
      <c r="B225" s="11"/>
      <c r="C225" s="75"/>
    </row>
    <row r="226">
      <c r="A226" s="11"/>
      <c r="B226" s="11"/>
      <c r="C226" s="75"/>
    </row>
    <row r="227">
      <c r="A227" s="11"/>
      <c r="B227" s="11"/>
      <c r="C227" s="75"/>
    </row>
    <row r="228">
      <c r="A228" s="11"/>
      <c r="B228" s="11"/>
      <c r="C228" s="75"/>
    </row>
    <row r="229">
      <c r="A229" s="11"/>
      <c r="B229" s="11"/>
      <c r="C229" s="75"/>
    </row>
    <row r="230">
      <c r="A230" s="11"/>
      <c r="B230" s="11"/>
      <c r="C230" s="75"/>
    </row>
    <row r="231">
      <c r="A231" s="11"/>
      <c r="B231" s="11"/>
      <c r="C231" s="75"/>
    </row>
    <row r="232">
      <c r="A232" s="11"/>
      <c r="B232" s="11"/>
      <c r="C232" s="75"/>
    </row>
    <row r="233">
      <c r="A233" s="11"/>
      <c r="B233" s="11"/>
      <c r="C233" s="75"/>
    </row>
    <row r="234">
      <c r="A234" s="11"/>
      <c r="B234" s="11"/>
      <c r="C234" s="75"/>
    </row>
    <row r="235">
      <c r="A235" s="11"/>
      <c r="B235" s="11"/>
      <c r="C235" s="75"/>
    </row>
    <row r="236">
      <c r="A236" s="11"/>
      <c r="B236" s="11"/>
      <c r="C236" s="75"/>
    </row>
    <row r="237">
      <c r="A237" s="11"/>
      <c r="B237" s="11"/>
      <c r="C237" s="75"/>
    </row>
    <row r="238">
      <c r="A238" s="11"/>
      <c r="B238" s="11"/>
      <c r="C238" s="75"/>
    </row>
    <row r="239">
      <c r="A239" s="11"/>
      <c r="B239" s="11"/>
      <c r="C239" s="75"/>
    </row>
    <row r="240">
      <c r="A240" s="11"/>
      <c r="B240" s="11"/>
      <c r="C240" s="75"/>
    </row>
    <row r="241">
      <c r="A241" s="11"/>
      <c r="B241" s="11"/>
      <c r="C241" s="75"/>
    </row>
    <row r="242">
      <c r="A242" s="11"/>
      <c r="B242" s="11"/>
      <c r="C242" s="75"/>
    </row>
    <row r="243">
      <c r="A243" s="11"/>
      <c r="B243" s="11"/>
      <c r="C243" s="75"/>
    </row>
    <row r="244">
      <c r="A244" s="11"/>
      <c r="B244" s="11"/>
      <c r="C244" s="75"/>
    </row>
    <row r="245">
      <c r="A245" s="11"/>
      <c r="B245" s="11"/>
      <c r="C245" s="75"/>
    </row>
    <row r="246">
      <c r="A246" s="11"/>
      <c r="B246" s="11"/>
      <c r="C246" s="75"/>
    </row>
    <row r="247">
      <c r="A247" s="11"/>
      <c r="B247" s="11"/>
      <c r="C247" s="75"/>
    </row>
    <row r="248">
      <c r="A248" s="11"/>
      <c r="B248" s="11"/>
      <c r="C248" s="75"/>
    </row>
    <row r="249">
      <c r="A249" s="11"/>
      <c r="B249" s="11"/>
      <c r="C249" s="75"/>
    </row>
    <row r="250">
      <c r="A250" s="11"/>
      <c r="B250" s="11"/>
      <c r="C250" s="75"/>
    </row>
    <row r="251">
      <c r="A251" s="11"/>
      <c r="B251" s="11"/>
      <c r="C251" s="75"/>
    </row>
    <row r="252">
      <c r="A252" s="11"/>
      <c r="B252" s="11"/>
      <c r="C252" s="75"/>
    </row>
    <row r="253">
      <c r="A253" s="11"/>
      <c r="B253" s="11"/>
      <c r="C253" s="75"/>
    </row>
    <row r="254">
      <c r="A254" s="11"/>
      <c r="B254" s="11"/>
      <c r="C254" s="75"/>
    </row>
    <row r="255">
      <c r="A255" s="11"/>
      <c r="B255" s="11"/>
      <c r="C255" s="75"/>
    </row>
    <row r="256">
      <c r="A256" s="11"/>
      <c r="B256" s="11"/>
      <c r="C256" s="75"/>
    </row>
    <row r="257">
      <c r="A257" s="11"/>
      <c r="B257" s="11"/>
      <c r="C257" s="75"/>
    </row>
    <row r="258">
      <c r="A258" s="11"/>
      <c r="B258" s="11"/>
      <c r="C258" s="75"/>
    </row>
    <row r="259">
      <c r="A259" s="11"/>
      <c r="B259" s="11"/>
      <c r="C259" s="75"/>
    </row>
    <row r="260">
      <c r="A260" s="11"/>
      <c r="B260" s="11"/>
      <c r="C260" s="75"/>
    </row>
    <row r="261">
      <c r="A261" s="11"/>
      <c r="B261" s="11"/>
      <c r="C261" s="75"/>
    </row>
    <row r="262">
      <c r="A262" s="11"/>
      <c r="B262" s="11"/>
      <c r="C262" s="75"/>
    </row>
    <row r="263">
      <c r="A263" s="11"/>
      <c r="B263" s="11"/>
      <c r="C263" s="75"/>
    </row>
    <row r="264">
      <c r="A264" s="11"/>
      <c r="B264" s="11"/>
      <c r="C264" s="75"/>
    </row>
    <row r="265">
      <c r="A265" s="11"/>
      <c r="B265" s="11"/>
      <c r="C265" s="75"/>
    </row>
    <row r="266">
      <c r="A266" s="11"/>
      <c r="B266" s="11"/>
      <c r="C266" s="75"/>
    </row>
    <row r="267">
      <c r="A267" s="11"/>
      <c r="B267" s="11"/>
      <c r="C267" s="75"/>
    </row>
    <row r="268">
      <c r="A268" s="11"/>
      <c r="B268" s="11"/>
      <c r="C268" s="75"/>
    </row>
    <row r="269">
      <c r="A269" s="11"/>
      <c r="B269" s="11"/>
      <c r="C269" s="75"/>
    </row>
    <row r="270">
      <c r="A270" s="11"/>
      <c r="B270" s="11"/>
      <c r="C270" s="75"/>
    </row>
    <row r="271">
      <c r="A271" s="11"/>
      <c r="B271" s="11"/>
      <c r="C271" s="75"/>
    </row>
    <row r="272">
      <c r="A272" s="11"/>
      <c r="B272" s="11"/>
      <c r="C272" s="75"/>
    </row>
    <row r="273">
      <c r="A273" s="11"/>
      <c r="B273" s="11"/>
      <c r="C273" s="75"/>
    </row>
    <row r="274">
      <c r="A274" s="11"/>
      <c r="B274" s="11"/>
      <c r="C274" s="75"/>
    </row>
    <row r="275">
      <c r="A275" s="11"/>
      <c r="B275" s="11"/>
      <c r="C275" s="75"/>
    </row>
    <row r="276">
      <c r="A276" s="11"/>
      <c r="B276" s="11"/>
      <c r="C276" s="75"/>
    </row>
    <row r="277">
      <c r="A277" s="11"/>
      <c r="B277" s="11"/>
      <c r="C277" s="75"/>
    </row>
    <row r="278">
      <c r="A278" s="11"/>
      <c r="B278" s="11"/>
      <c r="C278" s="75"/>
    </row>
    <row r="279">
      <c r="A279" s="11"/>
      <c r="B279" s="11"/>
      <c r="C279" s="75"/>
    </row>
    <row r="280">
      <c r="A280" s="11"/>
      <c r="B280" s="11"/>
      <c r="C280" s="75"/>
    </row>
    <row r="281">
      <c r="A281" s="11"/>
      <c r="B281" s="11"/>
      <c r="C281" s="75"/>
    </row>
    <row r="282">
      <c r="A282" s="11"/>
      <c r="B282" s="11"/>
      <c r="C282" s="75"/>
    </row>
    <row r="283">
      <c r="A283" s="11"/>
      <c r="B283" s="11"/>
      <c r="C283" s="75"/>
    </row>
    <row r="284">
      <c r="A284" s="11"/>
      <c r="B284" s="11"/>
      <c r="C284" s="75"/>
    </row>
    <row r="285">
      <c r="A285" s="11"/>
      <c r="B285" s="11"/>
      <c r="C285" s="75"/>
    </row>
    <row r="286">
      <c r="A286" s="11"/>
      <c r="B286" s="11"/>
      <c r="C286" s="75"/>
    </row>
    <row r="287">
      <c r="A287" s="11"/>
      <c r="B287" s="11"/>
      <c r="C287" s="75"/>
    </row>
    <row r="288">
      <c r="A288" s="11"/>
      <c r="B288" s="11"/>
      <c r="C288" s="75"/>
    </row>
    <row r="289">
      <c r="A289" s="11"/>
      <c r="B289" s="11"/>
      <c r="C289" s="75"/>
    </row>
    <row r="290">
      <c r="A290" s="11"/>
      <c r="B290" s="11"/>
      <c r="C290" s="75"/>
    </row>
    <row r="291">
      <c r="A291" s="11"/>
      <c r="B291" s="11"/>
      <c r="C291" s="75"/>
    </row>
    <row r="292">
      <c r="A292" s="11"/>
      <c r="B292" s="11"/>
      <c r="C292" s="75"/>
    </row>
    <row r="293">
      <c r="A293" s="11"/>
      <c r="B293" s="11"/>
      <c r="C293" s="75"/>
    </row>
    <row r="294">
      <c r="A294" s="11"/>
      <c r="B294" s="11"/>
      <c r="C294" s="75"/>
    </row>
    <row r="295">
      <c r="A295" s="11"/>
      <c r="B295" s="11"/>
      <c r="C295" s="75"/>
    </row>
    <row r="296">
      <c r="A296" s="11"/>
      <c r="B296" s="11"/>
      <c r="C296" s="75"/>
    </row>
    <row r="297">
      <c r="A297" s="11"/>
      <c r="B297" s="11"/>
      <c r="C297" s="75"/>
    </row>
    <row r="298">
      <c r="A298" s="11"/>
      <c r="B298" s="11"/>
      <c r="C298" s="75"/>
    </row>
    <row r="299">
      <c r="A299" s="11"/>
      <c r="B299" s="11"/>
      <c r="C299" s="75"/>
    </row>
    <row r="300">
      <c r="A300" s="11"/>
      <c r="B300" s="11"/>
      <c r="C300" s="75"/>
    </row>
    <row r="301">
      <c r="A301" s="11"/>
      <c r="B301" s="11"/>
      <c r="C301" s="75"/>
    </row>
    <row r="302">
      <c r="A302" s="11"/>
      <c r="B302" s="11"/>
      <c r="C302" s="75"/>
    </row>
    <row r="303">
      <c r="A303" s="11"/>
      <c r="B303" s="11"/>
      <c r="C303" s="75"/>
    </row>
    <row r="304">
      <c r="A304" s="11"/>
      <c r="B304" s="11"/>
      <c r="C304" s="75"/>
    </row>
    <row r="305">
      <c r="A305" s="11"/>
      <c r="B305" s="11"/>
      <c r="C305" s="75"/>
    </row>
    <row r="306">
      <c r="A306" s="11"/>
      <c r="B306" s="11"/>
      <c r="C306" s="75"/>
    </row>
    <row r="307">
      <c r="A307" s="11"/>
      <c r="B307" s="11"/>
      <c r="C307" s="75"/>
    </row>
    <row r="308">
      <c r="A308" s="11"/>
      <c r="B308" s="11"/>
      <c r="C308" s="75"/>
    </row>
    <row r="309">
      <c r="A309" s="11"/>
      <c r="B309" s="11"/>
      <c r="C309" s="75"/>
    </row>
    <row r="310">
      <c r="A310" s="11"/>
      <c r="B310" s="11"/>
      <c r="C310" s="75"/>
    </row>
    <row r="311">
      <c r="A311" s="11"/>
      <c r="B311" s="11"/>
      <c r="C311" s="75"/>
    </row>
    <row r="312">
      <c r="A312" s="11"/>
      <c r="B312" s="11"/>
      <c r="C312" s="75"/>
    </row>
    <row r="313">
      <c r="A313" s="11"/>
      <c r="B313" s="11"/>
      <c r="C313" s="75"/>
    </row>
    <row r="314">
      <c r="A314" s="11"/>
      <c r="B314" s="11"/>
      <c r="C314" s="75"/>
    </row>
    <row r="315">
      <c r="A315" s="11"/>
      <c r="B315" s="11"/>
      <c r="C315" s="75"/>
    </row>
    <row r="316">
      <c r="A316" s="11"/>
      <c r="B316" s="11"/>
      <c r="C316" s="75"/>
    </row>
    <row r="317">
      <c r="A317" s="11"/>
      <c r="B317" s="11"/>
      <c r="C317" s="75"/>
    </row>
    <row r="318">
      <c r="A318" s="11"/>
      <c r="B318" s="11"/>
      <c r="C318" s="75"/>
    </row>
    <row r="319">
      <c r="A319" s="11"/>
      <c r="B319" s="11"/>
      <c r="C319" s="75"/>
    </row>
    <row r="320">
      <c r="A320" s="11"/>
      <c r="B320" s="11"/>
      <c r="C320" s="75"/>
    </row>
    <row r="321">
      <c r="A321" s="11"/>
      <c r="B321" s="11"/>
      <c r="C321" s="75"/>
    </row>
    <row r="322">
      <c r="A322" s="11"/>
      <c r="B322" s="11"/>
      <c r="C322" s="75"/>
    </row>
    <row r="323">
      <c r="A323" s="11"/>
      <c r="B323" s="11"/>
      <c r="C323" s="75"/>
    </row>
    <row r="324">
      <c r="A324" s="11"/>
      <c r="B324" s="11"/>
      <c r="C324" s="75"/>
    </row>
    <row r="325">
      <c r="A325" s="11"/>
      <c r="B325" s="11"/>
      <c r="C325" s="75"/>
    </row>
    <row r="326">
      <c r="A326" s="11"/>
      <c r="B326" s="11"/>
      <c r="C326" s="75"/>
    </row>
    <row r="327">
      <c r="A327" s="11"/>
      <c r="B327" s="11"/>
      <c r="C327" s="75"/>
    </row>
    <row r="328">
      <c r="A328" s="11"/>
      <c r="B328" s="11"/>
      <c r="C328" s="75"/>
    </row>
    <row r="329">
      <c r="A329" s="11"/>
      <c r="B329" s="11"/>
      <c r="C329" s="75"/>
    </row>
    <row r="330">
      <c r="A330" s="11"/>
      <c r="B330" s="11"/>
      <c r="C330" s="75"/>
    </row>
    <row r="331">
      <c r="A331" s="11"/>
      <c r="B331" s="11"/>
      <c r="C331" s="75"/>
    </row>
    <row r="332">
      <c r="A332" s="11"/>
      <c r="B332" s="11"/>
      <c r="C332" s="75"/>
    </row>
    <row r="333">
      <c r="A333" s="11"/>
      <c r="B333" s="11"/>
      <c r="C333" s="75"/>
    </row>
    <row r="334">
      <c r="A334" s="11"/>
      <c r="B334" s="11"/>
      <c r="C334" s="75"/>
    </row>
    <row r="335">
      <c r="A335" s="11"/>
      <c r="B335" s="11"/>
      <c r="C335" s="75"/>
    </row>
    <row r="336">
      <c r="A336" s="11"/>
      <c r="B336" s="11"/>
      <c r="C336" s="75"/>
    </row>
    <row r="337">
      <c r="A337" s="11"/>
      <c r="B337" s="11"/>
      <c r="C337" s="75"/>
    </row>
    <row r="338">
      <c r="A338" s="11"/>
      <c r="B338" s="11"/>
      <c r="C338" s="75"/>
    </row>
    <row r="339">
      <c r="A339" s="11"/>
      <c r="B339" s="11"/>
      <c r="C339" s="75"/>
    </row>
    <row r="340">
      <c r="A340" s="11"/>
      <c r="B340" s="11"/>
      <c r="C340" s="75"/>
    </row>
    <row r="341">
      <c r="A341" s="11"/>
      <c r="B341" s="11"/>
      <c r="C341" s="75"/>
    </row>
    <row r="342">
      <c r="A342" s="11"/>
      <c r="B342" s="11"/>
      <c r="C342" s="75"/>
    </row>
    <row r="343">
      <c r="A343" s="11"/>
      <c r="B343" s="11"/>
      <c r="C343" s="75"/>
    </row>
    <row r="344">
      <c r="A344" s="11"/>
      <c r="B344" s="11"/>
      <c r="C344" s="75"/>
    </row>
    <row r="345">
      <c r="A345" s="11"/>
      <c r="B345" s="11"/>
      <c r="C345" s="75"/>
    </row>
    <row r="346">
      <c r="A346" s="11"/>
      <c r="B346" s="11"/>
      <c r="C346" s="75"/>
    </row>
    <row r="347">
      <c r="A347" s="11"/>
      <c r="B347" s="11"/>
      <c r="C347" s="75"/>
    </row>
    <row r="348">
      <c r="A348" s="11"/>
      <c r="B348" s="11"/>
      <c r="C348" s="75"/>
    </row>
    <row r="349">
      <c r="A349" s="11"/>
      <c r="B349" s="11"/>
      <c r="C349" s="75"/>
    </row>
    <row r="350">
      <c r="A350" s="11"/>
      <c r="B350" s="11"/>
      <c r="C350" s="75"/>
    </row>
    <row r="351">
      <c r="A351" s="11"/>
      <c r="B351" s="11"/>
      <c r="C351" s="75"/>
    </row>
    <row r="352">
      <c r="A352" s="11"/>
      <c r="B352" s="11"/>
      <c r="C352" s="75"/>
    </row>
    <row r="353">
      <c r="A353" s="11"/>
      <c r="B353" s="11"/>
      <c r="C353" s="75"/>
    </row>
    <row r="354">
      <c r="A354" s="11"/>
      <c r="B354" s="11"/>
      <c r="C354" s="75"/>
    </row>
    <row r="355">
      <c r="A355" s="11"/>
      <c r="B355" s="11"/>
      <c r="C355" s="75"/>
    </row>
    <row r="356">
      <c r="A356" s="11"/>
      <c r="B356" s="11"/>
      <c r="C356" s="75"/>
    </row>
    <row r="357">
      <c r="A357" s="11"/>
      <c r="B357" s="11"/>
      <c r="C357" s="75"/>
    </row>
    <row r="358">
      <c r="A358" s="11"/>
      <c r="B358" s="11"/>
      <c r="C358" s="75"/>
    </row>
    <row r="359">
      <c r="A359" s="11"/>
      <c r="B359" s="11"/>
      <c r="C359" s="75"/>
    </row>
    <row r="360">
      <c r="A360" s="11"/>
      <c r="B360" s="11"/>
      <c r="C360" s="75"/>
    </row>
    <row r="361">
      <c r="A361" s="11"/>
      <c r="B361" s="11"/>
      <c r="C361" s="75"/>
    </row>
    <row r="362">
      <c r="A362" s="11"/>
      <c r="B362" s="11"/>
      <c r="C362" s="75"/>
    </row>
    <row r="363">
      <c r="A363" s="11"/>
      <c r="B363" s="11"/>
      <c r="C363" s="75"/>
    </row>
    <row r="364">
      <c r="A364" s="11"/>
      <c r="B364" s="11"/>
      <c r="C364" s="75"/>
    </row>
    <row r="365">
      <c r="A365" s="11"/>
      <c r="B365" s="11"/>
      <c r="C365" s="75"/>
    </row>
    <row r="366">
      <c r="A366" s="11"/>
      <c r="B366" s="11"/>
      <c r="C366" s="75"/>
    </row>
    <row r="367">
      <c r="A367" s="11"/>
      <c r="B367" s="11"/>
      <c r="C367" s="75"/>
    </row>
    <row r="368">
      <c r="A368" s="11"/>
      <c r="B368" s="11"/>
      <c r="C368" s="75"/>
    </row>
    <row r="369">
      <c r="A369" s="11"/>
      <c r="B369" s="11"/>
      <c r="C369" s="75"/>
    </row>
    <row r="370">
      <c r="A370" s="11"/>
      <c r="B370" s="11"/>
      <c r="C370" s="75"/>
    </row>
    <row r="371">
      <c r="A371" s="11"/>
      <c r="B371" s="11"/>
      <c r="C371" s="75"/>
    </row>
    <row r="372">
      <c r="A372" s="11"/>
      <c r="B372" s="11"/>
      <c r="C372" s="75"/>
    </row>
    <row r="373">
      <c r="A373" s="11"/>
      <c r="B373" s="11"/>
      <c r="C373" s="75"/>
    </row>
    <row r="374">
      <c r="A374" s="11"/>
      <c r="B374" s="11"/>
      <c r="C374" s="75"/>
    </row>
    <row r="375">
      <c r="A375" s="11"/>
      <c r="B375" s="11"/>
      <c r="C375" s="75"/>
    </row>
    <row r="376">
      <c r="A376" s="11"/>
      <c r="B376" s="11"/>
      <c r="C376" s="75"/>
    </row>
    <row r="377">
      <c r="A377" s="11"/>
      <c r="B377" s="11"/>
      <c r="C377" s="75"/>
    </row>
    <row r="378">
      <c r="A378" s="11"/>
      <c r="B378" s="11"/>
      <c r="C378" s="75"/>
    </row>
    <row r="379">
      <c r="A379" s="11"/>
      <c r="B379" s="11"/>
      <c r="C379" s="75"/>
    </row>
    <row r="380">
      <c r="A380" s="11"/>
      <c r="B380" s="11"/>
      <c r="C380" s="75"/>
    </row>
    <row r="381">
      <c r="A381" s="11"/>
      <c r="B381" s="11"/>
      <c r="C381" s="75"/>
    </row>
    <row r="382">
      <c r="A382" s="11"/>
      <c r="B382" s="11"/>
      <c r="C382" s="75"/>
    </row>
    <row r="383">
      <c r="A383" s="11"/>
      <c r="B383" s="11"/>
      <c r="C383" s="75"/>
    </row>
    <row r="384">
      <c r="A384" s="11"/>
      <c r="B384" s="11"/>
      <c r="C384" s="75"/>
    </row>
    <row r="385">
      <c r="A385" s="11"/>
      <c r="B385" s="11"/>
      <c r="C385" s="75"/>
    </row>
    <row r="386">
      <c r="A386" s="11"/>
      <c r="B386" s="11"/>
      <c r="C386" s="75"/>
    </row>
    <row r="387">
      <c r="A387" s="11"/>
      <c r="B387" s="11"/>
      <c r="C387" s="75"/>
    </row>
    <row r="388">
      <c r="A388" s="11"/>
      <c r="B388" s="11"/>
      <c r="C388" s="75"/>
    </row>
    <row r="389">
      <c r="A389" s="11"/>
      <c r="B389" s="11"/>
      <c r="C389" s="75"/>
    </row>
    <row r="390">
      <c r="A390" s="11"/>
      <c r="B390" s="11"/>
      <c r="C390" s="75"/>
    </row>
    <row r="391">
      <c r="A391" s="11"/>
      <c r="B391" s="11"/>
      <c r="C391" s="75"/>
    </row>
    <row r="392">
      <c r="A392" s="11"/>
      <c r="B392" s="11"/>
      <c r="C392" s="75"/>
    </row>
    <row r="393">
      <c r="A393" s="11"/>
      <c r="B393" s="11"/>
      <c r="C393" s="75"/>
    </row>
    <row r="394">
      <c r="A394" s="11"/>
      <c r="B394" s="11"/>
      <c r="C394" s="75"/>
    </row>
    <row r="395">
      <c r="A395" s="11"/>
      <c r="B395" s="11"/>
      <c r="C395" s="75"/>
    </row>
    <row r="396">
      <c r="A396" s="11"/>
      <c r="B396" s="11"/>
      <c r="C396" s="75"/>
    </row>
    <row r="397">
      <c r="A397" s="11"/>
      <c r="B397" s="11"/>
      <c r="C397" s="75"/>
    </row>
    <row r="398">
      <c r="A398" s="11"/>
      <c r="B398" s="11"/>
      <c r="C398" s="75"/>
    </row>
    <row r="399">
      <c r="A399" s="11"/>
      <c r="B399" s="11"/>
      <c r="C399" s="75"/>
    </row>
    <row r="400">
      <c r="A400" s="11"/>
      <c r="B400" s="11"/>
      <c r="C400" s="75"/>
    </row>
    <row r="401">
      <c r="A401" s="11"/>
      <c r="B401" s="11"/>
      <c r="C401" s="75"/>
    </row>
    <row r="402">
      <c r="A402" s="11"/>
      <c r="B402" s="11"/>
      <c r="C402" s="75"/>
    </row>
    <row r="403">
      <c r="A403" s="11"/>
      <c r="B403" s="11"/>
      <c r="C403" s="75"/>
    </row>
    <row r="404">
      <c r="A404" s="11"/>
      <c r="B404" s="11"/>
      <c r="C404" s="75"/>
    </row>
    <row r="405">
      <c r="A405" s="11"/>
      <c r="B405" s="11"/>
      <c r="C405" s="75"/>
    </row>
    <row r="406">
      <c r="A406" s="11"/>
      <c r="B406" s="11"/>
      <c r="C406" s="75"/>
    </row>
    <row r="407">
      <c r="A407" s="11"/>
      <c r="B407" s="11"/>
      <c r="C407" s="75"/>
    </row>
    <row r="408">
      <c r="A408" s="11"/>
      <c r="B408" s="11"/>
      <c r="C408" s="75"/>
    </row>
    <row r="409">
      <c r="A409" s="11"/>
      <c r="B409" s="11"/>
      <c r="C409" s="75"/>
    </row>
    <row r="410">
      <c r="A410" s="11"/>
      <c r="B410" s="11"/>
      <c r="C410" s="75"/>
    </row>
    <row r="411">
      <c r="A411" s="11"/>
      <c r="B411" s="11"/>
      <c r="C411" s="75"/>
    </row>
    <row r="412">
      <c r="A412" s="11"/>
      <c r="B412" s="11"/>
      <c r="C412" s="75"/>
    </row>
    <row r="413">
      <c r="A413" s="11"/>
      <c r="B413" s="11"/>
      <c r="C413" s="75"/>
    </row>
    <row r="414">
      <c r="A414" s="11"/>
      <c r="B414" s="11"/>
      <c r="C414" s="75"/>
    </row>
    <row r="415">
      <c r="A415" s="11"/>
      <c r="B415" s="11"/>
      <c r="C415" s="75"/>
    </row>
    <row r="416">
      <c r="A416" s="11"/>
      <c r="B416" s="11"/>
      <c r="C416" s="75"/>
    </row>
    <row r="417">
      <c r="A417" s="11"/>
      <c r="B417" s="11"/>
      <c r="C417" s="75"/>
    </row>
    <row r="418">
      <c r="A418" s="11"/>
      <c r="B418" s="11"/>
      <c r="C418" s="75"/>
    </row>
    <row r="419">
      <c r="A419" s="11"/>
      <c r="B419" s="11"/>
      <c r="C419" s="75"/>
    </row>
    <row r="420">
      <c r="A420" s="11"/>
      <c r="B420" s="11"/>
      <c r="C420" s="75"/>
    </row>
    <row r="421">
      <c r="A421" s="11"/>
      <c r="B421" s="11"/>
      <c r="C421" s="75"/>
    </row>
    <row r="422">
      <c r="A422" s="11"/>
      <c r="B422" s="11"/>
      <c r="C422" s="75"/>
    </row>
    <row r="423">
      <c r="A423" s="11"/>
      <c r="B423" s="11"/>
      <c r="C423" s="75"/>
    </row>
    <row r="424">
      <c r="A424" s="11"/>
      <c r="B424" s="11"/>
      <c r="C424" s="75"/>
    </row>
    <row r="425">
      <c r="A425" s="11"/>
      <c r="B425" s="11"/>
      <c r="C425" s="75"/>
    </row>
    <row r="426">
      <c r="A426" s="11"/>
      <c r="B426" s="11"/>
      <c r="C426" s="75"/>
    </row>
    <row r="427">
      <c r="A427" s="11"/>
      <c r="B427" s="11"/>
      <c r="C427" s="75"/>
    </row>
    <row r="428">
      <c r="A428" s="11"/>
      <c r="B428" s="11"/>
      <c r="C428" s="75"/>
    </row>
    <row r="429">
      <c r="A429" s="11"/>
      <c r="B429" s="11"/>
      <c r="C429" s="75"/>
    </row>
    <row r="430">
      <c r="A430" s="11"/>
      <c r="B430" s="11"/>
      <c r="C430" s="75"/>
    </row>
    <row r="431">
      <c r="A431" s="11"/>
      <c r="B431" s="11"/>
      <c r="C431" s="75"/>
    </row>
    <row r="432">
      <c r="A432" s="11"/>
      <c r="B432" s="11"/>
      <c r="C432" s="75"/>
    </row>
    <row r="433">
      <c r="A433" s="11"/>
      <c r="B433" s="11"/>
      <c r="C433" s="75"/>
    </row>
    <row r="434">
      <c r="A434" s="11"/>
      <c r="B434" s="11"/>
      <c r="C434" s="75"/>
    </row>
    <row r="435">
      <c r="A435" s="11"/>
      <c r="B435" s="11"/>
      <c r="C435" s="75"/>
    </row>
    <row r="436">
      <c r="A436" s="11"/>
      <c r="B436" s="11"/>
      <c r="C436" s="75"/>
    </row>
    <row r="437">
      <c r="A437" s="11"/>
      <c r="B437" s="11"/>
      <c r="C437" s="75"/>
    </row>
    <row r="438">
      <c r="A438" s="11"/>
      <c r="B438" s="11"/>
      <c r="C438" s="75"/>
    </row>
    <row r="439">
      <c r="A439" s="11"/>
      <c r="B439" s="11"/>
      <c r="C439" s="75"/>
    </row>
    <row r="440">
      <c r="A440" s="11"/>
      <c r="B440" s="11"/>
      <c r="C440" s="75"/>
    </row>
    <row r="441">
      <c r="A441" s="11"/>
      <c r="B441" s="11"/>
      <c r="C441" s="75"/>
    </row>
    <row r="442">
      <c r="A442" s="11"/>
      <c r="B442" s="11"/>
      <c r="C442" s="75"/>
    </row>
    <row r="443">
      <c r="A443" s="11"/>
      <c r="B443" s="11"/>
      <c r="C443" s="75"/>
    </row>
    <row r="444">
      <c r="A444" s="11"/>
      <c r="B444" s="11"/>
      <c r="C444" s="75"/>
    </row>
    <row r="445">
      <c r="A445" s="11"/>
      <c r="B445" s="11"/>
      <c r="C445" s="75"/>
    </row>
    <row r="446">
      <c r="A446" s="11"/>
      <c r="B446" s="11"/>
      <c r="C446" s="75"/>
    </row>
    <row r="447">
      <c r="A447" s="11"/>
      <c r="B447" s="11"/>
      <c r="C447" s="75"/>
    </row>
    <row r="448">
      <c r="A448" s="11"/>
      <c r="B448" s="11"/>
      <c r="C448" s="75"/>
    </row>
    <row r="449">
      <c r="A449" s="11"/>
      <c r="B449" s="11"/>
      <c r="C449" s="75"/>
    </row>
    <row r="450">
      <c r="A450" s="11"/>
      <c r="B450" s="11"/>
      <c r="C450" s="75"/>
    </row>
    <row r="451">
      <c r="A451" s="11"/>
      <c r="B451" s="11"/>
      <c r="C451" s="75"/>
    </row>
    <row r="452">
      <c r="A452" s="11"/>
      <c r="B452" s="11"/>
      <c r="C452" s="75"/>
    </row>
    <row r="453">
      <c r="A453" s="11"/>
      <c r="B453" s="11"/>
      <c r="C453" s="75"/>
    </row>
    <row r="454">
      <c r="A454" s="11"/>
      <c r="B454" s="11"/>
      <c r="C454" s="75"/>
    </row>
    <row r="455">
      <c r="A455" s="11"/>
      <c r="B455" s="11"/>
      <c r="C455" s="75"/>
    </row>
    <row r="456">
      <c r="A456" s="11"/>
      <c r="B456" s="11"/>
      <c r="C456" s="75"/>
    </row>
    <row r="457">
      <c r="A457" s="11"/>
      <c r="B457" s="11"/>
      <c r="C457" s="75"/>
    </row>
    <row r="458">
      <c r="A458" s="11"/>
      <c r="B458" s="11"/>
      <c r="C458" s="75"/>
    </row>
    <row r="459">
      <c r="A459" s="11"/>
      <c r="B459" s="11"/>
      <c r="C459" s="75"/>
    </row>
    <row r="460">
      <c r="A460" s="11"/>
      <c r="B460" s="11"/>
      <c r="C460" s="75"/>
    </row>
    <row r="461">
      <c r="A461" s="11"/>
      <c r="B461" s="11"/>
      <c r="C461" s="75"/>
    </row>
    <row r="462">
      <c r="A462" s="11"/>
      <c r="B462" s="11"/>
      <c r="C462" s="75"/>
    </row>
    <row r="463">
      <c r="A463" s="11"/>
      <c r="B463" s="11"/>
      <c r="C463" s="75"/>
    </row>
    <row r="464">
      <c r="A464" s="11"/>
      <c r="B464" s="11"/>
      <c r="C464" s="75"/>
    </row>
    <row r="465">
      <c r="A465" s="11"/>
      <c r="B465" s="11"/>
      <c r="C465" s="75"/>
    </row>
    <row r="466">
      <c r="A466" s="11"/>
      <c r="B466" s="11"/>
      <c r="C466" s="75"/>
    </row>
    <row r="467">
      <c r="A467" s="11"/>
      <c r="B467" s="11"/>
      <c r="C467" s="75"/>
    </row>
    <row r="468">
      <c r="A468" s="11"/>
      <c r="B468" s="11"/>
      <c r="C468" s="75"/>
    </row>
    <row r="469">
      <c r="A469" s="11"/>
      <c r="B469" s="11"/>
      <c r="C469" s="75"/>
    </row>
    <row r="470">
      <c r="A470" s="11"/>
      <c r="B470" s="11"/>
      <c r="C470" s="75"/>
    </row>
    <row r="471">
      <c r="A471" s="11"/>
      <c r="B471" s="11"/>
      <c r="C471" s="75"/>
    </row>
    <row r="472">
      <c r="A472" s="11"/>
      <c r="B472" s="11"/>
      <c r="C472" s="75"/>
    </row>
    <row r="473">
      <c r="A473" s="11"/>
      <c r="B473" s="11"/>
      <c r="C473" s="75"/>
    </row>
    <row r="474">
      <c r="A474" s="11"/>
      <c r="B474" s="11"/>
      <c r="C474" s="75"/>
    </row>
    <row r="475">
      <c r="A475" s="11"/>
      <c r="B475" s="11"/>
      <c r="C475" s="75"/>
    </row>
    <row r="476">
      <c r="A476" s="11"/>
      <c r="B476" s="11"/>
      <c r="C476" s="75"/>
    </row>
    <row r="477">
      <c r="A477" s="11"/>
      <c r="B477" s="11"/>
      <c r="C477" s="75"/>
    </row>
    <row r="478">
      <c r="A478" s="11"/>
      <c r="B478" s="11"/>
      <c r="C478" s="75"/>
    </row>
    <row r="479">
      <c r="A479" s="11"/>
      <c r="B479" s="11"/>
      <c r="C479" s="75"/>
    </row>
    <row r="480">
      <c r="A480" s="11"/>
      <c r="B480" s="11"/>
      <c r="C480" s="75"/>
    </row>
    <row r="481">
      <c r="A481" s="11"/>
      <c r="B481" s="11"/>
      <c r="C481" s="75"/>
    </row>
    <row r="482">
      <c r="A482" s="11"/>
      <c r="B482" s="11"/>
      <c r="C482" s="75"/>
    </row>
    <row r="483">
      <c r="A483" s="11"/>
      <c r="B483" s="11"/>
      <c r="C483" s="75"/>
    </row>
    <row r="484">
      <c r="A484" s="11"/>
      <c r="B484" s="11"/>
      <c r="C484" s="75"/>
    </row>
    <row r="485">
      <c r="A485" s="11"/>
      <c r="B485" s="11"/>
      <c r="C485" s="75"/>
    </row>
    <row r="486">
      <c r="A486" s="11"/>
      <c r="B486" s="11"/>
      <c r="C486" s="75"/>
    </row>
    <row r="487">
      <c r="A487" s="11"/>
      <c r="B487" s="11"/>
      <c r="C487" s="75"/>
    </row>
    <row r="488">
      <c r="A488" s="11"/>
      <c r="B488" s="11"/>
      <c r="C488" s="75"/>
    </row>
    <row r="489">
      <c r="A489" s="11"/>
      <c r="B489" s="11"/>
      <c r="C489" s="75"/>
    </row>
    <row r="490">
      <c r="A490" s="11"/>
      <c r="B490" s="11"/>
      <c r="C490" s="75"/>
    </row>
    <row r="491">
      <c r="A491" s="11"/>
      <c r="B491" s="11"/>
      <c r="C491" s="75"/>
    </row>
    <row r="492">
      <c r="A492" s="11"/>
      <c r="B492" s="11"/>
      <c r="C492" s="75"/>
    </row>
    <row r="493">
      <c r="A493" s="11"/>
      <c r="B493" s="11"/>
      <c r="C493" s="75"/>
    </row>
    <row r="494">
      <c r="A494" s="11"/>
      <c r="B494" s="11"/>
      <c r="C494" s="75"/>
    </row>
    <row r="495">
      <c r="A495" s="11"/>
      <c r="B495" s="11"/>
      <c r="C495" s="75"/>
    </row>
    <row r="496">
      <c r="A496" s="11"/>
      <c r="B496" s="11"/>
      <c r="C496" s="75"/>
    </row>
    <row r="497">
      <c r="A497" s="11"/>
      <c r="B497" s="11"/>
      <c r="C497" s="75"/>
    </row>
    <row r="498">
      <c r="A498" s="11"/>
      <c r="B498" s="11"/>
      <c r="C498" s="75"/>
    </row>
    <row r="499">
      <c r="A499" s="11"/>
      <c r="B499" s="11"/>
      <c r="C499" s="75"/>
    </row>
    <row r="500">
      <c r="A500" s="11"/>
      <c r="B500" s="11"/>
      <c r="C500" s="75"/>
    </row>
    <row r="501">
      <c r="A501" s="11"/>
      <c r="B501" s="11"/>
      <c r="C501" s="75"/>
    </row>
    <row r="502">
      <c r="A502" s="11"/>
      <c r="B502" s="11"/>
      <c r="C502" s="75"/>
    </row>
    <row r="503">
      <c r="A503" s="11"/>
      <c r="B503" s="11"/>
      <c r="C503" s="75"/>
    </row>
    <row r="504">
      <c r="A504" s="11"/>
      <c r="B504" s="11"/>
      <c r="C504" s="75"/>
    </row>
    <row r="505">
      <c r="A505" s="11"/>
      <c r="B505" s="11"/>
      <c r="C505" s="75"/>
    </row>
    <row r="506">
      <c r="A506" s="11"/>
      <c r="B506" s="11"/>
      <c r="C506" s="75"/>
    </row>
    <row r="507">
      <c r="A507" s="11"/>
      <c r="B507" s="11"/>
      <c r="C507" s="75"/>
    </row>
    <row r="508">
      <c r="A508" s="11"/>
      <c r="B508" s="11"/>
      <c r="C508" s="75"/>
    </row>
    <row r="509">
      <c r="A509" s="11"/>
      <c r="B509" s="11"/>
      <c r="C509" s="75"/>
    </row>
    <row r="510">
      <c r="A510" s="11"/>
      <c r="B510" s="11"/>
      <c r="C510" s="75"/>
    </row>
    <row r="511">
      <c r="A511" s="11"/>
      <c r="B511" s="11"/>
      <c r="C511" s="75"/>
    </row>
    <row r="512">
      <c r="A512" s="11"/>
      <c r="B512" s="11"/>
      <c r="C512" s="75"/>
    </row>
    <row r="513">
      <c r="A513" s="11"/>
      <c r="B513" s="11"/>
      <c r="C513" s="75"/>
    </row>
    <row r="514">
      <c r="A514" s="11"/>
      <c r="B514" s="11"/>
      <c r="C514" s="75"/>
    </row>
    <row r="515">
      <c r="A515" s="11"/>
      <c r="B515" s="11"/>
      <c r="C515" s="75"/>
    </row>
    <row r="516">
      <c r="A516" s="11"/>
      <c r="B516" s="11"/>
      <c r="C516" s="75"/>
    </row>
    <row r="517">
      <c r="A517" s="11"/>
      <c r="B517" s="11"/>
      <c r="C517" s="75"/>
    </row>
    <row r="518">
      <c r="A518" s="11"/>
      <c r="B518" s="11"/>
      <c r="C518" s="75"/>
    </row>
    <row r="519">
      <c r="A519" s="11"/>
      <c r="B519" s="11"/>
      <c r="C519" s="75"/>
    </row>
    <row r="520">
      <c r="A520" s="11"/>
      <c r="B520" s="11"/>
      <c r="C520" s="75"/>
    </row>
    <row r="521">
      <c r="A521" s="11"/>
      <c r="B521" s="11"/>
      <c r="C521" s="75"/>
    </row>
    <row r="522">
      <c r="A522" s="11"/>
      <c r="B522" s="11"/>
      <c r="C522" s="75"/>
    </row>
    <row r="523">
      <c r="A523" s="11"/>
      <c r="B523" s="11"/>
      <c r="C523" s="75"/>
    </row>
    <row r="524">
      <c r="A524" s="11"/>
      <c r="B524" s="11"/>
      <c r="C524" s="75"/>
    </row>
    <row r="525">
      <c r="A525" s="11"/>
      <c r="B525" s="11"/>
      <c r="C525" s="75"/>
    </row>
    <row r="526">
      <c r="A526" s="11"/>
      <c r="B526" s="11"/>
      <c r="C526" s="75"/>
    </row>
    <row r="527">
      <c r="A527" s="11"/>
      <c r="B527" s="11"/>
      <c r="C527" s="75"/>
    </row>
    <row r="528">
      <c r="A528" s="11"/>
      <c r="B528" s="11"/>
      <c r="C528" s="75"/>
    </row>
    <row r="529">
      <c r="A529" s="11"/>
      <c r="B529" s="11"/>
      <c r="C529" s="75"/>
    </row>
    <row r="530">
      <c r="A530" s="11"/>
      <c r="B530" s="11"/>
      <c r="C530" s="75"/>
    </row>
    <row r="531">
      <c r="A531" s="11"/>
      <c r="B531" s="11"/>
      <c r="C531" s="75"/>
    </row>
    <row r="532">
      <c r="A532" s="11"/>
      <c r="B532" s="11"/>
      <c r="C532" s="75"/>
    </row>
    <row r="533">
      <c r="A533" s="11"/>
      <c r="B533" s="11"/>
      <c r="C533" s="75"/>
    </row>
    <row r="534">
      <c r="A534" s="11"/>
      <c r="B534" s="11"/>
      <c r="C534" s="75"/>
    </row>
    <row r="535">
      <c r="A535" s="11"/>
      <c r="B535" s="11"/>
      <c r="C535" s="75"/>
    </row>
    <row r="536">
      <c r="A536" s="11"/>
      <c r="B536" s="11"/>
      <c r="C536" s="75"/>
    </row>
    <row r="537">
      <c r="A537" s="11"/>
      <c r="B537" s="11"/>
      <c r="C537" s="75"/>
    </row>
    <row r="538">
      <c r="A538" s="11"/>
      <c r="B538" s="11"/>
      <c r="C538" s="75"/>
    </row>
    <row r="539">
      <c r="A539" s="11"/>
      <c r="B539" s="11"/>
      <c r="C539" s="75"/>
    </row>
    <row r="540">
      <c r="A540" s="11"/>
      <c r="B540" s="11"/>
      <c r="C540" s="75"/>
    </row>
    <row r="541">
      <c r="A541" s="11"/>
      <c r="B541" s="11"/>
      <c r="C541" s="75"/>
    </row>
    <row r="542">
      <c r="A542" s="11"/>
      <c r="B542" s="11"/>
      <c r="C542" s="75"/>
    </row>
    <row r="543">
      <c r="A543" s="11"/>
      <c r="B543" s="11"/>
      <c r="C543" s="75"/>
    </row>
    <row r="544">
      <c r="A544" s="11"/>
      <c r="B544" s="11"/>
      <c r="C544" s="75"/>
    </row>
    <row r="545">
      <c r="A545" s="11"/>
      <c r="B545" s="11"/>
      <c r="C545" s="75"/>
    </row>
    <row r="546">
      <c r="A546" s="11"/>
      <c r="B546" s="11"/>
      <c r="C546" s="75"/>
    </row>
    <row r="547">
      <c r="A547" s="11"/>
      <c r="B547" s="11"/>
      <c r="C547" s="75"/>
    </row>
    <row r="548">
      <c r="A548" s="11"/>
      <c r="B548" s="11"/>
      <c r="C548" s="75"/>
    </row>
    <row r="549">
      <c r="A549" s="11"/>
      <c r="B549" s="11"/>
      <c r="C549" s="75"/>
    </row>
    <row r="550">
      <c r="A550" s="11"/>
      <c r="B550" s="11"/>
      <c r="C550" s="75"/>
    </row>
    <row r="551">
      <c r="A551" s="11"/>
      <c r="B551" s="11"/>
      <c r="C551" s="75"/>
    </row>
    <row r="552">
      <c r="A552" s="11"/>
      <c r="B552" s="11"/>
      <c r="C552" s="75"/>
    </row>
    <row r="553">
      <c r="A553" s="11"/>
      <c r="B553" s="11"/>
      <c r="C553" s="75"/>
    </row>
    <row r="554">
      <c r="A554" s="11"/>
      <c r="B554" s="11"/>
      <c r="C554" s="75"/>
    </row>
    <row r="555">
      <c r="A555" s="11"/>
      <c r="B555" s="11"/>
      <c r="C555" s="75"/>
    </row>
    <row r="556">
      <c r="A556" s="11"/>
      <c r="B556" s="11"/>
      <c r="C556" s="75"/>
    </row>
    <row r="557">
      <c r="A557" s="11"/>
      <c r="B557" s="11"/>
      <c r="C557" s="75"/>
    </row>
    <row r="558">
      <c r="A558" s="11"/>
      <c r="B558" s="11"/>
      <c r="C558" s="75"/>
    </row>
    <row r="559">
      <c r="A559" s="11"/>
      <c r="B559" s="11"/>
      <c r="C559" s="75"/>
    </row>
    <row r="560">
      <c r="A560" s="11"/>
      <c r="B560" s="11"/>
      <c r="C560" s="75"/>
    </row>
    <row r="561">
      <c r="A561" s="11"/>
      <c r="B561" s="11"/>
      <c r="C561" s="75"/>
    </row>
    <row r="562">
      <c r="A562" s="11"/>
      <c r="B562" s="11"/>
      <c r="C562" s="75"/>
    </row>
    <row r="563">
      <c r="A563" s="11"/>
      <c r="B563" s="11"/>
      <c r="C563" s="75"/>
    </row>
    <row r="564">
      <c r="A564" s="11"/>
      <c r="B564" s="11"/>
      <c r="C564" s="75"/>
    </row>
    <row r="565">
      <c r="A565" s="11"/>
      <c r="B565" s="11"/>
      <c r="C565" s="75"/>
    </row>
    <row r="566">
      <c r="A566" s="11"/>
      <c r="B566" s="11"/>
      <c r="C566" s="75"/>
    </row>
    <row r="567">
      <c r="A567" s="11"/>
      <c r="B567" s="11"/>
      <c r="C567" s="75"/>
    </row>
    <row r="568">
      <c r="A568" s="11"/>
      <c r="B568" s="11"/>
      <c r="C568" s="75"/>
    </row>
    <row r="569">
      <c r="A569" s="11"/>
      <c r="B569" s="11"/>
      <c r="C569" s="75"/>
    </row>
    <row r="570">
      <c r="A570" s="11"/>
      <c r="B570" s="11"/>
      <c r="C570" s="75"/>
    </row>
    <row r="571">
      <c r="A571" s="11"/>
      <c r="B571" s="11"/>
      <c r="C571" s="75"/>
    </row>
    <row r="572">
      <c r="A572" s="11"/>
      <c r="B572" s="11"/>
      <c r="C572" s="75"/>
    </row>
    <row r="573">
      <c r="A573" s="11"/>
      <c r="B573" s="11"/>
      <c r="C573" s="75"/>
    </row>
    <row r="574">
      <c r="A574" s="11"/>
      <c r="B574" s="11"/>
      <c r="C574" s="75"/>
    </row>
    <row r="575">
      <c r="A575" s="11"/>
      <c r="B575" s="11"/>
      <c r="C575" s="75"/>
    </row>
    <row r="576">
      <c r="A576" s="11"/>
      <c r="B576" s="11"/>
      <c r="C576" s="75"/>
    </row>
    <row r="577">
      <c r="A577" s="11"/>
      <c r="B577" s="11"/>
      <c r="C577" s="75"/>
    </row>
    <row r="578">
      <c r="A578" s="11"/>
      <c r="B578" s="11"/>
      <c r="C578" s="75"/>
    </row>
    <row r="579">
      <c r="A579" s="11"/>
      <c r="B579" s="11"/>
      <c r="C579" s="75"/>
    </row>
    <row r="580">
      <c r="A580" s="11"/>
      <c r="B580" s="11"/>
      <c r="C580" s="75"/>
    </row>
    <row r="581">
      <c r="A581" s="11"/>
      <c r="B581" s="11"/>
      <c r="C581" s="75"/>
    </row>
    <row r="582">
      <c r="A582" s="11"/>
      <c r="B582" s="11"/>
      <c r="C582" s="75"/>
    </row>
    <row r="583">
      <c r="A583" s="11"/>
      <c r="B583" s="11"/>
      <c r="C583" s="75"/>
    </row>
    <row r="584">
      <c r="A584" s="11"/>
      <c r="B584" s="11"/>
      <c r="C584" s="75"/>
    </row>
    <row r="585">
      <c r="A585" s="11"/>
      <c r="B585" s="11"/>
      <c r="C585" s="75"/>
    </row>
    <row r="586">
      <c r="A586" s="11"/>
      <c r="B586" s="11"/>
      <c r="C586" s="75"/>
    </row>
    <row r="587">
      <c r="A587" s="11"/>
      <c r="B587" s="11"/>
      <c r="C587" s="75"/>
    </row>
    <row r="588">
      <c r="A588" s="11"/>
      <c r="B588" s="11"/>
      <c r="C588" s="75"/>
    </row>
    <row r="589">
      <c r="A589" s="11"/>
      <c r="B589" s="11"/>
      <c r="C589" s="75"/>
    </row>
    <row r="590">
      <c r="A590" s="11"/>
      <c r="B590" s="11"/>
      <c r="C590" s="75"/>
    </row>
    <row r="591">
      <c r="A591" s="11"/>
      <c r="B591" s="11"/>
      <c r="C591" s="75"/>
    </row>
    <row r="592">
      <c r="A592" s="11"/>
      <c r="B592" s="11"/>
      <c r="C592" s="75"/>
    </row>
    <row r="593">
      <c r="A593" s="11"/>
      <c r="B593" s="11"/>
      <c r="C593" s="75"/>
    </row>
    <row r="594">
      <c r="A594" s="11"/>
      <c r="B594" s="11"/>
      <c r="C594" s="75"/>
    </row>
    <row r="595">
      <c r="A595" s="11"/>
      <c r="B595" s="11"/>
      <c r="C595" s="75"/>
    </row>
    <row r="596">
      <c r="A596" s="11"/>
      <c r="B596" s="11"/>
      <c r="C596" s="75"/>
    </row>
    <row r="597">
      <c r="A597" s="11"/>
      <c r="B597" s="11"/>
      <c r="C597" s="75"/>
    </row>
    <row r="598">
      <c r="A598" s="11"/>
      <c r="B598" s="11"/>
      <c r="C598" s="75"/>
    </row>
    <row r="599">
      <c r="A599" s="11"/>
      <c r="B599" s="11"/>
      <c r="C599" s="75"/>
    </row>
    <row r="600">
      <c r="A600" s="11"/>
      <c r="B600" s="11"/>
      <c r="C600" s="75"/>
    </row>
    <row r="601">
      <c r="A601" s="11"/>
      <c r="B601" s="11"/>
      <c r="C601" s="75"/>
    </row>
    <row r="602">
      <c r="A602" s="11"/>
      <c r="B602" s="11"/>
      <c r="C602" s="75"/>
    </row>
    <row r="603">
      <c r="A603" s="11"/>
      <c r="B603" s="11"/>
      <c r="C603" s="75"/>
    </row>
    <row r="604">
      <c r="A604" s="11"/>
      <c r="B604" s="11"/>
      <c r="C604" s="75"/>
    </row>
    <row r="605">
      <c r="A605" s="11"/>
      <c r="B605" s="11"/>
      <c r="C605" s="75"/>
    </row>
    <row r="606">
      <c r="A606" s="11"/>
      <c r="B606" s="11"/>
      <c r="C606" s="75"/>
    </row>
    <row r="607">
      <c r="A607" s="11"/>
      <c r="B607" s="11"/>
      <c r="C607" s="75"/>
    </row>
    <row r="608">
      <c r="A608" s="11"/>
      <c r="B608" s="11"/>
      <c r="C608" s="75"/>
    </row>
    <row r="609">
      <c r="A609" s="11"/>
      <c r="B609" s="11"/>
      <c r="C609" s="75"/>
    </row>
    <row r="610">
      <c r="A610" s="11"/>
      <c r="B610" s="11"/>
      <c r="C610" s="75"/>
    </row>
    <row r="611">
      <c r="A611" s="11"/>
      <c r="B611" s="11"/>
      <c r="C611" s="75"/>
    </row>
    <row r="612">
      <c r="A612" s="11"/>
      <c r="B612" s="11"/>
      <c r="C612" s="75"/>
    </row>
    <row r="613">
      <c r="A613" s="11"/>
      <c r="B613" s="11"/>
      <c r="C613" s="75"/>
    </row>
    <row r="614">
      <c r="A614" s="11"/>
      <c r="B614" s="11"/>
      <c r="C614" s="75"/>
    </row>
    <row r="615">
      <c r="A615" s="11"/>
      <c r="B615" s="11"/>
      <c r="C615" s="75"/>
    </row>
    <row r="616">
      <c r="A616" s="11"/>
      <c r="B616" s="11"/>
      <c r="C616" s="75"/>
    </row>
    <row r="617">
      <c r="A617" s="11"/>
      <c r="B617" s="11"/>
      <c r="C617" s="75"/>
    </row>
    <row r="618">
      <c r="A618" s="11"/>
      <c r="B618" s="11"/>
      <c r="C618" s="75"/>
    </row>
    <row r="619">
      <c r="A619" s="11"/>
      <c r="B619" s="11"/>
      <c r="C619" s="75"/>
    </row>
    <row r="620">
      <c r="A620" s="11"/>
      <c r="B620" s="11"/>
      <c r="C620" s="75"/>
    </row>
    <row r="621">
      <c r="A621" s="11"/>
      <c r="B621" s="11"/>
      <c r="C621" s="75"/>
    </row>
    <row r="622">
      <c r="A622" s="11"/>
      <c r="B622" s="11"/>
      <c r="C622" s="75"/>
    </row>
    <row r="623">
      <c r="A623" s="11"/>
      <c r="B623" s="11"/>
      <c r="C623" s="75"/>
    </row>
    <row r="624">
      <c r="A624" s="11"/>
      <c r="B624" s="11"/>
      <c r="C624" s="75"/>
    </row>
    <row r="625">
      <c r="A625" s="11"/>
      <c r="B625" s="11"/>
      <c r="C625" s="75"/>
    </row>
    <row r="626">
      <c r="A626" s="11"/>
      <c r="B626" s="11"/>
      <c r="C626" s="75"/>
    </row>
    <row r="627">
      <c r="A627" s="11"/>
      <c r="B627" s="11"/>
      <c r="C627" s="75"/>
    </row>
    <row r="628">
      <c r="A628" s="11"/>
      <c r="B628" s="11"/>
      <c r="C628" s="75"/>
    </row>
    <row r="629">
      <c r="A629" s="11"/>
      <c r="B629" s="11"/>
      <c r="C629" s="75"/>
    </row>
    <row r="630">
      <c r="A630" s="11"/>
      <c r="B630" s="11"/>
      <c r="C630" s="75"/>
    </row>
    <row r="631">
      <c r="A631" s="11"/>
      <c r="B631" s="11"/>
      <c r="C631" s="75"/>
    </row>
    <row r="632">
      <c r="A632" s="11"/>
      <c r="B632" s="11"/>
      <c r="C632" s="75"/>
    </row>
    <row r="633">
      <c r="A633" s="11"/>
      <c r="B633" s="11"/>
      <c r="C633" s="75"/>
    </row>
    <row r="634">
      <c r="A634" s="11"/>
      <c r="B634" s="11"/>
      <c r="C634" s="75"/>
    </row>
    <row r="635">
      <c r="A635" s="11"/>
      <c r="B635" s="11"/>
      <c r="C635" s="75"/>
    </row>
    <row r="636">
      <c r="A636" s="11"/>
      <c r="B636" s="11"/>
      <c r="C636" s="75"/>
    </row>
    <row r="637">
      <c r="A637" s="11"/>
      <c r="B637" s="11"/>
      <c r="C637" s="75"/>
    </row>
    <row r="638">
      <c r="A638" s="11"/>
      <c r="B638" s="11"/>
      <c r="C638" s="75"/>
    </row>
    <row r="639">
      <c r="A639" s="11"/>
      <c r="B639" s="11"/>
      <c r="C639" s="75"/>
    </row>
    <row r="640">
      <c r="A640" s="11"/>
      <c r="B640" s="11"/>
      <c r="C640" s="75"/>
    </row>
    <row r="641">
      <c r="A641" s="11"/>
      <c r="B641" s="11"/>
      <c r="C641" s="75"/>
    </row>
    <row r="642">
      <c r="A642" s="11"/>
      <c r="B642" s="11"/>
      <c r="C642" s="75"/>
    </row>
    <row r="643">
      <c r="A643" s="11"/>
      <c r="B643" s="11"/>
      <c r="C643" s="75"/>
    </row>
    <row r="644">
      <c r="A644" s="11"/>
      <c r="B644" s="11"/>
      <c r="C644" s="75"/>
    </row>
    <row r="645">
      <c r="A645" s="11"/>
      <c r="B645" s="11"/>
      <c r="C645" s="75"/>
    </row>
    <row r="646">
      <c r="A646" s="11"/>
      <c r="B646" s="11"/>
      <c r="C646" s="75"/>
    </row>
    <row r="647">
      <c r="A647" s="11"/>
      <c r="B647" s="11"/>
      <c r="C647" s="75"/>
    </row>
    <row r="648">
      <c r="A648" s="11"/>
      <c r="B648" s="11"/>
      <c r="C648" s="75"/>
    </row>
    <row r="649">
      <c r="A649" s="11"/>
      <c r="B649" s="11"/>
      <c r="C649" s="75"/>
    </row>
    <row r="650">
      <c r="A650" s="11"/>
      <c r="B650" s="11"/>
      <c r="C650" s="75"/>
    </row>
    <row r="651">
      <c r="A651" s="11"/>
      <c r="B651" s="11"/>
      <c r="C651" s="75"/>
    </row>
    <row r="652">
      <c r="A652" s="11"/>
      <c r="B652" s="11"/>
      <c r="C652" s="75"/>
    </row>
    <row r="653">
      <c r="A653" s="11"/>
      <c r="B653" s="11"/>
      <c r="C653" s="75"/>
    </row>
    <row r="654">
      <c r="A654" s="11"/>
      <c r="B654" s="11"/>
      <c r="C654" s="75"/>
    </row>
    <row r="655">
      <c r="A655" s="11"/>
      <c r="B655" s="11"/>
      <c r="C655" s="75"/>
    </row>
    <row r="656">
      <c r="A656" s="11"/>
      <c r="B656" s="11"/>
      <c r="C656" s="75"/>
    </row>
    <row r="657">
      <c r="A657" s="11"/>
      <c r="B657" s="11"/>
      <c r="C657" s="75"/>
    </row>
    <row r="658">
      <c r="A658" s="11"/>
      <c r="B658" s="11"/>
      <c r="C658" s="75"/>
    </row>
    <row r="659">
      <c r="A659" s="11"/>
      <c r="B659" s="11"/>
      <c r="C659" s="75"/>
    </row>
    <row r="660">
      <c r="A660" s="11"/>
      <c r="B660" s="11"/>
      <c r="C660" s="75"/>
    </row>
    <row r="661">
      <c r="A661" s="11"/>
      <c r="B661" s="11"/>
      <c r="C661" s="75"/>
    </row>
    <row r="662">
      <c r="A662" s="11"/>
      <c r="B662" s="11"/>
      <c r="C662" s="75"/>
    </row>
    <row r="663">
      <c r="A663" s="11"/>
      <c r="B663" s="11"/>
      <c r="C663" s="75"/>
    </row>
    <row r="664">
      <c r="A664" s="11"/>
      <c r="B664" s="11"/>
      <c r="C664" s="75"/>
    </row>
    <row r="665">
      <c r="A665" s="11"/>
      <c r="B665" s="11"/>
      <c r="C665" s="75"/>
    </row>
    <row r="666">
      <c r="A666" s="11"/>
      <c r="B666" s="11"/>
      <c r="C666" s="75"/>
    </row>
    <row r="667">
      <c r="A667" s="11"/>
      <c r="B667" s="11"/>
      <c r="C667" s="75"/>
    </row>
    <row r="668">
      <c r="A668" s="11"/>
      <c r="B668" s="11"/>
      <c r="C668" s="75"/>
    </row>
    <row r="669">
      <c r="A669" s="11"/>
      <c r="B669" s="11"/>
      <c r="C669" s="75"/>
    </row>
    <row r="670">
      <c r="A670" s="11"/>
      <c r="B670" s="11"/>
      <c r="C670" s="75"/>
    </row>
    <row r="671">
      <c r="A671" s="11"/>
      <c r="B671" s="11"/>
      <c r="C671" s="75"/>
    </row>
    <row r="672">
      <c r="A672" s="11"/>
      <c r="B672" s="11"/>
      <c r="C672" s="75"/>
    </row>
    <row r="673">
      <c r="A673" s="11"/>
      <c r="B673" s="11"/>
      <c r="C673" s="75"/>
    </row>
    <row r="674">
      <c r="A674" s="11"/>
      <c r="B674" s="11"/>
      <c r="C674" s="75"/>
    </row>
    <row r="675">
      <c r="A675" s="11"/>
      <c r="B675" s="11"/>
      <c r="C675" s="75"/>
    </row>
    <row r="676">
      <c r="A676" s="11"/>
      <c r="B676" s="11"/>
      <c r="C676" s="75"/>
    </row>
    <row r="677">
      <c r="A677" s="11"/>
      <c r="B677" s="11"/>
      <c r="C677" s="75"/>
    </row>
    <row r="678">
      <c r="A678" s="11"/>
      <c r="B678" s="11"/>
      <c r="C678" s="75"/>
    </row>
    <row r="679">
      <c r="A679" s="11"/>
      <c r="B679" s="11"/>
      <c r="C679" s="75"/>
    </row>
    <row r="680">
      <c r="A680" s="11"/>
      <c r="B680" s="11"/>
      <c r="C680" s="75"/>
    </row>
    <row r="681">
      <c r="A681" s="11"/>
      <c r="B681" s="11"/>
      <c r="C681" s="75"/>
    </row>
    <row r="682">
      <c r="A682" s="11"/>
      <c r="B682" s="11"/>
      <c r="C682" s="75"/>
    </row>
    <row r="683">
      <c r="A683" s="11"/>
      <c r="B683" s="11"/>
      <c r="C683" s="75"/>
    </row>
    <row r="684">
      <c r="A684" s="11"/>
      <c r="B684" s="11"/>
      <c r="C684" s="75"/>
    </row>
    <row r="685">
      <c r="A685" s="11"/>
      <c r="B685" s="11"/>
      <c r="C685" s="75"/>
    </row>
    <row r="686">
      <c r="A686" s="11"/>
      <c r="B686" s="11"/>
      <c r="C686" s="75"/>
    </row>
    <row r="687">
      <c r="A687" s="11"/>
      <c r="B687" s="11"/>
      <c r="C687" s="75"/>
    </row>
    <row r="688">
      <c r="A688" s="11"/>
      <c r="B688" s="11"/>
      <c r="C688" s="75"/>
    </row>
    <row r="689">
      <c r="A689" s="11"/>
      <c r="B689" s="11"/>
      <c r="C689" s="75"/>
    </row>
    <row r="690">
      <c r="A690" s="11"/>
      <c r="B690" s="11"/>
      <c r="C690" s="75"/>
    </row>
    <row r="691">
      <c r="A691" s="11"/>
      <c r="B691" s="11"/>
      <c r="C691" s="75"/>
    </row>
    <row r="692">
      <c r="A692" s="11"/>
      <c r="B692" s="11"/>
      <c r="C692" s="75"/>
    </row>
    <row r="693">
      <c r="A693" s="11"/>
      <c r="B693" s="11"/>
      <c r="C693" s="75"/>
    </row>
    <row r="694">
      <c r="A694" s="11"/>
      <c r="B694" s="11"/>
      <c r="C694" s="75"/>
    </row>
    <row r="695">
      <c r="A695" s="11"/>
      <c r="B695" s="11"/>
      <c r="C695" s="75"/>
    </row>
    <row r="696">
      <c r="A696" s="11"/>
      <c r="B696" s="11"/>
      <c r="C696" s="75"/>
    </row>
    <row r="697">
      <c r="A697" s="11"/>
      <c r="B697" s="11"/>
      <c r="C697" s="75"/>
    </row>
    <row r="698">
      <c r="A698" s="11"/>
      <c r="B698" s="11"/>
      <c r="C698" s="75"/>
    </row>
    <row r="699">
      <c r="A699" s="11"/>
      <c r="B699" s="11"/>
      <c r="C699" s="75"/>
    </row>
    <row r="700">
      <c r="A700" s="11"/>
      <c r="B700" s="11"/>
      <c r="C700" s="75"/>
    </row>
    <row r="701">
      <c r="A701" s="11"/>
      <c r="B701" s="11"/>
      <c r="C701" s="75"/>
    </row>
    <row r="702">
      <c r="A702" s="11"/>
      <c r="B702" s="11"/>
      <c r="C702" s="75"/>
    </row>
    <row r="703">
      <c r="A703" s="11"/>
      <c r="B703" s="11"/>
      <c r="C703" s="75"/>
    </row>
    <row r="704">
      <c r="A704" s="11"/>
      <c r="B704" s="11"/>
      <c r="C704" s="75"/>
    </row>
    <row r="705">
      <c r="A705" s="11"/>
      <c r="B705" s="11"/>
      <c r="C705" s="75"/>
    </row>
    <row r="706">
      <c r="A706" s="11"/>
      <c r="B706" s="11"/>
      <c r="C706" s="75"/>
    </row>
    <row r="707">
      <c r="A707" s="11"/>
      <c r="B707" s="11"/>
      <c r="C707" s="75"/>
    </row>
    <row r="708">
      <c r="A708" s="11"/>
      <c r="B708" s="11"/>
      <c r="C708" s="75"/>
    </row>
    <row r="709">
      <c r="A709" s="11"/>
      <c r="B709" s="11"/>
      <c r="C709" s="75"/>
    </row>
    <row r="710">
      <c r="A710" s="11"/>
      <c r="B710" s="11"/>
      <c r="C710" s="75"/>
    </row>
    <row r="711">
      <c r="A711" s="11"/>
      <c r="B711" s="11"/>
      <c r="C711" s="75"/>
    </row>
    <row r="712">
      <c r="A712" s="11"/>
      <c r="B712" s="11"/>
      <c r="C712" s="75"/>
    </row>
    <row r="713">
      <c r="A713" s="11"/>
      <c r="B713" s="11"/>
      <c r="C713" s="75"/>
    </row>
    <row r="714">
      <c r="A714" s="11"/>
      <c r="B714" s="11"/>
      <c r="C714" s="75"/>
    </row>
    <row r="715">
      <c r="A715" s="11"/>
      <c r="B715" s="11"/>
      <c r="C715" s="75"/>
    </row>
    <row r="716">
      <c r="A716" s="11"/>
      <c r="B716" s="11"/>
      <c r="C716" s="75"/>
    </row>
    <row r="717">
      <c r="A717" s="11"/>
      <c r="B717" s="11"/>
      <c r="C717" s="75"/>
    </row>
    <row r="718">
      <c r="A718" s="11"/>
      <c r="B718" s="11"/>
      <c r="C718" s="75"/>
    </row>
    <row r="719">
      <c r="A719" s="11"/>
      <c r="B719" s="11"/>
      <c r="C719" s="75"/>
    </row>
    <row r="720">
      <c r="A720" s="11"/>
      <c r="B720" s="11"/>
      <c r="C720" s="75"/>
    </row>
    <row r="721">
      <c r="A721" s="11"/>
      <c r="B721" s="11"/>
      <c r="C721" s="75"/>
    </row>
    <row r="722">
      <c r="A722" s="11"/>
      <c r="B722" s="11"/>
      <c r="C722" s="75"/>
    </row>
    <row r="723">
      <c r="A723" s="11"/>
      <c r="B723" s="11"/>
      <c r="C723" s="75"/>
    </row>
    <row r="724">
      <c r="A724" s="11"/>
      <c r="B724" s="11"/>
      <c r="C724" s="75"/>
    </row>
    <row r="725">
      <c r="A725" s="11"/>
      <c r="B725" s="11"/>
      <c r="C725" s="75"/>
    </row>
    <row r="726">
      <c r="A726" s="11"/>
      <c r="B726" s="11"/>
      <c r="C726" s="75"/>
    </row>
    <row r="727">
      <c r="A727" s="11"/>
      <c r="B727" s="11"/>
      <c r="C727" s="75"/>
    </row>
    <row r="728">
      <c r="A728" s="11"/>
      <c r="B728" s="11"/>
      <c r="C728" s="75"/>
    </row>
    <row r="729">
      <c r="A729" s="11"/>
      <c r="B729" s="11"/>
      <c r="C729" s="75"/>
    </row>
    <row r="730">
      <c r="A730" s="11"/>
      <c r="B730" s="11"/>
      <c r="C730" s="75"/>
    </row>
    <row r="731">
      <c r="A731" s="11"/>
      <c r="B731" s="11"/>
      <c r="C731" s="75"/>
    </row>
    <row r="732">
      <c r="A732" s="11"/>
      <c r="B732" s="11"/>
      <c r="C732" s="75"/>
    </row>
    <row r="733">
      <c r="A733" s="11"/>
      <c r="B733" s="11"/>
      <c r="C733" s="75"/>
    </row>
    <row r="734">
      <c r="A734" s="11"/>
      <c r="B734" s="11"/>
      <c r="C734" s="75"/>
    </row>
    <row r="735">
      <c r="A735" s="11"/>
      <c r="B735" s="11"/>
      <c r="C735" s="75"/>
    </row>
    <row r="736">
      <c r="A736" s="11"/>
      <c r="B736" s="11"/>
      <c r="C736" s="75"/>
    </row>
    <row r="737">
      <c r="A737" s="11"/>
      <c r="B737" s="11"/>
      <c r="C737" s="75"/>
    </row>
    <row r="738">
      <c r="A738" s="11"/>
      <c r="B738" s="11"/>
      <c r="C738" s="75"/>
    </row>
    <row r="739">
      <c r="A739" s="11"/>
      <c r="B739" s="11"/>
      <c r="C739" s="75"/>
    </row>
    <row r="740">
      <c r="A740" s="11"/>
      <c r="B740" s="11"/>
      <c r="C740" s="75"/>
    </row>
    <row r="741">
      <c r="A741" s="11"/>
      <c r="B741" s="11"/>
      <c r="C741" s="75"/>
    </row>
    <row r="742">
      <c r="A742" s="11"/>
      <c r="B742" s="11"/>
      <c r="C742" s="75"/>
    </row>
    <row r="743">
      <c r="A743" s="11"/>
      <c r="B743" s="11"/>
      <c r="C743" s="75"/>
    </row>
    <row r="744">
      <c r="A744" s="11"/>
      <c r="B744" s="11"/>
      <c r="C744" s="75"/>
    </row>
    <row r="745">
      <c r="A745" s="11"/>
      <c r="B745" s="11"/>
      <c r="C745" s="75"/>
    </row>
    <row r="746">
      <c r="A746" s="11"/>
      <c r="B746" s="11"/>
      <c r="C746" s="75"/>
    </row>
    <row r="747">
      <c r="A747" s="11"/>
      <c r="B747" s="11"/>
      <c r="C747" s="75"/>
    </row>
    <row r="748">
      <c r="A748" s="11"/>
      <c r="B748" s="11"/>
      <c r="C748" s="75"/>
    </row>
    <row r="749">
      <c r="A749" s="11"/>
      <c r="B749" s="11"/>
      <c r="C749" s="75"/>
    </row>
    <row r="750">
      <c r="A750" s="11"/>
      <c r="B750" s="11"/>
      <c r="C750" s="75"/>
    </row>
    <row r="751">
      <c r="A751" s="11"/>
      <c r="B751" s="11"/>
      <c r="C751" s="75"/>
    </row>
    <row r="752">
      <c r="A752" s="11"/>
      <c r="B752" s="11"/>
      <c r="C752" s="75"/>
    </row>
    <row r="753">
      <c r="A753" s="11"/>
      <c r="B753" s="11"/>
      <c r="C753" s="75"/>
    </row>
    <row r="754">
      <c r="A754" s="11"/>
      <c r="B754" s="11"/>
      <c r="C754" s="75"/>
    </row>
    <row r="755">
      <c r="A755" s="11"/>
      <c r="B755" s="11"/>
      <c r="C755" s="75"/>
    </row>
    <row r="756">
      <c r="A756" s="11"/>
      <c r="B756" s="11"/>
      <c r="C756" s="75"/>
    </row>
    <row r="757">
      <c r="A757" s="11"/>
      <c r="B757" s="11"/>
      <c r="C757" s="75"/>
    </row>
    <row r="758">
      <c r="A758" s="11"/>
      <c r="B758" s="11"/>
      <c r="C758" s="75"/>
    </row>
    <row r="759">
      <c r="A759" s="11"/>
      <c r="B759" s="11"/>
      <c r="C759" s="75"/>
    </row>
    <row r="760">
      <c r="A760" s="11"/>
      <c r="B760" s="11"/>
      <c r="C760" s="75"/>
    </row>
    <row r="761">
      <c r="A761" s="11"/>
      <c r="B761" s="11"/>
      <c r="C761" s="75"/>
    </row>
    <row r="762">
      <c r="A762" s="11"/>
      <c r="B762" s="11"/>
      <c r="C762" s="75"/>
    </row>
    <row r="763">
      <c r="A763" s="11"/>
      <c r="B763" s="11"/>
      <c r="C763" s="75"/>
    </row>
    <row r="764">
      <c r="A764" s="11"/>
      <c r="B764" s="11"/>
      <c r="C764" s="75"/>
    </row>
    <row r="765">
      <c r="A765" s="11"/>
      <c r="B765" s="11"/>
      <c r="C765" s="75"/>
    </row>
    <row r="766">
      <c r="A766" s="11"/>
      <c r="B766" s="11"/>
      <c r="C766" s="75"/>
    </row>
    <row r="767">
      <c r="A767" s="11"/>
      <c r="B767" s="11"/>
      <c r="C767" s="75"/>
    </row>
    <row r="768">
      <c r="A768" s="11"/>
      <c r="B768" s="11"/>
      <c r="C768" s="75"/>
    </row>
    <row r="769">
      <c r="A769" s="11"/>
      <c r="B769" s="11"/>
      <c r="C769" s="75"/>
    </row>
    <row r="770">
      <c r="A770" s="11"/>
      <c r="B770" s="11"/>
      <c r="C770" s="75"/>
    </row>
    <row r="771">
      <c r="A771" s="11"/>
      <c r="B771" s="11"/>
      <c r="C771" s="75"/>
    </row>
    <row r="772">
      <c r="A772" s="11"/>
      <c r="B772" s="11"/>
      <c r="C772" s="75"/>
    </row>
    <row r="773">
      <c r="A773" s="11"/>
      <c r="B773" s="11"/>
      <c r="C773" s="75"/>
    </row>
    <row r="774">
      <c r="A774" s="11"/>
      <c r="B774" s="11"/>
      <c r="C774" s="75"/>
    </row>
    <row r="775">
      <c r="A775" s="11"/>
      <c r="B775" s="11"/>
      <c r="C775" s="75"/>
    </row>
    <row r="776">
      <c r="A776" s="11"/>
      <c r="B776" s="11"/>
      <c r="C776" s="75"/>
    </row>
    <row r="777">
      <c r="A777" s="11"/>
      <c r="B777" s="11"/>
      <c r="C777" s="75"/>
    </row>
    <row r="778">
      <c r="A778" s="11"/>
      <c r="B778" s="11"/>
      <c r="C778" s="75"/>
    </row>
    <row r="779">
      <c r="A779" s="11"/>
      <c r="B779" s="11"/>
      <c r="C779" s="75"/>
    </row>
    <row r="780">
      <c r="A780" s="11"/>
      <c r="B780" s="11"/>
      <c r="C780" s="75"/>
    </row>
    <row r="781">
      <c r="A781" s="11"/>
      <c r="B781" s="11"/>
      <c r="C781" s="75"/>
    </row>
    <row r="782">
      <c r="A782" s="11"/>
      <c r="B782" s="11"/>
      <c r="C782" s="75"/>
    </row>
    <row r="783">
      <c r="A783" s="11"/>
      <c r="B783" s="11"/>
      <c r="C783" s="75"/>
    </row>
    <row r="784">
      <c r="A784" s="11"/>
      <c r="B784" s="11"/>
      <c r="C784" s="75"/>
    </row>
    <row r="785">
      <c r="A785" s="11"/>
      <c r="B785" s="11"/>
      <c r="C785" s="75"/>
    </row>
    <row r="786">
      <c r="A786" s="11"/>
      <c r="B786" s="11"/>
      <c r="C786" s="75"/>
    </row>
    <row r="787">
      <c r="A787" s="11"/>
      <c r="B787" s="11"/>
      <c r="C787" s="75"/>
    </row>
    <row r="788">
      <c r="A788" s="11"/>
      <c r="B788" s="11"/>
      <c r="C788" s="75"/>
    </row>
    <row r="789">
      <c r="A789" s="11"/>
      <c r="B789" s="11"/>
      <c r="C789" s="75"/>
    </row>
    <row r="790">
      <c r="A790" s="11"/>
      <c r="B790" s="11"/>
      <c r="C790" s="75"/>
    </row>
    <row r="791">
      <c r="A791" s="11"/>
      <c r="B791" s="11"/>
      <c r="C791" s="75"/>
    </row>
    <row r="792">
      <c r="A792" s="11"/>
      <c r="B792" s="11"/>
      <c r="C792" s="75"/>
    </row>
    <row r="793">
      <c r="A793" s="11"/>
      <c r="B793" s="11"/>
      <c r="C793" s="75"/>
    </row>
    <row r="794">
      <c r="A794" s="11"/>
      <c r="B794" s="11"/>
      <c r="C794" s="75"/>
    </row>
    <row r="795">
      <c r="A795" s="11"/>
      <c r="B795" s="11"/>
      <c r="C795" s="75"/>
    </row>
    <row r="796">
      <c r="A796" s="11"/>
      <c r="B796" s="11"/>
      <c r="C796" s="75"/>
    </row>
    <row r="797">
      <c r="A797" s="11"/>
      <c r="B797" s="11"/>
      <c r="C797" s="75"/>
    </row>
    <row r="798">
      <c r="A798" s="11"/>
      <c r="B798" s="11"/>
      <c r="C798" s="75"/>
    </row>
    <row r="799">
      <c r="A799" s="11"/>
      <c r="B799" s="11"/>
      <c r="C799" s="75"/>
    </row>
    <row r="800">
      <c r="A800" s="11"/>
      <c r="B800" s="11"/>
      <c r="C800" s="75"/>
    </row>
    <row r="801">
      <c r="A801" s="11"/>
      <c r="B801" s="11"/>
      <c r="C801" s="75"/>
    </row>
    <row r="802">
      <c r="A802" s="11"/>
      <c r="B802" s="11"/>
      <c r="C802" s="75"/>
    </row>
    <row r="803">
      <c r="A803" s="11"/>
      <c r="B803" s="11"/>
      <c r="C803" s="75"/>
    </row>
    <row r="804">
      <c r="A804" s="11"/>
      <c r="B804" s="11"/>
      <c r="C804" s="75"/>
    </row>
    <row r="805">
      <c r="A805" s="11"/>
      <c r="B805" s="11"/>
      <c r="C805" s="75"/>
    </row>
    <row r="806">
      <c r="A806" s="11"/>
      <c r="B806" s="11"/>
      <c r="C806" s="75"/>
    </row>
    <row r="807">
      <c r="A807" s="11"/>
      <c r="B807" s="11"/>
      <c r="C807" s="75"/>
    </row>
    <row r="808">
      <c r="A808" s="11"/>
      <c r="B808" s="11"/>
      <c r="C808" s="75"/>
    </row>
    <row r="809">
      <c r="A809" s="11"/>
      <c r="B809" s="11"/>
      <c r="C809" s="75"/>
    </row>
    <row r="810">
      <c r="A810" s="11"/>
      <c r="B810" s="11"/>
      <c r="C810" s="75"/>
    </row>
    <row r="811">
      <c r="A811" s="11"/>
      <c r="B811" s="11"/>
      <c r="C811" s="75"/>
    </row>
    <row r="812">
      <c r="A812" s="11"/>
      <c r="B812" s="11"/>
      <c r="C812" s="75"/>
    </row>
    <row r="813">
      <c r="A813" s="11"/>
      <c r="B813" s="11"/>
      <c r="C813" s="75"/>
    </row>
    <row r="814">
      <c r="A814" s="11"/>
      <c r="B814" s="11"/>
      <c r="C814" s="75"/>
    </row>
    <row r="815">
      <c r="A815" s="11"/>
      <c r="B815" s="11"/>
      <c r="C815" s="75"/>
    </row>
    <row r="816">
      <c r="A816" s="11"/>
      <c r="B816" s="11"/>
      <c r="C816" s="75"/>
    </row>
    <row r="817">
      <c r="A817" s="11"/>
      <c r="B817" s="11"/>
      <c r="C817" s="75"/>
    </row>
    <row r="818">
      <c r="A818" s="11"/>
      <c r="B818" s="11"/>
      <c r="C818" s="75"/>
    </row>
    <row r="819">
      <c r="A819" s="11"/>
      <c r="B819" s="11"/>
      <c r="C819" s="75"/>
    </row>
    <row r="820">
      <c r="A820" s="11"/>
      <c r="B820" s="11"/>
      <c r="C820" s="75"/>
    </row>
    <row r="821">
      <c r="A821" s="11"/>
      <c r="B821" s="11"/>
      <c r="C821" s="75"/>
    </row>
    <row r="822">
      <c r="A822" s="11"/>
      <c r="B822" s="11"/>
      <c r="C822" s="75"/>
    </row>
    <row r="823">
      <c r="A823" s="11"/>
      <c r="B823" s="11"/>
      <c r="C823" s="75"/>
    </row>
    <row r="824">
      <c r="A824" s="11"/>
      <c r="B824" s="11"/>
      <c r="C824" s="75"/>
    </row>
    <row r="825">
      <c r="A825" s="11"/>
      <c r="B825" s="11"/>
      <c r="C825" s="75"/>
    </row>
    <row r="826">
      <c r="A826" s="11"/>
      <c r="B826" s="11"/>
      <c r="C826" s="75"/>
    </row>
    <row r="827">
      <c r="A827" s="11"/>
      <c r="B827" s="11"/>
      <c r="C827" s="75"/>
    </row>
    <row r="828">
      <c r="A828" s="11"/>
      <c r="B828" s="11"/>
      <c r="C828" s="75"/>
    </row>
    <row r="829">
      <c r="A829" s="11"/>
      <c r="B829" s="11"/>
      <c r="C829" s="75"/>
    </row>
    <row r="830">
      <c r="A830" s="11"/>
      <c r="B830" s="11"/>
      <c r="C830" s="75"/>
    </row>
    <row r="831">
      <c r="A831" s="11"/>
      <c r="B831" s="11"/>
      <c r="C831" s="75"/>
    </row>
    <row r="832">
      <c r="A832" s="11"/>
      <c r="B832" s="11"/>
      <c r="C832" s="75"/>
    </row>
    <row r="833">
      <c r="A833" s="11"/>
      <c r="B833" s="11"/>
      <c r="C833" s="75"/>
    </row>
    <row r="834">
      <c r="A834" s="11"/>
      <c r="B834" s="11"/>
      <c r="C834" s="75"/>
    </row>
    <row r="835">
      <c r="A835" s="11"/>
      <c r="B835" s="11"/>
      <c r="C835" s="75"/>
    </row>
    <row r="836">
      <c r="A836" s="11"/>
      <c r="B836" s="11"/>
      <c r="C836" s="75"/>
    </row>
    <row r="837">
      <c r="A837" s="11"/>
      <c r="B837" s="11"/>
      <c r="C837" s="75"/>
    </row>
    <row r="838">
      <c r="A838" s="11"/>
      <c r="B838" s="11"/>
      <c r="C838" s="75"/>
    </row>
    <row r="839">
      <c r="A839" s="11"/>
      <c r="B839" s="11"/>
      <c r="C839" s="75"/>
    </row>
    <row r="840">
      <c r="A840" s="11"/>
      <c r="B840" s="11"/>
      <c r="C840" s="75"/>
    </row>
    <row r="841">
      <c r="A841" s="11"/>
      <c r="B841" s="11"/>
      <c r="C841" s="75"/>
    </row>
    <row r="842">
      <c r="A842" s="11"/>
      <c r="B842" s="11"/>
      <c r="C842" s="75"/>
    </row>
    <row r="843">
      <c r="A843" s="11"/>
      <c r="B843" s="11"/>
      <c r="C843" s="75"/>
    </row>
    <row r="844">
      <c r="A844" s="11"/>
      <c r="B844" s="11"/>
      <c r="C844" s="75"/>
    </row>
    <row r="845">
      <c r="A845" s="11"/>
      <c r="B845" s="11"/>
      <c r="C845" s="75"/>
    </row>
    <row r="846">
      <c r="A846" s="11"/>
      <c r="B846" s="11"/>
      <c r="C846" s="75"/>
    </row>
    <row r="847">
      <c r="A847" s="11"/>
      <c r="B847" s="11"/>
      <c r="C847" s="75"/>
    </row>
    <row r="848">
      <c r="A848" s="11"/>
      <c r="B848" s="11"/>
      <c r="C848" s="75"/>
    </row>
    <row r="849">
      <c r="A849" s="11"/>
      <c r="B849" s="11"/>
      <c r="C849" s="75"/>
    </row>
    <row r="850">
      <c r="A850" s="11"/>
      <c r="B850" s="11"/>
      <c r="C850" s="75"/>
    </row>
    <row r="851">
      <c r="A851" s="11"/>
      <c r="B851" s="11"/>
      <c r="C851" s="75"/>
    </row>
    <row r="852">
      <c r="A852" s="11"/>
      <c r="B852" s="11"/>
      <c r="C852" s="75"/>
    </row>
    <row r="853">
      <c r="A853" s="11"/>
      <c r="B853" s="11"/>
      <c r="C853" s="75"/>
    </row>
    <row r="854">
      <c r="A854" s="11"/>
      <c r="B854" s="11"/>
      <c r="C854" s="75"/>
    </row>
    <row r="855">
      <c r="A855" s="11"/>
      <c r="B855" s="11"/>
      <c r="C855" s="75"/>
    </row>
    <row r="856">
      <c r="A856" s="11"/>
      <c r="B856" s="11"/>
      <c r="C856" s="75"/>
    </row>
    <row r="857">
      <c r="A857" s="11"/>
      <c r="B857" s="11"/>
      <c r="C857" s="75"/>
    </row>
    <row r="858">
      <c r="A858" s="11"/>
      <c r="B858" s="11"/>
      <c r="C858" s="75"/>
    </row>
    <row r="859">
      <c r="A859" s="11"/>
      <c r="B859" s="11"/>
      <c r="C859" s="75"/>
    </row>
    <row r="860">
      <c r="A860" s="11"/>
      <c r="B860" s="11"/>
      <c r="C860" s="75"/>
    </row>
    <row r="861">
      <c r="A861" s="11"/>
      <c r="B861" s="11"/>
      <c r="C861" s="75"/>
    </row>
    <row r="862">
      <c r="A862" s="11"/>
      <c r="B862" s="11"/>
      <c r="C862" s="75"/>
    </row>
    <row r="863">
      <c r="A863" s="11"/>
      <c r="B863" s="11"/>
      <c r="C863" s="75"/>
    </row>
    <row r="864">
      <c r="A864" s="11"/>
      <c r="B864" s="11"/>
      <c r="C864" s="75"/>
    </row>
    <row r="865">
      <c r="A865" s="11"/>
      <c r="B865" s="11"/>
      <c r="C865" s="75"/>
    </row>
    <row r="866">
      <c r="A866" s="11"/>
      <c r="B866" s="11"/>
      <c r="C866" s="75"/>
    </row>
    <row r="867">
      <c r="A867" s="11"/>
      <c r="B867" s="11"/>
      <c r="C867" s="75"/>
    </row>
    <row r="868">
      <c r="A868" s="11"/>
      <c r="B868" s="11"/>
      <c r="C868" s="75"/>
    </row>
    <row r="869">
      <c r="A869" s="11"/>
      <c r="B869" s="11"/>
      <c r="C869" s="75"/>
    </row>
    <row r="870">
      <c r="A870" s="11"/>
      <c r="B870" s="11"/>
      <c r="C870" s="75"/>
    </row>
    <row r="871">
      <c r="A871" s="11"/>
      <c r="B871" s="11"/>
      <c r="C871" s="75"/>
    </row>
    <row r="872">
      <c r="A872" s="11"/>
      <c r="B872" s="11"/>
      <c r="C872" s="75"/>
    </row>
    <row r="873">
      <c r="A873" s="11"/>
      <c r="B873" s="11"/>
      <c r="C873" s="75"/>
    </row>
    <row r="874">
      <c r="A874" s="11"/>
      <c r="B874" s="11"/>
      <c r="C874" s="75"/>
    </row>
    <row r="875">
      <c r="A875" s="11"/>
      <c r="B875" s="11"/>
      <c r="C875" s="75"/>
    </row>
    <row r="876">
      <c r="A876" s="11"/>
      <c r="B876" s="11"/>
      <c r="C876" s="75"/>
    </row>
    <row r="877">
      <c r="A877" s="11"/>
      <c r="B877" s="11"/>
      <c r="C877" s="75"/>
    </row>
    <row r="878">
      <c r="A878" s="11"/>
      <c r="B878" s="11"/>
      <c r="C878" s="75"/>
    </row>
    <row r="879">
      <c r="A879" s="11"/>
      <c r="B879" s="11"/>
      <c r="C879" s="75"/>
    </row>
    <row r="880">
      <c r="A880" s="11"/>
      <c r="B880" s="11"/>
      <c r="C880" s="75"/>
    </row>
    <row r="881">
      <c r="A881" s="11"/>
      <c r="B881" s="11"/>
      <c r="C881" s="75"/>
    </row>
    <row r="882">
      <c r="A882" s="11"/>
      <c r="B882" s="11"/>
      <c r="C882" s="75"/>
    </row>
    <row r="883">
      <c r="A883" s="11"/>
      <c r="B883" s="11"/>
      <c r="C883" s="75"/>
    </row>
    <row r="884">
      <c r="A884" s="11"/>
      <c r="B884" s="11"/>
      <c r="C884" s="75"/>
    </row>
    <row r="885">
      <c r="A885" s="11"/>
      <c r="B885" s="11"/>
      <c r="C885" s="75"/>
    </row>
    <row r="886">
      <c r="A886" s="11"/>
      <c r="B886" s="11"/>
      <c r="C886" s="75"/>
    </row>
    <row r="887">
      <c r="A887" s="11"/>
      <c r="B887" s="11"/>
      <c r="C887" s="75"/>
    </row>
    <row r="888">
      <c r="A888" s="11"/>
      <c r="B888" s="11"/>
      <c r="C888" s="75"/>
    </row>
    <row r="889">
      <c r="A889" s="11"/>
      <c r="B889" s="11"/>
      <c r="C889" s="75"/>
    </row>
    <row r="890">
      <c r="A890" s="11"/>
      <c r="B890" s="11"/>
      <c r="C890" s="75"/>
    </row>
    <row r="891">
      <c r="A891" s="11"/>
      <c r="B891" s="11"/>
      <c r="C891" s="75"/>
    </row>
    <row r="892">
      <c r="A892" s="11"/>
      <c r="B892" s="11"/>
      <c r="C892" s="75"/>
    </row>
    <row r="893">
      <c r="A893" s="11"/>
      <c r="B893" s="11"/>
      <c r="C893" s="75"/>
    </row>
    <row r="894">
      <c r="A894" s="11"/>
      <c r="B894" s="11"/>
      <c r="C894" s="75"/>
    </row>
    <row r="895">
      <c r="A895" s="11"/>
      <c r="B895" s="11"/>
      <c r="C895" s="75"/>
    </row>
    <row r="896">
      <c r="A896" s="11"/>
      <c r="B896" s="11"/>
      <c r="C896" s="75"/>
    </row>
    <row r="897">
      <c r="A897" s="11"/>
      <c r="B897" s="11"/>
      <c r="C897" s="75"/>
    </row>
    <row r="898">
      <c r="A898" s="11"/>
      <c r="B898" s="11"/>
      <c r="C898" s="75"/>
    </row>
    <row r="899">
      <c r="A899" s="11"/>
      <c r="B899" s="11"/>
      <c r="C899" s="75"/>
    </row>
    <row r="900">
      <c r="A900" s="11"/>
      <c r="B900" s="11"/>
      <c r="C900" s="75"/>
    </row>
    <row r="901">
      <c r="A901" s="11"/>
      <c r="B901" s="11"/>
      <c r="C901" s="75"/>
    </row>
    <row r="902">
      <c r="A902" s="11"/>
      <c r="B902" s="11"/>
      <c r="C902" s="75"/>
    </row>
    <row r="903">
      <c r="A903" s="11"/>
      <c r="B903" s="11"/>
      <c r="C903" s="75"/>
    </row>
    <row r="904">
      <c r="A904" s="11"/>
      <c r="B904" s="11"/>
      <c r="C904" s="75"/>
    </row>
    <row r="905">
      <c r="A905" s="11"/>
      <c r="B905" s="11"/>
      <c r="C905" s="75"/>
    </row>
    <row r="906">
      <c r="A906" s="11"/>
      <c r="B906" s="11"/>
      <c r="C906" s="75"/>
    </row>
    <row r="907">
      <c r="A907" s="11"/>
      <c r="B907" s="11"/>
      <c r="C907" s="75"/>
    </row>
    <row r="908">
      <c r="A908" s="11"/>
      <c r="B908" s="11"/>
      <c r="C908" s="75"/>
    </row>
    <row r="909">
      <c r="A909" s="11"/>
      <c r="B909" s="11"/>
      <c r="C909" s="75"/>
    </row>
    <row r="910">
      <c r="A910" s="11"/>
      <c r="B910" s="11"/>
      <c r="C910" s="75"/>
    </row>
    <row r="911">
      <c r="A911" s="11"/>
      <c r="B911" s="11"/>
      <c r="C911" s="75"/>
    </row>
    <row r="912">
      <c r="A912" s="11"/>
      <c r="B912" s="11"/>
      <c r="C912" s="75"/>
    </row>
    <row r="913">
      <c r="A913" s="11"/>
      <c r="B913" s="11"/>
      <c r="C913" s="75"/>
    </row>
    <row r="914">
      <c r="A914" s="11"/>
      <c r="B914" s="11"/>
      <c r="C914" s="75"/>
    </row>
    <row r="915">
      <c r="A915" s="11"/>
      <c r="B915" s="11"/>
      <c r="C915" s="75"/>
    </row>
    <row r="916">
      <c r="A916" s="11"/>
      <c r="B916" s="11"/>
      <c r="C916" s="75"/>
    </row>
    <row r="917">
      <c r="A917" s="11"/>
      <c r="B917" s="11"/>
      <c r="C917" s="75"/>
    </row>
    <row r="918">
      <c r="A918" s="11"/>
      <c r="B918" s="11"/>
      <c r="C918" s="75"/>
    </row>
    <row r="919">
      <c r="A919" s="11"/>
      <c r="B919" s="11"/>
      <c r="C919" s="75"/>
    </row>
    <row r="920">
      <c r="A920" s="11"/>
      <c r="B920" s="11"/>
      <c r="C920" s="75"/>
    </row>
    <row r="921">
      <c r="A921" s="11"/>
      <c r="B921" s="11"/>
      <c r="C921" s="75"/>
    </row>
    <row r="922">
      <c r="A922" s="11"/>
      <c r="B922" s="11"/>
      <c r="C922" s="75"/>
    </row>
    <row r="923">
      <c r="A923" s="11"/>
      <c r="B923" s="11"/>
      <c r="C923" s="75"/>
    </row>
    <row r="924">
      <c r="A924" s="11"/>
      <c r="B924" s="11"/>
      <c r="C924" s="75"/>
    </row>
    <row r="925">
      <c r="A925" s="11"/>
      <c r="B925" s="11"/>
      <c r="C925" s="75"/>
    </row>
    <row r="926">
      <c r="A926" s="11"/>
      <c r="B926" s="11"/>
      <c r="C926" s="75"/>
    </row>
    <row r="927">
      <c r="A927" s="11"/>
      <c r="B927" s="11"/>
      <c r="C927" s="75"/>
    </row>
    <row r="928">
      <c r="A928" s="11"/>
      <c r="B928" s="11"/>
      <c r="C928" s="75"/>
    </row>
    <row r="929">
      <c r="A929" s="11"/>
      <c r="B929" s="11"/>
      <c r="C929" s="75"/>
    </row>
    <row r="930">
      <c r="A930" s="11"/>
      <c r="B930" s="11"/>
      <c r="C930" s="75"/>
    </row>
    <row r="931">
      <c r="A931" s="11"/>
      <c r="B931" s="11"/>
      <c r="C931" s="75"/>
    </row>
    <row r="932">
      <c r="A932" s="11"/>
      <c r="B932" s="11"/>
      <c r="C932" s="75"/>
    </row>
    <row r="933">
      <c r="A933" s="11"/>
      <c r="B933" s="11"/>
      <c r="C933" s="75"/>
    </row>
    <row r="934">
      <c r="A934" s="11"/>
      <c r="B934" s="11"/>
      <c r="C934" s="75"/>
    </row>
    <row r="935">
      <c r="A935" s="11"/>
      <c r="B935" s="11"/>
      <c r="C935" s="75"/>
    </row>
    <row r="936">
      <c r="A936" s="11"/>
      <c r="B936" s="11"/>
      <c r="C936" s="75"/>
    </row>
    <row r="937">
      <c r="A937" s="11"/>
      <c r="B937" s="11"/>
      <c r="C937" s="75"/>
    </row>
    <row r="938">
      <c r="A938" s="11"/>
      <c r="B938" s="11"/>
      <c r="C938" s="75"/>
    </row>
    <row r="939">
      <c r="A939" s="11"/>
      <c r="B939" s="11"/>
      <c r="C939" s="75"/>
    </row>
    <row r="940">
      <c r="A940" s="11"/>
      <c r="B940" s="11"/>
      <c r="C940" s="75"/>
    </row>
    <row r="941">
      <c r="A941" s="11"/>
      <c r="B941" s="11"/>
      <c r="C941" s="75"/>
    </row>
    <row r="942">
      <c r="A942" s="11"/>
      <c r="B942" s="11"/>
      <c r="C942" s="75"/>
    </row>
    <row r="943">
      <c r="A943" s="11"/>
      <c r="B943" s="11"/>
      <c r="C943" s="75"/>
    </row>
    <row r="944">
      <c r="A944" s="11"/>
      <c r="B944" s="11"/>
      <c r="C944" s="75"/>
    </row>
    <row r="945">
      <c r="A945" s="11"/>
      <c r="B945" s="11"/>
      <c r="C945" s="75"/>
    </row>
    <row r="946">
      <c r="A946" s="11"/>
      <c r="B946" s="11"/>
      <c r="C946" s="75"/>
    </row>
    <row r="947">
      <c r="A947" s="11"/>
      <c r="B947" s="11"/>
      <c r="C947" s="75"/>
    </row>
    <row r="948">
      <c r="A948" s="11"/>
      <c r="B948" s="11"/>
      <c r="C948" s="75"/>
    </row>
    <row r="949">
      <c r="A949" s="11"/>
      <c r="B949" s="11"/>
      <c r="C949" s="75"/>
    </row>
    <row r="950">
      <c r="A950" s="11"/>
      <c r="B950" s="11"/>
      <c r="C950" s="75"/>
    </row>
    <row r="951">
      <c r="A951" s="11"/>
      <c r="B951" s="11"/>
      <c r="C951" s="75"/>
    </row>
    <row r="952">
      <c r="A952" s="11"/>
      <c r="B952" s="11"/>
      <c r="C952" s="75"/>
    </row>
    <row r="953">
      <c r="A953" s="11"/>
      <c r="B953" s="11"/>
      <c r="C953" s="75"/>
    </row>
    <row r="954">
      <c r="A954" s="11"/>
      <c r="B954" s="11"/>
      <c r="C954" s="75"/>
    </row>
    <row r="955">
      <c r="A955" s="11"/>
      <c r="B955" s="11"/>
      <c r="C955" s="75"/>
    </row>
    <row r="956">
      <c r="A956" s="11"/>
      <c r="B956" s="11"/>
      <c r="C956" s="75"/>
    </row>
    <row r="957">
      <c r="A957" s="11"/>
      <c r="B957" s="11"/>
      <c r="C957" s="75"/>
    </row>
    <row r="958">
      <c r="A958" s="11"/>
      <c r="B958" s="11"/>
      <c r="C958" s="75"/>
    </row>
    <row r="959">
      <c r="A959" s="11"/>
      <c r="B959" s="11"/>
      <c r="C959" s="75"/>
    </row>
    <row r="960">
      <c r="A960" s="11"/>
      <c r="B960" s="11"/>
      <c r="C960" s="75"/>
    </row>
    <row r="961">
      <c r="A961" s="11"/>
      <c r="B961" s="11"/>
      <c r="C961" s="75"/>
    </row>
    <row r="962">
      <c r="A962" s="11"/>
      <c r="B962" s="11"/>
      <c r="C962" s="75"/>
    </row>
    <row r="963">
      <c r="A963" s="11"/>
      <c r="B963" s="11"/>
      <c r="C963" s="75"/>
    </row>
    <row r="964">
      <c r="A964" s="11"/>
      <c r="B964" s="11"/>
      <c r="C964" s="75"/>
    </row>
    <row r="965">
      <c r="A965" s="11"/>
      <c r="B965" s="11"/>
      <c r="C965" s="75"/>
    </row>
    <row r="966">
      <c r="A966" s="11"/>
      <c r="B966" s="11"/>
      <c r="C966" s="75"/>
    </row>
    <row r="967">
      <c r="A967" s="11"/>
      <c r="B967" s="11"/>
      <c r="C967" s="75"/>
    </row>
    <row r="968">
      <c r="A968" s="11"/>
      <c r="B968" s="11"/>
      <c r="C968" s="75"/>
    </row>
    <row r="969">
      <c r="A969" s="11"/>
      <c r="B969" s="11"/>
      <c r="C969" s="75"/>
    </row>
    <row r="970">
      <c r="A970" s="11"/>
      <c r="B970" s="11"/>
      <c r="C970" s="75"/>
    </row>
    <row r="971">
      <c r="A971" s="11"/>
      <c r="B971" s="11"/>
      <c r="C971" s="75"/>
    </row>
    <row r="972">
      <c r="A972" s="11"/>
      <c r="B972" s="11"/>
      <c r="C972" s="75"/>
    </row>
    <row r="973">
      <c r="A973" s="11"/>
      <c r="B973" s="11"/>
      <c r="C973" s="75"/>
    </row>
    <row r="974">
      <c r="A974" s="11"/>
      <c r="B974" s="11"/>
      <c r="C974" s="75"/>
    </row>
    <row r="975">
      <c r="A975" s="11"/>
      <c r="B975" s="11"/>
      <c r="C975" s="75"/>
    </row>
    <row r="976">
      <c r="A976" s="11"/>
      <c r="B976" s="11"/>
      <c r="C976" s="75"/>
    </row>
    <row r="977">
      <c r="A977" s="11"/>
      <c r="B977" s="11"/>
      <c r="C977" s="75"/>
    </row>
    <row r="978">
      <c r="A978" s="11"/>
      <c r="B978" s="11"/>
      <c r="C978" s="75"/>
    </row>
    <row r="979">
      <c r="A979" s="11"/>
      <c r="B979" s="11"/>
      <c r="C979" s="75"/>
    </row>
    <row r="980">
      <c r="A980" s="11"/>
      <c r="B980" s="11"/>
      <c r="C980" s="75"/>
    </row>
    <row r="981">
      <c r="A981" s="11"/>
      <c r="B981" s="11"/>
      <c r="C981" s="75"/>
    </row>
    <row r="982">
      <c r="A982" s="11"/>
      <c r="B982" s="11"/>
      <c r="C982" s="75"/>
    </row>
    <row r="983">
      <c r="A983" s="11"/>
      <c r="B983" s="11"/>
      <c r="C983" s="75"/>
    </row>
    <row r="984">
      <c r="A984" s="11"/>
      <c r="B984" s="11"/>
      <c r="C984" s="75"/>
    </row>
    <row r="985">
      <c r="A985" s="11"/>
      <c r="B985" s="11"/>
      <c r="C985" s="75"/>
    </row>
    <row r="986">
      <c r="A986" s="11"/>
      <c r="B986" s="11"/>
      <c r="C986" s="75"/>
    </row>
    <row r="987">
      <c r="A987" s="11"/>
      <c r="B987" s="11"/>
      <c r="C987" s="75"/>
    </row>
    <row r="988">
      <c r="A988" s="11"/>
      <c r="B988" s="11"/>
      <c r="C988" s="75"/>
    </row>
    <row r="989">
      <c r="A989" s="11"/>
      <c r="B989" s="11"/>
      <c r="C989" s="75"/>
    </row>
    <row r="990">
      <c r="A990" s="11"/>
      <c r="B990" s="11"/>
      <c r="C990" s="75"/>
    </row>
    <row r="991">
      <c r="A991" s="11"/>
      <c r="B991" s="11"/>
      <c r="C991" s="75"/>
    </row>
    <row r="992">
      <c r="A992" s="11"/>
      <c r="B992" s="11"/>
      <c r="C992" s="75"/>
    </row>
    <row r="993">
      <c r="A993" s="11"/>
      <c r="B993" s="11"/>
      <c r="C993" s="75"/>
    </row>
    <row r="994">
      <c r="A994" s="11"/>
      <c r="B994" s="11"/>
      <c r="C994" s="75"/>
    </row>
    <row r="995">
      <c r="A995" s="11"/>
      <c r="B995" s="11"/>
      <c r="C995" s="75"/>
    </row>
    <row r="996">
      <c r="A996" s="11"/>
      <c r="B996" s="11"/>
      <c r="C996" s="75"/>
    </row>
    <row r="997">
      <c r="A997" s="11"/>
      <c r="B997" s="11"/>
      <c r="C997" s="75"/>
    </row>
    <row r="998">
      <c r="A998" s="11"/>
      <c r="B998" s="11"/>
      <c r="C998" s="75"/>
    </row>
    <row r="999">
      <c r="A999" s="11"/>
      <c r="B999" s="11"/>
      <c r="C999" s="75"/>
    </row>
    <row r="1000">
      <c r="A1000" s="11"/>
      <c r="B1000" s="11"/>
      <c r="C1000" s="7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</cols>
  <sheetData>
    <row r="1">
      <c r="A1" s="76" t="s">
        <v>108</v>
      </c>
      <c r="B1" s="11" t="str">
        <f>A2</f>
        <v>Benqi - LINK</v>
      </c>
      <c r="C1" s="11" t="str">
        <f>A3</f>
        <v>DD-ABRA-FTT</v>
      </c>
      <c r="D1" s="11" t="str">
        <f>A4</f>
        <v>Defi Banker Joe</v>
      </c>
      <c r="E1" s="11" t="str">
        <f>A5</f>
        <v>Defi Benqi Deployment</v>
      </c>
      <c r="F1" s="11" t="str">
        <f>A6</f>
        <v>Banker Joe LINK</v>
      </c>
      <c r="G1" s="11" t="str">
        <f>A7</f>
        <v>Yield Desk</v>
      </c>
    </row>
    <row r="2">
      <c r="A2" s="77" t="s">
        <v>109</v>
      </c>
      <c r="B2" s="7" t="s">
        <v>193</v>
      </c>
    </row>
    <row r="3">
      <c r="A3" s="77" t="s">
        <v>110</v>
      </c>
      <c r="B3" s="7" t="s">
        <v>193</v>
      </c>
    </row>
    <row r="4">
      <c r="A4" s="77" t="s">
        <v>283</v>
      </c>
      <c r="B4" s="7" t="s">
        <v>193</v>
      </c>
    </row>
    <row r="5">
      <c r="A5" s="77" t="s">
        <v>284</v>
      </c>
      <c r="B5" s="7" t="s">
        <v>193</v>
      </c>
    </row>
    <row r="6">
      <c r="A6" s="77" t="s">
        <v>285</v>
      </c>
      <c r="B6" s="7" t="s">
        <v>193</v>
      </c>
    </row>
    <row r="7">
      <c r="A7" s="77" t="s">
        <v>286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0.63"/>
    <col customWidth="1" min="5" max="5" width="18.63"/>
    <col customWidth="1" min="6" max="6" width="23.75"/>
  </cols>
  <sheetData>
    <row r="1">
      <c r="A1" s="78" t="s">
        <v>130</v>
      </c>
      <c r="E1" s="76" t="s">
        <v>20</v>
      </c>
      <c r="H1" s="77" t="s">
        <v>184</v>
      </c>
      <c r="I1" s="11" t="str">
        <f>vlookup(H1,APY!A:A,1,false)</f>
        <v>BTC</v>
      </c>
    </row>
    <row r="2">
      <c r="A2" s="77" t="s">
        <v>41</v>
      </c>
      <c r="B2" s="7" t="s">
        <v>193</v>
      </c>
      <c r="E2" s="77" t="s">
        <v>18</v>
      </c>
      <c r="H2" s="77" t="s">
        <v>200</v>
      </c>
      <c r="I2" s="11" t="str">
        <f>vlookup(H2,APY!A:A,1,false)</f>
        <v>ETH</v>
      </c>
    </row>
    <row r="3">
      <c r="A3" s="77" t="s">
        <v>313</v>
      </c>
      <c r="E3" s="77" t="s">
        <v>41</v>
      </c>
      <c r="H3" s="77" t="s">
        <v>188</v>
      </c>
      <c r="I3" s="11" t="str">
        <f>vlookup(H3,APY!A:A,1,false)</f>
        <v>CEL</v>
      </c>
    </row>
    <row r="4">
      <c r="B4" s="7" t="s">
        <v>193</v>
      </c>
      <c r="E4" s="77" t="s">
        <v>8</v>
      </c>
      <c r="H4" s="77" t="s">
        <v>314</v>
      </c>
      <c r="I4" s="11" t="str">
        <f>vlookup(H4,APY!A:A,1,false)</f>
        <v>#N/A</v>
      </c>
    </row>
    <row r="5">
      <c r="B5" s="7" t="s">
        <v>193</v>
      </c>
      <c r="E5" s="77" t="s">
        <v>3</v>
      </c>
      <c r="H5" s="77" t="s">
        <v>218</v>
      </c>
      <c r="I5" s="11" t="str">
        <f>vlookup(H5,APY!A:A,1,false)</f>
        <v>MATIC</v>
      </c>
    </row>
    <row r="6">
      <c r="B6" s="7" t="s">
        <v>193</v>
      </c>
      <c r="E6" s="77" t="s">
        <v>130</v>
      </c>
      <c r="H6" s="77" t="s">
        <v>239</v>
      </c>
      <c r="I6" s="11" t="str">
        <f>vlookup(H6,APY!A:A,1,false)</f>
        <v>SRM</v>
      </c>
    </row>
    <row r="7">
      <c r="B7" s="7" t="s">
        <v>193</v>
      </c>
      <c r="E7" s="77" t="s">
        <v>313</v>
      </c>
      <c r="H7" s="77" t="s">
        <v>204</v>
      </c>
      <c r="I7" s="11" t="str">
        <f>vlookup(H7,APY!A:A,1,false)</f>
        <v>FTT</v>
      </c>
    </row>
    <row r="8">
      <c r="E8" s="77" t="s">
        <v>40</v>
      </c>
      <c r="H8" s="77" t="s">
        <v>165</v>
      </c>
      <c r="I8" s="11" t="str">
        <f>vlookup(H8,APY!A:A,1,false)</f>
        <v>ADA</v>
      </c>
    </row>
    <row r="9">
      <c r="E9" s="77" t="s">
        <v>25</v>
      </c>
      <c r="H9" s="77" t="s">
        <v>258</v>
      </c>
      <c r="I9" s="11" t="str">
        <f>vlookup(H9,APY!A:A,1,false)</f>
        <v>XRP</v>
      </c>
    </row>
    <row r="10">
      <c r="H10" s="77" t="s">
        <v>214</v>
      </c>
      <c r="I10" s="11" t="str">
        <f>vlookup(H10,APY!A:A,1,false)</f>
        <v>LUNA</v>
      </c>
    </row>
    <row r="11">
      <c r="H11" s="77" t="s">
        <v>209</v>
      </c>
      <c r="I11" s="11" t="str">
        <f>vlookup(H11,APY!A:A,1,false)</f>
        <v>LINK</v>
      </c>
    </row>
    <row r="12">
      <c r="A12" s="77"/>
      <c r="H12" s="77" t="s">
        <v>213</v>
      </c>
      <c r="I12" s="11" t="str">
        <f>vlookup(H12,APY!A:A,1,false)</f>
        <v>LTC</v>
      </c>
    </row>
    <row r="13">
      <c r="A13" s="77"/>
      <c r="H13" s="77" t="s">
        <v>178</v>
      </c>
      <c r="I13" s="11" t="str">
        <f>vlookup(H13,APY!A:A,1,false)</f>
        <v>BNB</v>
      </c>
    </row>
    <row r="14">
      <c r="H14" s="77" t="s">
        <v>236</v>
      </c>
      <c r="I14" s="11" t="str">
        <f>vlookup(H14,APY!A:A,1,false)</f>
        <v>SNX</v>
      </c>
    </row>
    <row r="15">
      <c r="H15" s="77" t="s">
        <v>164</v>
      </c>
      <c r="I15" s="11" t="str">
        <f>vlookup(H15,APY!A:A,1,false)</f>
        <v>AAVE</v>
      </c>
    </row>
    <row r="16">
      <c r="H16" s="77" t="s">
        <v>177</v>
      </c>
      <c r="I16" s="11" t="str">
        <f>vlookup(H16,APY!A:A,1,false)</f>
        <v>BCH</v>
      </c>
    </row>
    <row r="17">
      <c r="H17" s="77" t="s">
        <v>162</v>
      </c>
      <c r="I17" s="11" t="str">
        <f>vlookup(H17,APY!A:A,1,false)</f>
        <v>1INCH</v>
      </c>
    </row>
    <row r="18">
      <c r="H18" s="77" t="s">
        <v>217</v>
      </c>
      <c r="I18" s="11" t="str">
        <f>vlookup(H18,APY!A:A,1,false)</f>
        <v>MANA</v>
      </c>
    </row>
    <row r="19">
      <c r="F19" s="7" t="s">
        <v>193</v>
      </c>
      <c r="H19" s="77" t="s">
        <v>198</v>
      </c>
      <c r="I19" s="11" t="str">
        <f>vlookup(H19,APY!A:A,1,false)</f>
        <v>EOS</v>
      </c>
    </row>
    <row r="20">
      <c r="H20" s="77" t="s">
        <v>250</v>
      </c>
      <c r="I20" s="11" t="str">
        <f>vlookup(H20,APY!A:A,1,false)</f>
        <v>UNI</v>
      </c>
    </row>
    <row r="21">
      <c r="H21" s="77" t="s">
        <v>163</v>
      </c>
      <c r="I21" s="11" t="str">
        <f>vlookup(H21,APY!A:A,1,false)</f>
        <v>3CRV</v>
      </c>
    </row>
    <row r="22">
      <c r="H22" s="77" t="s">
        <v>196</v>
      </c>
      <c r="I22" s="11" t="str">
        <f>vlookup(H22,APY!A:A,1,false)</f>
        <v>DOT</v>
      </c>
    </row>
    <row r="23">
      <c r="H23" s="77" t="s">
        <v>261</v>
      </c>
      <c r="I23" s="11" t="str">
        <f>vlookup(H23,APY!A:A,1,false)</f>
        <v>ZEC</v>
      </c>
    </row>
    <row r="24">
      <c r="H24" s="77" t="s">
        <v>257</v>
      </c>
      <c r="I24" s="11" t="str">
        <f>vlookup(H24,APY!A:A,1,false)</f>
        <v>XLM</v>
      </c>
    </row>
    <row r="25">
      <c r="H25" s="77" t="s">
        <v>225</v>
      </c>
      <c r="I25" s="11" t="str">
        <f>vlookup(H25,APY!A:A,1,false)</f>
        <v>PAXG</v>
      </c>
    </row>
    <row r="26">
      <c r="H26" s="77" t="s">
        <v>194</v>
      </c>
      <c r="I26" s="11" t="str">
        <f>vlookup(H26,APY!A:A,1,false)</f>
        <v>DASH</v>
      </c>
    </row>
    <row r="27">
      <c r="H27" s="77" t="s">
        <v>179</v>
      </c>
      <c r="I27" s="11" t="str">
        <f>vlookup(H27,APY!A:A,1,false)</f>
        <v>BNT</v>
      </c>
    </row>
    <row r="28">
      <c r="H28" s="77" t="s">
        <v>176</v>
      </c>
      <c r="I28" s="11" t="str">
        <f>vlookup(H28,APY!A:A,1,false)</f>
        <v>BAT</v>
      </c>
    </row>
    <row r="29">
      <c r="H29" s="77" t="s">
        <v>245</v>
      </c>
      <c r="I29" s="11" t="str">
        <f>vlookup(H29,APY!A:A,1,false)</f>
        <v>TGBP</v>
      </c>
    </row>
    <row r="30">
      <c r="H30" s="77" t="s">
        <v>192</v>
      </c>
      <c r="I30" s="11" t="str">
        <f>vlookup(H30,APY!A:A,1,false)</f>
        <v>CVX</v>
      </c>
    </row>
    <row r="31">
      <c r="H31" s="77" t="s">
        <v>243</v>
      </c>
      <c r="I31" s="11" t="str">
        <f>vlookup(H31,APY!A:A,1,false)</f>
        <v>TAUD</v>
      </c>
    </row>
    <row r="32">
      <c r="H32" s="77" t="s">
        <v>189</v>
      </c>
      <c r="I32" s="11" t="str">
        <f>vlookup(H32,APY!A:A,1,false)</f>
        <v>COMP</v>
      </c>
    </row>
    <row r="33">
      <c r="H33" s="77" t="s">
        <v>199</v>
      </c>
      <c r="I33" s="11" t="str">
        <f>vlookup(H33,APY!A:A,1,false)</f>
        <v>ETC</v>
      </c>
    </row>
    <row r="34">
      <c r="H34" s="77" t="s">
        <v>237</v>
      </c>
      <c r="I34" s="11" t="str">
        <f>vlookup(H34,APY!A:A,1,false)</f>
        <v>SOL</v>
      </c>
    </row>
    <row r="35">
      <c r="H35" s="77" t="s">
        <v>242</v>
      </c>
      <c r="I35" s="11" t="str">
        <f>vlookup(H35,APY!A:A,1,false)</f>
        <v>SUSHI</v>
      </c>
    </row>
    <row r="36">
      <c r="H36" s="77" t="s">
        <v>191</v>
      </c>
      <c r="I36" s="11" t="str">
        <f>vlookup(H36,APY!A:A,1,false)</f>
        <v>CRV</v>
      </c>
    </row>
    <row r="37">
      <c r="H37" s="77" t="s">
        <v>183</v>
      </c>
      <c r="I37" s="11" t="str">
        <f>vlookup(H37,APY!A:A,1,false)</f>
        <v>BSV</v>
      </c>
    </row>
    <row r="38">
      <c r="H38" s="77" t="s">
        <v>174</v>
      </c>
      <c r="I38" s="11" t="str">
        <f>vlookup(H38,APY!A:A,1,false)</f>
        <v>BADGER</v>
      </c>
      <c r="L38" s="7" t="s">
        <v>237</v>
      </c>
    </row>
    <row r="39">
      <c r="H39" s="77" t="s">
        <v>221</v>
      </c>
      <c r="I39" s="11" t="str">
        <f>vlookup(H39,APY!A:A,1,false)</f>
        <v>OMG</v>
      </c>
      <c r="L39" s="7" t="s">
        <v>227</v>
      </c>
    </row>
    <row r="40">
      <c r="H40" s="77" t="s">
        <v>208</v>
      </c>
      <c r="I40" s="11" t="str">
        <f>vlookup(H40,APY!A:A,1,false)</f>
        <v>LDO</v>
      </c>
      <c r="L40" s="7" t="s">
        <v>229</v>
      </c>
    </row>
    <row r="41">
      <c r="H41" s="77" t="s">
        <v>262</v>
      </c>
      <c r="I41" s="11" t="str">
        <f>vlookup(H41,APY!A:A,1,false)</f>
        <v>ZRX</v>
      </c>
      <c r="L41" s="7" t="s">
        <v>180</v>
      </c>
    </row>
    <row r="42">
      <c r="H42" s="77" t="s">
        <v>244</v>
      </c>
      <c r="I42" s="11" t="str">
        <f>vlookup(H42,APY!A:A,1,false)</f>
        <v>TCAD</v>
      </c>
      <c r="L42" s="7" t="s">
        <v>167</v>
      </c>
    </row>
    <row r="43">
      <c r="H43" s="77" t="s">
        <v>246</v>
      </c>
      <c r="I43" s="11" t="str">
        <f>vlookup(H43,APY!A:A,1,false)</f>
        <v>THKD</v>
      </c>
      <c r="L43" s="7" t="s">
        <v>212</v>
      </c>
    </row>
    <row r="44">
      <c r="H44" s="77" t="s">
        <v>240</v>
      </c>
      <c r="I44" s="11" t="str">
        <f>vlookup(H44,APY!A:A,1,false)</f>
        <v>SRM_LOCKED</v>
      </c>
    </row>
    <row r="45">
      <c r="H45" s="77" t="s">
        <v>195</v>
      </c>
      <c r="I45" s="11" t="str">
        <f>vlookup(H45,APY!A:A,1,false)</f>
        <v>DIGG</v>
      </c>
    </row>
    <row r="46">
      <c r="H46" s="77" t="s">
        <v>227</v>
      </c>
      <c r="I46" s="11" t="str">
        <f>vlookup(H46,APY!A:A,1,false)</f>
        <v>POLIS</v>
      </c>
    </row>
    <row r="47">
      <c r="A47" s="77"/>
      <c r="H47" s="77" t="s">
        <v>229</v>
      </c>
      <c r="I47" s="11" t="str">
        <f>vlookup(H47,APY!A:A,1,false)</f>
        <v>RAY</v>
      </c>
    </row>
    <row r="48">
      <c r="A48" s="77"/>
      <c r="H48" s="77" t="s">
        <v>180</v>
      </c>
      <c r="I48" s="11" t="str">
        <f>vlookup(H48,APY!A:A,1,false)</f>
        <v>BOBA</v>
      </c>
    </row>
    <row r="49">
      <c r="A49" s="77"/>
      <c r="H49" s="77" t="s">
        <v>207</v>
      </c>
      <c r="I49" s="11" t="str">
        <f>vlookup(H49,APY!A:A,1,false)</f>
        <v>KNC</v>
      </c>
    </row>
    <row r="50">
      <c r="A50" s="77"/>
      <c r="H50" s="77" t="s">
        <v>260</v>
      </c>
      <c r="I50" s="11" t="str">
        <f>vlookup(H50,APY!A:A,1,false)</f>
        <v>YFI</v>
      </c>
    </row>
    <row r="51">
      <c r="A51" s="77"/>
      <c r="H51" s="77" t="s">
        <v>249</v>
      </c>
      <c r="I51" s="11" t="str">
        <f>vlookup(H51,APY!A:A,1,false)</f>
        <v>UMA</v>
      </c>
    </row>
    <row r="52">
      <c r="A52" s="77"/>
      <c r="H52" s="77" t="s">
        <v>172</v>
      </c>
      <c r="I52" s="11" t="str">
        <f>vlookup(H52,APY!A:A,1,false)</f>
        <v>ATLAS</v>
      </c>
    </row>
    <row r="53">
      <c r="A53" s="77"/>
      <c r="H53" s="77" t="s">
        <v>259</v>
      </c>
      <c r="I53" s="11" t="str">
        <f>vlookup(H53,APY!A:A,1,false)</f>
        <v>XTZ</v>
      </c>
    </row>
    <row r="54">
      <c r="A54" s="77"/>
      <c r="H54" s="77" t="s">
        <v>173</v>
      </c>
      <c r="I54" s="11" t="str">
        <f>vlookup(H54,APY!A:A,1,false)</f>
        <v>AVAX</v>
      </c>
    </row>
    <row r="55">
      <c r="A55" s="77"/>
      <c r="H55" s="77" t="s">
        <v>203</v>
      </c>
      <c r="I55" s="11" t="str">
        <f>vlookup(H55,APY!A:A,1,false)</f>
        <v>FTM</v>
      </c>
    </row>
    <row r="56">
      <c r="A56" s="77"/>
      <c r="H56" s="77" t="s">
        <v>228</v>
      </c>
      <c r="I56" s="11" t="str">
        <f>vlookup(H56,APY!A:A,1,false)</f>
        <v>QI</v>
      </c>
    </row>
    <row r="57">
      <c r="A57" s="77"/>
      <c r="H57" s="77" t="s">
        <v>256</v>
      </c>
      <c r="I57" s="11" t="str">
        <f>vlookup(H57,APY!A:A,1,false)</f>
        <v>XAUT</v>
      </c>
    </row>
    <row r="58">
      <c r="A58" s="77"/>
      <c r="H58" s="77" t="s">
        <v>210</v>
      </c>
      <c r="I58" s="11" t="str">
        <f>vlookup(H58,APY!A:A,1,false)</f>
        <v>LPT</v>
      </c>
    </row>
    <row r="59">
      <c r="A59" s="77"/>
      <c r="H59" s="77" t="s">
        <v>230</v>
      </c>
      <c r="I59" s="11" t="str">
        <f>vlookup(H59,APY!A:A,1,false)</f>
        <v>REN</v>
      </c>
    </row>
    <row r="60">
      <c r="A60" s="77"/>
      <c r="H60" s="77" t="s">
        <v>255</v>
      </c>
      <c r="I60" s="11" t="str">
        <f>vlookup(H60,APY!A:A,1,false)</f>
        <v>WDGLD</v>
      </c>
    </row>
    <row r="61">
      <c r="A61" s="77"/>
      <c r="H61" s="77" t="s">
        <v>168</v>
      </c>
      <c r="I61" s="11" t="str">
        <f>vlookup(H61,APY!A:A,1,false)</f>
        <v>ALPHA</v>
      </c>
    </row>
    <row r="62">
      <c r="A62" s="77"/>
      <c r="H62" s="77" t="s">
        <v>67</v>
      </c>
      <c r="I62" s="11" t="str">
        <f>vlookup(H62,APY!A:A,1,false)</f>
        <v>YFL</v>
      </c>
    </row>
    <row r="63">
      <c r="A63" s="77"/>
      <c r="H63" s="77" t="s">
        <v>247</v>
      </c>
      <c r="I63" s="11" t="str">
        <f>vlookup(H63,APY!A:A,1,false)</f>
        <v>TRU</v>
      </c>
    </row>
    <row r="64">
      <c r="A64" s="77"/>
      <c r="H64" s="77" t="s">
        <v>186</v>
      </c>
      <c r="I64" s="11" t="str">
        <f>vlookup(H64,APY!A:A,1,false)</f>
        <v>BTG</v>
      </c>
    </row>
    <row r="65">
      <c r="A65" s="77"/>
      <c r="H65" s="77" t="s">
        <v>175</v>
      </c>
      <c r="I65" s="11" t="str">
        <f>vlookup(H65,APY!A:A,1,false)</f>
        <v>BAL</v>
      </c>
    </row>
    <row r="66">
      <c r="A66" s="77"/>
      <c r="H66" s="77" t="s">
        <v>254</v>
      </c>
      <c r="I66" s="11" t="str">
        <f>vlookup(H66,APY!A:A,1,false)</f>
        <v>VSP</v>
      </c>
    </row>
    <row r="67">
      <c r="A67" s="77"/>
      <c r="H67" s="77" t="s">
        <v>226</v>
      </c>
      <c r="I67" s="11" t="str">
        <f>vlookup(H67,APY!A:A,1,false)</f>
        <v>PNT</v>
      </c>
    </row>
    <row r="68">
      <c r="A68" s="77"/>
      <c r="H68" s="77" t="s">
        <v>182</v>
      </c>
      <c r="I68" s="11" t="str">
        <f>vlookup(H68,APY!A:A,1,false)</f>
        <v>BOR</v>
      </c>
    </row>
    <row r="69">
      <c r="A69" s="77"/>
      <c r="H69" s="77" t="s">
        <v>202</v>
      </c>
      <c r="I69" s="11" t="str">
        <f>vlookup(H69,APY!A:A,1,false)</f>
        <v>FIS</v>
      </c>
    </row>
    <row r="70">
      <c r="A70" s="77"/>
      <c r="H70" s="77" t="s">
        <v>220</v>
      </c>
      <c r="I70" s="11" t="str">
        <f>vlookup(H70,APY!A:A,1,false)</f>
        <v>MKR</v>
      </c>
    </row>
    <row r="71">
      <c r="A71" s="77"/>
      <c r="H71" s="77" t="s">
        <v>223</v>
      </c>
      <c r="I71" s="11" t="str">
        <f>vlookup(H71,APY!A:A,1,false)</f>
        <v>ORBS</v>
      </c>
    </row>
    <row r="72">
      <c r="A72" s="77"/>
      <c r="H72" s="77" t="s">
        <v>201</v>
      </c>
      <c r="I72" s="11" t="str">
        <f>vlookup(H72,APY!A:A,1,false)</f>
        <v>FARM</v>
      </c>
    </row>
    <row r="73">
      <c r="A73" s="77"/>
      <c r="H73" s="77" t="s">
        <v>170</v>
      </c>
      <c r="I73" s="11" t="str">
        <f>vlookup(H73,APY!A:A,1,false)</f>
        <v>AMPL</v>
      </c>
    </row>
    <row r="74">
      <c r="A74" s="77"/>
      <c r="H74" s="77" t="s">
        <v>181</v>
      </c>
      <c r="I74" s="11" t="str">
        <f>vlookup(H74,APY!A:A,1,false)</f>
        <v>BOND</v>
      </c>
    </row>
    <row r="75">
      <c r="A75" s="77"/>
      <c r="H75" s="77" t="s">
        <v>171</v>
      </c>
      <c r="I75" s="11" t="str">
        <f>vlookup(H75,APY!A:A,1,false)</f>
        <v>ANKR</v>
      </c>
    </row>
    <row r="76">
      <c r="A76" s="77"/>
      <c r="H76" s="77" t="s">
        <v>222</v>
      </c>
      <c r="I76" s="11" t="str">
        <f>vlookup(H76,APY!A:A,1,false)</f>
        <v>ONX</v>
      </c>
    </row>
    <row r="77">
      <c r="A77" s="77"/>
      <c r="H77" s="77" t="s">
        <v>235</v>
      </c>
      <c r="I77" s="11" t="str">
        <f>vlookup(H77,APY!A:A,1,false)</f>
        <v>SGR</v>
      </c>
    </row>
    <row r="78">
      <c r="A78" s="77"/>
      <c r="H78" s="77" t="s">
        <v>190</v>
      </c>
      <c r="I78" s="11" t="str">
        <f>vlookup(H78,APY!A:A,1,false)</f>
        <v>CREAM</v>
      </c>
    </row>
    <row r="79">
      <c r="A79" s="77"/>
      <c r="H79" s="77" t="s">
        <v>232</v>
      </c>
      <c r="I79" s="11" t="str">
        <f>vlookup(H79,APY!A:A,1,false)</f>
        <v>ROOK</v>
      </c>
    </row>
    <row r="80">
      <c r="A80" s="77"/>
      <c r="H80" s="77" t="s">
        <v>211</v>
      </c>
      <c r="I80" s="11" t="str">
        <f>vlookup(H80,APY!A:A,1,false)</f>
        <v>LQTY</v>
      </c>
    </row>
    <row r="81">
      <c r="A81" s="77"/>
      <c r="H81" s="77" t="s">
        <v>167</v>
      </c>
      <c r="I81" s="11" t="str">
        <f>vlookup(H81,APY!A:A,1,false)</f>
        <v>ALICE</v>
      </c>
    </row>
    <row r="82">
      <c r="A82" s="77"/>
      <c r="H82" s="77" t="s">
        <v>212</v>
      </c>
      <c r="I82" s="11" t="str">
        <f>vlookup(H82,APY!A:A,1,false)</f>
        <v>LRC</v>
      </c>
    </row>
    <row r="83">
      <c r="A83" s="77"/>
    </row>
    <row r="84">
      <c r="A84" s="77"/>
    </row>
    <row r="85">
      <c r="A85" s="77"/>
    </row>
    <row r="86">
      <c r="A86" s="77"/>
    </row>
    <row r="87">
      <c r="A87" s="77"/>
    </row>
    <row r="88">
      <c r="A88" s="77"/>
    </row>
    <row r="89">
      <c r="A89" s="77"/>
    </row>
    <row r="90">
      <c r="A90" s="77"/>
    </row>
    <row r="91">
      <c r="A91" s="77"/>
    </row>
  </sheetData>
  <customSheetViews>
    <customSheetView guid="{4558648A-AC5D-4C7F-81B1-6EC982C5090B}" filter="1" showAutoFilter="1">
      <autoFilter ref="$H$1:$I$1000">
        <filterColumn colId="1">
          <filters blank="1">
            <filter val="PAXG"/>
            <filter val="RAY"/>
            <filter val="DASH"/>
            <filter val="XRP"/>
            <filter val="TAUD"/>
            <filter val="POLIS"/>
            <filter val="BSV"/>
            <filter val="BOR"/>
            <filter val="BCH"/>
            <filter val="TGBP"/>
            <filter val="DOT"/>
            <filter val="OMG"/>
            <filter val="UMA"/>
            <filter val="#N/A"/>
            <filter val="BTG"/>
            <filter val="CREAM"/>
            <filter val="SUSHI"/>
            <filter val="SRM"/>
            <filter val="UNI"/>
            <filter val="LPT"/>
            <filter val="ORBS"/>
            <filter val="BOBA"/>
            <filter val="LDO"/>
            <filter val="ALICE"/>
            <filter val="XLM"/>
            <filter val="BOND"/>
            <filter val="YFI"/>
            <filter val="YFL"/>
            <filter val="LUNA"/>
            <filter val="XTZ"/>
            <filter val="XAUT"/>
            <filter val="EOS"/>
            <filter val="THKD"/>
            <filter val="SOL"/>
            <filter val="TCAD"/>
            <filter val="BNB"/>
            <filter val="ZEC"/>
            <filter val="REN"/>
            <filter val="WDGLD"/>
            <filter val="LRC"/>
            <filter val="ADA"/>
            <filter val="SGR"/>
          </filters>
        </filterColumn>
      </autoFilter>
    </customSheetView>
  </customSheetViews>
  <drawing r:id="rId1"/>
</worksheet>
</file>